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3645" activeTab="0"/>
  </bookViews>
  <sheets>
    <sheet name="Table 1" sheetId="1" r:id="rId1"/>
    <sheet name="Table 2" sheetId="2" r:id="rId2"/>
    <sheet name="Table 3" sheetId="3" r:id="rId3"/>
    <sheet name="Table 5" sheetId="4" r:id="rId4"/>
  </sheets>
  <definedNames>
    <definedName name="_xlnm.Print_Titles" localSheetId="0">'Table 1'!$3:$9</definedName>
    <definedName name="_xlnm.Print_Titles" localSheetId="1">'Table 2'!$1:$7</definedName>
    <definedName name="_xlnm.Print_Titles" localSheetId="2">'Table 3'!$1:$7</definedName>
    <definedName name="Table" localSheetId="0">'Table 1'!$B$27:$K$27,'Table 1'!$B$28:$K$28,'Table 1'!$B$38:$K$38,'Table 1'!$B$39:$K$39,'Table 1'!$B$42:$K$42,'Table 1'!$B$60:$K$60,'Table 1'!$B$64:$K$64,'Table 1'!$B$82:$K$82,'Table 1'!$B$84:$K$85,'Table 1'!$B$90:$G$90,'Table 1'!$B$92:$G$92,'Table 1'!$B$93:$G$93,'Table 1'!$B$95:$G$95</definedName>
    <definedName name="Table" localSheetId="1">'Table 2'!$B$80:$K$80,'Table 2'!$B$82:$K$87,'Table 2'!$B$88:$K$88,'Table 2'!$B$111:$K$111,'Table 2'!$B$113:$K$118,'Table 2'!$B$119:$K$119</definedName>
    <definedName name="Table" localSheetId="2">'Table 3'!$B$77:$K$77,'Table 3'!$B$79:$K$83,'Table 3'!$B$87:$K$87,'Table 3'!$B$91:$K$93</definedName>
    <definedName name="Table" localSheetId="3">'Table 5'!$B$10:$G$11,'Table 5'!$B$12:$K$13,'Table 5'!$B$30:$K$30</definedName>
  </definedNames>
  <calcPr fullCalcOnLoad="1"/>
</workbook>
</file>

<file path=xl/sharedStrings.xml><?xml version="1.0" encoding="utf-8"?>
<sst xmlns="http://schemas.openxmlformats.org/spreadsheetml/2006/main" count="269" uniqueCount="96">
  <si>
    <t>Home Office</t>
  </si>
  <si>
    <t>Table 1 Total Departmental Spending</t>
  </si>
  <si>
    <t>£'000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</si>
  <si>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</si>
  <si>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</si>
  <si>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</si>
  <si>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</si>
  <si>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</si>
  <si>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</si>
  <si>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</si>
  <si>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</si>
  <si>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</si>
  <si>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</si>
  <si>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Outturn</t>
  </si>
  <si>
    <t>Estimated Outturn</t>
  </si>
  <si>
    <t>Plans</t>
  </si>
  <si>
    <t>Resource budget</t>
  </si>
  <si>
    <t>Resource DEL</t>
  </si>
  <si>
    <t>Cut crime, especially violent, drug and alcohol related crime</t>
  </si>
  <si>
    <t>Lead visible, responsive and accountable policing</t>
  </si>
  <si>
    <t>Protect the public from terrorism</t>
  </si>
  <si>
    <t>Secure our borders and control migration for the benefit of the country</t>
  </si>
  <si>
    <t>Safeguard people's identity and the privileges of citizenship</t>
  </si>
  <si>
    <t>Central Services</t>
  </si>
  <si>
    <t>Total resource budget DEL</t>
  </si>
  <si>
    <t>Resource AME</t>
  </si>
  <si>
    <t>Total resource budget AME</t>
  </si>
  <si>
    <t>Total resource budget</t>
  </si>
  <si>
    <t>Capital budget</t>
  </si>
  <si>
    <t>Capital DEL</t>
  </si>
  <si>
    <t>Total capital budget DEL</t>
  </si>
  <si>
    <t>Capital AME</t>
  </si>
  <si>
    <t>Total capital budget AME</t>
  </si>
  <si>
    <t>Total capital budget</t>
  </si>
  <si>
    <t>Total departmental spending†</t>
  </si>
  <si>
    <t>of which:</t>
  </si>
  <si>
    <t>Total DEL</t>
  </si>
  <si>
    <t>Total AME</t>
  </si>
  <si>
    <t>Spending by local authorities on functions relevant to the department</t>
  </si>
  <si>
    <t>Current spending</t>
  </si>
  <si>
    <t>financed by grants from budgets above</t>
  </si>
  <si>
    <t>Capital spending</t>
  </si>
  <si>
    <t>financed by grants from budgets above††</t>
  </si>
  <si>
    <t>†† This includes loans written off by mutual consent that score within non-cash Resource Budgets and aren't included in the capital support to local authorities line in Table 3.</t>
  </si>
  <si>
    <r>
      <t>of which</t>
    </r>
    <r>
      <rPr>
        <sz val="8.5"/>
        <rFont val="Times New Roman"/>
        <family val="1"/>
      </rPr>
      <t>: Near-cash</t>
    </r>
  </si>
  <si>
    <r>
      <t>of which</t>
    </r>
    <r>
      <rPr>
        <sz val="8.5"/>
        <rFont val="Times New Roman"/>
        <family val="1"/>
      </rPr>
      <t>: depreciation</t>
    </r>
  </si>
  <si>
    <t>Table 2 Resource budget DEL and AME</t>
  </si>
  <si>
    <t>Police (inc grants)</t>
  </si>
  <si>
    <t xml:space="preserve">Crime Reduction and Drugs </t>
  </si>
  <si>
    <t>Criminal Records Bureau</t>
  </si>
  <si>
    <t>Firearms Compensation</t>
  </si>
  <si>
    <t>Security Industry Authority</t>
  </si>
  <si>
    <t>Independent Safeguarding Authority</t>
  </si>
  <si>
    <t>Police Complaint Authority</t>
  </si>
  <si>
    <t>Independent Police Complaints Commission</t>
  </si>
  <si>
    <t>Central Police Training and Development Agency</t>
  </si>
  <si>
    <t>Police Information Technology Organisation</t>
  </si>
  <si>
    <t>National Criminal Intelligence Service</t>
  </si>
  <si>
    <t>National Crime Squad</t>
  </si>
  <si>
    <t>National Policing Improvement Agency</t>
  </si>
  <si>
    <t>Serious Organised Crime Agency</t>
  </si>
  <si>
    <t xml:space="preserve">Office for Security and Counter Terrorism </t>
  </si>
  <si>
    <t>Office of the Immigration Service Commissioner</t>
  </si>
  <si>
    <t>UK Border Agency</t>
  </si>
  <si>
    <t>Identity and Passport Service</t>
  </si>
  <si>
    <t>Research and Statistics Directorate</t>
  </si>
  <si>
    <t>Departmental Unallocated Provision</t>
  </si>
  <si>
    <t>Near-cash</t>
  </si>
  <si>
    <t>of which:†</t>
  </si>
  <si>
    <t>Pay</t>
  </si>
  <si>
    <t>Procurement</t>
  </si>
  <si>
    <t>Current grants and subsidies to the private sector and abroad</t>
  </si>
  <si>
    <t>Current grants to local authorities</t>
  </si>
  <si>
    <t>Depreciation</t>
  </si>
  <si>
    <t>Table 3 Capital Budget DEL and AME</t>
  </si>
  <si>
    <t>Capital expenditure on fixed assets net of sales†</t>
  </si>
  <si>
    <t>Capital grants to the private sector and abroad</t>
  </si>
  <si>
    <t>Net lending to private sector</t>
  </si>
  <si>
    <t>Capital support to public corporations</t>
  </si>
  <si>
    <t>Capital support to local authorities††</t>
  </si>
  <si>
    <t>Of which:</t>
  </si>
  <si>
    <t>Less depreciation†††</t>
  </si>
  <si>
    <t>Net capital expenditure on tangible fixed assets</t>
  </si>
  <si>
    <t>† Expenditure by the department and NDPBs on land, buildings and equipment, net of sales. Excludes spending on financial assets and grants, and public corporations' capital expenditure.</t>
  </si>
  <si>
    <t>†† This does not include loans written off by mutual consent that score within non-cash Resource Budgets.</t>
  </si>
  <si>
    <t>††† Included in Resource Budget.</t>
  </si>
  <si>
    <t>Table 5 Administration Costs</t>
  </si>
  <si>
    <t>Administration Expenditure</t>
  </si>
  <si>
    <t>Paybill</t>
  </si>
  <si>
    <t>Other</t>
  </si>
  <si>
    <t>Total administration expenditure</t>
  </si>
  <si>
    <t>Administration income</t>
  </si>
  <si>
    <t>Total administration budget</t>
  </si>
  <si>
    <t>Analysis by activity</t>
  </si>
  <si>
    <r>
      <t xml:space="preserve">† Total departmental spending is the sum of the resource budget and the capital budget </t>
    </r>
    <r>
      <rPr>
        <sz val="8.5"/>
        <rFont val="Times New Roman"/>
        <family val="1"/>
      </rPr>
      <t>less</t>
    </r>
    <r>
      <rPr>
        <i/>
        <sz val="8.5"/>
        <rFont val="Times New Roman"/>
        <family val="1"/>
      </rPr>
      <t xml:space="preserve"> depreciation. Similarly, total DEL is the sum of  resource budget DEL and capital budget DEL </t>
    </r>
    <r>
      <rPr>
        <sz val="8.5"/>
        <rFont val="Times New Roman"/>
        <family val="1"/>
      </rPr>
      <t>less</t>
    </r>
    <r>
      <rPr>
        <i/>
        <sz val="8.5"/>
        <rFont val="Times New Roman"/>
        <family val="1"/>
      </rPr>
      <t xml:space="preserve"> depreciation in DEL, and total AME is the sum of resource budget AME and capital budget AME </t>
    </r>
    <r>
      <rPr>
        <sz val="8.5"/>
        <rFont val="Times New Roman"/>
        <family val="1"/>
      </rPr>
      <t>less</t>
    </r>
    <r>
      <rPr>
        <i/>
        <sz val="8.5"/>
        <rFont val="Times New Roman"/>
        <family val="1"/>
      </rPr>
      <t xml:space="preserve"> depreciation in AME.</t>
    </r>
  </si>
  <si>
    <t>† The breakdown of near-cash in resource DEL by economic category may exceed the total near-cash Resource DEL reported above because of other income and receipts that score in near-cash resource DEL but aren't included as pay, procurement, or current grants and subsidies to the private sector, abroad and local authorities.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</si>
</sst>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\-"/>
    <numFmt numFmtId="165" formatCode="#,##0&quot;,000&quot;;\-#,##0&quot;,000&quot;;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17">
    <font>
      <sz val="10.5"/>
      <name val="Times New Roman"/>
      <family val="1"/>
    </font>
    <font>
      <sz val="10"/>
      <name val="Arial"/>
      <family val="0"/>
    </font>
    <font>
      <u val="single"/>
      <sz val="10.5"/>
      <color indexed="36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u val="single"/>
      <sz val="10.5"/>
      <color indexed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i/>
      <sz val="8.5"/>
      <name val="Times New Roman"/>
      <family val="1"/>
    </font>
    <font>
      <b/>
      <sz val="8.5"/>
      <name val="Times New Roman"/>
      <family val="1"/>
    </font>
    <font>
      <sz val="8.5"/>
      <color indexed="10"/>
      <name val="Times New Roman"/>
      <family val="1"/>
    </font>
    <font>
      <sz val="8.5"/>
      <name val="Times New Roman"/>
      <family val="1"/>
    </font>
    <font>
      <b/>
      <sz val="20"/>
      <name val="Times New Roman"/>
      <family val="1"/>
    </font>
    <font>
      <b/>
      <sz val="8.5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39">
    <xf numFmtId="0" fontId="0" fillId="0" borderId="0">
      <alignment wrapText="1"/>
      <protection/>
    </xf>
    <xf numFmtId="164" fontId="6" fillId="0" borderId="1" applyBorder="0">
      <alignment vertical="top" wrapText="1"/>
      <protection/>
    </xf>
    <xf numFmtId="0" fontId="1" fillId="0" borderId="0" applyNumberFormat="0" applyFill="0" applyBorder="0" applyAlignment="0" applyProtection="0"/>
    <xf numFmtId="164" fontId="6" fillId="0" borderId="0" applyBorder="0">
      <alignment vertical="top" wrapText="1"/>
      <protection/>
    </xf>
    <xf numFmtId="0" fontId="1" fillId="0" borderId="0" applyNumberFormat="0" applyFill="0" applyBorder="0" applyAlignment="0" applyProtection="0"/>
    <xf numFmtId="164" fontId="7" fillId="0" borderId="0" applyBorder="0">
      <alignment vertical="top" wrapText="1"/>
      <protection/>
    </xf>
    <xf numFmtId="0" fontId="0" fillId="0" borderId="0" applyNumberFormat="0" applyFill="0" applyBorder="0" applyAlignment="0" applyProtection="0"/>
    <xf numFmtId="164" fontId="8" fillId="0" borderId="0" applyBorder="0">
      <alignment vertical="top" wrapText="1"/>
      <protection/>
    </xf>
    <xf numFmtId="0" fontId="0" fillId="0" borderId="0" applyNumberFormat="0" applyFill="0" applyBorder="0" applyAlignment="0" applyProtection="0"/>
    <xf numFmtId="164" fontId="9" fillId="0" borderId="0" applyBorder="0">
      <alignment vertical="top" wrapText="1"/>
      <protection/>
    </xf>
    <xf numFmtId="0" fontId="0" fillId="0" borderId="0" applyNumberFormat="0" applyFill="0" applyBorder="0" applyAlignment="0" applyProtection="0"/>
    <xf numFmtId="164" fontId="10" fillId="0" borderId="0" applyBorder="0">
      <alignment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 vertical="center" wrapText="1"/>
      <protection/>
    </xf>
    <xf numFmtId="0" fontId="4" fillId="0" borderId="0">
      <alignment vertical="center" wrapText="1"/>
      <protection/>
    </xf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 wrapText="1"/>
      <protection/>
    </xf>
    <xf numFmtId="0" fontId="8" fillId="0" borderId="0">
      <alignment horizontal="center" wrapText="1"/>
      <protection/>
    </xf>
    <xf numFmtId="0" fontId="12" fillId="0" borderId="0">
      <alignment horizontal="center" wrapText="1"/>
      <protection/>
    </xf>
    <xf numFmtId="0" fontId="8" fillId="0" borderId="0">
      <alignment wrapText="1"/>
      <protection/>
    </xf>
    <xf numFmtId="0" fontId="9" fillId="0" borderId="0">
      <alignment wrapText="1"/>
      <protection/>
    </xf>
    <xf numFmtId="0" fontId="10" fillId="0" borderId="0" applyBorder="0">
      <alignment vertical="top" wrapText="1"/>
      <protection/>
    </xf>
    <xf numFmtId="0" fontId="11" fillId="0" borderId="0" applyBorder="0">
      <alignment vertical="top" wrapText="1"/>
      <protection/>
    </xf>
    <xf numFmtId="164" fontId="0" fillId="0" borderId="0" applyBorder="0">
      <alignment vertical="top" wrapText="1"/>
      <protection/>
    </xf>
    <xf numFmtId="164" fontId="12" fillId="2" borderId="0" applyBorder="0">
      <alignment vertical="top" wrapText="1"/>
      <protection/>
    </xf>
    <xf numFmtId="164" fontId="13" fillId="0" borderId="0" applyBorder="0">
      <alignment vertical="top" wrapText="1"/>
      <protection/>
    </xf>
    <xf numFmtId="164" fontId="14" fillId="0" borderId="0" applyBorder="0">
      <alignment vertical="top" wrapText="1"/>
      <protection/>
    </xf>
    <xf numFmtId="165" fontId="0" fillId="0" borderId="0" applyBorder="0">
      <alignment vertical="top" wrapText="1"/>
      <protection/>
    </xf>
    <xf numFmtId="165" fontId="8" fillId="2" borderId="0" applyBorder="0">
      <alignment vertical="top" wrapText="1"/>
      <protection/>
    </xf>
    <xf numFmtId="0" fontId="8" fillId="0" borderId="2">
      <alignment horizontal="right" wrapText="1"/>
      <protection/>
    </xf>
    <xf numFmtId="0" fontId="15" fillId="0" borderId="1">
      <alignment vertical="center" wrapText="1"/>
      <protection/>
    </xf>
  </cellStyleXfs>
  <cellXfs count="53">
    <xf numFmtId="0" fontId="0" fillId="0" borderId="0" xfId="0" applyAlignment="1">
      <alignment wrapText="1"/>
    </xf>
    <xf numFmtId="0" fontId="15" fillId="0" borderId="1" xfId="38">
      <alignment vertical="center" wrapText="1"/>
      <protection/>
    </xf>
    <xf numFmtId="0" fontId="4" fillId="0" borderId="3" xfId="21" applyBorder="1">
      <alignment vertical="center" wrapText="1"/>
      <protection/>
    </xf>
    <xf numFmtId="0" fontId="8" fillId="0" borderId="2" xfId="37">
      <alignment horizontal="right" wrapText="1"/>
      <protection/>
    </xf>
    <xf numFmtId="0" fontId="12" fillId="0" borderId="4" xfId="26" applyBorder="1">
      <alignment horizontal="center" wrapText="1"/>
      <protection/>
    </xf>
    <xf numFmtId="0" fontId="12" fillId="0" borderId="0" xfId="26" applyBorder="1">
      <alignment horizontal="center" wrapText="1"/>
      <protection/>
    </xf>
    <xf numFmtId="0" fontId="12" fillId="0" borderId="0" xfId="26" applyFont="1" applyBorder="1">
      <alignment horizontal="center" wrapText="1"/>
      <protection/>
    </xf>
    <xf numFmtId="0" fontId="12" fillId="0" borderId="2" xfId="26" applyBorder="1">
      <alignment horizontal="center" wrapText="1"/>
      <protection/>
    </xf>
    <xf numFmtId="164" fontId="14" fillId="0" borderId="0" xfId="34" applyBorder="1">
      <alignment vertical="top" wrapText="1"/>
      <protection/>
    </xf>
    <xf numFmtId="0" fontId="8" fillId="0" borderId="0" xfId="27">
      <alignment wrapText="1"/>
      <protection/>
    </xf>
    <xf numFmtId="0" fontId="9" fillId="0" borderId="0" xfId="28">
      <alignment wrapText="1"/>
      <protection/>
    </xf>
    <xf numFmtId="164" fontId="14" fillId="0" borderId="0" xfId="34" applyFont="1" applyBorder="1" applyAlignment="1">
      <alignment horizontal="left" vertical="top" wrapText="1" indent="1"/>
      <protection/>
    </xf>
    <xf numFmtId="164" fontId="14" fillId="0" borderId="0" xfId="34" applyFont="1" applyBorder="1">
      <alignment vertical="top" wrapText="1"/>
      <protection/>
    </xf>
    <xf numFmtId="164" fontId="12" fillId="0" borderId="1" xfId="34" applyFont="1" applyBorder="1" applyAlignment="1">
      <alignment horizontal="left" vertical="top" wrapText="1" indent="1"/>
      <protection/>
    </xf>
    <xf numFmtId="164" fontId="12" fillId="0" borderId="1" xfId="34" applyFont="1" applyBorder="1">
      <alignment vertical="top" wrapText="1"/>
      <protection/>
    </xf>
    <xf numFmtId="164" fontId="11" fillId="0" borderId="0" xfId="34" applyFont="1" applyBorder="1" applyAlignment="1">
      <alignment horizontal="left" vertical="top" wrapText="1" indent="2"/>
      <protection/>
    </xf>
    <xf numFmtId="164" fontId="12" fillId="0" borderId="0" xfId="34" applyFont="1" applyBorder="1">
      <alignment vertical="top" wrapText="1"/>
      <protection/>
    </xf>
    <xf numFmtId="164" fontId="14" fillId="0" borderId="0" xfId="34">
      <alignment vertical="top" wrapText="1"/>
      <protection/>
    </xf>
    <xf numFmtId="164" fontId="12" fillId="0" borderId="1" xfId="34" applyFont="1" applyBorder="1" applyAlignment="1">
      <alignment horizontal="left" vertical="top" wrapText="1"/>
      <protection/>
    </xf>
    <xf numFmtId="164" fontId="14" fillId="0" borderId="0" xfId="34" applyFont="1" applyBorder="1" applyAlignment="1">
      <alignment horizontal="left" vertical="top" wrapText="1"/>
      <protection/>
    </xf>
    <xf numFmtId="164" fontId="12" fillId="0" borderId="5" xfId="34" applyFont="1" applyBorder="1">
      <alignment vertical="top" wrapText="1"/>
      <protection/>
    </xf>
    <xf numFmtId="0" fontId="11" fillId="0" borderId="0" xfId="30">
      <alignment vertical="top" wrapText="1"/>
      <protection/>
    </xf>
    <xf numFmtId="164" fontId="14" fillId="0" borderId="0" xfId="34" applyFont="1" applyAlignment="1">
      <alignment horizontal="left" vertical="top" wrapText="1" indent="1"/>
      <protection/>
    </xf>
    <xf numFmtId="0" fontId="11" fillId="0" borderId="0" xfId="24">
      <alignment wrapText="1"/>
      <protection/>
    </xf>
    <xf numFmtId="164" fontId="12" fillId="0" borderId="0" xfId="34" applyFont="1">
      <alignment vertical="top" wrapText="1"/>
      <protection/>
    </xf>
    <xf numFmtId="164" fontId="14" fillId="0" borderId="0" xfId="34" applyAlignment="1">
      <alignment horizontal="left" vertical="top" wrapText="1" indent="1"/>
      <protection/>
    </xf>
    <xf numFmtId="164" fontId="12" fillId="0" borderId="0" xfId="26" applyNumberFormat="1" applyFont="1" applyBorder="1">
      <alignment horizontal="center" wrapText="1"/>
      <protection/>
    </xf>
    <xf numFmtId="164" fontId="12" fillId="0" borderId="0" xfId="34" applyFont="1" applyBorder="1" applyAlignment="1">
      <alignment horizontal="left" vertical="top" wrapText="1"/>
      <protection/>
    </xf>
    <xf numFmtId="0" fontId="11" fillId="0" borderId="0" xfId="30" applyBorder="1" applyAlignment="1">
      <alignment horizontal="left" vertical="top" wrapText="1"/>
      <protection/>
    </xf>
    <xf numFmtId="0" fontId="11" fillId="0" borderId="0" xfId="30" applyBorder="1">
      <alignment vertical="top" wrapText="1"/>
      <protection/>
    </xf>
    <xf numFmtId="164" fontId="14" fillId="0" borderId="0" xfId="34" applyBorder="1" applyAlignment="1">
      <alignment horizontal="left" vertical="top" wrapText="1" indent="1"/>
      <protection/>
    </xf>
    <xf numFmtId="0" fontId="11" fillId="0" borderId="0" xfId="30" applyFont="1" applyBorder="1" applyAlignment="1">
      <alignment horizontal="left" vertical="top" wrapText="1" indent="1"/>
      <protection/>
    </xf>
    <xf numFmtId="164" fontId="14" fillId="0" borderId="0" xfId="34" applyBorder="1" applyAlignment="1">
      <alignment horizontal="left" vertical="top" wrapText="1" indent="2"/>
      <protection/>
    </xf>
    <xf numFmtId="164" fontId="14" fillId="0" borderId="0" xfId="34" applyFont="1" applyBorder="1" applyAlignment="1">
      <alignment horizontal="left" vertical="top" wrapText="1" indent="2"/>
      <protection/>
    </xf>
    <xf numFmtId="164" fontId="14" fillId="0" borderId="0" xfId="34" applyFont="1" applyAlignment="1">
      <alignment horizontal="left" vertical="top" wrapText="1"/>
      <protection/>
    </xf>
    <xf numFmtId="164" fontId="14" fillId="0" borderId="0" xfId="34" applyFont="1">
      <alignment vertical="top" wrapText="1"/>
      <protection/>
    </xf>
    <xf numFmtId="164" fontId="16" fillId="0" borderId="0" xfId="34" applyFont="1">
      <alignment vertical="top" wrapText="1"/>
      <protection/>
    </xf>
    <xf numFmtId="0" fontId="11" fillId="0" borderId="0" xfId="30" applyFont="1">
      <alignment vertical="top" wrapText="1"/>
      <protection/>
    </xf>
    <xf numFmtId="164" fontId="14" fillId="0" borderId="0" xfId="34" applyFill="1" applyBorder="1">
      <alignment vertical="top" wrapText="1"/>
      <protection/>
    </xf>
    <xf numFmtId="0" fontId="11" fillId="0" borderId="0" xfId="24" applyFont="1">
      <alignment wrapText="1"/>
      <protection/>
    </xf>
    <xf numFmtId="0" fontId="11" fillId="0" borderId="0" xfId="24">
      <alignment wrapText="1"/>
      <protection/>
    </xf>
    <xf numFmtId="0" fontId="8" fillId="0" borderId="0" xfId="27" applyFont="1" applyAlignment="1">
      <alignment wrapText="1"/>
      <protection/>
    </xf>
    <xf numFmtId="0" fontId="8" fillId="0" borderId="0" xfId="27" applyAlignment="1">
      <alignment wrapText="1"/>
      <protection/>
    </xf>
    <xf numFmtId="164" fontId="12" fillId="0" borderId="0" xfId="34" applyFont="1" applyAlignment="1">
      <alignment vertical="top" wrapText="1"/>
      <protection/>
    </xf>
    <xf numFmtId="22" fontId="15" fillId="0" borderId="1" xfId="38" applyNumberFormat="1" applyFont="1" applyAlignment="1">
      <alignment vertical="center" wrapText="1"/>
      <protection/>
    </xf>
    <xf numFmtId="0" fontId="0" fillId="0" borderId="1" xfId="0" applyBorder="1" applyAlignment="1">
      <alignment vertical="center" wrapText="1"/>
    </xf>
    <xf numFmtId="0" fontId="4" fillId="0" borderId="3" xfId="21" applyFont="1" applyBorder="1" applyAlignment="1">
      <alignment vertical="center" wrapText="1"/>
      <protection/>
    </xf>
    <xf numFmtId="0" fontId="4" fillId="0" borderId="3" xfId="21" applyBorder="1" applyAlignment="1">
      <alignment vertical="center" wrapText="1"/>
      <protection/>
    </xf>
    <xf numFmtId="0" fontId="8" fillId="0" borderId="2" xfId="37">
      <alignment horizontal="right" wrapText="1"/>
      <protection/>
    </xf>
    <xf numFmtId="0" fontId="9" fillId="0" borderId="0" xfId="28" applyFont="1" applyAlignment="1">
      <alignment horizontal="left" wrapText="1" indent="1"/>
      <protection/>
    </xf>
    <xf numFmtId="0" fontId="9" fillId="0" borderId="0" xfId="28" applyAlignment="1">
      <alignment horizontal="left" wrapText="1" indent="1"/>
      <protection/>
    </xf>
    <xf numFmtId="0" fontId="11" fillId="0" borderId="0" xfId="24" applyFont="1" applyAlignment="1">
      <alignment wrapText="1"/>
      <protection/>
    </xf>
    <xf numFmtId="0" fontId="11" fillId="0" borderId="0" xfId="24" applyAlignment="1">
      <alignment wrapText="1"/>
      <protection/>
    </xf>
  </cellXfs>
  <cellStyles count="31">
    <cellStyle name="Normal" xfId="0"/>
    <cellStyle name="RowLevel_0" xfId="1"/>
    <cellStyle name="RowLevel_1" xfId="3"/>
    <cellStyle name="RowLevel_2" xfId="5"/>
    <cellStyle name="RowLevel_3" xfId="7"/>
    <cellStyle name="RowLevel_4" xfId="9"/>
    <cellStyle name="RowLevel_5" xfId="11"/>
    <cellStyle name="Comma" xfId="15"/>
    <cellStyle name="Comma [0]" xfId="16"/>
    <cellStyle name="Currency" xfId="17"/>
    <cellStyle name="Currency [0]" xfId="18"/>
    <cellStyle name="Followed Hyperlink" xfId="19"/>
    <cellStyle name="Heading 1" xfId="20"/>
    <cellStyle name="Heading 2" xfId="21"/>
    <cellStyle name="Hyperlink" xfId="22"/>
    <cellStyle name="Percent" xfId="23"/>
    <cellStyle name="Table Footnote" xfId="24"/>
    <cellStyle name="Table Header" xfId="25"/>
    <cellStyle name="Table Header Small" xfId="26"/>
    <cellStyle name="Table Heading 1" xfId="27"/>
    <cellStyle name="Table Heading 2" xfId="28"/>
    <cellStyle name="Table Row Of Which" xfId="29"/>
    <cellStyle name="Table Row Of Which Small" xfId="30"/>
    <cellStyle name="Table Row Thousands" xfId="31"/>
    <cellStyle name="Table Row Thousands Check" xfId="32"/>
    <cellStyle name="Table Row Thousands Not For Publication" xfId="33"/>
    <cellStyle name="Table Row Thousands Small" xfId="34"/>
    <cellStyle name="Table Row Units" xfId="35"/>
    <cellStyle name="Table Row Units Check" xfId="36"/>
    <cellStyle name="Table Units" xfId="37"/>
    <cellStyle name="Title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200"/>
  <dimension ref="A1:K97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F85" sqref="F85"/>
    </sheetView>
  </sheetViews>
  <sheetFormatPr defaultColWidth="8.66015625" defaultRowHeight="13.5"/>
  <cols>
    <col min="1" max="1" width="20.16015625" style="0" customWidth="1"/>
    <col min="11" max="11" width="0" style="0" hidden="1" customWidth="1"/>
  </cols>
  <sheetData>
    <row r="1" spans="1:11" s="1" customFormat="1" ht="25.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4.25" thickBot="1"/>
    <row r="3" spans="1:11" s="2" customFormat="1" ht="17.25" thickTop="1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5" spans="1:11" s="3" customFormat="1" ht="13.5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="4" customFormat="1" ht="10.5"/>
    <row r="7" spans="2:11" s="5" customFormat="1" ht="10.5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</row>
    <row r="8" spans="2:11" s="5" customFormat="1" ht="21">
      <c r="B8" s="5" t="s">
        <v>13</v>
      </c>
      <c r="C8" s="5" t="s">
        <v>13</v>
      </c>
      <c r="D8" s="5" t="s">
        <v>13</v>
      </c>
      <c r="E8" s="5" t="s">
        <v>13</v>
      </c>
      <c r="F8" s="5" t="s">
        <v>13</v>
      </c>
      <c r="G8" s="5" t="s">
        <v>14</v>
      </c>
      <c r="H8" s="5" t="s">
        <v>15</v>
      </c>
      <c r="I8" s="5" t="s">
        <v>15</v>
      </c>
      <c r="J8" s="5" t="s">
        <v>15</v>
      </c>
      <c r="K8" s="5" t="s">
        <v>15</v>
      </c>
    </row>
    <row r="9" s="7" customFormat="1" ht="10.5"/>
    <row r="10" s="8" customFormat="1" ht="11.25"/>
    <row r="11" spans="1:11" s="9" customFormat="1" ht="13.5">
      <c r="A11" s="41" t="s">
        <v>16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="8" customFormat="1" ht="11.25"/>
    <row r="13" spans="1:11" s="10" customFormat="1" ht="14.25">
      <c r="A13" s="49" t="s">
        <v>17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="8" customFormat="1" ht="11.25"/>
    <row r="15" spans="1:11" s="12" customFormat="1" ht="33.75">
      <c r="A15" s="11" t="s">
        <v>18</v>
      </c>
      <c r="B15" s="12">
        <v>210343</v>
      </c>
      <c r="C15" s="12">
        <v>428230</v>
      </c>
      <c r="D15" s="12">
        <v>347707</v>
      </c>
      <c r="E15" s="12">
        <v>381184</v>
      </c>
      <c r="F15" s="12">
        <v>391875</v>
      </c>
      <c r="G15" s="12">
        <f>384015+1000</f>
        <v>385015</v>
      </c>
      <c r="H15" s="12">
        <v>390189</v>
      </c>
      <c r="I15" s="12">
        <v>390964</v>
      </c>
      <c r="J15" s="12">
        <v>0</v>
      </c>
      <c r="K15" s="12">
        <v>0</v>
      </c>
    </row>
    <row r="16" s="8" customFormat="1" ht="11.25"/>
    <row r="17" spans="1:11" s="12" customFormat="1" ht="22.5">
      <c r="A17" s="11" t="s">
        <v>19</v>
      </c>
      <c r="B17" s="12">
        <v>5485257</v>
      </c>
      <c r="C17" s="12">
        <v>5515081</v>
      </c>
      <c r="D17" s="12">
        <v>5955449</v>
      </c>
      <c r="E17" s="12">
        <v>6028158</v>
      </c>
      <c r="F17" s="12">
        <v>5880004</v>
      </c>
      <c r="G17" s="12">
        <v>6070028</v>
      </c>
      <c r="H17" s="12">
        <v>6241008</v>
      </c>
      <c r="I17" s="12">
        <v>6404330</v>
      </c>
      <c r="J17" s="12">
        <v>0</v>
      </c>
      <c r="K17" s="12">
        <v>0</v>
      </c>
    </row>
    <row r="18" s="8" customFormat="1" ht="11.25"/>
    <row r="19" spans="1:11" s="12" customFormat="1" ht="22.5">
      <c r="A19" s="11" t="s">
        <v>20</v>
      </c>
      <c r="B19" s="12">
        <v>132495</v>
      </c>
      <c r="C19" s="12">
        <v>163953</v>
      </c>
      <c r="D19" s="12">
        <v>250850</v>
      </c>
      <c r="E19" s="12">
        <v>188441</v>
      </c>
      <c r="F19" s="12">
        <v>564722</v>
      </c>
      <c r="G19" s="12">
        <v>723935</v>
      </c>
      <c r="H19" s="12">
        <v>931914</v>
      </c>
      <c r="I19" s="12">
        <v>894960</v>
      </c>
      <c r="J19" s="12">
        <v>0</v>
      </c>
      <c r="K19" s="12">
        <v>0</v>
      </c>
    </row>
    <row r="20" s="8" customFormat="1" ht="11.25"/>
    <row r="21" spans="1:11" s="12" customFormat="1" ht="33.75">
      <c r="A21" s="11" t="s">
        <v>21</v>
      </c>
      <c r="B21" s="12">
        <v>1891279</v>
      </c>
      <c r="C21" s="12">
        <v>1614232</v>
      </c>
      <c r="D21" s="12">
        <v>1528230</v>
      </c>
      <c r="E21" s="12">
        <v>1463464</v>
      </c>
      <c r="F21" s="12">
        <v>1439229</v>
      </c>
      <c r="G21" s="12">
        <v>1418090</v>
      </c>
      <c r="H21" s="12">
        <f>1412112-35000-14250</f>
        <v>1362862</v>
      </c>
      <c r="I21" s="12">
        <v>1423663</v>
      </c>
      <c r="J21" s="12">
        <v>0</v>
      </c>
      <c r="K21" s="12">
        <v>0</v>
      </c>
    </row>
    <row r="22" s="8" customFormat="1" ht="11.25"/>
    <row r="23" spans="1:11" s="12" customFormat="1" ht="33.75">
      <c r="A23" s="11" t="s">
        <v>22</v>
      </c>
      <c r="B23" s="12">
        <v>-22237</v>
      </c>
      <c r="C23" s="12">
        <v>-8672</v>
      </c>
      <c r="D23" s="12">
        <v>-18868</v>
      </c>
      <c r="E23" s="12">
        <v>30396</v>
      </c>
      <c r="F23" s="12">
        <v>56763</v>
      </c>
      <c r="G23" s="12">
        <v>94478</v>
      </c>
      <c r="H23" s="12">
        <v>114212</v>
      </c>
      <c r="I23" s="12">
        <v>164800</v>
      </c>
      <c r="J23" s="12">
        <v>0</v>
      </c>
      <c r="K23" s="12">
        <v>0</v>
      </c>
    </row>
    <row r="24" s="8" customFormat="1" ht="11.25"/>
    <row r="25" spans="1:11" s="12" customFormat="1" ht="11.25">
      <c r="A25" s="11" t="s">
        <v>23</v>
      </c>
      <c r="B25" s="12">
        <v>204358</v>
      </c>
      <c r="C25" s="12">
        <v>241827</v>
      </c>
      <c r="D25" s="12">
        <v>215826</v>
      </c>
      <c r="E25" s="12">
        <v>228450</v>
      </c>
      <c r="F25" s="12">
        <v>219376</v>
      </c>
      <c r="G25" s="12">
        <v>234854</v>
      </c>
      <c r="H25" s="12">
        <f>279161+34928</f>
        <v>314089</v>
      </c>
      <c r="I25" s="12">
        <f>345307-72-150000</f>
        <v>195235</v>
      </c>
      <c r="J25" s="12">
        <v>0</v>
      </c>
      <c r="K25" s="12">
        <v>0</v>
      </c>
    </row>
    <row r="26" s="8" customFormat="1" ht="11.25"/>
    <row r="27" spans="1:11" s="14" customFormat="1" ht="21">
      <c r="A27" s="13" t="s">
        <v>24</v>
      </c>
      <c r="B27" s="14">
        <v>7901495</v>
      </c>
      <c r="C27" s="14">
        <v>7954651</v>
      </c>
      <c r="D27" s="14">
        <v>8279194</v>
      </c>
      <c r="E27" s="14">
        <v>8320093</v>
      </c>
      <c r="F27" s="14">
        <v>8551969</v>
      </c>
      <c r="G27" s="14">
        <f>SUM(G14:G25)</f>
        <v>8926400</v>
      </c>
      <c r="H27" s="14">
        <f>SUM(H14:H25)</f>
        <v>9354274</v>
      </c>
      <c r="I27" s="14">
        <f>SUM(I14:I25)</f>
        <v>9473952</v>
      </c>
      <c r="J27" s="14">
        <v>0</v>
      </c>
      <c r="K27" s="14">
        <v>0</v>
      </c>
    </row>
    <row r="28" spans="1:11" s="8" customFormat="1" ht="11.25">
      <c r="A28" s="15" t="s">
        <v>44</v>
      </c>
      <c r="B28" s="12">
        <v>7805208</v>
      </c>
      <c r="C28" s="12">
        <v>7870673</v>
      </c>
      <c r="D28" s="12">
        <v>8160958</v>
      </c>
      <c r="E28" s="12">
        <v>8201636</v>
      </c>
      <c r="F28" s="12">
        <v>8413237</v>
      </c>
      <c r="G28" s="12">
        <f>8770452+1000</f>
        <v>8771452</v>
      </c>
      <c r="H28" s="12">
        <v>9156775</v>
      </c>
      <c r="I28" s="12">
        <f>9434482-72-150000</f>
        <v>9284410</v>
      </c>
      <c r="J28" s="12">
        <v>0</v>
      </c>
      <c r="K28" s="12">
        <v>0</v>
      </c>
    </row>
    <row r="29" s="8" customFormat="1" ht="11.25"/>
    <row r="30" spans="1:11" s="10" customFormat="1" ht="14.25">
      <c r="A30" s="49" t="s">
        <v>25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="8" customFormat="1" ht="11.25"/>
    <row r="32" spans="1:11" s="12" customFormat="1" ht="22.5">
      <c r="A32" s="11" t="s">
        <v>19</v>
      </c>
      <c r="B32" s="12">
        <v>40252</v>
      </c>
      <c r="C32" s="12">
        <v>674</v>
      </c>
      <c r="D32" s="12">
        <v>4140</v>
      </c>
      <c r="E32" s="12">
        <v>290750</v>
      </c>
      <c r="F32" s="12">
        <v>353241</v>
      </c>
      <c r="G32" s="12">
        <v>358393</v>
      </c>
      <c r="H32" s="12">
        <v>498254</v>
      </c>
      <c r="I32" s="12">
        <v>730000</v>
      </c>
      <c r="J32" s="12">
        <v>0</v>
      </c>
      <c r="K32" s="12">
        <v>0</v>
      </c>
    </row>
    <row r="33" s="8" customFormat="1" ht="11.25"/>
    <row r="34" spans="1:11" s="12" customFormat="1" ht="33.75">
      <c r="A34" s="11" t="s">
        <v>21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4109</v>
      </c>
      <c r="H34" s="12">
        <v>0</v>
      </c>
      <c r="I34" s="12">
        <v>0</v>
      </c>
      <c r="J34" s="12">
        <v>0</v>
      </c>
      <c r="K34" s="12">
        <v>0</v>
      </c>
    </row>
    <row r="35" s="8" customFormat="1" ht="11.25"/>
    <row r="36" spans="1:11" s="12" customFormat="1" ht="11.25">
      <c r="A36" s="11" t="s">
        <v>23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</row>
    <row r="37" s="8" customFormat="1" ht="11.25"/>
    <row r="38" spans="1:11" s="14" customFormat="1" ht="21">
      <c r="A38" s="13" t="s">
        <v>26</v>
      </c>
      <c r="B38" s="14">
        <f>SUM(B32:B36)</f>
        <v>40252</v>
      </c>
      <c r="C38" s="14">
        <f aca="true" t="shared" si="0" ref="C38:I38">SUM(C32:C36)</f>
        <v>674</v>
      </c>
      <c r="D38" s="14">
        <f t="shared" si="0"/>
        <v>4140</v>
      </c>
      <c r="E38" s="14">
        <f t="shared" si="0"/>
        <v>290750</v>
      </c>
      <c r="F38" s="14">
        <f t="shared" si="0"/>
        <v>353241</v>
      </c>
      <c r="G38" s="14">
        <f t="shared" si="0"/>
        <v>362502</v>
      </c>
      <c r="H38" s="14">
        <f t="shared" si="0"/>
        <v>498254</v>
      </c>
      <c r="I38" s="14">
        <f t="shared" si="0"/>
        <v>730000</v>
      </c>
      <c r="J38" s="14">
        <v>0</v>
      </c>
      <c r="K38" s="14">
        <v>0</v>
      </c>
    </row>
    <row r="39" spans="1:11" s="16" customFormat="1" ht="11.25">
      <c r="A39" s="15" t="s">
        <v>44</v>
      </c>
      <c r="B39" s="12">
        <v>40252</v>
      </c>
      <c r="C39" s="12">
        <v>674</v>
      </c>
      <c r="D39" s="12">
        <v>4140</v>
      </c>
      <c r="E39" s="12">
        <v>290750</v>
      </c>
      <c r="F39" s="12">
        <v>353241</v>
      </c>
      <c r="G39" s="12">
        <v>358393</v>
      </c>
      <c r="H39" s="12">
        <v>498254</v>
      </c>
      <c r="I39" s="12">
        <v>730000</v>
      </c>
      <c r="J39" s="12">
        <v>0</v>
      </c>
      <c r="K39" s="12">
        <v>0</v>
      </c>
    </row>
    <row r="40" s="17" customFormat="1" ht="11.25"/>
    <row r="41" spans="1:11" s="14" customFormat="1" ht="10.5">
      <c r="A41" s="18" t="s">
        <v>27</v>
      </c>
      <c r="B41" s="14">
        <v>7941747</v>
      </c>
      <c r="C41" s="14">
        <v>7955325</v>
      </c>
      <c r="D41" s="14">
        <v>8283334</v>
      </c>
      <c r="E41" s="14">
        <v>8610843</v>
      </c>
      <c r="F41" s="14">
        <v>8905210</v>
      </c>
      <c r="G41" s="14">
        <f>9268720+20182</f>
        <v>9288902</v>
      </c>
      <c r="H41" s="14">
        <f>9866850-14322</f>
        <v>9852528</v>
      </c>
      <c r="I41" s="14">
        <f>10354024-150072</f>
        <v>10203952</v>
      </c>
      <c r="J41" s="14">
        <v>0</v>
      </c>
      <c r="K41" s="14">
        <v>0</v>
      </c>
    </row>
    <row r="42" spans="1:11" s="8" customFormat="1" ht="11.25">
      <c r="A42" s="15" t="s">
        <v>45</v>
      </c>
      <c r="B42" s="8">
        <v>82759</v>
      </c>
      <c r="C42" s="8">
        <v>67380</v>
      </c>
      <c r="D42" s="8">
        <v>88779</v>
      </c>
      <c r="E42" s="8">
        <v>110727</v>
      </c>
      <c r="F42" s="8">
        <v>140929</v>
      </c>
      <c r="G42" s="8">
        <f>166700+4109</f>
        <v>170809</v>
      </c>
      <c r="H42" s="8">
        <v>187547</v>
      </c>
      <c r="I42" s="8">
        <v>201636</v>
      </c>
      <c r="J42" s="8">
        <v>0</v>
      </c>
      <c r="K42" s="8">
        <v>0</v>
      </c>
    </row>
    <row r="43" s="8" customFormat="1" ht="11.25"/>
    <row r="44" spans="1:11" s="9" customFormat="1" ht="13.5">
      <c r="A44" s="41" t="s">
        <v>28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="8" customFormat="1" ht="11.25"/>
    <row r="46" spans="1:11" s="10" customFormat="1" ht="14.25">
      <c r="A46" s="49" t="s">
        <v>29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="8" customFormat="1" ht="11.25"/>
    <row r="48" spans="1:11" s="12" customFormat="1" ht="33.75">
      <c r="A48" s="11" t="s">
        <v>18</v>
      </c>
      <c r="B48" s="12">
        <v>12137</v>
      </c>
      <c r="C48" s="12">
        <v>30971</v>
      </c>
      <c r="D48" s="12">
        <v>25036</v>
      </c>
      <c r="E48" s="12">
        <v>33879</v>
      </c>
      <c r="F48" s="12">
        <v>24421</v>
      </c>
      <c r="G48" s="12">
        <v>94878</v>
      </c>
      <c r="H48" s="12">
        <v>22000</v>
      </c>
      <c r="I48" s="12">
        <v>22500</v>
      </c>
      <c r="J48" s="12">
        <v>0</v>
      </c>
      <c r="K48" s="12">
        <v>0</v>
      </c>
    </row>
    <row r="49" s="8" customFormat="1" ht="11.25"/>
    <row r="50" spans="1:11" s="12" customFormat="1" ht="22.5">
      <c r="A50" s="11" t="s">
        <v>19</v>
      </c>
      <c r="B50" s="12">
        <v>538331</v>
      </c>
      <c r="C50" s="12">
        <v>410923</v>
      </c>
      <c r="D50" s="12">
        <v>444438</v>
      </c>
      <c r="E50" s="12">
        <v>423008</v>
      </c>
      <c r="F50" s="12">
        <v>443656</v>
      </c>
      <c r="G50" s="12">
        <v>424710</v>
      </c>
      <c r="H50" s="12">
        <v>417047</v>
      </c>
      <c r="I50" s="12">
        <v>402400</v>
      </c>
      <c r="J50" s="12">
        <v>0</v>
      </c>
      <c r="K50" s="12">
        <v>0</v>
      </c>
    </row>
    <row r="51" s="8" customFormat="1" ht="11.25"/>
    <row r="52" spans="1:11" s="12" customFormat="1" ht="22.5">
      <c r="A52" s="11" t="s">
        <v>20</v>
      </c>
      <c r="B52" s="12">
        <v>3822</v>
      </c>
      <c r="C52" s="12">
        <v>35215</v>
      </c>
      <c r="D52" s="12">
        <v>90540</v>
      </c>
      <c r="E52" s="12">
        <v>30994</v>
      </c>
      <c r="F52" s="12">
        <v>134769</v>
      </c>
      <c r="G52" s="12">
        <v>102346</v>
      </c>
      <c r="H52" s="12">
        <v>119868</v>
      </c>
      <c r="I52" s="12">
        <v>135500</v>
      </c>
      <c r="J52" s="12">
        <v>0</v>
      </c>
      <c r="K52" s="12">
        <v>0</v>
      </c>
    </row>
    <row r="53" s="8" customFormat="1" ht="11.25"/>
    <row r="54" spans="1:11" s="12" customFormat="1" ht="33.75">
      <c r="A54" s="11" t="s">
        <v>21</v>
      </c>
      <c r="B54" s="12">
        <v>111571</v>
      </c>
      <c r="C54" s="12">
        <v>74789</v>
      </c>
      <c r="D54" s="12">
        <v>19360</v>
      </c>
      <c r="E54" s="12">
        <v>43559</v>
      </c>
      <c r="F54" s="12">
        <v>102404</v>
      </c>
      <c r="G54" s="12">
        <v>205971</v>
      </c>
      <c r="H54" s="12">
        <v>152414</v>
      </c>
      <c r="I54" s="12">
        <v>96000</v>
      </c>
      <c r="J54" s="12">
        <v>0</v>
      </c>
      <c r="K54" s="12">
        <v>0</v>
      </c>
    </row>
    <row r="55" s="8" customFormat="1" ht="11.25"/>
    <row r="56" spans="1:11" s="12" customFormat="1" ht="33.75">
      <c r="A56" s="11" t="s">
        <v>22</v>
      </c>
      <c r="B56" s="12">
        <v>11014</v>
      </c>
      <c r="C56" s="12">
        <v>31951</v>
      </c>
      <c r="D56" s="12">
        <v>50770</v>
      </c>
      <c r="E56" s="12">
        <v>57153</v>
      </c>
      <c r="F56" s="12">
        <f>28161-53</f>
        <v>28108</v>
      </c>
      <c r="G56" s="12">
        <v>29122</v>
      </c>
      <c r="H56" s="12">
        <v>93671</v>
      </c>
      <c r="I56" s="12">
        <v>67000</v>
      </c>
      <c r="J56" s="12">
        <v>0</v>
      </c>
      <c r="K56" s="12">
        <v>0</v>
      </c>
    </row>
    <row r="57" s="8" customFormat="1" ht="11.25"/>
    <row r="58" spans="1:11" s="12" customFormat="1" ht="11.25">
      <c r="A58" s="11" t="s">
        <v>23</v>
      </c>
      <c r="B58" s="12">
        <v>1849</v>
      </c>
      <c r="C58" s="12">
        <v>2385</v>
      </c>
      <c r="D58" s="12">
        <v>-4590</v>
      </c>
      <c r="E58" s="12">
        <v>3650</v>
      </c>
      <c r="F58" s="12">
        <v>2688</v>
      </c>
      <c r="G58" s="12">
        <v>5212</v>
      </c>
      <c r="H58" s="12">
        <v>5000</v>
      </c>
      <c r="I58" s="12">
        <v>109600</v>
      </c>
      <c r="J58" s="12">
        <v>0</v>
      </c>
      <c r="K58" s="12">
        <v>0</v>
      </c>
    </row>
    <row r="59" s="8" customFormat="1" ht="11.25"/>
    <row r="60" spans="1:11" s="14" customFormat="1" ht="21">
      <c r="A60" s="13" t="s">
        <v>30</v>
      </c>
      <c r="B60" s="14">
        <v>678724</v>
      </c>
      <c r="C60" s="14">
        <v>586234</v>
      </c>
      <c r="D60" s="14">
        <v>625554</v>
      </c>
      <c r="E60" s="14">
        <v>592243</v>
      </c>
      <c r="F60" s="14">
        <f>736099-53</f>
        <v>736046</v>
      </c>
      <c r="G60" s="14">
        <f>SUM(G48:G59)</f>
        <v>862239</v>
      </c>
      <c r="H60" s="14">
        <v>810000</v>
      </c>
      <c r="I60" s="14">
        <v>833000</v>
      </c>
      <c r="J60" s="14">
        <v>0</v>
      </c>
      <c r="K60" s="14">
        <v>0</v>
      </c>
    </row>
    <row r="61" s="8" customFormat="1" ht="11.25"/>
    <row r="62" spans="1:11" s="10" customFormat="1" ht="14.25">
      <c r="A62" s="49" t="s">
        <v>31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</row>
    <row r="63" s="8" customFormat="1" ht="11.25"/>
    <row r="64" spans="1:11" s="14" customFormat="1" ht="21">
      <c r="A64" s="13" t="s">
        <v>32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</row>
    <row r="65" s="17" customFormat="1" ht="11.25"/>
    <row r="66" spans="1:11" s="14" customFormat="1" ht="10.5">
      <c r="A66" s="18" t="s">
        <v>33</v>
      </c>
      <c r="B66" s="14">
        <v>678724</v>
      </c>
      <c r="C66" s="14">
        <v>586234</v>
      </c>
      <c r="D66" s="14">
        <v>625554</v>
      </c>
      <c r="E66" s="14">
        <v>592243</v>
      </c>
      <c r="F66" s="14">
        <f>736099-53</f>
        <v>736046</v>
      </c>
      <c r="G66" s="14">
        <f>SUM(G60)</f>
        <v>862239</v>
      </c>
      <c r="H66" s="14">
        <v>810000</v>
      </c>
      <c r="I66" s="14">
        <v>833000</v>
      </c>
      <c r="J66" s="14">
        <v>0</v>
      </c>
      <c r="K66" s="14">
        <v>0</v>
      </c>
    </row>
    <row r="67" s="17" customFormat="1" ht="11.25"/>
    <row r="68" spans="1:11" s="9" customFormat="1" ht="13.5">
      <c r="A68" s="41" t="s">
        <v>34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="8" customFormat="1" ht="11.25"/>
    <row r="70" spans="1:11" s="12" customFormat="1" ht="33.75">
      <c r="A70" s="19" t="s">
        <v>18</v>
      </c>
      <c r="B70" s="12">
        <v>221967</v>
      </c>
      <c r="C70" s="12">
        <v>455903</v>
      </c>
      <c r="D70" s="12">
        <v>369444</v>
      </c>
      <c r="E70" s="12">
        <v>414022</v>
      </c>
      <c r="F70" s="12">
        <v>414021</v>
      </c>
      <c r="G70" s="12">
        <f>476436+1000</f>
        <v>477436</v>
      </c>
      <c r="H70" s="12">
        <v>407511</v>
      </c>
      <c r="I70" s="12">
        <v>413464</v>
      </c>
      <c r="J70" s="12">
        <v>0</v>
      </c>
      <c r="K70" s="12">
        <v>0</v>
      </c>
    </row>
    <row r="71" s="8" customFormat="1" ht="11.25"/>
    <row r="72" spans="1:11" s="12" customFormat="1" ht="22.5">
      <c r="A72" s="19" t="s">
        <v>19</v>
      </c>
      <c r="B72" s="12">
        <v>6048606</v>
      </c>
      <c r="C72" s="12">
        <v>5903183</v>
      </c>
      <c r="D72" s="12">
        <v>6379731</v>
      </c>
      <c r="E72" s="12">
        <v>6729151</v>
      </c>
      <c r="F72" s="12">
        <v>6624459</v>
      </c>
      <c r="G72" s="12">
        <f>6439044+358393</f>
        <v>6797437</v>
      </c>
      <c r="H72" s="12">
        <v>7102023</v>
      </c>
      <c r="I72" s="12">
        <v>7470401</v>
      </c>
      <c r="J72" s="12">
        <v>0</v>
      </c>
      <c r="K72" s="12">
        <v>0</v>
      </c>
    </row>
    <row r="73" s="8" customFormat="1" ht="11.25"/>
    <row r="74" spans="1:11" s="12" customFormat="1" ht="22.5">
      <c r="A74" s="19" t="s">
        <v>20</v>
      </c>
      <c r="B74" s="12">
        <v>125857</v>
      </c>
      <c r="C74" s="12">
        <v>187737</v>
      </c>
      <c r="D74" s="12">
        <v>326691</v>
      </c>
      <c r="E74" s="12">
        <v>218492</v>
      </c>
      <c r="F74" s="12">
        <v>698579</v>
      </c>
      <c r="G74" s="12">
        <v>824728</v>
      </c>
      <c r="H74" s="12">
        <v>1037333</v>
      </c>
      <c r="I74" s="12">
        <v>1019311</v>
      </c>
      <c r="J74" s="12">
        <v>0</v>
      </c>
      <c r="K74" s="12">
        <v>0</v>
      </c>
    </row>
    <row r="75" s="8" customFormat="1" ht="11.25"/>
    <row r="76" spans="1:11" s="12" customFormat="1" ht="33.75">
      <c r="A76" s="19" t="s">
        <v>21</v>
      </c>
      <c r="B76" s="12">
        <v>1956373</v>
      </c>
      <c r="C76" s="12">
        <v>1667053</v>
      </c>
      <c r="D76" s="12">
        <v>1515616</v>
      </c>
      <c r="E76" s="12">
        <v>1448490</v>
      </c>
      <c r="F76" s="12">
        <v>1498186</v>
      </c>
      <c r="G76" s="12">
        <v>1556073</v>
      </c>
      <c r="H76" s="12">
        <f>1502891-49250</f>
        <v>1453641</v>
      </c>
      <c r="I76" s="12">
        <v>1453311</v>
      </c>
      <c r="J76" s="12">
        <v>0</v>
      </c>
      <c r="K76" s="12">
        <v>0</v>
      </c>
    </row>
    <row r="77" s="8" customFormat="1" ht="11.25"/>
    <row r="78" spans="1:11" s="12" customFormat="1" ht="33.75">
      <c r="A78" s="19" t="s">
        <v>22</v>
      </c>
      <c r="B78" s="12">
        <v>-15625</v>
      </c>
      <c r="C78" s="12">
        <v>21029</v>
      </c>
      <c r="D78" s="12">
        <v>21902</v>
      </c>
      <c r="E78" s="12">
        <v>69967</v>
      </c>
      <c r="F78" s="12">
        <f>49654-53</f>
        <v>49601</v>
      </c>
      <c r="G78" s="12">
        <v>89422</v>
      </c>
      <c r="H78" s="12">
        <v>159484</v>
      </c>
      <c r="I78" s="12">
        <v>178094</v>
      </c>
      <c r="J78" s="12">
        <v>0</v>
      </c>
      <c r="K78" s="12">
        <v>0</v>
      </c>
    </row>
    <row r="79" s="8" customFormat="1" ht="11.25"/>
    <row r="80" spans="1:11" s="12" customFormat="1" ht="11.25">
      <c r="A80" s="19" t="s">
        <v>23</v>
      </c>
      <c r="B80" s="12">
        <v>200534</v>
      </c>
      <c r="C80" s="12">
        <v>239274</v>
      </c>
      <c r="D80" s="12">
        <v>206725</v>
      </c>
      <c r="E80" s="12">
        <v>212237</v>
      </c>
      <c r="F80" s="12">
        <v>215481</v>
      </c>
      <c r="G80" s="12">
        <v>235236</v>
      </c>
      <c r="H80" s="12">
        <v>314989</v>
      </c>
      <c r="I80" s="12">
        <f>450735-150000</f>
        <v>300735</v>
      </c>
      <c r="J80" s="12">
        <v>0</v>
      </c>
      <c r="K80" s="12">
        <v>0</v>
      </c>
    </row>
    <row r="81" s="8" customFormat="1" ht="11.25"/>
    <row r="82" spans="1:11" s="20" customFormat="1" ht="21.75" thickBot="1">
      <c r="A82" s="20" t="s">
        <v>34</v>
      </c>
      <c r="B82" s="20">
        <v>8537712</v>
      </c>
      <c r="C82" s="20">
        <v>8474179</v>
      </c>
      <c r="D82" s="20">
        <v>8820109</v>
      </c>
      <c r="E82" s="20">
        <v>9092359</v>
      </c>
      <c r="F82" s="20">
        <f>9500380-53</f>
        <v>9500327</v>
      </c>
      <c r="G82" s="20">
        <f>SUM(G70:G80)</f>
        <v>9980332</v>
      </c>
      <c r="H82" s="20">
        <f>SUM(H70:H80)</f>
        <v>10474981</v>
      </c>
      <c r="I82" s="20">
        <f>SUM(I70:I80)</f>
        <v>10835316</v>
      </c>
      <c r="J82" s="20">
        <v>0</v>
      </c>
      <c r="K82" s="20">
        <v>0</v>
      </c>
    </row>
    <row r="83" s="21" customFormat="1" ht="12" thickTop="1">
      <c r="A83" s="21" t="s">
        <v>35</v>
      </c>
    </row>
    <row r="84" spans="1:11" s="17" customFormat="1" ht="11.25">
      <c r="A84" s="22" t="s">
        <v>36</v>
      </c>
      <c r="B84" s="17">
        <v>8497460</v>
      </c>
      <c r="C84" s="17">
        <v>8473505</v>
      </c>
      <c r="D84" s="17">
        <v>8815969</v>
      </c>
      <c r="E84" s="17">
        <v>8801609</v>
      </c>
      <c r="F84" s="17">
        <f>9147139-53</f>
        <v>9147086</v>
      </c>
      <c r="G84" s="36">
        <f>9620939+1000-4109</f>
        <v>9617830</v>
      </c>
      <c r="H84" s="17">
        <v>9976727</v>
      </c>
      <c r="I84" s="17">
        <f>10255316-150000</f>
        <v>10105316</v>
      </c>
      <c r="J84" s="17">
        <v>0</v>
      </c>
      <c r="K84" s="17">
        <v>0</v>
      </c>
    </row>
    <row r="85" spans="1:11" s="17" customFormat="1" ht="11.25">
      <c r="A85" s="22" t="s">
        <v>37</v>
      </c>
      <c r="B85" s="17">
        <v>40252</v>
      </c>
      <c r="C85" s="17">
        <v>674</v>
      </c>
      <c r="D85" s="17">
        <v>4140</v>
      </c>
      <c r="E85" s="17">
        <v>290750</v>
      </c>
      <c r="F85" s="17">
        <f>353241</f>
        <v>353241</v>
      </c>
      <c r="G85" s="36">
        <f>358393+4109</f>
        <v>362502</v>
      </c>
      <c r="H85" s="17">
        <v>498254</v>
      </c>
      <c r="I85" s="17">
        <v>730000</v>
      </c>
      <c r="J85" s="17">
        <v>0</v>
      </c>
      <c r="K85" s="17">
        <v>0</v>
      </c>
    </row>
    <row r="86" s="17" customFormat="1" ht="11.25"/>
    <row r="87" spans="1:11" s="23" customFormat="1" ht="33.75" customHeight="1">
      <c r="A87" s="39" t="s">
        <v>94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ht="11.25" customHeight="1"/>
    <row r="89" spans="1:11" s="24" customFormat="1" ht="10.5">
      <c r="A89" s="43" t="s">
        <v>38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</row>
    <row r="90" spans="1:7" s="24" customFormat="1" ht="10.5">
      <c r="A90" s="24" t="s">
        <v>39</v>
      </c>
      <c r="B90" s="24">
        <v>10013932</v>
      </c>
      <c r="C90" s="24">
        <v>10598715</v>
      </c>
      <c r="D90" s="24">
        <v>11423300</v>
      </c>
      <c r="E90" s="24">
        <v>12053588</v>
      </c>
      <c r="F90" s="24">
        <v>12313511</v>
      </c>
      <c r="G90" s="24">
        <v>13025323</v>
      </c>
    </row>
    <row r="91" s="21" customFormat="1" ht="11.25">
      <c r="A91" s="21" t="s">
        <v>35</v>
      </c>
    </row>
    <row r="92" spans="1:7" s="17" customFormat="1" ht="22.5">
      <c r="A92" s="25" t="s">
        <v>40</v>
      </c>
      <c r="B92" s="17">
        <v>5520310</v>
      </c>
      <c r="C92" s="17">
        <v>5612543</v>
      </c>
      <c r="D92" s="17">
        <v>5994150</v>
      </c>
      <c r="E92" s="35">
        <v>6114364</v>
      </c>
      <c r="F92" s="35">
        <v>6411456</v>
      </c>
      <c r="G92" s="35">
        <v>6617502</v>
      </c>
    </row>
    <row r="93" spans="1:7" s="24" customFormat="1" ht="10.5">
      <c r="A93" s="24" t="s">
        <v>41</v>
      </c>
      <c r="B93" s="24">
        <v>500986</v>
      </c>
      <c r="C93" s="24">
        <v>556583</v>
      </c>
      <c r="D93" s="24">
        <v>542818</v>
      </c>
      <c r="E93" s="24">
        <v>443198</v>
      </c>
      <c r="F93" s="24">
        <v>455179</v>
      </c>
      <c r="G93" s="24">
        <v>774570</v>
      </c>
    </row>
    <row r="94" spans="1:9" s="21" customFormat="1" ht="11.25">
      <c r="A94" s="21" t="s">
        <v>35</v>
      </c>
      <c r="G94" s="37"/>
      <c r="H94" s="37"/>
      <c r="I94" s="37"/>
    </row>
    <row r="95" spans="1:9" s="17" customFormat="1" ht="22.5">
      <c r="A95" s="22" t="s">
        <v>42</v>
      </c>
      <c r="B95" s="17">
        <v>387817</v>
      </c>
      <c r="C95" s="17">
        <v>358954</v>
      </c>
      <c r="D95" s="35">
        <v>400496</v>
      </c>
      <c r="E95" s="35">
        <v>178339</v>
      </c>
      <c r="F95" s="17">
        <f>345279-18928</f>
        <v>326351</v>
      </c>
      <c r="G95" s="35">
        <f>263027-9158</f>
        <v>253869</v>
      </c>
      <c r="H95" s="35"/>
      <c r="I95" s="35"/>
    </row>
    <row r="96" s="17" customFormat="1" ht="11.25"/>
    <row r="97" spans="1:11" s="23" customFormat="1" ht="22.5" customHeight="1">
      <c r="A97" s="39" t="s">
        <v>43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</row>
  </sheetData>
  <mergeCells count="13">
    <mergeCell ref="A1:K1"/>
    <mergeCell ref="A3:K3"/>
    <mergeCell ref="A5:K5"/>
    <mergeCell ref="A87:K87"/>
    <mergeCell ref="A46:K46"/>
    <mergeCell ref="A62:K62"/>
    <mergeCell ref="A13:K13"/>
    <mergeCell ref="A30:K30"/>
    <mergeCell ref="A11:K11"/>
    <mergeCell ref="A97:K97"/>
    <mergeCell ref="A44:K44"/>
    <mergeCell ref="A68:K68"/>
    <mergeCell ref="A89:K89"/>
  </mergeCells>
  <printOptions/>
  <pageMargins left="0.5118110236220472" right="0.5118110236220472" top="0.6692913385826772" bottom="0.6692913385826772" header="0.2755905511811024" footer="0.2755905511811024"/>
  <pageSetup horizontalDpi="600" verticalDpi="600" orientation="portrait" paperSize="9" r:id="rId1"/>
  <headerFooter alignWithMargins="0">
    <oddHeader>&amp;LDepartmental Annual Reporting 2009-10
11/03/2009  17:11&amp;RHome Office
HOF-Pauline1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201">
    <tabColor indexed="10"/>
  </sheetPr>
  <dimension ref="A1:K122"/>
  <sheetViews>
    <sheetView showGridLines="0" workbookViewId="0" topLeftCell="A1">
      <pane ySplit="7" topLeftCell="BM8" activePane="bottomLeft" state="frozen"/>
      <selection pane="topLeft" activeCell="A1" sqref="A1"/>
      <selection pane="bottomLeft" activeCell="D13" sqref="D13"/>
    </sheetView>
  </sheetViews>
  <sheetFormatPr defaultColWidth="8.66015625" defaultRowHeight="13.5"/>
  <cols>
    <col min="1" max="1" width="20.16015625" style="0" customWidth="1"/>
    <col min="11" max="11" width="0" style="0" hidden="1" customWidth="1"/>
  </cols>
  <sheetData>
    <row r="1" spans="1:11" s="2" customFormat="1" ht="17.25" thickTop="1">
      <c r="A1" s="46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s="3" customFormat="1" ht="13.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="4" customFormat="1" ht="10.5"/>
    <row r="5" spans="2:11" s="5" customFormat="1" ht="10.5">
      <c r="B5" s="2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2:11" s="5" customFormat="1" ht="21">
      <c r="B6" s="5" t="s">
        <v>13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14</v>
      </c>
      <c r="H6" s="5" t="s">
        <v>15</v>
      </c>
      <c r="I6" s="5" t="s">
        <v>15</v>
      </c>
      <c r="J6" s="5" t="s">
        <v>15</v>
      </c>
      <c r="K6" s="5" t="s">
        <v>15</v>
      </c>
    </row>
    <row r="7" s="7" customFormat="1" ht="10.5"/>
    <row r="8" s="17" customFormat="1" ht="11.25"/>
    <row r="9" spans="1:11" s="9" customFormat="1" ht="13.5">
      <c r="A9" s="42" t="s">
        <v>17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="8" customFormat="1" ht="11.25"/>
    <row r="11" spans="1:11" s="16" customFormat="1" ht="31.5">
      <c r="A11" s="27" t="s">
        <v>18</v>
      </c>
      <c r="B11" s="16">
        <v>210343</v>
      </c>
      <c r="C11" s="16">
        <v>428230</v>
      </c>
      <c r="D11" s="16">
        <v>347707</v>
      </c>
      <c r="E11" s="16">
        <v>381184</v>
      </c>
      <c r="F11" s="16">
        <v>391875</v>
      </c>
      <c r="G11" s="16">
        <f>SUM(G14:G26)</f>
        <v>385015</v>
      </c>
      <c r="H11" s="16">
        <v>390189</v>
      </c>
      <c r="I11" s="16">
        <v>390964</v>
      </c>
      <c r="J11" s="16">
        <v>0</v>
      </c>
      <c r="K11" s="16">
        <v>0</v>
      </c>
    </row>
    <row r="12" s="8" customFormat="1" ht="11.25"/>
    <row r="13" s="29" customFormat="1" ht="11.25">
      <c r="A13" s="28" t="s">
        <v>35</v>
      </c>
    </row>
    <row r="14" s="29" customFormat="1" ht="11.25"/>
    <row r="15" spans="1:11" s="12" customFormat="1" ht="11.25">
      <c r="A15" s="11" t="s">
        <v>47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="8" customFormat="1" ht="11.25"/>
    <row r="17" spans="1:11" s="12" customFormat="1" ht="22.5">
      <c r="A17" s="11" t="s">
        <v>48</v>
      </c>
      <c r="B17" s="12">
        <v>195615</v>
      </c>
      <c r="C17" s="12">
        <v>417110</v>
      </c>
      <c r="D17" s="12">
        <v>361444</v>
      </c>
      <c r="E17" s="12">
        <v>404531</v>
      </c>
      <c r="F17" s="12">
        <v>390886</v>
      </c>
      <c r="G17" s="12">
        <f>378274+1000</f>
        <v>379274</v>
      </c>
      <c r="H17" s="12">
        <v>377289</v>
      </c>
      <c r="I17" s="12">
        <v>390964</v>
      </c>
      <c r="J17" s="12">
        <v>0</v>
      </c>
      <c r="K17" s="12">
        <v>0</v>
      </c>
    </row>
    <row r="18" s="8" customFormat="1" ht="11.25"/>
    <row r="19" spans="1:11" s="12" customFormat="1" ht="11.25">
      <c r="A19" s="11" t="s">
        <v>49</v>
      </c>
      <c r="B19" s="12">
        <v>7359</v>
      </c>
      <c r="C19" s="12">
        <v>-999</v>
      </c>
      <c r="D19" s="12">
        <v>-18202</v>
      </c>
      <c r="E19" s="12">
        <v>-25394</v>
      </c>
      <c r="F19" s="12">
        <v>0</v>
      </c>
      <c r="G19" s="12">
        <v>3116</v>
      </c>
      <c r="H19" s="12">
        <v>0</v>
      </c>
      <c r="I19" s="12">
        <v>0</v>
      </c>
      <c r="J19" s="12">
        <v>0</v>
      </c>
      <c r="K19" s="12">
        <v>0</v>
      </c>
    </row>
    <row r="20" s="8" customFormat="1" ht="11.25"/>
    <row r="21" spans="1:11" s="12" customFormat="1" ht="11.25">
      <c r="A21" s="11" t="s">
        <v>50</v>
      </c>
      <c r="B21" s="12">
        <v>0</v>
      </c>
      <c r="C21" s="12">
        <v>6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="8" customFormat="1" ht="11.25"/>
    <row r="23" spans="1:11" s="12" customFormat="1" ht="22.5">
      <c r="A23" s="11" t="s">
        <v>51</v>
      </c>
      <c r="B23" s="12">
        <v>7369</v>
      </c>
      <c r="C23" s="12">
        <v>12113</v>
      </c>
      <c r="D23" s="12">
        <v>4465</v>
      </c>
      <c r="E23" s="12">
        <v>2047</v>
      </c>
      <c r="F23" s="12">
        <v>749</v>
      </c>
      <c r="G23" s="12">
        <v>-4519</v>
      </c>
      <c r="H23" s="12">
        <v>0</v>
      </c>
      <c r="I23" s="12">
        <v>0</v>
      </c>
      <c r="J23" s="12">
        <v>0</v>
      </c>
      <c r="K23" s="12">
        <v>0</v>
      </c>
    </row>
    <row r="24" s="8" customFormat="1" ht="11.25"/>
    <row r="25" spans="1:11" s="12" customFormat="1" ht="22.5">
      <c r="A25" s="11" t="s">
        <v>52</v>
      </c>
      <c r="B25" s="12">
        <v>0</v>
      </c>
      <c r="C25" s="12">
        <v>0</v>
      </c>
      <c r="D25" s="12">
        <v>0</v>
      </c>
      <c r="E25" s="12">
        <v>0</v>
      </c>
      <c r="F25" s="12">
        <v>240</v>
      </c>
      <c r="G25" s="12">
        <v>7144</v>
      </c>
      <c r="H25" s="12">
        <v>12900</v>
      </c>
      <c r="I25" s="12">
        <v>0</v>
      </c>
      <c r="J25" s="12">
        <v>0</v>
      </c>
      <c r="K25" s="12">
        <v>0</v>
      </c>
    </row>
    <row r="26" s="8" customFormat="1" ht="11.25"/>
    <row r="27" spans="1:11" s="16" customFormat="1" ht="21">
      <c r="A27" s="27" t="s">
        <v>19</v>
      </c>
      <c r="B27" s="16">
        <v>5485257</v>
      </c>
      <c r="C27" s="16">
        <v>5515081</v>
      </c>
      <c r="D27" s="16">
        <v>5955449</v>
      </c>
      <c r="E27" s="16">
        <v>6028158</v>
      </c>
      <c r="F27" s="16">
        <v>5880004</v>
      </c>
      <c r="G27" s="16">
        <f>SUM(G31:G48)</f>
        <v>6070028</v>
      </c>
      <c r="H27" s="16">
        <v>6241008</v>
      </c>
      <c r="I27" s="16">
        <v>6404330</v>
      </c>
      <c r="J27" s="16">
        <v>0</v>
      </c>
      <c r="K27" s="16">
        <v>0</v>
      </c>
    </row>
    <row r="28" s="8" customFormat="1" ht="11.25"/>
    <row r="29" s="29" customFormat="1" ht="11.25">
      <c r="A29" s="28" t="s">
        <v>35</v>
      </c>
    </row>
    <row r="30" s="29" customFormat="1" ht="11.25"/>
    <row r="31" spans="1:11" s="12" customFormat="1" ht="11.25">
      <c r="A31" s="11" t="s">
        <v>47</v>
      </c>
      <c r="B31" s="12">
        <v>5002578</v>
      </c>
      <c r="C31" s="12">
        <v>4987035</v>
      </c>
      <c r="D31" s="12">
        <v>5393649</v>
      </c>
      <c r="E31" s="12">
        <v>5335705</v>
      </c>
      <c r="F31" s="12">
        <v>5055597</v>
      </c>
      <c r="G31" s="12">
        <v>5230837</v>
      </c>
      <c r="H31" s="12">
        <v>5387481</v>
      </c>
      <c r="I31" s="12">
        <v>5538276</v>
      </c>
      <c r="J31" s="12">
        <v>0</v>
      </c>
      <c r="K31" s="12">
        <v>0</v>
      </c>
    </row>
    <row r="32" s="8" customFormat="1" ht="11.25"/>
    <row r="33" spans="1:11" s="12" customFormat="1" ht="22.5">
      <c r="A33" s="11" t="s">
        <v>53</v>
      </c>
      <c r="B33" s="12">
        <v>5395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="8" customFormat="1" ht="11.25"/>
    <row r="35" spans="1:11" s="12" customFormat="1" ht="22.5">
      <c r="A35" s="11" t="s">
        <v>54</v>
      </c>
      <c r="B35" s="12">
        <v>10390</v>
      </c>
      <c r="C35" s="12">
        <v>24086</v>
      </c>
      <c r="D35" s="12">
        <v>26374</v>
      </c>
      <c r="E35" s="12">
        <v>31272</v>
      </c>
      <c r="F35" s="12">
        <v>32373</v>
      </c>
      <c r="G35" s="12">
        <v>34123</v>
      </c>
      <c r="H35" s="12">
        <v>33306</v>
      </c>
      <c r="I35" s="12">
        <v>32273</v>
      </c>
      <c r="J35" s="12">
        <v>0</v>
      </c>
      <c r="K35" s="12">
        <v>0</v>
      </c>
    </row>
    <row r="36" s="8" customFormat="1" ht="11.25"/>
    <row r="37" spans="1:11" s="12" customFormat="1" ht="22.5">
      <c r="A37" s="11" t="s">
        <v>55</v>
      </c>
      <c r="B37" s="12">
        <v>93246</v>
      </c>
      <c r="C37" s="12">
        <v>83283</v>
      </c>
      <c r="D37" s="12">
        <v>102799</v>
      </c>
      <c r="E37" s="12">
        <v>70559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</row>
    <row r="38" s="8" customFormat="1" ht="11.25"/>
    <row r="39" spans="1:11" s="12" customFormat="1" ht="22.5">
      <c r="A39" s="11" t="s">
        <v>56</v>
      </c>
      <c r="B39" s="12">
        <v>121295</v>
      </c>
      <c r="C39" s="12">
        <v>167814</v>
      </c>
      <c r="D39" s="12">
        <v>196113</v>
      </c>
      <c r="E39" s="12">
        <v>203569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="8" customFormat="1" ht="11.25"/>
    <row r="41" spans="1:11" s="12" customFormat="1" ht="22.5">
      <c r="A41" s="11" t="s">
        <v>57</v>
      </c>
      <c r="B41" s="12">
        <v>82432</v>
      </c>
      <c r="C41" s="12">
        <v>83835</v>
      </c>
      <c r="D41" s="12">
        <v>77906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</row>
    <row r="42" s="8" customFormat="1" ht="11.25"/>
    <row r="43" spans="1:11" s="12" customFormat="1" ht="11.25">
      <c r="A43" s="11" t="s">
        <v>58</v>
      </c>
      <c r="B43" s="12">
        <v>162541</v>
      </c>
      <c r="C43" s="12">
        <v>161767</v>
      </c>
      <c r="D43" s="12">
        <v>152070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="8" customFormat="1" ht="11.25"/>
    <row r="45" spans="1:11" s="12" customFormat="1" ht="22.5">
      <c r="A45" s="11" t="s">
        <v>59</v>
      </c>
      <c r="B45" s="12">
        <v>0</v>
      </c>
      <c r="C45" s="12">
        <v>0</v>
      </c>
      <c r="D45" s="12">
        <v>0</v>
      </c>
      <c r="E45" s="12">
        <v>0</v>
      </c>
      <c r="F45" s="12">
        <v>392679</v>
      </c>
      <c r="G45" s="12">
        <v>389827</v>
      </c>
      <c r="H45" s="12">
        <v>395522</v>
      </c>
      <c r="I45" s="12">
        <v>403919</v>
      </c>
      <c r="J45" s="12">
        <v>0</v>
      </c>
      <c r="K45" s="12">
        <v>0</v>
      </c>
    </row>
    <row r="46" s="8" customFormat="1" ht="11.25"/>
    <row r="47" spans="1:11" s="12" customFormat="1" ht="22.5">
      <c r="A47" s="11" t="s">
        <v>60</v>
      </c>
      <c r="B47" s="12">
        <v>7380</v>
      </c>
      <c r="C47" s="12">
        <v>7261</v>
      </c>
      <c r="D47" s="12">
        <v>6538</v>
      </c>
      <c r="E47" s="12">
        <v>387053</v>
      </c>
      <c r="F47" s="12">
        <v>399355</v>
      </c>
      <c r="G47" s="12">
        <v>415241</v>
      </c>
      <c r="H47" s="12">
        <v>424699</v>
      </c>
      <c r="I47" s="12">
        <v>429862</v>
      </c>
      <c r="J47" s="12">
        <v>0</v>
      </c>
      <c r="K47" s="12">
        <v>0</v>
      </c>
    </row>
    <row r="48" s="8" customFormat="1" ht="11.25"/>
    <row r="49" spans="1:11" s="16" customFormat="1" ht="21">
      <c r="A49" s="27" t="s">
        <v>20</v>
      </c>
      <c r="B49" s="16">
        <v>132495</v>
      </c>
      <c r="C49" s="16">
        <v>163953</v>
      </c>
      <c r="D49" s="16">
        <v>250850</v>
      </c>
      <c r="E49" s="16">
        <v>188441</v>
      </c>
      <c r="F49" s="16">
        <v>564722</v>
      </c>
      <c r="G49" s="16">
        <f>SUM(G53)</f>
        <v>723935</v>
      </c>
      <c r="H49" s="16">
        <v>931914</v>
      </c>
      <c r="I49" s="16">
        <v>894960</v>
      </c>
      <c r="J49" s="16">
        <v>0</v>
      </c>
      <c r="K49" s="16">
        <v>0</v>
      </c>
    </row>
    <row r="50" s="8" customFormat="1" ht="11.25"/>
    <row r="51" s="29" customFormat="1" ht="11.25">
      <c r="A51" s="28" t="s">
        <v>35</v>
      </c>
    </row>
    <row r="52" s="29" customFormat="1" ht="11.25"/>
    <row r="53" spans="1:11" s="12" customFormat="1" ht="22.5">
      <c r="A53" s="11" t="s">
        <v>61</v>
      </c>
      <c r="B53" s="12">
        <v>132495</v>
      </c>
      <c r="C53" s="12">
        <v>163953</v>
      </c>
      <c r="D53" s="12">
        <v>250850</v>
      </c>
      <c r="E53" s="12">
        <v>188441</v>
      </c>
      <c r="F53" s="12">
        <v>564722</v>
      </c>
      <c r="G53" s="12">
        <v>723935</v>
      </c>
      <c r="H53" s="12">
        <v>931914</v>
      </c>
      <c r="I53" s="12">
        <v>894960</v>
      </c>
      <c r="J53" s="12">
        <v>0</v>
      </c>
      <c r="K53" s="12">
        <v>0</v>
      </c>
    </row>
    <row r="54" s="8" customFormat="1" ht="11.25"/>
    <row r="55" spans="1:11" s="16" customFormat="1" ht="31.5">
      <c r="A55" s="27" t="s">
        <v>21</v>
      </c>
      <c r="B55" s="16">
        <v>1891279</v>
      </c>
      <c r="C55" s="16">
        <v>1614232</v>
      </c>
      <c r="D55" s="16">
        <v>1528230</v>
      </c>
      <c r="E55" s="16">
        <v>1463464</v>
      </c>
      <c r="F55" s="16">
        <v>1439229</v>
      </c>
      <c r="G55" s="16">
        <f>SUM(G58:G62)</f>
        <v>1418090</v>
      </c>
      <c r="H55" s="16">
        <v>1362862</v>
      </c>
      <c r="I55" s="16">
        <v>1423663</v>
      </c>
      <c r="J55" s="16">
        <v>0</v>
      </c>
      <c r="K55" s="16">
        <v>0</v>
      </c>
    </row>
    <row r="56" s="8" customFormat="1" ht="11.25"/>
    <row r="57" s="29" customFormat="1" ht="11.25">
      <c r="A57" s="28" t="s">
        <v>35</v>
      </c>
    </row>
    <row r="58" s="29" customFormat="1" ht="11.25"/>
    <row r="59" spans="1:11" s="12" customFormat="1" ht="33.75">
      <c r="A59" s="11" t="s">
        <v>62</v>
      </c>
      <c r="B59" s="12">
        <v>3275</v>
      </c>
      <c r="C59" s="12">
        <v>3836</v>
      </c>
      <c r="D59" s="12">
        <v>149</v>
      </c>
      <c r="E59" s="12">
        <v>4380</v>
      </c>
      <c r="F59" s="12">
        <v>4347</v>
      </c>
      <c r="G59" s="12">
        <v>3857</v>
      </c>
      <c r="H59" s="12">
        <v>4270</v>
      </c>
      <c r="I59" s="12">
        <v>4365</v>
      </c>
      <c r="J59" s="12">
        <v>0</v>
      </c>
      <c r="K59" s="12">
        <v>0</v>
      </c>
    </row>
    <row r="60" s="8" customFormat="1" ht="11.25"/>
    <row r="61" spans="1:11" s="12" customFormat="1" ht="11.25">
      <c r="A61" s="11" t="s">
        <v>63</v>
      </c>
      <c r="B61" s="12">
        <v>1888004</v>
      </c>
      <c r="C61" s="12">
        <v>1610396</v>
      </c>
      <c r="D61" s="12">
        <v>1528081</v>
      </c>
      <c r="E61" s="12">
        <v>1459084</v>
      </c>
      <c r="F61" s="12">
        <v>1434882</v>
      </c>
      <c r="G61" s="12">
        <v>1414233</v>
      </c>
      <c r="H61" s="12">
        <v>1358592</v>
      </c>
      <c r="I61" s="12">
        <v>1419298</v>
      </c>
      <c r="J61" s="12">
        <v>0</v>
      </c>
      <c r="K61" s="12">
        <v>0</v>
      </c>
    </row>
    <row r="62" s="8" customFormat="1" ht="11.25"/>
    <row r="63" s="8" customFormat="1" ht="11.25"/>
    <row r="64" spans="1:11" s="16" customFormat="1" ht="31.5">
      <c r="A64" s="27" t="s">
        <v>22</v>
      </c>
      <c r="B64" s="16">
        <v>-22237</v>
      </c>
      <c r="C64" s="16">
        <v>-8672</v>
      </c>
      <c r="D64" s="16">
        <v>-18868</v>
      </c>
      <c r="E64" s="16">
        <v>30396</v>
      </c>
      <c r="F64" s="16">
        <v>56763</v>
      </c>
      <c r="G64" s="16">
        <f>SUM(G68)</f>
        <v>94478</v>
      </c>
      <c r="H64" s="16">
        <v>114212</v>
      </c>
      <c r="I64" s="16">
        <v>164800</v>
      </c>
      <c r="J64" s="16">
        <v>0</v>
      </c>
      <c r="K64" s="16">
        <v>0</v>
      </c>
    </row>
    <row r="65" s="8" customFormat="1" ht="11.25"/>
    <row r="66" s="29" customFormat="1" ht="11.25">
      <c r="A66" s="28" t="s">
        <v>35</v>
      </c>
    </row>
    <row r="67" s="29" customFormat="1" ht="11.25"/>
    <row r="68" spans="1:11" s="12" customFormat="1" ht="22.5">
      <c r="A68" s="11" t="s">
        <v>64</v>
      </c>
      <c r="B68" s="12">
        <v>-22237</v>
      </c>
      <c r="C68" s="12">
        <v>-8672</v>
      </c>
      <c r="D68" s="12">
        <v>-18868</v>
      </c>
      <c r="E68" s="12">
        <v>30396</v>
      </c>
      <c r="F68" s="12">
        <v>56763</v>
      </c>
      <c r="G68" s="12">
        <v>94478</v>
      </c>
      <c r="H68" s="12">
        <v>114212</v>
      </c>
      <c r="I68" s="12">
        <v>164800</v>
      </c>
      <c r="J68" s="12">
        <v>0</v>
      </c>
      <c r="K68" s="12">
        <v>0</v>
      </c>
    </row>
    <row r="69" s="8" customFormat="1" ht="11.25"/>
    <row r="70" spans="1:11" s="16" customFormat="1" ht="10.5">
      <c r="A70" s="27" t="s">
        <v>23</v>
      </c>
      <c r="B70" s="16">
        <v>204358</v>
      </c>
      <c r="C70" s="16">
        <v>241827</v>
      </c>
      <c r="D70" s="16">
        <v>215826</v>
      </c>
      <c r="E70" s="16">
        <v>228450</v>
      </c>
      <c r="F70" s="16">
        <v>219376</v>
      </c>
      <c r="G70" s="16">
        <f>SUM(G74:G78)</f>
        <v>234854</v>
      </c>
      <c r="H70" s="16">
        <v>314089</v>
      </c>
      <c r="I70" s="16">
        <v>195235</v>
      </c>
      <c r="J70" s="16">
        <v>0</v>
      </c>
      <c r="K70" s="16">
        <v>0</v>
      </c>
    </row>
    <row r="71" s="8" customFormat="1" ht="11.25"/>
    <row r="72" s="29" customFormat="1" ht="11.25">
      <c r="A72" s="28" t="s">
        <v>35</v>
      </c>
    </row>
    <row r="73" s="29" customFormat="1" ht="11.25"/>
    <row r="74" spans="1:11" s="12" customFormat="1" ht="11.25">
      <c r="A74" s="11" t="s">
        <v>23</v>
      </c>
      <c r="B74" s="12">
        <v>175129</v>
      </c>
      <c r="C74" s="12">
        <v>195112</v>
      </c>
      <c r="D74" s="12">
        <v>193577</v>
      </c>
      <c r="E74" s="12">
        <v>214255</v>
      </c>
      <c r="F74" s="12">
        <v>193725</v>
      </c>
      <c r="G74" s="12">
        <v>209292</v>
      </c>
      <c r="H74" s="12">
        <v>199479</v>
      </c>
      <c r="I74" s="12">
        <f>194806-60000</f>
        <v>134806</v>
      </c>
      <c r="J74" s="12">
        <v>0</v>
      </c>
      <c r="K74" s="12">
        <v>0</v>
      </c>
    </row>
    <row r="75" s="8" customFormat="1" ht="11.25"/>
    <row r="76" spans="1:11" s="12" customFormat="1" ht="22.5">
      <c r="A76" s="11" t="s">
        <v>65</v>
      </c>
      <c r="B76" s="12">
        <v>29229</v>
      </c>
      <c r="C76" s="12">
        <v>46715</v>
      </c>
      <c r="D76" s="12">
        <v>22249</v>
      </c>
      <c r="E76" s="12">
        <v>14195</v>
      </c>
      <c r="F76" s="12">
        <v>25651</v>
      </c>
      <c r="G76" s="12">
        <v>25562</v>
      </c>
      <c r="H76" s="12">
        <v>26534</v>
      </c>
      <c r="I76" s="12">
        <v>28990</v>
      </c>
      <c r="J76" s="12">
        <v>0</v>
      </c>
      <c r="K76" s="12">
        <v>0</v>
      </c>
    </row>
    <row r="77" s="8" customFormat="1" ht="11.25"/>
    <row r="78" spans="1:11" s="12" customFormat="1" ht="22.5">
      <c r="A78" s="11" t="s">
        <v>66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88076</v>
      </c>
      <c r="I78" s="12">
        <f>121439-90000</f>
        <v>31439</v>
      </c>
      <c r="J78" s="12">
        <v>0</v>
      </c>
      <c r="K78" s="12">
        <v>0</v>
      </c>
    </row>
    <row r="79" s="8" customFormat="1" ht="11.25"/>
    <row r="80" spans="1:11" s="14" customFormat="1" ht="21">
      <c r="A80" s="14" t="s">
        <v>24</v>
      </c>
      <c r="B80" s="14">
        <v>7901495</v>
      </c>
      <c r="C80" s="14">
        <v>7954651</v>
      </c>
      <c r="D80" s="14">
        <v>8279194</v>
      </c>
      <c r="E80" s="14">
        <v>8320093</v>
      </c>
      <c r="F80" s="14">
        <v>8551969</v>
      </c>
      <c r="G80" s="14">
        <v>8926400</v>
      </c>
      <c r="H80" s="14">
        <v>9354274</v>
      </c>
      <c r="I80" s="14">
        <v>9473952</v>
      </c>
      <c r="J80" s="14">
        <v>0</v>
      </c>
      <c r="K80" s="14">
        <v>0</v>
      </c>
    </row>
    <row r="81" s="29" customFormat="1" ht="11.25">
      <c r="A81" s="29" t="s">
        <v>35</v>
      </c>
    </row>
    <row r="82" spans="1:11" s="8" customFormat="1" ht="11.25">
      <c r="A82" s="30" t="s">
        <v>67</v>
      </c>
      <c r="B82" s="8">
        <v>7805208</v>
      </c>
      <c r="C82" s="8">
        <v>7870673</v>
      </c>
      <c r="D82" s="8">
        <v>8160958</v>
      </c>
      <c r="E82" s="8">
        <v>8201636</v>
      </c>
      <c r="F82" s="8">
        <v>8413237</v>
      </c>
      <c r="G82" s="8">
        <v>8771452</v>
      </c>
      <c r="H82" s="8">
        <v>9156775</v>
      </c>
      <c r="I82" s="8">
        <f>9434482-72-150000</f>
        <v>9284410</v>
      </c>
      <c r="J82" s="8">
        <v>0</v>
      </c>
      <c r="K82" s="8">
        <v>0</v>
      </c>
    </row>
    <row r="83" s="29" customFormat="1" ht="11.25">
      <c r="A83" s="31" t="s">
        <v>68</v>
      </c>
    </row>
    <row r="84" spans="1:7" s="8" customFormat="1" ht="11.25">
      <c r="A84" s="32" t="s">
        <v>69</v>
      </c>
      <c r="B84" s="12">
        <f>514470+330000</f>
        <v>844470</v>
      </c>
      <c r="C84" s="8">
        <v>1005682</v>
      </c>
      <c r="D84" s="8">
        <v>1041176</v>
      </c>
      <c r="E84" s="8">
        <v>1108780</v>
      </c>
      <c r="F84" s="8">
        <v>1278017</v>
      </c>
      <c r="G84" s="12">
        <f>1254254-8005</f>
        <v>1246249</v>
      </c>
    </row>
    <row r="85" spans="1:11" s="8" customFormat="1" ht="11.25">
      <c r="A85" s="32" t="s">
        <v>70</v>
      </c>
      <c r="B85" s="12">
        <f>1925440-330000</f>
        <v>1595440</v>
      </c>
      <c r="C85" s="8">
        <v>1491680</v>
      </c>
      <c r="D85" s="8">
        <v>1279410</v>
      </c>
      <c r="E85" s="8">
        <v>1545896</v>
      </c>
      <c r="F85" s="8">
        <v>1465095</v>
      </c>
      <c r="G85" s="8">
        <f>1640457-1448</f>
        <v>1639009</v>
      </c>
      <c r="H85" s="8">
        <f>1277196+248678</f>
        <v>1525874</v>
      </c>
      <c r="I85" s="8">
        <f>1388212-60072</f>
        <v>1328140</v>
      </c>
      <c r="J85" s="8">
        <v>0</v>
      </c>
      <c r="K85" s="8">
        <v>0</v>
      </c>
    </row>
    <row r="86" spans="1:11" s="8" customFormat="1" ht="33.75">
      <c r="A86" s="33" t="s">
        <v>71</v>
      </c>
      <c r="B86" s="8">
        <v>51188</v>
      </c>
      <c r="C86" s="8">
        <v>249825</v>
      </c>
      <c r="D86" s="8">
        <v>266909</v>
      </c>
      <c r="E86" s="8">
        <v>71349</v>
      </c>
      <c r="F86" s="8">
        <v>59747</v>
      </c>
      <c r="G86" s="8">
        <f>71933-3286</f>
        <v>68647</v>
      </c>
      <c r="H86" s="8">
        <v>126039</v>
      </c>
      <c r="I86" s="8">
        <v>116758</v>
      </c>
      <c r="J86" s="8">
        <v>0</v>
      </c>
      <c r="K86" s="8">
        <v>0</v>
      </c>
    </row>
    <row r="87" spans="1:11" s="8" customFormat="1" ht="22.5">
      <c r="A87" s="33" t="s">
        <v>72</v>
      </c>
      <c r="B87" s="8">
        <v>5520310</v>
      </c>
      <c r="C87" s="8">
        <v>5612543</v>
      </c>
      <c r="D87" s="8">
        <v>5994150</v>
      </c>
      <c r="E87" s="8">
        <v>5823613</v>
      </c>
      <c r="F87" s="8">
        <v>6059112</v>
      </c>
      <c r="G87" s="8">
        <f>6251999+7110</f>
        <v>6259109</v>
      </c>
      <c r="H87" s="8">
        <f>6670837-298000</f>
        <v>6372837</v>
      </c>
      <c r="I87" s="8">
        <v>6914363</v>
      </c>
      <c r="J87" s="8">
        <v>0</v>
      </c>
      <c r="K87" s="8">
        <v>0</v>
      </c>
    </row>
    <row r="88" spans="1:11" s="8" customFormat="1" ht="11.25">
      <c r="A88" s="30" t="s">
        <v>73</v>
      </c>
      <c r="B88" s="8">
        <v>82759</v>
      </c>
      <c r="C88" s="8">
        <v>67380</v>
      </c>
      <c r="D88" s="8">
        <v>88779</v>
      </c>
      <c r="E88" s="8">
        <v>110727</v>
      </c>
      <c r="F88" s="8">
        <v>140929</v>
      </c>
      <c r="G88" s="8">
        <f>170809-4109</f>
        <v>166700</v>
      </c>
      <c r="H88" s="8">
        <v>187547</v>
      </c>
      <c r="I88" s="8">
        <v>201636</v>
      </c>
      <c r="J88" s="8">
        <v>0</v>
      </c>
      <c r="K88" s="8">
        <v>0</v>
      </c>
    </row>
    <row r="89" s="8" customFormat="1" ht="11.25"/>
    <row r="90" spans="1:11" s="9" customFormat="1" ht="13.5">
      <c r="A90" s="42" t="s">
        <v>25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</row>
    <row r="91" s="8" customFormat="1" ht="11.25"/>
    <row r="92" spans="1:11" s="16" customFormat="1" ht="21">
      <c r="A92" s="27" t="s">
        <v>19</v>
      </c>
      <c r="B92" s="16">
        <v>40252</v>
      </c>
      <c r="C92" s="16">
        <v>674</v>
      </c>
      <c r="D92" s="16">
        <v>4140</v>
      </c>
      <c r="E92" s="16">
        <v>290750</v>
      </c>
      <c r="F92" s="16">
        <v>353241</v>
      </c>
      <c r="G92" s="16">
        <v>358393</v>
      </c>
      <c r="H92" s="16">
        <v>498254</v>
      </c>
      <c r="I92" s="16">
        <v>730000</v>
      </c>
      <c r="J92" s="16">
        <v>0</v>
      </c>
      <c r="K92" s="16">
        <v>0</v>
      </c>
    </row>
    <row r="93" s="8" customFormat="1" ht="11.25"/>
    <row r="94" s="29" customFormat="1" ht="11.25">
      <c r="A94" s="28" t="s">
        <v>35</v>
      </c>
    </row>
    <row r="95" s="29" customFormat="1" ht="11.25"/>
    <row r="96" spans="1:11" s="12" customFormat="1" ht="11.25">
      <c r="A96" s="11" t="s">
        <v>47</v>
      </c>
      <c r="B96" s="12">
        <v>40252</v>
      </c>
      <c r="C96" s="12">
        <v>674</v>
      </c>
      <c r="D96" s="12">
        <v>4140</v>
      </c>
      <c r="E96" s="12">
        <v>290750</v>
      </c>
      <c r="F96" s="12">
        <v>353241</v>
      </c>
      <c r="G96" s="12">
        <v>358393</v>
      </c>
      <c r="H96" s="12">
        <v>498254</v>
      </c>
      <c r="I96" s="12">
        <v>730000</v>
      </c>
      <c r="J96" s="12">
        <v>0</v>
      </c>
      <c r="K96" s="12">
        <v>0</v>
      </c>
    </row>
    <row r="97" s="8" customFormat="1" ht="11.25"/>
    <row r="98" s="8" customFormat="1" ht="11.25"/>
    <row r="99" spans="1:11" s="16" customFormat="1" ht="31.5">
      <c r="A99" s="27" t="s">
        <v>21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4109</v>
      </c>
      <c r="H99" s="16">
        <v>0</v>
      </c>
      <c r="I99" s="16">
        <v>0</v>
      </c>
      <c r="J99" s="16">
        <v>0</v>
      </c>
      <c r="K99" s="16">
        <v>0</v>
      </c>
    </row>
    <row r="100" s="8" customFormat="1" ht="11.25"/>
    <row r="101" s="29" customFormat="1" ht="11.25">
      <c r="A101" s="28" t="s">
        <v>35</v>
      </c>
    </row>
    <row r="102" s="29" customFormat="1" ht="11.25"/>
    <row r="103" spans="1:11" s="12" customFormat="1" ht="11.25">
      <c r="A103" s="11" t="s">
        <v>63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4109</v>
      </c>
      <c r="H103" s="12">
        <v>0</v>
      </c>
      <c r="I103" s="12">
        <v>0</v>
      </c>
      <c r="J103" s="12">
        <v>0</v>
      </c>
      <c r="K103" s="12">
        <v>0</v>
      </c>
    </row>
    <row r="104" s="8" customFormat="1" ht="11.25"/>
    <row r="105" spans="1:11" s="16" customFormat="1" ht="10.5">
      <c r="A105" s="27" t="s">
        <v>23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="8" customFormat="1" ht="11.25"/>
    <row r="107" s="29" customFormat="1" ht="11.25">
      <c r="A107" s="28" t="s">
        <v>35</v>
      </c>
    </row>
    <row r="108" s="29" customFormat="1" ht="11.25"/>
    <row r="109" spans="1:11" s="12" customFormat="1" ht="11.25">
      <c r="A109" s="11" t="s">
        <v>23</v>
      </c>
      <c r="B109" s="12">
        <v>0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</row>
    <row r="110" s="8" customFormat="1" ht="11.25"/>
    <row r="111" spans="1:11" s="14" customFormat="1" ht="21">
      <c r="A111" s="14" t="s">
        <v>26</v>
      </c>
      <c r="B111" s="14">
        <v>40252</v>
      </c>
      <c r="C111" s="14">
        <v>674</v>
      </c>
      <c r="D111" s="14">
        <v>4140</v>
      </c>
      <c r="E111" s="14">
        <v>290750</v>
      </c>
      <c r="F111" s="14">
        <v>353241</v>
      </c>
      <c r="G111" s="14">
        <v>362502</v>
      </c>
      <c r="H111" s="14">
        <v>498254</v>
      </c>
      <c r="I111" s="14">
        <v>730000</v>
      </c>
      <c r="J111" s="14">
        <v>0</v>
      </c>
      <c r="K111" s="14">
        <v>0</v>
      </c>
    </row>
    <row r="112" s="29" customFormat="1" ht="11.25">
      <c r="A112" s="29" t="s">
        <v>35</v>
      </c>
    </row>
    <row r="113" spans="1:11" s="8" customFormat="1" ht="11.25">
      <c r="A113" s="30" t="s">
        <v>67</v>
      </c>
      <c r="B113" s="8">
        <v>40252</v>
      </c>
      <c r="C113" s="8">
        <v>674</v>
      </c>
      <c r="D113" s="8">
        <v>4140</v>
      </c>
      <c r="E113" s="8">
        <v>290750</v>
      </c>
      <c r="F113" s="8">
        <v>353241</v>
      </c>
      <c r="G113" s="8">
        <v>358393</v>
      </c>
      <c r="H113" s="8">
        <v>498254</v>
      </c>
      <c r="I113" s="8">
        <v>730000</v>
      </c>
      <c r="J113" s="8">
        <v>0</v>
      </c>
      <c r="K113" s="8">
        <v>0</v>
      </c>
    </row>
    <row r="114" s="29" customFormat="1" ht="11.25">
      <c r="A114" s="31" t="s">
        <v>68</v>
      </c>
    </row>
    <row r="115" spans="1:11" s="8" customFormat="1" ht="11.25">
      <c r="A115" s="32" t="s">
        <v>69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</row>
    <row r="116" spans="1:11" s="8" customFormat="1" ht="11.25">
      <c r="A116" s="32" t="s">
        <v>70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</row>
    <row r="117" spans="1:11" s="8" customFormat="1" ht="33.75">
      <c r="A117" s="33" t="s">
        <v>71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</row>
    <row r="118" spans="1:11" s="8" customFormat="1" ht="22.5">
      <c r="A118" s="33" t="s">
        <v>72</v>
      </c>
      <c r="B118" s="8">
        <v>0</v>
      </c>
      <c r="C118" s="8">
        <v>0</v>
      </c>
      <c r="D118" s="8">
        <v>0</v>
      </c>
      <c r="E118" s="8">
        <v>290751</v>
      </c>
      <c r="F118" s="8">
        <v>352344</v>
      </c>
      <c r="G118" s="8">
        <v>358393</v>
      </c>
      <c r="H118" s="8">
        <v>500000</v>
      </c>
      <c r="I118" s="8">
        <v>730000</v>
      </c>
      <c r="J118" s="8">
        <v>0</v>
      </c>
      <c r="K118" s="8">
        <v>0</v>
      </c>
    </row>
    <row r="119" spans="1:11" s="8" customFormat="1" ht="11.25">
      <c r="A119" s="30" t="s">
        <v>73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</row>
    <row r="120" s="17" customFormat="1" ht="11.25"/>
    <row r="121" spans="1:11" s="20" customFormat="1" ht="11.25" thickBot="1">
      <c r="A121" s="20" t="s">
        <v>27</v>
      </c>
      <c r="B121" s="20">
        <f aca="true" t="shared" si="0" ref="B121:I121">SUM(B80,B111)</f>
        <v>7941747</v>
      </c>
      <c r="C121" s="20">
        <f t="shared" si="0"/>
        <v>7955325</v>
      </c>
      <c r="D121" s="20">
        <f t="shared" si="0"/>
        <v>8283334</v>
      </c>
      <c r="E121" s="20">
        <f t="shared" si="0"/>
        <v>8610843</v>
      </c>
      <c r="F121" s="20">
        <f t="shared" si="0"/>
        <v>8905210</v>
      </c>
      <c r="G121" s="20">
        <f t="shared" si="0"/>
        <v>9288902</v>
      </c>
      <c r="H121" s="20">
        <f t="shared" si="0"/>
        <v>9852528</v>
      </c>
      <c r="I121" s="20">
        <f t="shared" si="0"/>
        <v>10203952</v>
      </c>
      <c r="J121" s="20">
        <v>0</v>
      </c>
      <c r="K121" s="20">
        <v>0</v>
      </c>
    </row>
    <row r="122" spans="1:11" s="23" customFormat="1" ht="33.75" customHeight="1" thickTop="1">
      <c r="A122" s="39" t="s">
        <v>95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</row>
  </sheetData>
  <mergeCells count="5">
    <mergeCell ref="A122:K122"/>
    <mergeCell ref="A1:K1"/>
    <mergeCell ref="A3:K3"/>
    <mergeCell ref="A9:K9"/>
    <mergeCell ref="A90:K90"/>
  </mergeCells>
  <printOptions/>
  <pageMargins left="0.5118110236220472" right="0.5118110236220472" top="0.6692913385826772" bottom="0.6692913385826772" header="0.2755905511811024" footer="0.2755905511811024"/>
  <pageSetup horizontalDpi="600" verticalDpi="600" orientation="portrait" paperSize="9" r:id="rId1"/>
  <headerFooter alignWithMargins="0">
    <oddHeader>&amp;LDepartmental Annual Reporting 2009-10
11/03/2009  17:11&amp;RHome Office
HOF-Pauline1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202">
    <tabColor indexed="13"/>
  </sheetPr>
  <dimension ref="A1:K97"/>
  <sheetViews>
    <sheetView showGridLines="0" workbookViewId="0" topLeftCell="A1">
      <pane ySplit="7" topLeftCell="BM74" activePane="bottomLeft" state="frozen"/>
      <selection pane="topLeft" activeCell="A1" sqref="A1"/>
      <selection pane="bottomLeft" activeCell="F83" sqref="F83"/>
    </sheetView>
  </sheetViews>
  <sheetFormatPr defaultColWidth="8.66015625" defaultRowHeight="13.5"/>
  <cols>
    <col min="1" max="1" width="20.16015625" style="0" customWidth="1"/>
    <col min="11" max="11" width="0" style="0" hidden="1" customWidth="1"/>
  </cols>
  <sheetData>
    <row r="1" spans="1:11" s="2" customFormat="1" ht="17.25" thickTop="1">
      <c r="A1" s="46" t="s">
        <v>74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s="3" customFormat="1" ht="13.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="4" customFormat="1" ht="10.5"/>
    <row r="5" spans="2:11" s="5" customFormat="1" ht="10.5">
      <c r="B5" s="2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2:11" s="5" customFormat="1" ht="21">
      <c r="B6" s="5" t="s">
        <v>13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14</v>
      </c>
      <c r="H6" s="5" t="s">
        <v>15</v>
      </c>
      <c r="I6" s="5" t="s">
        <v>15</v>
      </c>
      <c r="J6" s="5" t="s">
        <v>15</v>
      </c>
      <c r="K6" s="5" t="s">
        <v>15</v>
      </c>
    </row>
    <row r="7" s="7" customFormat="1" ht="10.5"/>
    <row r="8" s="8" customFormat="1" ht="11.25"/>
    <row r="9" spans="1:11" s="9" customFormat="1" ht="13.5">
      <c r="A9" s="41" t="s">
        <v>29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0:11" s="8" customFormat="1" ht="11.25">
      <c r="J10" s="8">
        <f>SUM(J15:J24)</f>
        <v>0</v>
      </c>
      <c r="K10" s="8">
        <f>SUM(K15:K24)</f>
        <v>0</v>
      </c>
    </row>
    <row r="11" spans="1:11" s="16" customFormat="1" ht="31.5">
      <c r="A11" s="27" t="s">
        <v>18</v>
      </c>
      <c r="B11" s="16">
        <v>12137</v>
      </c>
      <c r="C11" s="16">
        <v>30971</v>
      </c>
      <c r="D11" s="16">
        <v>25036</v>
      </c>
      <c r="E11" s="16">
        <v>33879</v>
      </c>
      <c r="F11" s="16">
        <v>24421</v>
      </c>
      <c r="G11" s="16">
        <f>SUM(G15:G24)</f>
        <v>94878</v>
      </c>
      <c r="H11" s="16">
        <v>22000</v>
      </c>
      <c r="I11" s="16">
        <v>22500</v>
      </c>
      <c r="J11" s="16">
        <v>0</v>
      </c>
      <c r="K11" s="16">
        <v>0</v>
      </c>
    </row>
    <row r="12" s="8" customFormat="1" ht="11.25"/>
    <row r="13" s="29" customFormat="1" ht="11.25">
      <c r="A13" s="28" t="s">
        <v>35</v>
      </c>
    </row>
    <row r="14" s="29" customFormat="1" ht="11.25"/>
    <row r="15" spans="1:11" s="12" customFormat="1" ht="11.25">
      <c r="A15" s="11" t="s">
        <v>47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="8" customFormat="1" ht="11.25"/>
    <row r="17" spans="1:11" s="12" customFormat="1" ht="22.5">
      <c r="A17" s="11" t="s">
        <v>48</v>
      </c>
      <c r="B17" s="12">
        <v>6000</v>
      </c>
      <c r="C17" s="12">
        <v>26959</v>
      </c>
      <c r="D17" s="12">
        <v>24605</v>
      </c>
      <c r="E17" s="12">
        <v>31979</v>
      </c>
      <c r="F17" s="12">
        <v>24421</v>
      </c>
      <c r="G17" s="12">
        <f>94740-72000+72000</f>
        <v>94740</v>
      </c>
      <c r="H17" s="12">
        <v>22000</v>
      </c>
      <c r="I17" s="12">
        <v>22500</v>
      </c>
      <c r="J17" s="12">
        <v>0</v>
      </c>
      <c r="K17" s="12">
        <v>0</v>
      </c>
    </row>
    <row r="18" s="8" customFormat="1" ht="11.25"/>
    <row r="19" spans="1:11" s="12" customFormat="1" ht="11.25">
      <c r="A19" s="11" t="s">
        <v>49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="8" customFormat="1" ht="11.25"/>
    <row r="21" spans="1:11" s="12" customFormat="1" ht="22.5">
      <c r="A21" s="11" t="s">
        <v>51</v>
      </c>
      <c r="B21" s="12">
        <v>6137</v>
      </c>
      <c r="C21" s="12">
        <v>4012</v>
      </c>
      <c r="D21" s="12">
        <v>431</v>
      </c>
      <c r="E21" s="12">
        <v>1900</v>
      </c>
      <c r="F21" s="12">
        <v>0</v>
      </c>
      <c r="G21" s="12">
        <v>138</v>
      </c>
      <c r="H21" s="12">
        <v>0</v>
      </c>
      <c r="I21" s="12">
        <v>0</v>
      </c>
      <c r="J21" s="12">
        <v>0</v>
      </c>
      <c r="K21" s="12">
        <v>0</v>
      </c>
    </row>
    <row r="22" s="8" customFormat="1" ht="11.25"/>
    <row r="23" spans="1:11" s="12" customFormat="1" ht="22.5">
      <c r="A23" s="11" t="s">
        <v>52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="8" customFormat="1" ht="11.25"/>
    <row r="25" spans="1:11" s="16" customFormat="1" ht="21">
      <c r="A25" s="27" t="s">
        <v>19</v>
      </c>
      <c r="B25" s="16">
        <v>538331</v>
      </c>
      <c r="C25" s="16">
        <v>410923</v>
      </c>
      <c r="D25" s="16">
        <v>444438</v>
      </c>
      <c r="E25" s="16">
        <v>423008</v>
      </c>
      <c r="F25" s="16">
        <v>443656</v>
      </c>
      <c r="G25" s="16">
        <f>SUM(G28:G46)</f>
        <v>424710</v>
      </c>
      <c r="H25" s="16">
        <v>417047</v>
      </c>
      <c r="I25" s="16">
        <v>402400</v>
      </c>
      <c r="J25" s="16">
        <v>0</v>
      </c>
      <c r="K25" s="16">
        <v>0</v>
      </c>
    </row>
    <row r="26" s="8" customFormat="1" ht="11.25"/>
    <row r="27" s="29" customFormat="1" ht="11.25">
      <c r="A27" s="28" t="s">
        <v>35</v>
      </c>
    </row>
    <row r="28" s="29" customFormat="1" ht="11.25"/>
    <row r="29" spans="1:11" s="12" customFormat="1" ht="11.25">
      <c r="A29" s="11" t="s">
        <v>47</v>
      </c>
      <c r="B29" s="12">
        <v>386570</v>
      </c>
      <c r="C29" s="12">
        <v>307594</v>
      </c>
      <c r="D29" s="12">
        <v>342128</v>
      </c>
      <c r="E29" s="12">
        <v>173249</v>
      </c>
      <c r="F29" s="12">
        <v>256299</v>
      </c>
      <c r="G29" s="12">
        <f>170117+72000-72000</f>
        <v>170117</v>
      </c>
      <c r="H29" s="12">
        <v>228447</v>
      </c>
      <c r="I29" s="12">
        <v>259600</v>
      </c>
      <c r="J29" s="12">
        <v>0</v>
      </c>
      <c r="K29" s="12">
        <v>0</v>
      </c>
    </row>
    <row r="30" s="8" customFormat="1" ht="11.25"/>
    <row r="31" spans="1:11" s="12" customFormat="1" ht="22.5">
      <c r="A31" s="11" t="s">
        <v>53</v>
      </c>
      <c r="B31" s="12">
        <v>62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</row>
    <row r="32" s="8" customFormat="1" ht="11.25"/>
    <row r="33" spans="1:11" s="12" customFormat="1" ht="22.5">
      <c r="A33" s="11" t="s">
        <v>54</v>
      </c>
      <c r="B33" s="12">
        <v>10449</v>
      </c>
      <c r="C33" s="12">
        <v>3744</v>
      </c>
      <c r="D33" s="12">
        <v>540</v>
      </c>
      <c r="E33" s="12">
        <v>5</v>
      </c>
      <c r="F33" s="12">
        <v>1521</v>
      </c>
      <c r="G33" s="12">
        <v>930</v>
      </c>
      <c r="H33" s="12">
        <v>2000</v>
      </c>
      <c r="I33" s="12">
        <v>2100</v>
      </c>
      <c r="J33" s="12">
        <v>0</v>
      </c>
      <c r="K33" s="12">
        <v>0</v>
      </c>
    </row>
    <row r="34" s="8" customFormat="1" ht="11.25"/>
    <row r="35" spans="1:11" s="12" customFormat="1" ht="22.5">
      <c r="A35" s="11" t="s">
        <v>55</v>
      </c>
      <c r="B35" s="12">
        <v>14271</v>
      </c>
      <c r="C35" s="12">
        <v>15777</v>
      </c>
      <c r="D35" s="12">
        <v>6747</v>
      </c>
      <c r="E35" s="12">
        <v>132573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="8" customFormat="1" ht="11.25"/>
    <row r="37" spans="1:11" s="12" customFormat="1" ht="22.5">
      <c r="A37" s="11" t="s">
        <v>56</v>
      </c>
      <c r="B37" s="12">
        <v>90549</v>
      </c>
      <c r="C37" s="12">
        <v>62808</v>
      </c>
      <c r="D37" s="12">
        <v>83422</v>
      </c>
      <c r="E37" s="12">
        <v>2175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</row>
    <row r="38" s="8" customFormat="1" ht="11.25"/>
    <row r="39" spans="1:11" s="12" customFormat="1" ht="22.5">
      <c r="A39" s="11" t="s">
        <v>57</v>
      </c>
      <c r="B39" s="12">
        <v>13162</v>
      </c>
      <c r="C39" s="12">
        <v>4905</v>
      </c>
      <c r="D39" s="12">
        <v>2439</v>
      </c>
      <c r="E39" s="12">
        <v>73320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</row>
    <row r="40" s="8" customFormat="1" ht="11.25"/>
    <row r="41" spans="1:11" s="12" customFormat="1" ht="11.25">
      <c r="A41" s="11" t="s">
        <v>58</v>
      </c>
      <c r="B41" s="12">
        <v>15142</v>
      </c>
      <c r="C41" s="12">
        <v>8977</v>
      </c>
      <c r="D41" s="12">
        <v>6845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</row>
    <row r="42" s="8" customFormat="1" ht="11.25"/>
    <row r="43" spans="1:11" s="12" customFormat="1" ht="22.5">
      <c r="A43" s="11" t="s">
        <v>59</v>
      </c>
      <c r="B43" s="12">
        <v>0</v>
      </c>
      <c r="C43" s="12">
        <v>0</v>
      </c>
      <c r="D43" s="12">
        <v>0</v>
      </c>
      <c r="E43" s="12">
        <v>0</v>
      </c>
      <c r="F43" s="12">
        <v>140650</v>
      </c>
      <c r="G43" s="12">
        <v>206016</v>
      </c>
      <c r="H43" s="12">
        <v>135000</v>
      </c>
      <c r="I43" s="12">
        <v>109000</v>
      </c>
      <c r="J43" s="12">
        <v>0</v>
      </c>
      <c r="K43" s="12">
        <v>0</v>
      </c>
    </row>
    <row r="44" s="8" customFormat="1" ht="11.25"/>
    <row r="45" spans="1:11" s="12" customFormat="1" ht="22.5">
      <c r="A45" s="11" t="s">
        <v>60</v>
      </c>
      <c r="B45" s="12">
        <v>8126</v>
      </c>
      <c r="C45" s="12">
        <v>7118</v>
      </c>
      <c r="D45" s="12">
        <v>2317</v>
      </c>
      <c r="E45" s="12">
        <v>41686</v>
      </c>
      <c r="F45" s="12">
        <v>45186</v>
      </c>
      <c r="G45" s="12">
        <v>47647</v>
      </c>
      <c r="H45" s="12">
        <v>51600</v>
      </c>
      <c r="I45" s="12">
        <v>31700</v>
      </c>
      <c r="J45" s="12">
        <v>0</v>
      </c>
      <c r="K45" s="12">
        <v>0</v>
      </c>
    </row>
    <row r="46" s="8" customFormat="1" ht="11.25"/>
    <row r="47" spans="1:11" s="16" customFormat="1" ht="21">
      <c r="A47" s="27" t="s">
        <v>20</v>
      </c>
      <c r="B47" s="16">
        <v>3822</v>
      </c>
      <c r="C47" s="16">
        <v>35215</v>
      </c>
      <c r="D47" s="16">
        <v>90540</v>
      </c>
      <c r="E47" s="16">
        <v>30994</v>
      </c>
      <c r="F47" s="16">
        <v>134769</v>
      </c>
      <c r="G47" s="16">
        <f>SUM(G51)</f>
        <v>102346</v>
      </c>
      <c r="H47" s="16">
        <v>119868</v>
      </c>
      <c r="I47" s="16">
        <v>135500</v>
      </c>
      <c r="J47" s="16">
        <v>0</v>
      </c>
      <c r="K47" s="16">
        <v>0</v>
      </c>
    </row>
    <row r="48" s="8" customFormat="1" ht="11.25"/>
    <row r="49" s="29" customFormat="1" ht="11.25">
      <c r="A49" s="28" t="s">
        <v>35</v>
      </c>
    </row>
    <row r="50" s="29" customFormat="1" ht="11.25"/>
    <row r="51" spans="1:11" s="12" customFormat="1" ht="22.5">
      <c r="A51" s="11" t="s">
        <v>61</v>
      </c>
      <c r="B51" s="12">
        <v>3822</v>
      </c>
      <c r="C51" s="12">
        <v>35215</v>
      </c>
      <c r="D51" s="12">
        <v>90540</v>
      </c>
      <c r="E51" s="12">
        <v>30994</v>
      </c>
      <c r="F51" s="12">
        <v>134769</v>
      </c>
      <c r="G51" s="12">
        <v>102346</v>
      </c>
      <c r="H51" s="12">
        <v>119868</v>
      </c>
      <c r="I51" s="12">
        <v>135500</v>
      </c>
      <c r="J51" s="12">
        <v>0</v>
      </c>
      <c r="K51" s="12">
        <v>0</v>
      </c>
    </row>
    <row r="52" s="8" customFormat="1" ht="11.25"/>
    <row r="53" spans="1:11" s="16" customFormat="1" ht="31.5">
      <c r="A53" s="27" t="s">
        <v>21</v>
      </c>
      <c r="B53" s="16">
        <v>111571</v>
      </c>
      <c r="C53" s="16">
        <v>74789</v>
      </c>
      <c r="D53" s="16">
        <v>19360</v>
      </c>
      <c r="E53" s="16">
        <v>43559</v>
      </c>
      <c r="F53" s="16">
        <v>102404</v>
      </c>
      <c r="G53" s="16">
        <f>SUM(G56:G60)</f>
        <v>205971</v>
      </c>
      <c r="H53" s="16">
        <v>152414</v>
      </c>
      <c r="I53" s="16">
        <v>96000</v>
      </c>
      <c r="J53" s="16">
        <v>0</v>
      </c>
      <c r="K53" s="16">
        <v>0</v>
      </c>
    </row>
    <row r="54" s="8" customFormat="1" ht="11.25"/>
    <row r="55" s="29" customFormat="1" ht="11.25">
      <c r="A55" s="28" t="s">
        <v>35</v>
      </c>
    </row>
    <row r="56" s="29" customFormat="1" ht="11.25"/>
    <row r="57" spans="1:11" s="12" customFormat="1" ht="33.75">
      <c r="A57" s="11" t="s">
        <v>62</v>
      </c>
      <c r="B57" s="12">
        <v>369</v>
      </c>
      <c r="C57" s="12">
        <v>56</v>
      </c>
      <c r="D57" s="12">
        <v>0</v>
      </c>
      <c r="E57" s="12">
        <v>35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</row>
    <row r="58" s="8" customFormat="1" ht="11.25"/>
    <row r="59" spans="1:11" s="12" customFormat="1" ht="11.25">
      <c r="A59" s="11" t="s">
        <v>63</v>
      </c>
      <c r="B59" s="12">
        <v>111202</v>
      </c>
      <c r="C59" s="12">
        <v>74733</v>
      </c>
      <c r="D59" s="12">
        <v>19360</v>
      </c>
      <c r="E59" s="12">
        <v>43524</v>
      </c>
      <c r="F59" s="12">
        <v>102404</v>
      </c>
      <c r="G59" s="12">
        <v>205971</v>
      </c>
      <c r="H59" s="12">
        <v>152414</v>
      </c>
      <c r="I59" s="12">
        <v>96000</v>
      </c>
      <c r="J59" s="12">
        <v>0</v>
      </c>
      <c r="K59" s="12">
        <v>0</v>
      </c>
    </row>
    <row r="60" s="8" customFormat="1" ht="11.25"/>
    <row r="61" spans="1:11" s="16" customFormat="1" ht="31.5">
      <c r="A61" s="27" t="s">
        <v>22</v>
      </c>
      <c r="B61" s="16">
        <v>11014</v>
      </c>
      <c r="C61" s="16">
        <v>31951</v>
      </c>
      <c r="D61" s="16">
        <v>50770</v>
      </c>
      <c r="E61" s="16">
        <v>57153</v>
      </c>
      <c r="F61" s="16">
        <f>28161-53</f>
        <v>28108</v>
      </c>
      <c r="G61" s="16">
        <v>29122</v>
      </c>
      <c r="H61" s="16">
        <v>93671</v>
      </c>
      <c r="I61" s="16">
        <v>67000</v>
      </c>
      <c r="J61" s="16">
        <v>0</v>
      </c>
      <c r="K61" s="16">
        <v>0</v>
      </c>
    </row>
    <row r="62" s="8" customFormat="1" ht="11.25"/>
    <row r="63" s="29" customFormat="1" ht="11.25">
      <c r="A63" s="28" t="s">
        <v>35</v>
      </c>
    </row>
    <row r="64" s="29" customFormat="1" ht="11.25"/>
    <row r="65" spans="1:11" s="12" customFormat="1" ht="22.5">
      <c r="A65" s="11" t="s">
        <v>64</v>
      </c>
      <c r="B65" s="12">
        <v>11014</v>
      </c>
      <c r="C65" s="12">
        <v>31951</v>
      </c>
      <c r="D65" s="12">
        <v>50770</v>
      </c>
      <c r="E65" s="12">
        <v>57153</v>
      </c>
      <c r="F65" s="12">
        <f>28161-53</f>
        <v>28108</v>
      </c>
      <c r="G65" s="12">
        <v>29122</v>
      </c>
      <c r="H65" s="12">
        <v>93671</v>
      </c>
      <c r="I65" s="12">
        <v>67000</v>
      </c>
      <c r="J65" s="12">
        <v>0</v>
      </c>
      <c r="K65" s="12">
        <v>0</v>
      </c>
    </row>
    <row r="66" s="8" customFormat="1" ht="11.25"/>
    <row r="67" spans="1:11" s="16" customFormat="1" ht="10.5">
      <c r="A67" s="27" t="s">
        <v>23</v>
      </c>
      <c r="B67" s="16">
        <v>1849</v>
      </c>
      <c r="C67" s="16">
        <v>2385</v>
      </c>
      <c r="D67" s="16">
        <v>-4590</v>
      </c>
      <c r="E67" s="16">
        <v>3650</v>
      </c>
      <c r="F67" s="16">
        <v>2688</v>
      </c>
      <c r="G67" s="16">
        <f>SUM(G71:G75)</f>
        <v>5212</v>
      </c>
      <c r="H67" s="16">
        <v>5000</v>
      </c>
      <c r="I67" s="16">
        <v>109600</v>
      </c>
      <c r="J67" s="16">
        <v>0</v>
      </c>
      <c r="K67" s="16">
        <v>0</v>
      </c>
    </row>
    <row r="68" s="8" customFormat="1" ht="11.25"/>
    <row r="69" s="29" customFormat="1" ht="11.25">
      <c r="A69" s="28" t="s">
        <v>35</v>
      </c>
    </row>
    <row r="70" s="29" customFormat="1" ht="11.25"/>
    <row r="71" spans="1:11" s="12" customFormat="1" ht="11.25">
      <c r="A71" s="11" t="s">
        <v>23</v>
      </c>
      <c r="B71" s="12">
        <v>1849</v>
      </c>
      <c r="C71" s="12">
        <v>24</v>
      </c>
      <c r="D71" s="12">
        <v>-4590</v>
      </c>
      <c r="E71" s="12">
        <v>2392</v>
      </c>
      <c r="F71" s="12">
        <v>426</v>
      </c>
      <c r="G71" s="12">
        <v>2112</v>
      </c>
      <c r="H71" s="12">
        <v>2720</v>
      </c>
      <c r="I71" s="12">
        <v>1000</v>
      </c>
      <c r="J71" s="12">
        <v>0</v>
      </c>
      <c r="K71" s="12">
        <v>0</v>
      </c>
    </row>
    <row r="72" s="8" customFormat="1" ht="11.25"/>
    <row r="73" spans="1:11" s="12" customFormat="1" ht="22.5">
      <c r="A73" s="11" t="s">
        <v>65</v>
      </c>
      <c r="B73" s="12">
        <v>0</v>
      </c>
      <c r="C73" s="12">
        <v>2361</v>
      </c>
      <c r="D73" s="12">
        <v>0</v>
      </c>
      <c r="E73" s="12">
        <v>1258</v>
      </c>
      <c r="F73" s="12">
        <v>2262</v>
      </c>
      <c r="G73" s="12">
        <v>3100</v>
      </c>
      <c r="H73" s="12">
        <v>2280</v>
      </c>
      <c r="I73" s="12">
        <v>2000</v>
      </c>
      <c r="J73" s="12">
        <v>0</v>
      </c>
      <c r="K73" s="12">
        <v>0</v>
      </c>
    </row>
    <row r="74" s="8" customFormat="1" ht="11.25"/>
    <row r="75" spans="1:11" s="12" customFormat="1" ht="22.5">
      <c r="A75" s="11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106600</v>
      </c>
      <c r="J75" s="12">
        <v>0</v>
      </c>
      <c r="K75" s="12">
        <v>0</v>
      </c>
    </row>
    <row r="76" s="8" customFormat="1" ht="11.25"/>
    <row r="77" spans="1:11" s="14" customFormat="1" ht="10.5">
      <c r="A77" s="14" t="s">
        <v>30</v>
      </c>
      <c r="B77" s="14">
        <v>678724</v>
      </c>
      <c r="C77" s="14">
        <v>586234</v>
      </c>
      <c r="D77" s="14">
        <v>625554</v>
      </c>
      <c r="E77" s="14">
        <v>592243</v>
      </c>
      <c r="F77" s="14">
        <f>736099-53</f>
        <v>736046</v>
      </c>
      <c r="G77" s="14">
        <v>862239</v>
      </c>
      <c r="H77" s="14">
        <v>810000</v>
      </c>
      <c r="I77" s="14">
        <v>833000</v>
      </c>
      <c r="J77" s="14">
        <v>0</v>
      </c>
      <c r="K77" s="14">
        <v>0</v>
      </c>
    </row>
    <row r="78" s="29" customFormat="1" ht="11.25">
      <c r="A78" s="29" t="s">
        <v>35</v>
      </c>
    </row>
    <row r="79" spans="1:11" s="8" customFormat="1" ht="22.5">
      <c r="A79" s="22" t="s">
        <v>75</v>
      </c>
      <c r="B79" s="8">
        <v>280492</v>
      </c>
      <c r="C79" s="8">
        <v>164468</v>
      </c>
      <c r="D79" s="8">
        <v>144576</v>
      </c>
      <c r="E79" s="8">
        <v>389422</v>
      </c>
      <c r="F79" s="8">
        <f>370028-53</f>
        <v>369975</v>
      </c>
      <c r="G79" s="8">
        <f>577113+1619</f>
        <v>578732</v>
      </c>
      <c r="H79" s="8">
        <v>468185</v>
      </c>
      <c r="I79" s="8">
        <v>339816</v>
      </c>
      <c r="J79" s="8">
        <v>0</v>
      </c>
      <c r="K79" s="8">
        <v>0</v>
      </c>
    </row>
    <row r="80" spans="1:11" s="8" customFormat="1" ht="22.5">
      <c r="A80" s="22" t="s">
        <v>76</v>
      </c>
      <c r="B80" s="8">
        <v>10634</v>
      </c>
      <c r="C80" s="8">
        <v>4</v>
      </c>
      <c r="D80" s="8">
        <v>0</v>
      </c>
      <c r="E80" s="8">
        <v>24347</v>
      </c>
      <c r="F80" s="8">
        <v>20792</v>
      </c>
      <c r="G80" s="8">
        <f>34942-5304</f>
        <v>29638</v>
      </c>
      <c r="H80" s="8">
        <v>43200</v>
      </c>
      <c r="I80" s="8">
        <v>27319</v>
      </c>
      <c r="J80" s="8">
        <v>0</v>
      </c>
      <c r="K80" s="8">
        <v>0</v>
      </c>
    </row>
    <row r="81" spans="1:11" s="8" customFormat="1" ht="22.5">
      <c r="A81" s="11" t="s">
        <v>77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1:11" s="8" customFormat="1" ht="22.5">
      <c r="A82" s="11" t="s">
        <v>78</v>
      </c>
      <c r="B82" s="8">
        <v>-219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8000</v>
      </c>
      <c r="I82" s="8">
        <v>0</v>
      </c>
      <c r="J82" s="8">
        <v>0</v>
      </c>
      <c r="K82" s="8">
        <v>0</v>
      </c>
    </row>
    <row r="83" spans="1:11" s="8" customFormat="1" ht="22.5">
      <c r="A83" s="11" t="s">
        <v>79</v>
      </c>
      <c r="B83" s="8">
        <v>387817</v>
      </c>
      <c r="C83" s="8">
        <v>358954</v>
      </c>
      <c r="D83" s="38">
        <v>400496</v>
      </c>
      <c r="E83" s="38">
        <v>178339</v>
      </c>
      <c r="F83" s="8">
        <f>345279-18928</f>
        <v>326351</v>
      </c>
      <c r="G83" s="8">
        <f>263027-9158</f>
        <v>253869</v>
      </c>
      <c r="H83" s="8">
        <v>292415</v>
      </c>
      <c r="I83" s="8">
        <v>354387</v>
      </c>
      <c r="J83" s="8">
        <v>0</v>
      </c>
      <c r="K83" s="8">
        <v>0</v>
      </c>
    </row>
    <row r="84" s="8" customFormat="1" ht="11.25"/>
    <row r="85" spans="1:11" s="9" customFormat="1" ht="13.5">
      <c r="A85" s="41" t="s">
        <v>31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="8" customFormat="1" ht="11.25"/>
    <row r="87" spans="1:11" s="14" customFormat="1" ht="10.5">
      <c r="A87" s="14" t="s">
        <v>32</v>
      </c>
      <c r="B87" s="14">
        <v>0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</row>
    <row r="88" s="17" customFormat="1" ht="11.25"/>
    <row r="89" spans="1:11" s="20" customFormat="1" ht="11.25" thickBot="1">
      <c r="A89" s="20" t="s">
        <v>33</v>
      </c>
      <c r="B89" s="20">
        <v>678724</v>
      </c>
      <c r="C89" s="20">
        <v>586234</v>
      </c>
      <c r="D89" s="20">
        <v>625554</v>
      </c>
      <c r="E89" s="20">
        <v>592243</v>
      </c>
      <c r="F89" s="20">
        <v>736046</v>
      </c>
      <c r="G89" s="20">
        <v>862239</v>
      </c>
      <c r="H89" s="20">
        <v>810000</v>
      </c>
      <c r="I89" s="20">
        <v>833000</v>
      </c>
      <c r="J89" s="20">
        <v>0</v>
      </c>
      <c r="K89" s="20">
        <v>0</v>
      </c>
    </row>
    <row r="90" s="21" customFormat="1" ht="12" thickTop="1">
      <c r="A90" s="21" t="s">
        <v>80</v>
      </c>
    </row>
    <row r="91" spans="1:11" s="17" customFormat="1" ht="22.5">
      <c r="A91" s="22" t="s">
        <v>75</v>
      </c>
      <c r="B91" s="17">
        <v>280492</v>
      </c>
      <c r="C91" s="17">
        <v>164468</v>
      </c>
      <c r="D91" s="17">
        <v>144576</v>
      </c>
      <c r="E91" s="17">
        <v>389422</v>
      </c>
      <c r="F91" s="17">
        <f>370028-53</f>
        <v>369975</v>
      </c>
      <c r="G91" s="17">
        <f>577113+1619</f>
        <v>578732</v>
      </c>
      <c r="H91" s="17">
        <v>468185</v>
      </c>
      <c r="I91" s="17">
        <v>339816</v>
      </c>
      <c r="J91" s="17">
        <v>0</v>
      </c>
      <c r="K91" s="17">
        <v>0</v>
      </c>
    </row>
    <row r="92" spans="1:11" s="17" customFormat="1" ht="11.25">
      <c r="A92" s="22" t="s">
        <v>81</v>
      </c>
      <c r="B92" s="17">
        <v>82759</v>
      </c>
      <c r="C92" s="17">
        <v>67380</v>
      </c>
      <c r="D92" s="17">
        <v>88779</v>
      </c>
      <c r="E92" s="17">
        <v>110727</v>
      </c>
      <c r="F92" s="17">
        <v>140929</v>
      </c>
      <c r="G92" s="17">
        <f>134329+36480</f>
        <v>170809</v>
      </c>
      <c r="H92" s="17">
        <v>187547</v>
      </c>
      <c r="I92" s="17">
        <v>201636</v>
      </c>
      <c r="J92" s="17">
        <v>0</v>
      </c>
      <c r="K92" s="17">
        <v>0</v>
      </c>
    </row>
    <row r="93" spans="1:11" s="17" customFormat="1" ht="22.5">
      <c r="A93" s="25" t="s">
        <v>82</v>
      </c>
      <c r="B93" s="17">
        <v>197733</v>
      </c>
      <c r="C93" s="17">
        <v>97088</v>
      </c>
      <c r="D93" s="17">
        <v>55797</v>
      </c>
      <c r="E93" s="17">
        <v>278695</v>
      </c>
      <c r="F93" s="17">
        <f>229099-53</f>
        <v>229046</v>
      </c>
      <c r="G93" s="17">
        <f>442784-34861</f>
        <v>407923</v>
      </c>
      <c r="H93" s="17">
        <v>280638</v>
      </c>
      <c r="I93" s="17">
        <v>138180</v>
      </c>
      <c r="J93" s="17">
        <v>0</v>
      </c>
      <c r="K93" s="17">
        <v>0</v>
      </c>
    </row>
    <row r="95" spans="1:11" s="23" customFormat="1" ht="27" customHeight="1">
      <c r="A95" s="40" t="s">
        <v>83</v>
      </c>
      <c r="B95" s="40"/>
      <c r="C95" s="40"/>
      <c r="D95" s="40"/>
      <c r="E95" s="40"/>
      <c r="F95" s="40"/>
      <c r="G95" s="40"/>
      <c r="H95" s="40"/>
      <c r="I95" s="40"/>
      <c r="J95" s="40"/>
      <c r="K95" s="40"/>
    </row>
    <row r="96" spans="1:11" s="23" customFormat="1" ht="11.25">
      <c r="A96" s="51" t="s">
        <v>84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1:11" s="23" customFormat="1" ht="11.25">
      <c r="A97" s="51" t="s">
        <v>85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</row>
  </sheetData>
  <mergeCells count="7">
    <mergeCell ref="A1:K1"/>
    <mergeCell ref="A3:K3"/>
    <mergeCell ref="A95:K95"/>
    <mergeCell ref="A97:K97"/>
    <mergeCell ref="A9:K9"/>
    <mergeCell ref="A85:K85"/>
    <mergeCell ref="A96:K96"/>
  </mergeCells>
  <printOptions/>
  <pageMargins left="0.5118110236220472" right="0.5118110236220472" top="0.6692913385826772" bottom="0.6692913385826772" header="0.2755905511811024" footer="0.2755905511811024"/>
  <pageSetup horizontalDpi="600" verticalDpi="600" orientation="portrait" paperSize="9" r:id="rId1"/>
  <headerFooter alignWithMargins="0">
    <oddHeader>&amp;LDepartmental Annual Reporting 2009-10
11/03/2009  17:12&amp;RHome Office
HOF-Pauline1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0203">
    <tabColor indexed="10"/>
  </sheetPr>
  <dimension ref="A1:K30"/>
  <sheetViews>
    <sheetView showGridLines="0" workbookViewId="0" topLeftCell="A1">
      <selection activeCell="I30" sqref="I30"/>
    </sheetView>
  </sheetViews>
  <sheetFormatPr defaultColWidth="8.66015625" defaultRowHeight="13.5"/>
  <cols>
    <col min="1" max="1" width="20.16015625" style="0" customWidth="1"/>
    <col min="2" max="5" width="9.83203125" style="0" bestFit="1" customWidth="1"/>
    <col min="6" max="6" width="9.66015625" style="0" bestFit="1" customWidth="1"/>
    <col min="7" max="7" width="11.66015625" style="0" customWidth="1"/>
    <col min="8" max="9" width="9.83203125" style="0" bestFit="1" customWidth="1"/>
    <col min="10" max="10" width="9" style="0" bestFit="1" customWidth="1"/>
    <col min="11" max="11" width="0" style="0" hidden="1" customWidth="1"/>
  </cols>
  <sheetData>
    <row r="1" spans="1:11" s="2" customFormat="1" ht="17.25" thickTop="1">
      <c r="A1" s="46" t="s">
        <v>86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3" spans="1:11" s="3" customFormat="1" ht="13.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="4" customFormat="1" ht="10.5"/>
    <row r="5" spans="2:11" s="5" customFormat="1" ht="10.5">
      <c r="B5" s="2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2:11" s="5" customFormat="1" ht="21">
      <c r="B6" s="5" t="s">
        <v>13</v>
      </c>
      <c r="C6" s="5" t="s">
        <v>13</v>
      </c>
      <c r="D6" s="5" t="s">
        <v>13</v>
      </c>
      <c r="E6" s="5" t="s">
        <v>13</v>
      </c>
      <c r="F6" s="5" t="s">
        <v>13</v>
      </c>
      <c r="G6" s="5" t="s">
        <v>14</v>
      </c>
      <c r="H6" s="5" t="s">
        <v>15</v>
      </c>
      <c r="I6" s="5" t="s">
        <v>15</v>
      </c>
      <c r="J6" s="5" t="s">
        <v>15</v>
      </c>
      <c r="K6" s="5" t="s">
        <v>15</v>
      </c>
    </row>
    <row r="7" s="7" customFormat="1" ht="10.5"/>
    <row r="8" ht="11.25" customHeight="1"/>
    <row r="9" s="24" customFormat="1" ht="21">
      <c r="A9" s="24" t="s">
        <v>87</v>
      </c>
    </row>
    <row r="10" spans="1:7" s="17" customFormat="1" ht="11.25">
      <c r="A10" s="17" t="s">
        <v>88</v>
      </c>
      <c r="B10" s="17">
        <v>265009</v>
      </c>
      <c r="C10" s="17">
        <v>348432</v>
      </c>
      <c r="D10" s="17">
        <v>355226</v>
      </c>
      <c r="E10" s="17">
        <v>270915</v>
      </c>
      <c r="F10" s="17">
        <v>221629</v>
      </c>
      <c r="G10" s="17">
        <v>188595</v>
      </c>
    </row>
    <row r="11" spans="1:7" s="17" customFormat="1" ht="11.25">
      <c r="A11" s="17" t="s">
        <v>89</v>
      </c>
      <c r="B11" s="17">
        <v>457832</v>
      </c>
      <c r="C11" s="17">
        <v>417189</v>
      </c>
      <c r="D11" s="17">
        <v>526520</v>
      </c>
      <c r="E11" s="17">
        <v>501501</v>
      </c>
      <c r="F11" s="17">
        <v>244002</v>
      </c>
      <c r="G11" s="17">
        <v>324754</v>
      </c>
    </row>
    <row r="12" spans="1:11" s="24" customFormat="1" ht="21">
      <c r="A12" s="24" t="s">
        <v>90</v>
      </c>
      <c r="B12" s="24">
        <v>722841</v>
      </c>
      <c r="C12" s="24">
        <v>765621</v>
      </c>
      <c r="D12" s="24">
        <v>881746</v>
      </c>
      <c r="E12" s="24">
        <v>772416</v>
      </c>
      <c r="F12" s="24">
        <v>465631</v>
      </c>
      <c r="G12" s="24">
        <f>SUM(G10:G11)</f>
        <v>513349</v>
      </c>
      <c r="H12" s="24">
        <f>524047-72</f>
        <v>523975</v>
      </c>
      <c r="I12" s="24">
        <f>498692-60072</f>
        <v>438620</v>
      </c>
      <c r="J12" s="24">
        <v>0</v>
      </c>
      <c r="K12" s="24">
        <v>0</v>
      </c>
    </row>
    <row r="13" spans="1:11" s="17" customFormat="1" ht="11.25">
      <c r="A13" s="17" t="s">
        <v>91</v>
      </c>
      <c r="B13" s="17">
        <v>-234635</v>
      </c>
      <c r="C13" s="17">
        <v>-311123</v>
      </c>
      <c r="D13" s="17">
        <v>-441497</v>
      </c>
      <c r="E13" s="17">
        <v>-376747</v>
      </c>
      <c r="F13" s="17">
        <v>-117467</v>
      </c>
      <c r="G13" s="17">
        <v>-144865</v>
      </c>
      <c r="H13" s="17">
        <v>-119824</v>
      </c>
      <c r="I13" s="17">
        <v>-99986</v>
      </c>
      <c r="J13" s="17">
        <v>0</v>
      </c>
      <c r="K13" s="17">
        <v>0</v>
      </c>
    </row>
    <row r="14" spans="1:11" s="14" customFormat="1" ht="21">
      <c r="A14" s="14" t="s">
        <v>92</v>
      </c>
      <c r="B14" s="14">
        <v>488206</v>
      </c>
      <c r="C14" s="14">
        <v>454498</v>
      </c>
      <c r="D14" s="14">
        <v>440249</v>
      </c>
      <c r="E14" s="14">
        <v>395669</v>
      </c>
      <c r="F14" s="14">
        <v>348164</v>
      </c>
      <c r="G14" s="14">
        <f>SUM(G12:G13)</f>
        <v>368484</v>
      </c>
      <c r="H14" s="14">
        <f>404223-72</f>
        <v>404151</v>
      </c>
      <c r="I14" s="14">
        <f>398706-60072</f>
        <v>338634</v>
      </c>
      <c r="J14" s="14">
        <v>0</v>
      </c>
      <c r="K14" s="14">
        <v>0</v>
      </c>
    </row>
    <row r="15" ht="11.25" customHeight="1"/>
    <row r="16" s="24" customFormat="1" ht="10.5">
      <c r="A16" s="24" t="s">
        <v>93</v>
      </c>
    </row>
    <row r="17" s="17" customFormat="1" ht="11.25" customHeight="1"/>
    <row r="18" spans="1:11" s="35" customFormat="1" ht="33.75">
      <c r="A18" s="34" t="s">
        <v>18</v>
      </c>
      <c r="B18" s="35">
        <v>23285</v>
      </c>
      <c r="C18" s="35">
        <v>17881</v>
      </c>
      <c r="D18" s="35">
        <v>6340</v>
      </c>
      <c r="E18" s="35">
        <v>10168</v>
      </c>
      <c r="F18" s="35">
        <v>31744</v>
      </c>
      <c r="G18" s="35">
        <f>30913+1000</f>
        <v>31913</v>
      </c>
      <c r="H18" s="35">
        <v>30835</v>
      </c>
      <c r="I18" s="35">
        <v>31944</v>
      </c>
      <c r="J18" s="35">
        <v>0</v>
      </c>
      <c r="K18" s="35">
        <v>0</v>
      </c>
    </row>
    <row r="19" s="17" customFormat="1" ht="11.25" customHeight="1"/>
    <row r="20" spans="1:11" s="35" customFormat="1" ht="22.5">
      <c r="A20" s="34" t="s">
        <v>19</v>
      </c>
      <c r="B20" s="35">
        <v>65854</v>
      </c>
      <c r="C20" s="35">
        <v>27834</v>
      </c>
      <c r="D20" s="35">
        <v>35857</v>
      </c>
      <c r="E20" s="35">
        <v>31671</v>
      </c>
      <c r="F20" s="35">
        <v>22890</v>
      </c>
      <c r="G20" s="35">
        <v>14584</v>
      </c>
      <c r="H20" s="35">
        <v>22360</v>
      </c>
      <c r="I20" s="35">
        <v>18394</v>
      </c>
      <c r="J20" s="35">
        <v>0</v>
      </c>
      <c r="K20" s="35">
        <v>0</v>
      </c>
    </row>
    <row r="21" s="17" customFormat="1" ht="11.25" customHeight="1"/>
    <row r="22" spans="1:11" s="35" customFormat="1" ht="22.5">
      <c r="A22" s="34" t="s">
        <v>20</v>
      </c>
      <c r="B22" s="35">
        <v>108355</v>
      </c>
      <c r="C22" s="35">
        <v>102194</v>
      </c>
      <c r="D22" s="35">
        <v>96733</v>
      </c>
      <c r="E22" s="35">
        <v>20414</v>
      </c>
      <c r="F22" s="35">
        <v>11941</v>
      </c>
      <c r="G22" s="35">
        <v>25462</v>
      </c>
      <c r="H22" s="35">
        <v>25674</v>
      </c>
      <c r="I22" s="35">
        <v>19820</v>
      </c>
      <c r="J22" s="35">
        <v>0</v>
      </c>
      <c r="K22" s="35">
        <v>0</v>
      </c>
    </row>
    <row r="23" s="17" customFormat="1" ht="11.25" customHeight="1"/>
    <row r="24" spans="1:11" s="35" customFormat="1" ht="33.75">
      <c r="A24" s="34" t="s">
        <v>21</v>
      </c>
      <c r="B24" s="35">
        <v>129892</v>
      </c>
      <c r="C24" s="35">
        <v>123508</v>
      </c>
      <c r="D24" s="35">
        <v>144515</v>
      </c>
      <c r="E24" s="35">
        <v>126037</v>
      </c>
      <c r="F24" s="35">
        <v>104098</v>
      </c>
      <c r="G24" s="35">
        <v>105492</v>
      </c>
      <c r="H24" s="35">
        <v>106760</v>
      </c>
      <c r="I24" s="35">
        <v>105699</v>
      </c>
      <c r="J24" s="35">
        <v>0</v>
      </c>
      <c r="K24" s="35">
        <v>0</v>
      </c>
    </row>
    <row r="25" s="17" customFormat="1" ht="11.25" customHeight="1"/>
    <row r="26" spans="1:11" s="35" customFormat="1" ht="33.75">
      <c r="A26" s="34" t="s">
        <v>22</v>
      </c>
      <c r="B26" s="35">
        <v>-22468</v>
      </c>
      <c r="C26" s="35">
        <v>-22338</v>
      </c>
      <c r="D26" s="35">
        <v>-33996</v>
      </c>
      <c r="E26" s="35">
        <v>9496</v>
      </c>
      <c r="F26" s="35">
        <v>0</v>
      </c>
      <c r="G26" s="35">
        <v>-3</v>
      </c>
      <c r="H26" s="35">
        <v>2948</v>
      </c>
      <c r="I26" s="35">
        <v>3158</v>
      </c>
      <c r="J26" s="35">
        <v>0</v>
      </c>
      <c r="K26" s="35">
        <v>0</v>
      </c>
    </row>
    <row r="27" s="17" customFormat="1" ht="11.25" customHeight="1"/>
    <row r="28" spans="1:11" s="35" customFormat="1" ht="11.25">
      <c r="A28" s="34" t="s">
        <v>23</v>
      </c>
      <c r="B28" s="35">
        <v>183288</v>
      </c>
      <c r="C28" s="35">
        <v>205419</v>
      </c>
      <c r="D28" s="35">
        <v>190800</v>
      </c>
      <c r="E28" s="35">
        <v>197883</v>
      </c>
      <c r="F28" s="35">
        <v>177491</v>
      </c>
      <c r="G28" s="35">
        <v>191036</v>
      </c>
      <c r="H28" s="35">
        <v>215574</v>
      </c>
      <c r="I28" s="35">
        <f>219619-60000</f>
        <v>159619</v>
      </c>
      <c r="J28" s="35">
        <v>0</v>
      </c>
      <c r="K28" s="35">
        <v>0</v>
      </c>
    </row>
    <row r="29" s="17" customFormat="1" ht="11.25" customHeight="1"/>
    <row r="30" spans="1:11" s="20" customFormat="1" ht="21.75" thickBot="1">
      <c r="A30" s="20" t="s">
        <v>92</v>
      </c>
      <c r="B30" s="20">
        <v>488206</v>
      </c>
      <c r="C30" s="20">
        <v>454498</v>
      </c>
      <c r="D30" s="20">
        <v>440249</v>
      </c>
      <c r="E30" s="20">
        <v>395669</v>
      </c>
      <c r="F30" s="20">
        <v>348164</v>
      </c>
      <c r="G30" s="20">
        <f>SUM(G18:G28)</f>
        <v>368484</v>
      </c>
      <c r="H30" s="20">
        <v>404151</v>
      </c>
      <c r="I30" s="20">
        <f>398634-60000</f>
        <v>338634</v>
      </c>
      <c r="J30" s="20">
        <v>0</v>
      </c>
      <c r="K30" s="20">
        <v>0</v>
      </c>
    </row>
    <row r="31" ht="14.25" thickTop="1"/>
  </sheetData>
  <mergeCells count="2">
    <mergeCell ref="A1:K1"/>
    <mergeCell ref="A3:K3"/>
  </mergeCells>
  <printOptions/>
  <pageMargins left="0.5118110236220472" right="0.5118110236220472" top="0.6692913385826772" bottom="0.6692913385826772" header="0.2755905511811024" footer="0.2755905511811024"/>
  <pageSetup horizontalDpi="600" verticalDpi="600" orientation="portrait" paperSize="9" scale="89" r:id="rId1"/>
  <headerFooter alignWithMargins="0">
    <oddHeader>&amp;LDepartmental Annual Reporting 2009-10
11/03/2009  17:12&amp;RHome Office
HOF-Pauline1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 Majesty's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Pauline Spalding</cp:lastModifiedBy>
  <cp:lastPrinted>2009-11-18T12:38:51Z</cp:lastPrinted>
  <dcterms:created xsi:type="dcterms:W3CDTF">2009-03-11T17:12:08Z</dcterms:created>
  <dcterms:modified xsi:type="dcterms:W3CDTF">2009-11-18T13:31:08Z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331493180</vt:i4>
  </property>
  <property fmtid="{D5CDD505-2E9C-101B-9397-08002B2CF9AE}" pid="3" name="_EmailSubject">
    <vt:lpwstr>Non-personal datasets for June</vt:lpwstr>
  </property>
  <property fmtid="{D5CDD505-2E9C-101B-9397-08002B2CF9AE}" pid="4" name="_AuthorEmail">
    <vt:lpwstr>Rosemary.Wilson@homeoffice.gsi.gov.uk</vt:lpwstr>
  </property>
  <property fmtid="{D5CDD505-2E9C-101B-9397-08002B2CF9AE}" pid="5" name="_AuthorEmailDisplayName">
    <vt:lpwstr>Wilson Rosemary (OCIO)</vt:lpwstr>
  </property>
  <property fmtid="{D5CDD505-2E9C-101B-9397-08002B2CF9AE}" pid="6" name="_PreviousAdHocReviewCycleID">
    <vt:i4>1880011700</vt:i4>
  </property>
</Properties>
</file>