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0_ncr:100000_{B6DB2321-4C2E-4170-AD1A-CE849C7F25AB}" xr6:coauthVersionLast="31" xr6:coauthVersionMax="31" xr10:uidLastSave="{00000000-0000-0000-0000-000000000000}"/>
  <workbookProtection workbookAlgorithmName="SHA-512" workbookHashValue="XvPnRnhCKH3WriuUa6GkN/bUyggo1U8CPIqO6HLEtP++MGNzUxxRS12rAJ0/oxhLSVr1wuf2dNl4Fqq7Z4cuyg==" workbookSaltValue="JLyGG9n9SecT5yo0jO4osg==" workbookSpinCount="100000" lockStructure="1"/>
  <bookViews>
    <workbookView xWindow="0" yWindow="0" windowWidth="20160" windowHeight="8710" firstSheet="12" activeTab="12" xr2:uid="{00000000-000D-0000-FFFF-FFFF00000000}"/>
  </bookViews>
  <sheets>
    <sheet name="(2010-11)" sheetId="18" state="hidden" r:id="rId1"/>
    <sheet name="(2011-12)" sheetId="17" state="hidden" r:id="rId2"/>
    <sheet name="(2012-13)" sheetId="16" state="hidden" r:id="rId3"/>
    <sheet name="(2013-14)" sheetId="15" state="hidden" r:id="rId4"/>
    <sheet name="(2014-15)" sheetId="12" state="hidden" r:id="rId5"/>
    <sheet name="2015-16 working" sheetId="13" state="hidden" r:id="rId6"/>
    <sheet name="(2015-16)" sheetId="14" state="hidden" r:id="rId7"/>
    <sheet name="2016-17 working" sheetId="19" state="hidden" r:id="rId8"/>
    <sheet name="(2016-17)" sheetId="20" state="hidden" r:id="rId9"/>
    <sheet name="2017-18 working" sheetId="21" state="hidden" r:id="rId10"/>
    <sheet name="(2017-18)" sheetId="22" state="hidden" r:id="rId11"/>
    <sheet name="FIRE1203 raw" sheetId="1" state="hidden" r:id="rId12"/>
    <sheet name="FIRE1203" sheetId="11" r:id="rId13"/>
  </sheets>
  <definedNames>
    <definedName name="_xlnm._FilterDatabase" localSheetId="0" hidden="1">'(2010-11)'!$A$1:$J$59</definedName>
    <definedName name="_xlnm._FilterDatabase" localSheetId="1" hidden="1">'(2011-12)'!$A$1:$J$59</definedName>
    <definedName name="_xlnm._FilterDatabase" localSheetId="2" hidden="1">'(2012-13)'!$A$1:$J$59</definedName>
    <definedName name="_xlnm._FilterDatabase" localSheetId="3" hidden="1">'(2013-14)'!$A$1:$J$59</definedName>
    <definedName name="_xlnm._FilterDatabase" localSheetId="4" hidden="1">'(2014-15)'!$A$1:$J$59</definedName>
    <definedName name="_xlnm._FilterDatabase" localSheetId="6" hidden="1">'(2015-16)'!$A$1:$J$59</definedName>
    <definedName name="_xlnm._FilterDatabase" localSheetId="8" hidden="1">'(2016-17)'!$A$1:$J$59</definedName>
    <definedName name="_xlnm._FilterDatabase" localSheetId="10" hidden="1">'(2017-18)'!$A$1:$J$59</definedName>
    <definedName name="_xlnm._FilterDatabase" localSheetId="5" hidden="1">'2015-16 working'!$A$1:$J$59</definedName>
    <definedName name="_xlnm._FilterDatabase" localSheetId="7" hidden="1">'2016-17 working'!$A$1:$J$59</definedName>
    <definedName name="_xlnm._FilterDatabase" localSheetId="9" hidden="1">'2017-18 working'!$A$1:$J$59</definedName>
    <definedName name="_xlnm.Print_Area" localSheetId="0">'(2010-11)'!$B$1:$H$68</definedName>
    <definedName name="_xlnm.Print_Area" localSheetId="1">'(2011-12)'!$B$1:$H$67</definedName>
    <definedName name="_xlnm.Print_Area" localSheetId="2">'(2012-13)'!$B$1:$H$62</definedName>
    <definedName name="_xlnm.Print_Area" localSheetId="3">'(2013-14)'!$B$1:$H$68</definedName>
    <definedName name="_xlnm.Print_Area" localSheetId="4">'(2014-15)'!$B$1:$H$68</definedName>
    <definedName name="_xlnm.Print_Area" localSheetId="6">'(2015-16)'!$B$1:$H$68</definedName>
    <definedName name="_xlnm.Print_Area" localSheetId="8">'(2016-17)'!$B$1:$H$68</definedName>
    <definedName name="_xlnm.Print_Area" localSheetId="10">'(2017-18)'!$B$1:$H$68</definedName>
    <definedName name="_xlnm.Print_Area" localSheetId="5">'2015-16 working'!$B$1:$H$68</definedName>
    <definedName name="_xlnm.Print_Area" localSheetId="7">'2016-17 working'!$B$1:$H$68</definedName>
    <definedName name="_xlnm.Print_Area" localSheetId="9">'2017-18 working'!$B$1:$H$68</definedName>
    <definedName name="qrychiefrepspecservrtaother" localSheetId="0">#REF!</definedName>
    <definedName name="qrychiefrepspecservrtaother" localSheetId="1">#REF!</definedName>
    <definedName name="qrychiefrepspecservrtaother" localSheetId="2">#REF!</definedName>
    <definedName name="qrychiefrepspecservrtaother" localSheetId="3">#REF!</definedName>
    <definedName name="qrychiefrepspecservrtaother" localSheetId="4">#REF!</definedName>
    <definedName name="qrychiefrepspecservrtaother" localSheetId="6">#REF!</definedName>
    <definedName name="qrychiefrepspecservrtaother" localSheetId="8">#REF!</definedName>
    <definedName name="qrychiefrepspecservrtaother" localSheetId="10">#REF!</definedName>
    <definedName name="qrychiefrepspecservrtaother" localSheetId="5">#REF!</definedName>
    <definedName name="qrychiefrepspecservrtaother" localSheetId="7">#REF!</definedName>
    <definedName name="qrychiefrepspecservrtaother" localSheetId="9">#REF!</definedName>
    <definedName name="qrychiefrepsuccretireresig" localSheetId="0">#REF!</definedName>
    <definedName name="qrychiefrepsuccretireresig" localSheetId="1">#REF!</definedName>
    <definedName name="qrychiefrepsuccretireresig" localSheetId="2">#REF!</definedName>
    <definedName name="qrychiefrepsuccretireresig" localSheetId="3">#REF!</definedName>
    <definedName name="qrychiefrepsuccretireresig" localSheetId="4">#REF!</definedName>
    <definedName name="qrychiefrepsuccretireresig" localSheetId="6">#REF!</definedName>
    <definedName name="qrychiefrepsuccretireresig" localSheetId="8">#REF!</definedName>
    <definedName name="qrychiefrepsuccretireresig" localSheetId="10">#REF!</definedName>
    <definedName name="qrychiefrepsuccretireresig" localSheetId="5">#REF!</definedName>
    <definedName name="qrychiefrepsuccretireresig" localSheetId="7">#REF!</definedName>
    <definedName name="qrychiefrepsuccretireresig" localSheetId="9">#REF!</definedName>
    <definedName name="qrychiefrepwteststr" localSheetId="0">#REF!</definedName>
    <definedName name="qrychiefrepwteststr" localSheetId="1">#REF!</definedName>
    <definedName name="qrychiefrepwteststr" localSheetId="2">#REF!</definedName>
    <definedName name="qrychiefrepwteststr" localSheetId="3">#REF!</definedName>
    <definedName name="qrychiefrepwteststr" localSheetId="4">#REF!</definedName>
    <definedName name="qrychiefrepwteststr" localSheetId="6">#REF!</definedName>
    <definedName name="qrychiefrepwteststr" localSheetId="8">#REF!</definedName>
    <definedName name="qrychiefrepwteststr" localSheetId="10">#REF!</definedName>
    <definedName name="qrychiefrepwteststr" localSheetId="5">#REF!</definedName>
    <definedName name="qrychiefrepwteststr" localSheetId="7">#REF!</definedName>
    <definedName name="qrychiefrepwteststr" localSheetId="9">#REF!</definedName>
    <definedName name="qrychiefrepwtgeneth" localSheetId="0">#REF!</definedName>
    <definedName name="qrychiefrepwtgeneth" localSheetId="1">#REF!</definedName>
    <definedName name="qrychiefrepwtgeneth" localSheetId="2">#REF!</definedName>
    <definedName name="qrychiefrepwtgeneth" localSheetId="3">#REF!</definedName>
    <definedName name="qrychiefrepwtgeneth" localSheetId="4">#REF!</definedName>
    <definedName name="qrychiefrepwtgeneth" localSheetId="6">#REF!</definedName>
    <definedName name="qrychiefrepwtgeneth" localSheetId="8">#REF!</definedName>
    <definedName name="qrychiefrepwtgeneth" localSheetId="10">#REF!</definedName>
    <definedName name="qrychiefrepwtgeneth" localSheetId="5">#REF!</definedName>
    <definedName name="qrychiefrepwtgeneth" localSheetId="7">#REF!</definedName>
    <definedName name="qrychiefrepwtgeneth" localSheetId="9">#REF!</definedName>
    <definedName name="qryffinjuries9900" localSheetId="0">#REF!</definedName>
    <definedName name="qryffinjuries9900" localSheetId="1">#REF!</definedName>
    <definedName name="qryffinjuries9900" localSheetId="2">#REF!</definedName>
    <definedName name="qryffinjuries9900" localSheetId="3">#REF!</definedName>
    <definedName name="qryffinjuries9900" localSheetId="4">#REF!</definedName>
    <definedName name="qryffinjuries9900" localSheetId="6">#REF!</definedName>
    <definedName name="qryffinjuries9900" localSheetId="8">#REF!</definedName>
    <definedName name="qryffinjuries9900" localSheetId="10">#REF!</definedName>
    <definedName name="qryffinjuries9900" localSheetId="5">#REF!</definedName>
    <definedName name="qryffinjuries9900" localSheetId="7">#REF!</definedName>
    <definedName name="qryffinjuries9900" localSheetId="9">#REF!</definedName>
    <definedName name="qryPI15" localSheetId="0">#REF!</definedName>
    <definedName name="qryPI15" localSheetId="1">#REF!</definedName>
    <definedName name="qryPI15" localSheetId="2">#REF!</definedName>
    <definedName name="qryPI15" localSheetId="3">#REF!</definedName>
    <definedName name="qryPI15" localSheetId="4">#REF!</definedName>
    <definedName name="qryPI15" localSheetId="6">#REF!</definedName>
    <definedName name="qryPI15" localSheetId="8">#REF!</definedName>
    <definedName name="qryPI15" localSheetId="10">#REF!</definedName>
    <definedName name="qryPI15" localSheetId="5">#REF!</definedName>
    <definedName name="qryPI15" localSheetId="7">#REF!</definedName>
    <definedName name="qryPI15" localSheetId="9">#REF!</definedName>
    <definedName name="qryPI16" localSheetId="0">#REF!</definedName>
    <definedName name="qryPI16" localSheetId="1">#REF!</definedName>
    <definedName name="qryPI16" localSheetId="2">#REF!</definedName>
    <definedName name="qryPI16" localSheetId="3">#REF!</definedName>
    <definedName name="qryPI16" localSheetId="4">#REF!</definedName>
    <definedName name="qryPI16" localSheetId="6">#REF!</definedName>
    <definedName name="qryPI16" localSheetId="8">#REF!</definedName>
    <definedName name="qryPI16" localSheetId="10">#REF!</definedName>
    <definedName name="qryPI16" localSheetId="5">#REF!</definedName>
    <definedName name="qryPI16" localSheetId="7">#REF!</definedName>
    <definedName name="qryPI16" localSheetId="9">#REF!</definedName>
    <definedName name="qryPIBV145a" localSheetId="0">#REF!</definedName>
    <definedName name="qryPIBV145a" localSheetId="1">#REF!</definedName>
    <definedName name="qryPIBV145a" localSheetId="2">#REF!</definedName>
    <definedName name="qryPIBV145a" localSheetId="3">#REF!</definedName>
    <definedName name="qryPIBV145a" localSheetId="4">#REF!</definedName>
    <definedName name="qryPIBV145a" localSheetId="6">#REF!</definedName>
    <definedName name="qryPIBV145a" localSheetId="8">#REF!</definedName>
    <definedName name="qryPIBV145a" localSheetId="10">#REF!</definedName>
    <definedName name="qryPIBV145a" localSheetId="5">#REF!</definedName>
    <definedName name="qryPIBV145a" localSheetId="7">#REF!</definedName>
    <definedName name="qryPIBV145a" localSheetId="9">#REF!</definedName>
    <definedName name="qryPIBV145b" localSheetId="0">#REF!</definedName>
    <definedName name="qryPIBV145b" localSheetId="1">#REF!</definedName>
    <definedName name="qryPIBV145b" localSheetId="2">#REF!</definedName>
    <definedName name="qryPIBV145b" localSheetId="3">#REF!</definedName>
    <definedName name="qryPIBV145b" localSheetId="4">#REF!</definedName>
    <definedName name="qryPIBV145b" localSheetId="6">#REF!</definedName>
    <definedName name="qryPIBV145b" localSheetId="8">#REF!</definedName>
    <definedName name="qryPIBV145b" localSheetId="10">#REF!</definedName>
    <definedName name="qryPIBV145b" localSheetId="5">#REF!</definedName>
    <definedName name="qryPIBV145b" localSheetId="7">#REF!</definedName>
    <definedName name="qryPIBV145b" localSheetId="9">#REF!</definedName>
    <definedName name="qryPIBV145c" localSheetId="0">#REF!</definedName>
    <definedName name="qryPIBV145c" localSheetId="1">#REF!</definedName>
    <definedName name="qryPIBV145c" localSheetId="2">#REF!</definedName>
    <definedName name="qryPIBV145c" localSheetId="3">#REF!</definedName>
    <definedName name="qryPIBV145c" localSheetId="4">#REF!</definedName>
    <definedName name="qryPIBV145c" localSheetId="6">#REF!</definedName>
    <definedName name="qryPIBV145c" localSheetId="8">#REF!</definedName>
    <definedName name="qryPIBV145c" localSheetId="10">#REF!</definedName>
    <definedName name="qryPIBV145c" localSheetId="5">#REF!</definedName>
    <definedName name="qryPIBV145c" localSheetId="7">#REF!</definedName>
    <definedName name="qryPIBV145c" localSheetId="9">#REF!</definedName>
    <definedName name="qryPIBV15i" localSheetId="0">#REF!</definedName>
    <definedName name="qryPIBV15i" localSheetId="1">#REF!</definedName>
    <definedName name="qryPIBV15i" localSheetId="2">#REF!</definedName>
    <definedName name="qryPIBV15i" localSheetId="3">#REF!</definedName>
    <definedName name="qryPIBV15i" localSheetId="4">#REF!</definedName>
    <definedName name="qryPIBV15i" localSheetId="6">#REF!</definedName>
    <definedName name="qryPIBV15i" localSheetId="8">#REF!</definedName>
    <definedName name="qryPIBV15i" localSheetId="10">#REF!</definedName>
    <definedName name="qryPIBV15i" localSheetId="5">#REF!</definedName>
    <definedName name="qryPIBV15i" localSheetId="7">#REF!</definedName>
    <definedName name="qryPIBV15i" localSheetId="9">#REF!</definedName>
    <definedName name="qryPIBV15ii" localSheetId="0">#REF!</definedName>
    <definedName name="qryPIBV15ii" localSheetId="1">#REF!</definedName>
    <definedName name="qryPIBV15ii" localSheetId="2">#REF!</definedName>
    <definedName name="qryPIBV15ii" localSheetId="3">#REF!</definedName>
    <definedName name="qryPIBV15ii" localSheetId="4">#REF!</definedName>
    <definedName name="qryPIBV15ii" localSheetId="6">#REF!</definedName>
    <definedName name="qryPIBV15ii" localSheetId="8">#REF!</definedName>
    <definedName name="qryPIBV15ii" localSheetId="10">#REF!</definedName>
    <definedName name="qryPIBV15ii" localSheetId="5">#REF!</definedName>
    <definedName name="qryPIBV15ii" localSheetId="7">#REF!</definedName>
    <definedName name="qryPIBV15ii" localSheetId="9">#REF!</definedName>
    <definedName name="qryPIctsickness" localSheetId="0">#REF!</definedName>
    <definedName name="qryPIctsickness" localSheetId="1">#REF!</definedName>
    <definedName name="qryPIctsickness" localSheetId="2">#REF!</definedName>
    <definedName name="qryPIctsickness" localSheetId="3">#REF!</definedName>
    <definedName name="qryPIctsickness" localSheetId="4">#REF!</definedName>
    <definedName name="qryPIctsickness" localSheetId="6">#REF!</definedName>
    <definedName name="qryPIctsickness" localSheetId="8">#REF!</definedName>
    <definedName name="qryPIctsickness" localSheetId="10">#REF!</definedName>
    <definedName name="qryPIctsickness" localSheetId="5">#REF!</definedName>
    <definedName name="qryPIctsickness" localSheetId="7">#REF!</definedName>
    <definedName name="qryPIctsickness" localSheetId="9">#REF!</definedName>
    <definedName name="qryPIriderfactleave" localSheetId="0">#REF!</definedName>
    <definedName name="qryPIriderfactleave" localSheetId="1">#REF!</definedName>
    <definedName name="qryPIriderfactleave" localSheetId="2">#REF!</definedName>
    <definedName name="qryPIriderfactleave" localSheetId="3">#REF!</definedName>
    <definedName name="qryPIriderfactleave" localSheetId="4">#REF!</definedName>
    <definedName name="qryPIriderfactleave" localSheetId="6">#REF!</definedName>
    <definedName name="qryPIriderfactleave" localSheetId="8">#REF!</definedName>
    <definedName name="qryPIriderfactleave" localSheetId="10">#REF!</definedName>
    <definedName name="qryPIriderfactleave" localSheetId="5">#REF!</definedName>
    <definedName name="qryPIriderfactleave" localSheetId="7">#REF!</definedName>
    <definedName name="qryPIriderfactleave" localSheetId="9">#REF!</definedName>
    <definedName name="qryPIriderfactsick" localSheetId="0">#REF!</definedName>
    <definedName name="qryPIriderfactsick" localSheetId="1">#REF!</definedName>
    <definedName name="qryPIriderfactsick" localSheetId="2">#REF!</definedName>
    <definedName name="qryPIriderfactsick" localSheetId="3">#REF!</definedName>
    <definedName name="qryPIriderfactsick" localSheetId="4">#REF!</definedName>
    <definedName name="qryPIriderfactsick" localSheetId="6">#REF!</definedName>
    <definedName name="qryPIriderfactsick" localSheetId="8">#REF!</definedName>
    <definedName name="qryPIriderfactsick" localSheetId="10">#REF!</definedName>
    <definedName name="qryPIriderfactsick" localSheetId="5">#REF!</definedName>
    <definedName name="qryPIriderfactsick" localSheetId="7">#REF!</definedName>
    <definedName name="qryPIriderfactsick" localSheetId="9">#REF!</definedName>
    <definedName name="Query1" localSheetId="0">#REF!</definedName>
    <definedName name="Query1" localSheetId="1">#REF!</definedName>
    <definedName name="Query1" localSheetId="2">#REF!</definedName>
    <definedName name="Query1" localSheetId="3">#REF!</definedName>
    <definedName name="Query1" localSheetId="4">#REF!</definedName>
    <definedName name="Query1" localSheetId="6">#REF!</definedName>
    <definedName name="Query1" localSheetId="8">#REF!</definedName>
    <definedName name="Query1" localSheetId="10">#REF!</definedName>
    <definedName name="Query1" localSheetId="5">#REF!</definedName>
    <definedName name="Query1" localSheetId="7">#REF!</definedName>
    <definedName name="Query1" localSheetId="9">#REF!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H46" i="22" l="1"/>
  <c r="G46" i="22"/>
  <c r="F46" i="22"/>
  <c r="E46" i="22"/>
  <c r="D46" i="22"/>
  <c r="C46" i="22"/>
  <c r="H20" i="22"/>
  <c r="G20" i="22"/>
  <c r="F20" i="22"/>
  <c r="E20" i="22"/>
  <c r="D20" i="22"/>
  <c r="C20" i="22"/>
  <c r="C14" i="22" l="1"/>
  <c r="H41" i="22" l="1"/>
  <c r="G41" i="22"/>
  <c r="F41" i="22"/>
  <c r="E41" i="22"/>
  <c r="D41" i="22"/>
  <c r="C41" i="22"/>
  <c r="H55" i="22"/>
  <c r="G55" i="22"/>
  <c r="F55" i="22"/>
  <c r="E55" i="22"/>
  <c r="D55" i="22"/>
  <c r="C55" i="22"/>
  <c r="H54" i="22"/>
  <c r="G54" i="22"/>
  <c r="F54" i="22"/>
  <c r="E54" i="22"/>
  <c r="D54" i="22"/>
  <c r="C54" i="22"/>
  <c r="H53" i="22"/>
  <c r="G53" i="22"/>
  <c r="F53" i="22"/>
  <c r="E53" i="22"/>
  <c r="D53" i="22"/>
  <c r="C53" i="22"/>
  <c r="H52" i="22"/>
  <c r="G52" i="22"/>
  <c r="F52" i="22"/>
  <c r="E52" i="22"/>
  <c r="D52" i="22"/>
  <c r="C52" i="22"/>
  <c r="H51" i="22"/>
  <c r="G51" i="22"/>
  <c r="F51" i="22"/>
  <c r="E51" i="22"/>
  <c r="D51" i="22"/>
  <c r="C51" i="22"/>
  <c r="H50" i="22"/>
  <c r="G50" i="22" s="1"/>
  <c r="F50" i="22"/>
  <c r="E50" i="22"/>
  <c r="E48" i="22" s="1"/>
  <c r="D50" i="22"/>
  <c r="C50" i="22"/>
  <c r="H49" i="22"/>
  <c r="G49" i="22"/>
  <c r="F49" i="22"/>
  <c r="F48" i="22" s="1"/>
  <c r="E49" i="22"/>
  <c r="D49" i="22"/>
  <c r="C49" i="22"/>
  <c r="C48" i="22" s="1"/>
  <c r="H47" i="22"/>
  <c r="G47" i="22"/>
  <c r="F47" i="22"/>
  <c r="E47" i="22"/>
  <c r="D47" i="22"/>
  <c r="C47" i="22"/>
  <c r="H45" i="22"/>
  <c r="G45" i="22"/>
  <c r="F45" i="22"/>
  <c r="E45" i="22"/>
  <c r="D45" i="22"/>
  <c r="C45" i="22"/>
  <c r="H44" i="22"/>
  <c r="G44" i="22"/>
  <c r="F44" i="22"/>
  <c r="E44" i="22"/>
  <c r="D44" i="22"/>
  <c r="C44" i="22"/>
  <c r="H43" i="22"/>
  <c r="G43" i="22"/>
  <c r="F43" i="22"/>
  <c r="E43" i="22"/>
  <c r="D43" i="22"/>
  <c r="C43" i="22"/>
  <c r="H42" i="22"/>
  <c r="G42" i="22"/>
  <c r="F42" i="22"/>
  <c r="E42" i="22"/>
  <c r="D42" i="22"/>
  <c r="C42" i="22"/>
  <c r="H40" i="22"/>
  <c r="G40" i="22"/>
  <c r="F40" i="22"/>
  <c r="E40" i="22"/>
  <c r="D40" i="22"/>
  <c r="C40" i="22"/>
  <c r="H39" i="22"/>
  <c r="G39" i="22"/>
  <c r="F39" i="22"/>
  <c r="E39" i="22"/>
  <c r="D39" i="22"/>
  <c r="C39" i="22"/>
  <c r="H38" i="22"/>
  <c r="G38" i="22"/>
  <c r="F38" i="22"/>
  <c r="E38" i="22"/>
  <c r="D38" i="22"/>
  <c r="C38" i="22"/>
  <c r="H37" i="22"/>
  <c r="G37" i="22"/>
  <c r="F37" i="22"/>
  <c r="E37" i="22"/>
  <c r="D37" i="22"/>
  <c r="C37" i="22"/>
  <c r="H36" i="22"/>
  <c r="G36" i="22"/>
  <c r="F36" i="22"/>
  <c r="E36" i="22"/>
  <c r="D36" i="22"/>
  <c r="C36" i="22"/>
  <c r="H35" i="22"/>
  <c r="G35" i="22"/>
  <c r="F35" i="22"/>
  <c r="E35" i="22"/>
  <c r="D35" i="22"/>
  <c r="C35" i="22"/>
  <c r="H34" i="22"/>
  <c r="G34" i="22"/>
  <c r="F34" i="22"/>
  <c r="E34" i="22"/>
  <c r="D34" i="22"/>
  <c r="C34" i="22"/>
  <c r="H33" i="22"/>
  <c r="G33" i="22"/>
  <c r="F33" i="22"/>
  <c r="E33" i="22"/>
  <c r="D33" i="22"/>
  <c r="C33" i="22"/>
  <c r="H32" i="22"/>
  <c r="G32" i="22"/>
  <c r="F32" i="22"/>
  <c r="E32" i="22"/>
  <c r="D32" i="22"/>
  <c r="C32" i="22"/>
  <c r="H31" i="22"/>
  <c r="G31" i="22"/>
  <c r="F31" i="22"/>
  <c r="E31" i="22"/>
  <c r="D31" i="22"/>
  <c r="C31" i="22"/>
  <c r="G30" i="22"/>
  <c r="E30" i="22"/>
  <c r="C30" i="22"/>
  <c r="H29" i="22"/>
  <c r="G29" i="22"/>
  <c r="F29" i="22"/>
  <c r="E29" i="22"/>
  <c r="D29" i="22"/>
  <c r="C29" i="22"/>
  <c r="H28" i="22"/>
  <c r="G28" i="22"/>
  <c r="F28" i="22"/>
  <c r="E28" i="22"/>
  <c r="D28" i="22"/>
  <c r="C28" i="22"/>
  <c r="H27" i="22"/>
  <c r="G27" i="22"/>
  <c r="F27" i="22"/>
  <c r="E27" i="22"/>
  <c r="H26" i="22"/>
  <c r="G26" i="22"/>
  <c r="F26" i="22"/>
  <c r="E26" i="22"/>
  <c r="D26" i="22"/>
  <c r="C26" i="22"/>
  <c r="H25" i="22"/>
  <c r="G25" i="22"/>
  <c r="F25" i="22"/>
  <c r="E25" i="22"/>
  <c r="D25" i="22"/>
  <c r="C25" i="22"/>
  <c r="H24" i="22"/>
  <c r="G24" i="22"/>
  <c r="F24" i="22"/>
  <c r="E24" i="22"/>
  <c r="D24" i="22"/>
  <c r="C24" i="22"/>
  <c r="H23" i="22"/>
  <c r="G23" i="22"/>
  <c r="F23" i="22"/>
  <c r="E23" i="22"/>
  <c r="D23" i="22"/>
  <c r="C23" i="22"/>
  <c r="H22" i="22"/>
  <c r="G22" i="22"/>
  <c r="F22" i="22"/>
  <c r="E22" i="22"/>
  <c r="D22" i="22"/>
  <c r="C22" i="22"/>
  <c r="H21" i="22"/>
  <c r="G21" i="22"/>
  <c r="F21" i="22"/>
  <c r="E21" i="22"/>
  <c r="D21" i="22"/>
  <c r="C21" i="22"/>
  <c r="H19" i="22"/>
  <c r="G19" i="22"/>
  <c r="F19" i="22"/>
  <c r="E19" i="22"/>
  <c r="D19" i="22"/>
  <c r="C19" i="22"/>
  <c r="H18" i="22"/>
  <c r="G18" i="22"/>
  <c r="F18" i="22"/>
  <c r="E18" i="22"/>
  <c r="D18" i="22"/>
  <c r="C18" i="22"/>
  <c r="H17" i="22"/>
  <c r="G17" i="22"/>
  <c r="F17" i="22"/>
  <c r="E17" i="22"/>
  <c r="D17" i="22"/>
  <c r="C17" i="22"/>
  <c r="H16" i="22"/>
  <c r="G16" i="22"/>
  <c r="F16" i="22"/>
  <c r="E16" i="22"/>
  <c r="D16" i="22"/>
  <c r="C16" i="22"/>
  <c r="H15" i="22"/>
  <c r="G15" i="22"/>
  <c r="F15" i="22"/>
  <c r="E15" i="22"/>
  <c r="D15" i="22"/>
  <c r="C15" i="22"/>
  <c r="H14" i="22"/>
  <c r="G14" i="22"/>
  <c r="F14" i="22"/>
  <c r="E14" i="22"/>
  <c r="D14" i="22"/>
  <c r="H13" i="22"/>
  <c r="G13" i="22"/>
  <c r="F13" i="22"/>
  <c r="E13" i="22"/>
  <c r="D13" i="22"/>
  <c r="C13" i="22"/>
  <c r="H12" i="22"/>
  <c r="G12" i="22"/>
  <c r="F12" i="22"/>
  <c r="E12" i="22"/>
  <c r="D12" i="22"/>
  <c r="C12" i="22"/>
  <c r="H11" i="22"/>
  <c r="G11" i="22"/>
  <c r="F11" i="22"/>
  <c r="E11" i="22"/>
  <c r="D11" i="22"/>
  <c r="C11" i="22"/>
  <c r="H10" i="22"/>
  <c r="G10" i="22"/>
  <c r="F10" i="22"/>
  <c r="E10" i="22"/>
  <c r="D10" i="22"/>
  <c r="C10" i="22"/>
  <c r="H9" i="22"/>
  <c r="G9" i="22"/>
  <c r="F9" i="22"/>
  <c r="E9" i="22"/>
  <c r="D9" i="22"/>
  <c r="C9" i="22"/>
  <c r="H8" i="22"/>
  <c r="G8" i="22"/>
  <c r="F8" i="22"/>
  <c r="E8" i="22"/>
  <c r="D8" i="22"/>
  <c r="C8" i="22"/>
  <c r="F48" i="21"/>
  <c r="H46" i="20"/>
  <c r="G46" i="20"/>
  <c r="F46" i="20"/>
  <c r="E46" i="20"/>
  <c r="D46" i="20"/>
  <c r="C46" i="20"/>
  <c r="H20" i="20"/>
  <c r="G20" i="20"/>
  <c r="F20" i="20"/>
  <c r="E20" i="20"/>
  <c r="D20" i="20"/>
  <c r="C20" i="20"/>
  <c r="H41" i="20"/>
  <c r="G41" i="20"/>
  <c r="F41" i="20"/>
  <c r="E41" i="20"/>
  <c r="D41" i="20"/>
  <c r="C41" i="20"/>
  <c r="C48" i="21" l="1"/>
  <c r="G48" i="21"/>
  <c r="D48" i="22"/>
  <c r="G48" i="22"/>
  <c r="H48" i="22"/>
  <c r="D48" i="21"/>
  <c r="D7" i="21"/>
  <c r="E48" i="21"/>
  <c r="H7" i="21"/>
  <c r="H48" i="21"/>
  <c r="E7" i="22"/>
  <c r="E6" i="22" s="1"/>
  <c r="E7" i="21"/>
  <c r="G7" i="22"/>
  <c r="G7" i="21"/>
  <c r="G6" i="21" s="1"/>
  <c r="C7" i="21"/>
  <c r="C6" i="21" s="1"/>
  <c r="F7" i="21"/>
  <c r="F6" i="21" s="1"/>
  <c r="H55" i="20"/>
  <c r="G55" i="20"/>
  <c r="F55" i="20"/>
  <c r="E55" i="20"/>
  <c r="D55" i="20"/>
  <c r="C55" i="20"/>
  <c r="H54" i="20"/>
  <c r="G54" i="20"/>
  <c r="F54" i="20"/>
  <c r="E54" i="20"/>
  <c r="D54" i="20"/>
  <c r="C54" i="20"/>
  <c r="H53" i="20"/>
  <c r="G53" i="20"/>
  <c r="F53" i="20"/>
  <c r="E53" i="20"/>
  <c r="D53" i="20"/>
  <c r="C53" i="20"/>
  <c r="H52" i="20"/>
  <c r="G52" i="20"/>
  <c r="F52" i="20"/>
  <c r="E52" i="20"/>
  <c r="D52" i="20"/>
  <c r="C52" i="20"/>
  <c r="H51" i="20"/>
  <c r="G51" i="20"/>
  <c r="F51" i="20"/>
  <c r="E51" i="20"/>
  <c r="D51" i="20"/>
  <c r="C51" i="20"/>
  <c r="H50" i="20"/>
  <c r="G50" i="20" s="1"/>
  <c r="F50" i="20"/>
  <c r="E50" i="20"/>
  <c r="D50" i="20"/>
  <c r="C50" i="20"/>
  <c r="H49" i="20"/>
  <c r="G49" i="20"/>
  <c r="F49" i="20"/>
  <c r="E49" i="20"/>
  <c r="D49" i="20"/>
  <c r="C49" i="20"/>
  <c r="H47" i="20"/>
  <c r="G47" i="20"/>
  <c r="F47" i="20"/>
  <c r="E47" i="20"/>
  <c r="D47" i="20"/>
  <c r="C47" i="20"/>
  <c r="H45" i="20"/>
  <c r="G45" i="20"/>
  <c r="F45" i="20"/>
  <c r="E45" i="20"/>
  <c r="D45" i="20"/>
  <c r="C45" i="20"/>
  <c r="H44" i="20"/>
  <c r="G44" i="20"/>
  <c r="F44" i="20"/>
  <c r="E44" i="20"/>
  <c r="D44" i="20"/>
  <c r="C44" i="20"/>
  <c r="H43" i="20"/>
  <c r="G43" i="20"/>
  <c r="F43" i="20"/>
  <c r="E43" i="20"/>
  <c r="D43" i="20"/>
  <c r="C43" i="20"/>
  <c r="H42" i="20"/>
  <c r="G42" i="20"/>
  <c r="F42" i="20"/>
  <c r="E42" i="20"/>
  <c r="D42" i="20"/>
  <c r="C42" i="20"/>
  <c r="H40" i="20"/>
  <c r="G40" i="20"/>
  <c r="F40" i="20"/>
  <c r="E40" i="20"/>
  <c r="D40" i="20"/>
  <c r="C40" i="20"/>
  <c r="H39" i="20"/>
  <c r="G39" i="20"/>
  <c r="F39" i="20"/>
  <c r="E39" i="20"/>
  <c r="D39" i="20"/>
  <c r="C39" i="20"/>
  <c r="H38" i="20"/>
  <c r="G38" i="20"/>
  <c r="F38" i="20"/>
  <c r="E38" i="20"/>
  <c r="D38" i="20"/>
  <c r="C38" i="20"/>
  <c r="H37" i="20"/>
  <c r="G37" i="20"/>
  <c r="F37" i="20"/>
  <c r="E37" i="20"/>
  <c r="D37" i="20"/>
  <c r="C37" i="20"/>
  <c r="H36" i="20"/>
  <c r="G36" i="20"/>
  <c r="F36" i="20"/>
  <c r="E36" i="20"/>
  <c r="D36" i="20"/>
  <c r="C36" i="20"/>
  <c r="H35" i="20"/>
  <c r="G35" i="20"/>
  <c r="F35" i="20"/>
  <c r="E35" i="20"/>
  <c r="D35" i="20"/>
  <c r="C35" i="20"/>
  <c r="H34" i="20"/>
  <c r="G34" i="20"/>
  <c r="F34" i="20"/>
  <c r="E34" i="20"/>
  <c r="D34" i="20"/>
  <c r="C34" i="20"/>
  <c r="H33" i="20"/>
  <c r="G33" i="20"/>
  <c r="F33" i="20"/>
  <c r="E33" i="20"/>
  <c r="D33" i="20"/>
  <c r="C33" i="20"/>
  <c r="H32" i="20"/>
  <c r="G32" i="20"/>
  <c r="F32" i="20"/>
  <c r="E32" i="20"/>
  <c r="D32" i="20"/>
  <c r="C32" i="20"/>
  <c r="H31" i="20"/>
  <c r="G31" i="20"/>
  <c r="F31" i="20"/>
  <c r="E31" i="20"/>
  <c r="D31" i="20"/>
  <c r="C31" i="20"/>
  <c r="H30" i="20"/>
  <c r="G30" i="20"/>
  <c r="F30" i="20"/>
  <c r="E30" i="20"/>
  <c r="F30" i="22" s="1"/>
  <c r="F7" i="22" s="1"/>
  <c r="F6" i="22" s="1"/>
  <c r="D30" i="20"/>
  <c r="D30" i="22" s="1"/>
  <c r="C30" i="20"/>
  <c r="H29" i="20"/>
  <c r="G29" i="20"/>
  <c r="F29" i="20"/>
  <c r="E29" i="20"/>
  <c r="D29" i="20"/>
  <c r="C29" i="20"/>
  <c r="H28" i="20"/>
  <c r="G28" i="20"/>
  <c r="F28" i="20"/>
  <c r="E28" i="20"/>
  <c r="D28" i="20"/>
  <c r="C28" i="20"/>
  <c r="H27" i="20"/>
  <c r="G27" i="20"/>
  <c r="F27" i="20"/>
  <c r="E27" i="20"/>
  <c r="D27" i="20"/>
  <c r="D27" i="22" s="1"/>
  <c r="C27" i="20"/>
  <c r="C27" i="22" s="1"/>
  <c r="C7" i="22" s="1"/>
  <c r="C6" i="22" s="1"/>
  <c r="H26" i="20"/>
  <c r="G26" i="20"/>
  <c r="F26" i="20"/>
  <c r="E26" i="20"/>
  <c r="D26" i="20"/>
  <c r="C26" i="20"/>
  <c r="H25" i="20"/>
  <c r="G25" i="20"/>
  <c r="F25" i="20"/>
  <c r="E25" i="20"/>
  <c r="D25" i="20"/>
  <c r="C25" i="20"/>
  <c r="H24" i="20"/>
  <c r="G24" i="20"/>
  <c r="F24" i="20"/>
  <c r="E24" i="20"/>
  <c r="D24" i="20"/>
  <c r="C24" i="20"/>
  <c r="H23" i="20"/>
  <c r="G23" i="20"/>
  <c r="F23" i="20"/>
  <c r="E23" i="20"/>
  <c r="D23" i="20"/>
  <c r="C23" i="20"/>
  <c r="H22" i="20"/>
  <c r="G22" i="20"/>
  <c r="F22" i="20"/>
  <c r="E22" i="20"/>
  <c r="D22" i="20"/>
  <c r="C22" i="20"/>
  <c r="H21" i="20"/>
  <c r="G21" i="20"/>
  <c r="F21" i="20"/>
  <c r="E21" i="20"/>
  <c r="D21" i="20"/>
  <c r="C21" i="20"/>
  <c r="H19" i="20"/>
  <c r="G19" i="20"/>
  <c r="F19" i="20"/>
  <c r="E19" i="20"/>
  <c r="D19" i="20"/>
  <c r="C19" i="20"/>
  <c r="H18" i="20"/>
  <c r="G18" i="20"/>
  <c r="F18" i="20"/>
  <c r="E18" i="20"/>
  <c r="D18" i="20"/>
  <c r="C18" i="20"/>
  <c r="H17" i="20"/>
  <c r="G17" i="20"/>
  <c r="F17" i="20"/>
  <c r="E17" i="20"/>
  <c r="D17" i="20"/>
  <c r="C17" i="20"/>
  <c r="G16" i="20"/>
  <c r="H16" i="20" s="1"/>
  <c r="E16" i="20"/>
  <c r="F16" i="20" s="1"/>
  <c r="C16" i="20"/>
  <c r="D16" i="20" s="1"/>
  <c r="H15" i="20"/>
  <c r="G15" i="20"/>
  <c r="F15" i="20"/>
  <c r="E15" i="20"/>
  <c r="D15" i="20"/>
  <c r="C15" i="20"/>
  <c r="H14" i="20"/>
  <c r="G14" i="20"/>
  <c r="F14" i="20"/>
  <c r="E14" i="20"/>
  <c r="D14" i="20"/>
  <c r="C14" i="20"/>
  <c r="H13" i="20"/>
  <c r="G13" i="20"/>
  <c r="F13" i="20"/>
  <c r="E13" i="20"/>
  <c r="D13" i="20"/>
  <c r="C13" i="20"/>
  <c r="H12" i="20"/>
  <c r="G12" i="20"/>
  <c r="F12" i="20"/>
  <c r="E12" i="20"/>
  <c r="D12" i="20"/>
  <c r="C12" i="20"/>
  <c r="H11" i="20"/>
  <c r="G11" i="20"/>
  <c r="F11" i="20"/>
  <c r="E11" i="20"/>
  <c r="D11" i="20"/>
  <c r="C11" i="20"/>
  <c r="H10" i="20"/>
  <c r="G10" i="20"/>
  <c r="F10" i="20"/>
  <c r="E10" i="20"/>
  <c r="D10" i="20"/>
  <c r="C10" i="20"/>
  <c r="H9" i="20"/>
  <c r="G9" i="20"/>
  <c r="F9" i="20"/>
  <c r="E9" i="20"/>
  <c r="D9" i="20"/>
  <c r="C9" i="20"/>
  <c r="H8" i="20"/>
  <c r="G8" i="20"/>
  <c r="F8" i="20"/>
  <c r="E8" i="20"/>
  <c r="D8" i="20"/>
  <c r="C8" i="20"/>
  <c r="G57" i="1"/>
  <c r="E57" i="1"/>
  <c r="C57" i="1"/>
  <c r="D57" i="1"/>
  <c r="F57" i="1"/>
  <c r="B57" i="1"/>
  <c r="G6" i="22" l="1"/>
  <c r="D7" i="22"/>
  <c r="D6" i="22" s="1"/>
  <c r="H6" i="21"/>
  <c r="D6" i="21"/>
  <c r="E6" i="21"/>
  <c r="F48" i="20"/>
  <c r="C48" i="20"/>
  <c r="E7" i="20"/>
  <c r="H7" i="20"/>
  <c r="F7" i="20"/>
  <c r="D48" i="20"/>
  <c r="G48" i="20"/>
  <c r="D7" i="20"/>
  <c r="C7" i="20"/>
  <c r="G7" i="20"/>
  <c r="E48" i="20"/>
  <c r="H48" i="20"/>
  <c r="F57" i="11"/>
  <c r="B57" i="11"/>
  <c r="H57" i="11"/>
  <c r="E57" i="11"/>
  <c r="C57" i="11"/>
  <c r="I57" i="11"/>
  <c r="D48" i="19"/>
  <c r="C48" i="19"/>
  <c r="F48" i="19"/>
  <c r="E48" i="19"/>
  <c r="H48" i="19"/>
  <c r="G48" i="19"/>
  <c r="G7" i="19"/>
  <c r="C7" i="19"/>
  <c r="F7" i="19"/>
  <c r="H7" i="19"/>
  <c r="E7" i="19"/>
  <c r="D7" i="19"/>
  <c r="F6" i="20" l="1"/>
  <c r="H6" i="20"/>
  <c r="C6" i="20"/>
  <c r="G6" i="20"/>
  <c r="H6" i="19"/>
  <c r="D6" i="20"/>
  <c r="E6" i="20"/>
  <c r="D6" i="19"/>
  <c r="G6" i="19"/>
  <c r="F6" i="19"/>
  <c r="C6" i="19"/>
  <c r="E6" i="19"/>
  <c r="D41" i="14" l="1"/>
  <c r="E41" i="14"/>
  <c r="F41" i="14"/>
  <c r="G41" i="14"/>
  <c r="H41" i="14"/>
  <c r="C41" i="14"/>
  <c r="H55" i="14" l="1"/>
  <c r="G55" i="14"/>
  <c r="F55" i="14"/>
  <c r="E55" i="14"/>
  <c r="D55" i="14"/>
  <c r="C55" i="14"/>
  <c r="H54" i="14"/>
  <c r="G54" i="14"/>
  <c r="F54" i="14"/>
  <c r="E54" i="14"/>
  <c r="D54" i="14"/>
  <c r="C54" i="14"/>
  <c r="H53" i="14"/>
  <c r="G53" i="14"/>
  <c r="F53" i="14"/>
  <c r="E53" i="14"/>
  <c r="D53" i="14"/>
  <c r="C53" i="14"/>
  <c r="H52" i="14"/>
  <c r="G52" i="14"/>
  <c r="F52" i="14"/>
  <c r="E52" i="14"/>
  <c r="D52" i="14"/>
  <c r="C52" i="14"/>
  <c r="H51" i="14"/>
  <c r="G51" i="14"/>
  <c r="F51" i="14"/>
  <c r="E51" i="14"/>
  <c r="D51" i="14"/>
  <c r="C51" i="14"/>
  <c r="H50" i="14"/>
  <c r="G50" i="14" s="1"/>
  <c r="F50" i="14"/>
  <c r="E50" i="14"/>
  <c r="D50" i="14"/>
  <c r="C50" i="14"/>
  <c r="H49" i="14"/>
  <c r="F49" i="14"/>
  <c r="E49" i="14"/>
  <c r="D49" i="14"/>
  <c r="H47" i="14"/>
  <c r="G47" i="14"/>
  <c r="F47" i="14"/>
  <c r="E47" i="14"/>
  <c r="D47" i="14"/>
  <c r="C47" i="14"/>
  <c r="H46" i="14"/>
  <c r="G46" i="14"/>
  <c r="F46" i="14"/>
  <c r="E46" i="14"/>
  <c r="D46" i="14"/>
  <c r="C46" i="14"/>
  <c r="H45" i="14"/>
  <c r="G45" i="14"/>
  <c r="F45" i="14"/>
  <c r="E45" i="14"/>
  <c r="D45" i="14"/>
  <c r="C45" i="14"/>
  <c r="H44" i="14"/>
  <c r="G44" i="14"/>
  <c r="F44" i="14"/>
  <c r="E44" i="14"/>
  <c r="D44" i="14"/>
  <c r="C44" i="14"/>
  <c r="H43" i="14"/>
  <c r="G43" i="14"/>
  <c r="F43" i="14"/>
  <c r="E43" i="14"/>
  <c r="D43" i="14"/>
  <c r="C43" i="14"/>
  <c r="H42" i="14"/>
  <c r="G42" i="14"/>
  <c r="F42" i="14"/>
  <c r="E42" i="14"/>
  <c r="D42" i="14"/>
  <c r="C42" i="14"/>
  <c r="H40" i="14"/>
  <c r="G40" i="14"/>
  <c r="F40" i="14"/>
  <c r="E40" i="14"/>
  <c r="D40" i="14"/>
  <c r="C40" i="14"/>
  <c r="H39" i="14"/>
  <c r="G39" i="14"/>
  <c r="F39" i="14"/>
  <c r="E39" i="14"/>
  <c r="D39" i="14"/>
  <c r="C39" i="14"/>
  <c r="H38" i="14"/>
  <c r="G38" i="14"/>
  <c r="F38" i="14"/>
  <c r="E38" i="14"/>
  <c r="D38" i="14"/>
  <c r="C38" i="14"/>
  <c r="H37" i="14"/>
  <c r="G37" i="14"/>
  <c r="F37" i="14"/>
  <c r="E37" i="14"/>
  <c r="D37" i="14"/>
  <c r="C37" i="14"/>
  <c r="H36" i="14"/>
  <c r="G36" i="14"/>
  <c r="F36" i="14"/>
  <c r="E36" i="14"/>
  <c r="D36" i="14"/>
  <c r="C36" i="14"/>
  <c r="H35" i="14"/>
  <c r="G35" i="14"/>
  <c r="F35" i="14"/>
  <c r="E35" i="14"/>
  <c r="D35" i="14"/>
  <c r="C35" i="14"/>
  <c r="H34" i="14"/>
  <c r="G34" i="14"/>
  <c r="F34" i="14"/>
  <c r="E34" i="14"/>
  <c r="D34" i="14"/>
  <c r="C34" i="14"/>
  <c r="H33" i="14"/>
  <c r="G33" i="14"/>
  <c r="F33" i="14"/>
  <c r="E33" i="14"/>
  <c r="D33" i="14"/>
  <c r="C33" i="14"/>
  <c r="H32" i="14"/>
  <c r="G32" i="14"/>
  <c r="F32" i="14"/>
  <c r="E32" i="14"/>
  <c r="D32" i="14"/>
  <c r="C32" i="14"/>
  <c r="H31" i="14"/>
  <c r="G31" i="14"/>
  <c r="F31" i="14"/>
  <c r="E31" i="14"/>
  <c r="D31" i="14"/>
  <c r="C31" i="14"/>
  <c r="H30" i="14"/>
  <c r="G30" i="14"/>
  <c r="F30" i="14"/>
  <c r="E30" i="14"/>
  <c r="D30" i="14"/>
  <c r="C30" i="14"/>
  <c r="H29" i="14"/>
  <c r="G29" i="14"/>
  <c r="F29" i="14"/>
  <c r="E29" i="14"/>
  <c r="D29" i="14"/>
  <c r="C29" i="14"/>
  <c r="H28" i="14"/>
  <c r="G28" i="14"/>
  <c r="F28" i="14"/>
  <c r="E28" i="14"/>
  <c r="D28" i="14"/>
  <c r="C28" i="14"/>
  <c r="H27" i="14"/>
  <c r="G27" i="14"/>
  <c r="F27" i="14"/>
  <c r="E27" i="14"/>
  <c r="D27" i="14"/>
  <c r="C27" i="14"/>
  <c r="H26" i="14"/>
  <c r="G26" i="14"/>
  <c r="F26" i="14"/>
  <c r="E26" i="14"/>
  <c r="D26" i="14"/>
  <c r="C26" i="14"/>
  <c r="H25" i="14"/>
  <c r="G25" i="14"/>
  <c r="F25" i="14"/>
  <c r="E25" i="14"/>
  <c r="D25" i="14"/>
  <c r="C25" i="14"/>
  <c r="H24" i="14"/>
  <c r="G24" i="14"/>
  <c r="F24" i="14"/>
  <c r="E24" i="14"/>
  <c r="D24" i="14"/>
  <c r="C24" i="14"/>
  <c r="H23" i="14"/>
  <c r="G23" i="14"/>
  <c r="F23" i="14"/>
  <c r="E23" i="14"/>
  <c r="D23" i="14"/>
  <c r="C23" i="14"/>
  <c r="H22" i="14"/>
  <c r="G22" i="14"/>
  <c r="F22" i="14"/>
  <c r="E22" i="14"/>
  <c r="D22" i="14"/>
  <c r="C22" i="14"/>
  <c r="H21" i="14"/>
  <c r="G21" i="14"/>
  <c r="F21" i="14"/>
  <c r="E21" i="14"/>
  <c r="D21" i="14"/>
  <c r="C21" i="14"/>
  <c r="H20" i="14"/>
  <c r="G20" i="14"/>
  <c r="F20" i="14"/>
  <c r="E20" i="14"/>
  <c r="D20" i="14"/>
  <c r="C20" i="14"/>
  <c r="H18" i="14"/>
  <c r="G18" i="14"/>
  <c r="F18" i="14"/>
  <c r="E18" i="14"/>
  <c r="D18" i="14"/>
  <c r="C18" i="14"/>
  <c r="H17" i="14"/>
  <c r="G17" i="14"/>
  <c r="F17" i="14"/>
  <c r="E17" i="14"/>
  <c r="D17" i="14"/>
  <c r="C17" i="14"/>
  <c r="G16" i="14"/>
  <c r="E16" i="14"/>
  <c r="C16" i="14"/>
  <c r="H15" i="14"/>
  <c r="G15" i="14"/>
  <c r="F15" i="14"/>
  <c r="E15" i="14"/>
  <c r="D15" i="14"/>
  <c r="C15" i="14"/>
  <c r="H14" i="14"/>
  <c r="G14" i="14"/>
  <c r="F14" i="14"/>
  <c r="E14" i="14"/>
  <c r="D14" i="14"/>
  <c r="C14" i="14"/>
  <c r="H13" i="14"/>
  <c r="G13" i="14"/>
  <c r="F13" i="14"/>
  <c r="E13" i="14"/>
  <c r="D13" i="14"/>
  <c r="C13" i="14"/>
  <c r="H12" i="14"/>
  <c r="G12" i="14"/>
  <c r="F12" i="14"/>
  <c r="E12" i="14"/>
  <c r="D12" i="14"/>
  <c r="C12" i="14"/>
  <c r="H11" i="14"/>
  <c r="G11" i="14"/>
  <c r="F11" i="14"/>
  <c r="E11" i="14"/>
  <c r="D11" i="14"/>
  <c r="C11" i="14"/>
  <c r="H10" i="14"/>
  <c r="G10" i="14"/>
  <c r="F10" i="14"/>
  <c r="E10" i="14"/>
  <c r="D10" i="14"/>
  <c r="C10" i="14"/>
  <c r="H9" i="14"/>
  <c r="G9" i="14"/>
  <c r="D9" i="14"/>
  <c r="C9" i="14"/>
  <c r="E9" i="14" s="1"/>
  <c r="F9" i="14" s="1"/>
  <c r="D48" i="13"/>
  <c r="H48" i="13"/>
  <c r="H8" i="14"/>
  <c r="F8" i="14"/>
  <c r="G8" i="14"/>
  <c r="E8" i="14"/>
  <c r="D8" i="14"/>
  <c r="C8" i="14"/>
  <c r="H30" i="22" l="1"/>
  <c r="H7" i="22" s="1"/>
  <c r="H6" i="22" s="1"/>
  <c r="E48" i="14"/>
  <c r="F48" i="14"/>
  <c r="G48" i="13"/>
  <c r="C7" i="14"/>
  <c r="D16" i="14"/>
  <c r="D7" i="14" s="1"/>
  <c r="F7" i="13"/>
  <c r="E7" i="14"/>
  <c r="F16" i="14"/>
  <c r="F7" i="14" s="1"/>
  <c r="G7" i="14"/>
  <c r="H16" i="14"/>
  <c r="H7" i="14" s="1"/>
  <c r="G7" i="13"/>
  <c r="G6" i="13" s="1"/>
  <c r="D48" i="14"/>
  <c r="H48" i="14"/>
  <c r="G49" i="14"/>
  <c r="G48" i="14" s="1"/>
  <c r="F48" i="13"/>
  <c r="C48" i="13"/>
  <c r="C49" i="14"/>
  <c r="C48" i="14" s="1"/>
  <c r="C7" i="13"/>
  <c r="E48" i="13"/>
  <c r="D7" i="13"/>
  <c r="D6" i="13" s="1"/>
  <c r="H7" i="13"/>
  <c r="H6" i="13" s="1"/>
  <c r="E7" i="13"/>
  <c r="E6" i="14" l="1"/>
  <c r="F6" i="14"/>
  <c r="C6" i="14"/>
  <c r="G6" i="14"/>
  <c r="C6" i="13"/>
  <c r="F6" i="13"/>
  <c r="H6" i="14"/>
  <c r="D6" i="14"/>
  <c r="E6" i="13"/>
  <c r="F10" i="1"/>
  <c r="B39" i="1"/>
  <c r="D23" i="1"/>
  <c r="B21" i="1"/>
  <c r="G27" i="1"/>
  <c r="G26" i="1"/>
  <c r="G12" i="1"/>
  <c r="C23" i="1"/>
  <c r="B10" i="1"/>
  <c r="G53" i="1"/>
  <c r="E43" i="1"/>
  <c r="G20" i="1"/>
  <c r="F49" i="1"/>
  <c r="G34" i="1"/>
  <c r="B32" i="1"/>
  <c r="B54" i="1"/>
  <c r="G29" i="1"/>
  <c r="C30" i="1"/>
  <c r="B28" i="1"/>
  <c r="E8" i="1"/>
  <c r="D48" i="1"/>
  <c r="F42" i="1"/>
  <c r="F24" i="1"/>
  <c r="G9" i="1"/>
  <c r="C11" i="1"/>
  <c r="G25" i="1"/>
  <c r="C52" i="1"/>
  <c r="B40" i="1"/>
  <c r="G40" i="1"/>
  <c r="G52" i="1"/>
  <c r="B42" i="1"/>
  <c r="G44" i="1"/>
  <c r="F55" i="1"/>
  <c r="B36" i="1"/>
  <c r="F32" i="1"/>
  <c r="G13" i="1"/>
  <c r="F36" i="1"/>
  <c r="E21" i="1"/>
  <c r="B55" i="1"/>
  <c r="B11" i="1"/>
  <c r="C50" i="1"/>
  <c r="E42" i="1"/>
  <c r="F17" i="1"/>
  <c r="G35" i="1"/>
  <c r="E30" i="1"/>
  <c r="F48" i="1"/>
  <c r="E28" i="1"/>
  <c r="C12" i="1"/>
  <c r="D21" i="1"/>
  <c r="D16" i="1"/>
  <c r="C44" i="1"/>
  <c r="E11" i="1"/>
  <c r="D51" i="1"/>
  <c r="G14" i="1"/>
  <c r="C27" i="1"/>
  <c r="G28" i="1"/>
  <c r="G42" i="1"/>
  <c r="G48" i="1"/>
  <c r="B12" i="1"/>
  <c r="F20" i="1"/>
  <c r="E29" i="1"/>
  <c r="D11" i="1"/>
  <c r="D54" i="1"/>
  <c r="G22" i="1"/>
  <c r="B46" i="1"/>
  <c r="B37" i="1"/>
  <c r="E52" i="1"/>
  <c r="G23" i="1"/>
  <c r="F52" i="1"/>
  <c r="D32" i="1"/>
  <c r="G37" i="1"/>
  <c r="B31" i="1"/>
  <c r="E51" i="1"/>
  <c r="D14" i="1"/>
  <c r="F29" i="1"/>
  <c r="E54" i="1"/>
  <c r="B25" i="1"/>
  <c r="E16" i="1"/>
  <c r="E14" i="1"/>
  <c r="D49" i="1"/>
  <c r="B47" i="1"/>
  <c r="C16" i="1"/>
  <c r="G8" i="1"/>
  <c r="C45" i="1"/>
  <c r="B51" i="1"/>
  <c r="D33" i="1"/>
  <c r="C18" i="1"/>
  <c r="F43" i="1"/>
  <c r="C17" i="1"/>
  <c r="G15" i="1"/>
  <c r="B30" i="1"/>
  <c r="E55" i="1"/>
  <c r="D12" i="1"/>
  <c r="D53" i="1"/>
  <c r="D18" i="1"/>
  <c r="G10" i="1"/>
  <c r="B53" i="1"/>
  <c r="C21" i="1"/>
  <c r="C19" i="1"/>
  <c r="C25" i="1"/>
  <c r="D37" i="1"/>
  <c r="D52" i="1"/>
  <c r="F47" i="1"/>
  <c r="E32" i="1"/>
  <c r="C40" i="1"/>
  <c r="B34" i="1"/>
  <c r="D34" i="1"/>
  <c r="E47" i="1"/>
  <c r="E17" i="1"/>
  <c r="D42" i="1"/>
  <c r="E53" i="1"/>
  <c r="B56" i="1"/>
  <c r="C55" i="1"/>
  <c r="C42" i="1"/>
  <c r="F37" i="1"/>
  <c r="D35" i="1"/>
  <c r="C31" i="1"/>
  <c r="G45" i="1"/>
  <c r="F50" i="1"/>
  <c r="C36" i="1"/>
  <c r="B20" i="1"/>
  <c r="F38" i="1"/>
  <c r="G11" i="1"/>
  <c r="F45" i="1"/>
  <c r="B38" i="1"/>
  <c r="F40" i="1"/>
  <c r="G55" i="1"/>
  <c r="F11" i="1"/>
  <c r="G56" i="1"/>
  <c r="B29" i="1"/>
  <c r="D22" i="1"/>
  <c r="D41" i="1"/>
  <c r="F31" i="1"/>
  <c r="C24" i="1"/>
  <c r="G31" i="1"/>
  <c r="C9" i="1"/>
  <c r="B33" i="1"/>
  <c r="E45" i="1"/>
  <c r="E46" i="1"/>
  <c r="C54" i="1"/>
  <c r="C49" i="1"/>
  <c r="B41" i="1"/>
  <c r="E37" i="1"/>
  <c r="B45" i="1"/>
  <c r="G43" i="1"/>
  <c r="B50" i="1"/>
  <c r="C34" i="1"/>
  <c r="F56" i="1"/>
  <c r="D15" i="1"/>
  <c r="D26" i="1"/>
  <c r="E33" i="1"/>
  <c r="B13" i="1"/>
  <c r="G30" i="1"/>
  <c r="E23" i="1"/>
  <c r="F13" i="1"/>
  <c r="F30" i="1"/>
  <c r="E27" i="1"/>
  <c r="G18" i="1"/>
  <c r="C33" i="1"/>
  <c r="C38" i="1"/>
  <c r="C56" i="1"/>
  <c r="B9" i="1"/>
  <c r="C32" i="1"/>
  <c r="E10" i="1"/>
  <c r="D25" i="1"/>
  <c r="C14" i="1"/>
  <c r="D39" i="1"/>
  <c r="B19" i="1"/>
  <c r="D55" i="1"/>
  <c r="G32" i="1"/>
  <c r="F54" i="1"/>
  <c r="D44" i="1"/>
  <c r="E18" i="1"/>
  <c r="C46" i="1"/>
  <c r="G50" i="1"/>
  <c r="E49" i="1"/>
  <c r="B43" i="1"/>
  <c r="G17" i="1"/>
  <c r="G54" i="1"/>
  <c r="D9" i="1"/>
  <c r="B15" i="1"/>
  <c r="F34" i="1"/>
  <c r="D56" i="1"/>
  <c r="C47" i="1"/>
  <c r="F28" i="1"/>
  <c r="F9" i="1"/>
  <c r="B14" i="1"/>
  <c r="D29" i="1"/>
  <c r="D10" i="1"/>
  <c r="B8" i="1"/>
  <c r="E36" i="1"/>
  <c r="E50" i="1"/>
  <c r="B44" i="1"/>
  <c r="E39" i="1"/>
  <c r="B35" i="1"/>
  <c r="F27" i="1"/>
  <c r="G38" i="1"/>
  <c r="F23" i="1"/>
  <c r="F21" i="1"/>
  <c r="C8" i="1"/>
  <c r="B48" i="1"/>
  <c r="F51" i="1"/>
  <c r="E44" i="1"/>
  <c r="E31" i="1"/>
  <c r="C29" i="1"/>
  <c r="F53" i="1"/>
  <c r="F19" i="1"/>
  <c r="C22" i="1"/>
  <c r="D36" i="1"/>
  <c r="C51" i="1"/>
  <c r="D47" i="1"/>
  <c r="F41" i="1"/>
  <c r="D19" i="1"/>
  <c r="D40" i="1"/>
  <c r="E38" i="1"/>
  <c r="D45" i="1"/>
  <c r="B49" i="1"/>
  <c r="F26" i="1"/>
  <c r="E56" i="1"/>
  <c r="F46" i="1"/>
  <c r="E34" i="1"/>
  <c r="D50" i="1"/>
  <c r="G47" i="1"/>
  <c r="E48" i="1"/>
  <c r="F8" i="1"/>
  <c r="D38" i="1"/>
  <c r="F16" i="1"/>
  <c r="C39" i="1"/>
  <c r="D27" i="1"/>
  <c r="D13" i="1"/>
  <c r="C10" i="1"/>
  <c r="C53" i="1"/>
  <c r="E25" i="1"/>
  <c r="E24" i="1"/>
  <c r="B27" i="1"/>
  <c r="E19" i="1"/>
  <c r="C35" i="1"/>
  <c r="E35" i="1"/>
  <c r="G21" i="1"/>
  <c r="B18" i="1"/>
  <c r="B52" i="1"/>
  <c r="E26" i="1"/>
  <c r="G16" i="1"/>
  <c r="D8" i="1"/>
  <c r="B24" i="1"/>
  <c r="G51" i="1"/>
  <c r="E41" i="1"/>
  <c r="D46" i="1"/>
  <c r="G33" i="1"/>
  <c r="G46" i="1"/>
  <c r="C15" i="1"/>
  <c r="C28" i="1"/>
  <c r="D20" i="1"/>
  <c r="B17" i="1"/>
  <c r="E40" i="1"/>
  <c r="B26" i="1"/>
  <c r="G24" i="1"/>
  <c r="G39" i="1"/>
  <c r="D28" i="1"/>
  <c r="G41" i="1"/>
  <c r="E15" i="1"/>
  <c r="D17" i="1"/>
  <c r="B22" i="1"/>
  <c r="F33" i="1"/>
  <c r="E12" i="1"/>
  <c r="F18" i="1"/>
  <c r="E13" i="1"/>
  <c r="G36" i="1"/>
  <c r="D31" i="1"/>
  <c r="C48" i="1"/>
  <c r="G19" i="1"/>
  <c r="F35" i="1"/>
  <c r="C43" i="1"/>
  <c r="E9" i="1"/>
  <c r="C37" i="1"/>
  <c r="D43" i="1"/>
  <c r="E22" i="1"/>
  <c r="F15" i="1"/>
  <c r="B16" i="1"/>
  <c r="E20" i="1"/>
  <c r="C13" i="1"/>
  <c r="B23" i="1"/>
  <c r="F12" i="1"/>
  <c r="D24" i="1"/>
  <c r="D30" i="1"/>
  <c r="F22" i="1"/>
  <c r="F25" i="1"/>
  <c r="C20" i="1"/>
  <c r="F44" i="1"/>
  <c r="G49" i="1"/>
  <c r="F39" i="1"/>
  <c r="C26" i="1"/>
  <c r="F14" i="1"/>
  <c r="C41" i="1"/>
  <c r="F35" i="11" l="1"/>
  <c r="B45" i="11"/>
  <c r="F21" i="11"/>
  <c r="E38" i="11"/>
  <c r="F43" i="11"/>
  <c r="B24" i="11"/>
  <c r="E43" i="11"/>
  <c r="B30" i="11"/>
  <c r="I22" i="11"/>
  <c r="F49" i="11"/>
  <c r="I40" i="11"/>
  <c r="F52" i="11"/>
  <c r="H41" i="11"/>
  <c r="I55" i="11"/>
  <c r="E22" i="11"/>
  <c r="E47" i="11"/>
  <c r="E52" i="11"/>
  <c r="B46" i="11"/>
  <c r="F22" i="11"/>
  <c r="C25" i="11"/>
  <c r="E11" i="11"/>
  <c r="B33" i="11"/>
  <c r="B16" i="11"/>
  <c r="H46" i="11"/>
  <c r="H52" i="11"/>
  <c r="C31" i="11"/>
  <c r="C22" i="11"/>
  <c r="C17" i="11"/>
  <c r="F20" i="11"/>
  <c r="I10" i="11"/>
  <c r="E56" i="11"/>
  <c r="B54" i="11"/>
  <c r="E20" i="11"/>
  <c r="I36" i="11"/>
  <c r="C44" i="11"/>
  <c r="E21" i="11"/>
  <c r="C47" i="11"/>
  <c r="H47" i="11"/>
  <c r="E19" i="11"/>
  <c r="E55" i="11"/>
  <c r="F47" i="11"/>
  <c r="B12" i="11"/>
  <c r="H21" i="11"/>
  <c r="C14" i="11"/>
  <c r="F41" i="11"/>
  <c r="I50" i="11"/>
  <c r="F45" i="11"/>
  <c r="E36" i="11"/>
  <c r="E26" i="11"/>
  <c r="I31" i="11"/>
  <c r="B36" i="11"/>
  <c r="E39" i="11"/>
  <c r="I51" i="11"/>
  <c r="C36" i="11"/>
  <c r="I17" i="11"/>
  <c r="B34" i="11"/>
  <c r="E46" i="11"/>
  <c r="I14" i="11"/>
  <c r="I46" i="11"/>
  <c r="E54" i="11"/>
  <c r="E50" i="11"/>
  <c r="I43" i="11"/>
  <c r="I27" i="11"/>
  <c r="E18" i="11"/>
  <c r="F32" i="11"/>
  <c r="F38" i="11"/>
  <c r="H9" i="11"/>
  <c r="E9" i="11"/>
  <c r="B19" i="11"/>
  <c r="B56" i="11"/>
  <c r="E45" i="11"/>
  <c r="H49" i="11"/>
  <c r="H19" i="11"/>
  <c r="H48" i="11"/>
  <c r="H8" i="11"/>
  <c r="H23" i="11"/>
  <c r="I8" i="11"/>
  <c r="E23" i="11"/>
  <c r="H27" i="11"/>
  <c r="E17" i="11"/>
  <c r="C49" i="11"/>
  <c r="B28" i="11"/>
  <c r="C37" i="11"/>
  <c r="F11" i="11"/>
  <c r="E51" i="11"/>
  <c r="B14" i="11"/>
  <c r="I54" i="11"/>
  <c r="H11" i="11"/>
  <c r="E41" i="11"/>
  <c r="F28" i="11"/>
  <c r="B31" i="11"/>
  <c r="F23" i="11"/>
  <c r="C12" i="11"/>
  <c r="E37" i="11"/>
  <c r="I20" i="11"/>
  <c r="F33" i="11"/>
  <c r="B53" i="11"/>
  <c r="H29" i="11"/>
  <c r="F18" i="11"/>
  <c r="C8" i="11"/>
  <c r="H33" i="11"/>
  <c r="F40" i="11"/>
  <c r="I15" i="11"/>
  <c r="I39" i="11"/>
  <c r="C40" i="11"/>
  <c r="C19" i="11"/>
  <c r="H53" i="11"/>
  <c r="C16" i="11"/>
  <c r="B49" i="11"/>
  <c r="F15" i="11"/>
  <c r="B43" i="11"/>
  <c r="C48" i="11"/>
  <c r="C43" i="11"/>
  <c r="C29" i="11"/>
  <c r="I34" i="11"/>
  <c r="C35" i="11"/>
  <c r="E48" i="11"/>
  <c r="F26" i="11"/>
  <c r="H10" i="11"/>
  <c r="F56" i="11"/>
  <c r="C38" i="11"/>
  <c r="E33" i="11"/>
  <c r="E53" i="11"/>
  <c r="C45" i="11"/>
  <c r="I26" i="11"/>
  <c r="B29" i="11"/>
  <c r="B44" i="11"/>
  <c r="H34" i="11"/>
  <c r="F46" i="11"/>
  <c r="I56" i="11"/>
  <c r="H40" i="11"/>
  <c r="H26" i="11"/>
  <c r="C50" i="11"/>
  <c r="F55" i="11"/>
  <c r="H56" i="11"/>
  <c r="B20" i="11"/>
  <c r="F29" i="11"/>
  <c r="B40" i="11"/>
  <c r="F36" i="11"/>
  <c r="I19" i="11"/>
  <c r="C51" i="11"/>
  <c r="H35" i="11"/>
  <c r="B22" i="11"/>
  <c r="C11" i="11"/>
  <c r="I13" i="11"/>
  <c r="B51" i="11"/>
  <c r="F12" i="11"/>
  <c r="E28" i="11"/>
  <c r="F30" i="11"/>
  <c r="H31" i="11"/>
  <c r="H37" i="11"/>
  <c r="B27" i="11"/>
  <c r="B35" i="11"/>
  <c r="F14" i="11"/>
  <c r="F39" i="11"/>
  <c r="I37" i="11"/>
  <c r="C46" i="11"/>
  <c r="B47" i="11"/>
  <c r="H13" i="11"/>
  <c r="I28" i="11"/>
  <c r="B10" i="11"/>
  <c r="E35" i="11"/>
  <c r="B50" i="11"/>
  <c r="B37" i="11"/>
  <c r="I32" i="11"/>
  <c r="C42" i="11"/>
  <c r="B17" i="11"/>
  <c r="B23" i="11"/>
  <c r="I9" i="11"/>
  <c r="F25" i="11"/>
  <c r="F50" i="11"/>
  <c r="B39" i="11"/>
  <c r="I38" i="11"/>
  <c r="I52" i="11"/>
  <c r="I45" i="11"/>
  <c r="C18" i="11"/>
  <c r="C33" i="11"/>
  <c r="F13" i="11"/>
  <c r="I48" i="11"/>
  <c r="I24" i="11"/>
  <c r="H18" i="11"/>
  <c r="F27" i="11"/>
  <c r="H28" i="11"/>
  <c r="E32" i="11"/>
  <c r="H24" i="11"/>
  <c r="I49" i="11"/>
  <c r="F16" i="11"/>
  <c r="B21" i="11"/>
  <c r="E14" i="11"/>
  <c r="F54" i="11"/>
  <c r="C54" i="11"/>
  <c r="H17" i="11"/>
  <c r="H16" i="11"/>
  <c r="C30" i="11"/>
  <c r="E10" i="11"/>
  <c r="F8" i="11"/>
  <c r="C52" i="11"/>
  <c r="C9" i="11"/>
  <c r="H25" i="11"/>
  <c r="E12" i="11"/>
  <c r="I16" i="11"/>
  <c r="E42" i="11"/>
  <c r="I42" i="11"/>
  <c r="F37" i="11"/>
  <c r="B8" i="11"/>
  <c r="H14" i="11"/>
  <c r="H39" i="11"/>
  <c r="B25" i="11"/>
  <c r="F31" i="11"/>
  <c r="H45" i="11"/>
  <c r="H22" i="11"/>
  <c r="H51" i="11"/>
  <c r="C53" i="11"/>
  <c r="C13" i="11"/>
  <c r="F51" i="11"/>
  <c r="B26" i="11"/>
  <c r="H20" i="11"/>
  <c r="C39" i="11"/>
  <c r="C15" i="11"/>
  <c r="I35" i="11"/>
  <c r="F34" i="11"/>
  <c r="B38" i="11"/>
  <c r="C27" i="11"/>
  <c r="H44" i="11"/>
  <c r="B13" i="11"/>
  <c r="I53" i="11"/>
  <c r="B9" i="11"/>
  <c r="B32" i="11"/>
  <c r="H42" i="11"/>
  <c r="E49" i="11"/>
  <c r="E24" i="11"/>
  <c r="H54" i="11"/>
  <c r="B55" i="11"/>
  <c r="H36" i="11"/>
  <c r="I29" i="11"/>
  <c r="H43" i="11"/>
  <c r="B52" i="11"/>
  <c r="E34" i="11"/>
  <c r="B48" i="11"/>
  <c r="C26" i="11"/>
  <c r="E25" i="11"/>
  <c r="I33" i="11"/>
  <c r="B41" i="11"/>
  <c r="I47" i="11"/>
  <c r="I23" i="11"/>
  <c r="C56" i="11"/>
  <c r="E16" i="11"/>
  <c r="C34" i="11"/>
  <c r="C20" i="11"/>
  <c r="B18" i="11"/>
  <c r="F17" i="11"/>
  <c r="C28" i="11"/>
  <c r="C41" i="11"/>
  <c r="H15" i="11"/>
  <c r="F53" i="11"/>
  <c r="H50" i="11"/>
  <c r="F19" i="11"/>
  <c r="I18" i="11"/>
  <c r="H30" i="11"/>
  <c r="F44" i="11"/>
  <c r="E29" i="11"/>
  <c r="E13" i="11"/>
  <c r="I12" i="11"/>
  <c r="H12" i="11"/>
  <c r="I44" i="11"/>
  <c r="C23" i="11"/>
  <c r="C24" i="11"/>
  <c r="E15" i="11"/>
  <c r="F24" i="11"/>
  <c r="I11" i="11"/>
  <c r="C32" i="11"/>
  <c r="H55" i="11"/>
  <c r="H38" i="11"/>
  <c r="E44" i="11"/>
  <c r="C55" i="11"/>
  <c r="F42" i="11"/>
  <c r="B42" i="11"/>
  <c r="E40" i="11"/>
  <c r="H32" i="11"/>
  <c r="F9" i="11"/>
  <c r="E30" i="11"/>
  <c r="I30" i="11"/>
  <c r="I41" i="11"/>
  <c r="I21" i="11"/>
  <c r="E8" i="11"/>
  <c r="B15" i="11"/>
  <c r="I25" i="11"/>
  <c r="F10" i="11"/>
  <c r="F48" i="11"/>
  <c r="E27" i="11"/>
  <c r="C21" i="11"/>
  <c r="B11" i="11"/>
  <c r="C10" i="11"/>
  <c r="E31" i="11"/>
</calcChain>
</file>

<file path=xl/sharedStrings.xml><?xml version="1.0" encoding="utf-8"?>
<sst xmlns="http://schemas.openxmlformats.org/spreadsheetml/2006/main" count="1189" uniqueCount="158">
  <si>
    <t>England</t>
  </si>
  <si>
    <t>https://www.gov.uk/government/collections/fire-statistics</t>
  </si>
  <si>
    <t>Source: Home Office Operational Statistics Data Collection, figures supplied by fire and rescue authorities.</t>
  </si>
  <si>
    <t>Metropolitan fire and rescue authorities</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</si>
  <si>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</si>
  <si>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</si>
  <si>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</si>
  <si>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</si>
  <si>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</si>
  <si>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</si>
  <si>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</si>
  <si>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</si>
  <si>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</si>
  <si>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</si>
  <si>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</si>
  <si>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</si>
  <si>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</si>
  <si>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</si>
  <si>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</si>
  <si>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</si>
  <si>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</si>
  <si>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</si>
  <si>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</si>
  <si>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</si>
  <si>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</si>
  <si>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</si>
  <si>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</si>
  <si>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</si>
  <si>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</si>
  <si>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</si>
  <si>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</si>
  <si>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</si>
  <si>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</si>
  <si>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</si>
  <si>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</si>
  <si>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</si>
  <si>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</si>
  <si>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</si>
  <si>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</si>
  <si>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</si>
  <si>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</si>
  <si>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</si>
  <si>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</si>
  <si>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</si>
  <si>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</si>
  <si>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</si>
  <si>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</si>
  <si>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</si>
  <si>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</si>
  <si>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</si>
  <si>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Wiltshire</t>
  </si>
  <si>
    <t>2015-16</t>
  </si>
  <si>
    <t>Non-Metropolitan</t>
  </si>
  <si>
    <t>Devon &amp; Somerset</t>
  </si>
  <si>
    <t>Hereford &amp; Worcester</t>
  </si>
  <si>
    <t>Isle of Wight</t>
  </si>
  <si>
    <t>Metropolitan</t>
  </si>
  <si>
    <t>Tyne &amp; Wear</t>
  </si>
  <si>
    <t>FRA</t>
  </si>
  <si>
    <t>Select a year from the drop-down list in the orange box below:</t>
  </si>
  <si>
    <t>2014-15</t>
  </si>
  <si>
    <t>2010-11</t>
  </si>
  <si>
    <t>2011-12</t>
  </si>
  <si>
    <t>2012-13</t>
  </si>
  <si>
    <t>2013-14</t>
  </si>
  <si>
    <t>The statistics in this table are Official Statistics.</t>
  </si>
  <si>
    <t>Appendix 11. Fire and Rescue Service campaigns and initiatives in England At 31 March 2015</t>
  </si>
  <si>
    <r>
      <t>All campaigns and initiatives</t>
    </r>
    <r>
      <rPr>
        <b/>
        <vertAlign val="superscript"/>
        <sz val="10"/>
        <rFont val="Arial"/>
        <family val="2"/>
      </rPr>
      <t>1</t>
    </r>
  </si>
  <si>
    <r>
      <t>of which: Firesetter and anti-social behaviour schemes and other youth diversion</t>
    </r>
    <r>
      <rPr>
        <b/>
        <vertAlign val="superscript"/>
        <sz val="10"/>
        <rFont val="Arial"/>
        <family val="2"/>
      </rPr>
      <t>2</t>
    </r>
  </si>
  <si>
    <r>
      <t>of which: Other youth fire safety programmes</t>
    </r>
    <r>
      <rPr>
        <b/>
        <vertAlign val="superscript"/>
        <sz val="10"/>
        <rFont val="Arial"/>
        <family val="2"/>
      </rPr>
      <t>3</t>
    </r>
  </si>
  <si>
    <t>Number of visits</t>
  </si>
  <si>
    <t>Personnel Hours</t>
  </si>
  <si>
    <t>total</t>
  </si>
  <si>
    <t>fireyouth</t>
  </si>
  <si>
    <t>otheryouth</t>
  </si>
  <si>
    <t>number</t>
  </si>
  <si>
    <t>hours</t>
  </si>
  <si>
    <t>ENGLAND</t>
  </si>
  <si>
    <r>
      <t>Staffordshire</t>
    </r>
    <r>
      <rPr>
        <vertAlign val="superscript"/>
        <sz val="10"/>
        <rFont val="Arial"/>
        <family val="2"/>
      </rPr>
      <t>4</t>
    </r>
  </si>
  <si>
    <r>
      <t>West Sussex</t>
    </r>
    <r>
      <rPr>
        <vertAlign val="superscript"/>
        <sz val="10"/>
        <rFont val="Arial"/>
        <family val="2"/>
      </rPr>
      <t>5</t>
    </r>
  </si>
  <si>
    <t>1. Including: youth diversion, young firesetter schemes, schools education activity (nursery to key stage 5), arson prevention initiatives
 and other fire prevention campaigns/initiatives (Road safety campaigns etc)</t>
  </si>
  <si>
    <t>2. Initiatives designed to divert young (aged 18 and under) people from offending or those at risk of offending. This category includes Local Intervention Fire Education (LIFE) and Cadets schemes</t>
  </si>
  <si>
    <t>3. Other youth fire safety programmes include information on FRS involvement with schools, including visits to fire stations or school talks</t>
  </si>
  <si>
    <t>4. Staffordshire are unable to record hours and visits spent on fire campaigns and initiatives</t>
  </si>
  <si>
    <t>5. Figures are lower than expected due to loss of data whilst I.T. system was being upgraded</t>
  </si>
  <si>
    <t>imputed figure</t>
  </si>
  <si>
    <t>N/a Not available</t>
  </si>
  <si>
    <t>Source: DCLG Annual Returns</t>
  </si>
  <si>
    <t>All campaigns and initiatives</t>
  </si>
  <si>
    <t>N/A Not Available</t>
  </si>
  <si>
    <t>Hours</t>
  </si>
  <si>
    <t xml:space="preserve">of which:                                  Firesetter and anti-social behaviour schemes and other youth diversion </t>
  </si>
  <si>
    <t>of which:                                   Other youth fire safety programmes</t>
  </si>
  <si>
    <t>Appendix 11. Fire and Rescue Service campaigns and initiatives in England At 31 March 2014</t>
  </si>
  <si>
    <t>5. Figures are lower than expect due to loss of data whilst I.T. system was being upgraded</t>
  </si>
  <si>
    <t>Appendix 11. Fire and Rescue Service campaigns and initiatives in England At 31 March 2013</t>
  </si>
  <si>
    <r>
      <t>Bedfordshire</t>
    </r>
    <r>
      <rPr>
        <vertAlign val="superscript"/>
        <sz val="10"/>
        <rFont val="Arial"/>
        <family val="2"/>
      </rPr>
      <t>4</t>
    </r>
  </si>
  <si>
    <r>
      <t>Merseyside</t>
    </r>
    <r>
      <rPr>
        <vertAlign val="superscript"/>
        <sz val="10"/>
        <rFont val="Arial"/>
        <family val="2"/>
      </rPr>
      <t>6</t>
    </r>
  </si>
  <si>
    <r>
      <t>Greater London</t>
    </r>
    <r>
      <rPr>
        <vertAlign val="superscript"/>
        <sz val="10"/>
        <rFont val="Arial"/>
        <family val="2"/>
      </rPr>
      <t>7</t>
    </r>
  </si>
  <si>
    <t xml:space="preserve">4. Does not operate a specific young firesetter scheme and instead works with partners to deliver relevant programmes. </t>
  </si>
  <si>
    <t>Appendix 11. Fire and Rescue Service campaigns and initiatives in England 2011-12</t>
  </si>
  <si>
    <r>
      <t>Lincolnshire</t>
    </r>
    <r>
      <rPr>
        <vertAlign val="superscript"/>
        <sz val="10"/>
        <rFont val="Arial"/>
        <family val="2"/>
      </rPr>
      <t>5</t>
    </r>
  </si>
  <si>
    <t>5. Data for campaigns and initiatives hours are estimates based on historical data</t>
  </si>
  <si>
    <t xml:space="preserve">6. Youth engagement courses delivered are not recorded as visits  </t>
  </si>
  <si>
    <t>Appendix 11. Fire and Rescue Service campaigns and initiatives in England At 31 March 2011</t>
  </si>
  <si>
    <r>
      <t>Cheshire</t>
    </r>
    <r>
      <rPr>
        <vertAlign val="superscript"/>
        <sz val="10"/>
        <rFont val="Arial"/>
        <family val="2"/>
      </rPr>
      <t>5</t>
    </r>
  </si>
  <si>
    <r>
      <t>Cumbria</t>
    </r>
    <r>
      <rPr>
        <vertAlign val="superscript"/>
        <sz val="10"/>
        <rFont val="Arial"/>
        <family val="2"/>
      </rPr>
      <t>4</t>
    </r>
  </si>
  <si>
    <r>
      <t>Hampshire</t>
    </r>
    <r>
      <rPr>
        <vertAlign val="superscript"/>
        <sz val="10"/>
        <rFont val="Arial"/>
        <family val="2"/>
      </rPr>
      <t>6</t>
    </r>
  </si>
  <si>
    <r>
      <t>Hertfordshire</t>
    </r>
    <r>
      <rPr>
        <vertAlign val="superscript"/>
        <sz val="10"/>
        <rFont val="Arial"/>
        <family val="2"/>
      </rPr>
      <t>4</t>
    </r>
  </si>
  <si>
    <r>
      <t>Oxfordshire</t>
    </r>
    <r>
      <rPr>
        <vertAlign val="superscript"/>
        <sz val="10"/>
        <rFont val="Arial"/>
        <family val="2"/>
      </rPr>
      <t>7</t>
    </r>
  </si>
  <si>
    <r>
      <t>Greater London</t>
    </r>
    <r>
      <rPr>
        <vertAlign val="superscript"/>
        <sz val="10"/>
        <rFont val="Arial"/>
        <family val="2"/>
      </rPr>
      <t>8</t>
    </r>
  </si>
  <si>
    <t>4. Data for campaigns and initiatives visits/hours are estimates based on historical data</t>
  </si>
  <si>
    <t>5. Firesetter and antisocial behaviour initiatives include Firesafe visits and hours spent on the on-the-streets programme</t>
  </si>
  <si>
    <t>6. Personnel hours spent on campaigns and initiatives include administration, travelling and activity</t>
  </si>
  <si>
    <t>7. Group visits. Individual visits are in the region of 3,000</t>
  </si>
  <si>
    <t>8. Partial information</t>
  </si>
  <si>
    <t>Note on Imputed figures</t>
  </si>
  <si>
    <t>N/A</t>
  </si>
  <si>
    <t>Notes</t>
  </si>
  <si>
    <t>1 Including: youth diversion, young firesetter schemes, schools education activity (nursery to key stage 5), arson prevention initiatives and other fire prevention campaigns/initiatives (Road safety campaigns etc).</t>
  </si>
  <si>
    <r>
      <t>All campaigns and initiatives</t>
    </r>
    <r>
      <rPr>
        <vertAlign val="superscript"/>
        <sz val="11"/>
        <color theme="1"/>
        <rFont val="Calibri"/>
        <family val="2"/>
        <scheme val="minor"/>
      </rPr>
      <t>1</t>
    </r>
  </si>
  <si>
    <r>
      <t>of which:                                  Firesetter and anti-social behaviour schemes and other youth diversion</t>
    </r>
    <r>
      <rPr>
        <vertAlign val="superscript"/>
        <sz val="11"/>
        <color theme="1"/>
        <rFont val="Calibri"/>
        <family val="2"/>
        <scheme val="minor"/>
      </rPr>
      <t>2</t>
    </r>
  </si>
  <si>
    <t>2010/11</t>
  </si>
  <si>
    <t>2011/12</t>
  </si>
  <si>
    <t>2012/13</t>
  </si>
  <si>
    <t>2013/14</t>
  </si>
  <si>
    <t>2014/15</t>
  </si>
  <si>
    <t>2015/16</t>
  </si>
  <si>
    <t>Financial Years</t>
  </si>
  <si>
    <t>FIRE STATISTICS TABLE 1203: Fire and Rescue Service Campaigns and Initiatives, by fire and rescue authority</t>
  </si>
  <si>
    <t>Appendix 11. Fire and Rescue Service campaigns and initiatives in England At 31 March 2016</t>
  </si>
  <si>
    <t>Dorset &amp; Wiltshire</t>
  </si>
  <si>
    <t>..</t>
  </si>
  <si>
    <t>Dorset and Wiltshire</t>
  </si>
  <si>
    <t>2016/17</t>
  </si>
  <si>
    <t>2016-17</t>
  </si>
  <si>
    <t>Appendix 11. Fire and Rescue Service campaigns and initiatives in England At 31 March 2017</t>
  </si>
  <si>
    <r>
      <t xml:space="preserve">of which:                                   Other youth fire safety programmes </t>
    </r>
    <r>
      <rPr>
        <vertAlign val="superscript"/>
        <sz val="11"/>
        <color theme="1"/>
        <rFont val="Calibri"/>
        <family val="2"/>
        <scheme val="minor"/>
      </rPr>
      <t>3</t>
    </r>
  </si>
  <si>
    <r>
      <t xml:space="preserve">Wiltshire </t>
    </r>
    <r>
      <rPr>
        <vertAlign val="superscript"/>
        <sz val="11"/>
        <color theme="1"/>
        <rFont val="Calibri"/>
        <family val="2"/>
        <scheme val="minor"/>
      </rPr>
      <t>4</t>
    </r>
  </si>
  <si>
    <r>
      <t xml:space="preserve">Dorset and Wiltshire </t>
    </r>
    <r>
      <rPr>
        <vertAlign val="superscript"/>
        <sz val="11"/>
        <color theme="1"/>
        <rFont val="Calibri"/>
        <family val="2"/>
        <scheme val="minor"/>
      </rPr>
      <t>4</t>
    </r>
  </si>
  <si>
    <r>
      <t xml:space="preserve">Dorset </t>
    </r>
    <r>
      <rPr>
        <vertAlign val="superscript"/>
        <sz val="11"/>
        <color theme="1"/>
        <rFont val="Calibri"/>
        <family val="2"/>
        <scheme val="minor"/>
      </rPr>
      <t>4</t>
    </r>
  </si>
  <si>
    <t>2015/16: Bedfordshire (both Firesetter and anti-social behaviour schemes and other youth diversion figures), Cumbria (all three Hours figures), Staffordshire (all figures), Greater Manchester (Other youth fire safety programmes, visits), Merseyside (Other youth fire safety programmes, visits).</t>
  </si>
  <si>
    <t>2014/15: Gloucestershire  (both Other youth fire safety programmes), Isle of Wight (Firesetter and anti-social behaviour schemes and other youth diversion figures - hours), Staffordshire (all figures), Isles of Scilly (both Firesetter and anti-social behaviour schemes and other youth diversion figures and both Other youth fire safety programmes), Greater Manchester (all three visits figures).</t>
  </si>
  <si>
    <t>Figures for West Sussex in 2013/14 are lower than expected because of a loss of data whilst I.T. system was being upgraded.</t>
  </si>
  <si>
    <t>2016/17: Cumbria (all three Hours figures), Staffordshire (all figures), Merseyside (Other youth fire safety programmes, visits).</t>
  </si>
  <si>
    <t>The full set of fire statistics releases, tables and guidance can be found on our landing page, here:</t>
  </si>
  <si>
    <t>2 Initiatives designed to divert young (aged 18 and under) people from offending or those at risk of offending. This category includes Local Intervention Fire Education (LIFE) and Cadets schemes.</t>
  </si>
  <si>
    <t>3 Other youth fire safety programmes include information on FRS involvement with schools, including visits to fire stations or school talks.</t>
  </si>
  <si>
    <t>4 In 2016/17 Dorset FRS and Wiltshire FRS merged. The figures for 2015/16 and previously are shown separately for these two FRSs, figures for 2016/17 onwards are for the merged FRS.</t>
  </si>
  <si>
    <t>2017/18: Hertfordshire (visits and hours for All campaigns and initiatives), Kent (all three Hours figures), Staffordshire (all figures), Merseyside (Other youth fire safety programmes, visits).</t>
  </si>
  <si>
    <t>2017/18</t>
  </si>
  <si>
    <t>2017-18</t>
  </si>
  <si>
    <t>Contact: FireStatistics@homeoffice.gov.uk</t>
  </si>
  <si>
    <t>Last updated: 18 October 2018</t>
  </si>
  <si>
    <t>The figures above include imputed figures for 2014/15 to 2017/18 to ensure a robust national figure. Before this it was deemed that too many responses were not available to do this robustly. These imputed figures are:</t>
  </si>
  <si>
    <t>2017/18 refers to the financial year, from 1st April 2017 to 31 March 2018. Other years follow the same pattern.</t>
  </si>
  <si>
    <t>Home Office statisticians considered the future collection of the ‘campaigns and initiatives’ information in 2019 with regards to the burden of collection and the use made of the data given its known limitations and it was decided to not collect this information. If you regularly use this information then please let us know when and how you use it by contacting us at firestatistics@homeoffice.gov.uk.</t>
  </si>
  <si>
    <t>Final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</si>
</sst>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11"/>
      <color theme="1"/>
      <name val="Calibri"/>
      <family val="2"/>
      <scheme val="minor"/>
    </font>
    <font>
      <b/>
      <sz val="11"/>
      <color theme="1"/>
      <name val="Calibri"/>
      <family val="2"/>
      <scheme val="minor"/>
    </font>
    <font>
      <b/>
      <sz val="11"/>
      <color rgb="FFFFFFFF"/>
      <name val="Arial Black"/>
      <family val="2"/>
    </font>
    <font>
      <sz val="11"/>
      <color rgb="FF000000"/>
      <name val="Calibri"/>
      <family val="2"/>
    </font>
    <font>
      <b/>
      <sz val="11"/>
      <color rgb="FF000000"/>
      <name val="Calibri"/>
      <family val="2"/>
    </font>
    <font>
      <u/>
      <sz val="11"/>
      <color rgb="FF0563C1"/>
      <name val="Calibri"/>
      <family val="2"/>
    </font>
    <font>
      <sz val="10"/>
      <name val="MS Sans Serif"/>
      <family val="2"/>
    </font>
    <font>
      <b/>
      <sz val="14"/>
      <color indexed="43"/>
      <name val="Arial"/>
      <family val="2"/>
    </font>
    <font>
      <sz val="11"/>
      <name val="Arial"/>
      <family val="2"/>
    </font>
    <font>
      <b/>
      <sz val="11"/>
      <name val="Arial"/>
      <family val="2"/>
    </font>
    <font>
      <sz val="10"/>
      <name val="Arial"/>
      <family val="2"/>
    </font>
    <font>
      <b/>
      <sz val="10"/>
      <name val="Arial"/>
      <family val="2"/>
    </font>
    <font>
      <sz val="10"/>
      <name val="MS Sans Serif"/>
      <family val="2"/>
    </font>
    <font>
      <vertAlign val="superscript"/>
      <sz val="10"/>
      <name val="Arial"/>
      <family val="2"/>
    </font>
    <font>
      <b/>
      <vertAlign val="superscript"/>
      <sz val="10"/>
      <name val="Arial"/>
      <family val="2"/>
    </font>
    <font>
      <sz val="10"/>
      <name val="Arial"/>
      <family val="2"/>
    </font>
    <font>
      <sz val="12"/>
      <name val="Arial"/>
      <family val="2"/>
    </font>
    <font>
      <vertAlign val="superscript"/>
      <sz val="11"/>
      <color theme="1"/>
      <name val="Calibri"/>
      <family val="2"/>
      <scheme val="minor"/>
    </font>
    <font>
      <sz val="11"/>
      <color rgb="FFFF0000"/>
      <name val="Calibri"/>
      <family val="2"/>
    </font>
    <font>
      <b/>
      <sz val="11"/>
      <color theme="0"/>
      <name val="Calibri"/>
      <family val="2"/>
      <scheme val="minor"/>
    </font>
  </fonts>
  <fills count="12">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indexed="10"/>
        <bgColor indexed="64"/>
      </patternFill>
    </fill>
    <fill>
      <patternFill patternType="solid">
        <fgColor rgb="FFFFCCFF"/>
        <bgColor indexed="64"/>
      </patternFill>
    </fill>
    <fill>
      <patternFill patternType="solid">
        <fgColor rgb="FFFFC000"/>
        <bgColor indexed="64"/>
      </patternFill>
    </fill>
    <fill>
      <patternFill patternType="solid">
        <fgColor theme="7"/>
        <bgColor indexed="64"/>
      </patternFill>
    </fill>
    <fill>
      <patternFill patternType="solid">
        <fgColor rgb="FFFF0000"/>
        <bgColor rgb="FFFFFFFF"/>
      </patternFill>
    </fill>
  </fills>
  <borders count="8">
    <border>
      <left/>
      <right/>
      <top/>
      <bottom/>
      <diagonal/>
    </border>
    <border>
      <left/>
      <right/>
      <top/>
      <bottom style="medium">
        <color rgb="FFFF0000"/>
      </bottom>
      <diagonal/>
    </border>
    <border>
      <left/>
      <right/>
      <top style="medium">
        <color rgb="FFFF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rgb="FFFF0000"/>
      </top>
      <bottom style="medium">
        <color rgb="FFFF0000"/>
      </bottom>
      <diagonal/>
    </border>
  </borders>
  <cellStyleXfs count="13">
    <xf numFmtId="0" fontId="0" fillId="0" borderId="0"/>
    <xf numFmtId="0" fontId="3" fillId="0" borderId="0"/>
    <xf numFmtId="0" fontId="5" fillId="0" borderId="0" applyNumberFormat="0" applyFill="0" applyBorder="0" applyAlignment="0" applyProtection="0"/>
    <xf numFmtId="0" fontId="6" fillId="0" borderId="0"/>
    <xf numFmtId="0" fontId="10" fillId="0" borderId="0"/>
    <xf numFmtId="0" fontId="12" fillId="0" borderId="0"/>
    <xf numFmtId="0" fontId="10" fillId="0" borderId="0"/>
    <xf numFmtId="0" fontId="10" fillId="0" borderId="0"/>
    <xf numFmtId="0" fontId="6" fillId="0" borderId="0"/>
    <xf numFmtId="0" fontId="15" fillId="0" borderId="0"/>
    <xf numFmtId="0" fontId="15" fillId="0" borderId="0"/>
    <xf numFmtId="0" fontId="12" fillId="0" borderId="0"/>
    <xf numFmtId="0" fontId="15" fillId="0" borderId="0"/>
  </cellStyleXfs>
  <cellXfs count="133">
    <xf numFmtId="0" fontId="0" fillId="0" borderId="0" xfId="0"/>
    <xf numFmtId="0" fontId="2" fillId="3" borderId="0" xfId="0" applyFont="1" applyFill="1" applyAlignment="1">
      <alignment wrapText="1"/>
    </xf>
    <xf numFmtId="0" fontId="0" fillId="4" borderId="0" xfId="0" applyFill="1" applyAlignment="1">
      <alignment wrapText="1"/>
    </xf>
    <xf numFmtId="0" fontId="0" fillId="5" borderId="0" xfId="0" applyFill="1" applyAlignment="1">
      <alignment wrapText="1"/>
    </xf>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xf numFmtId="0" fontId="0" fillId="4" borderId="1" xfId="0" applyFill="1" applyBorder="1" applyAlignment="1">
      <alignment horizontal="left" vertical="center" wrapText="1"/>
    </xf>
    <xf numFmtId="0" fontId="0" fillId="4" borderId="0" xfId="0" applyFill="1" applyAlignment="1">
      <alignment horizontal="right" vertical="center" wrapText="1"/>
    </xf>
    <xf numFmtId="1" fontId="0" fillId="4" borderId="0" xfId="0" applyNumberFormat="1" applyFill="1"/>
    <xf numFmtId="164" fontId="0" fillId="5" borderId="0" xfId="0" applyNumberFormat="1" applyFill="1"/>
    <xf numFmtId="1" fontId="0" fillId="5" borderId="0" xfId="0" applyNumberFormat="1" applyFill="1"/>
    <xf numFmtId="3" fontId="0" fillId="5" borderId="0" xfId="0" applyNumberFormat="1" applyFill="1" applyBorder="1" applyAlignment="1">
      <alignment horizontal="right"/>
    </xf>
    <xf numFmtId="3" fontId="1" fillId="5" borderId="0" xfId="0" applyNumberFormat="1" applyFont="1" applyFill="1" applyBorder="1" applyAlignment="1">
      <alignment horizontal="right"/>
    </xf>
    <xf numFmtId="0" fontId="0" fillId="4" borderId="1" xfId="0" applyFill="1" applyBorder="1"/>
    <xf numFmtId="3" fontId="0" fillId="5" borderId="1" xfId="0" applyNumberFormat="1" applyFill="1" applyBorder="1" applyAlignment="1">
      <alignment horizontal="right"/>
    </xf>
    <xf numFmtId="0" fontId="4" fillId="4" borderId="0" xfId="0" applyFont="1" applyFill="1"/>
    <xf numFmtId="0" fontId="5" fillId="4" borderId="0" xfId="2" applyFont="1" applyFill="1"/>
    <xf numFmtId="0" fontId="0" fillId="4" borderId="0" xfId="0" applyFill="1" applyAlignment="1">
      <alignment horizontal="right"/>
    </xf>
    <xf numFmtId="3" fontId="0" fillId="4" borderId="0" xfId="0" applyNumberFormat="1" applyFill="1"/>
    <xf numFmtId="0" fontId="4" fillId="4" borderId="0" xfId="1" applyFont="1" applyFill="1" applyAlignment="1">
      <alignment vertical="center"/>
    </xf>
    <xf numFmtId="0" fontId="3" fillId="5" borderId="0" xfId="1" applyFill="1"/>
    <xf numFmtId="0" fontId="1" fillId="4" borderId="0" xfId="0" applyFont="1" applyFill="1"/>
    <xf numFmtId="0" fontId="1" fillId="4" borderId="2" xfId="0" applyFont="1" applyFill="1" applyBorder="1"/>
    <xf numFmtId="0" fontId="1" fillId="4" borderId="0" xfId="0" applyFont="1" applyFill="1" applyBorder="1"/>
    <xf numFmtId="0" fontId="8" fillId="0" borderId="0" xfId="5" applyFont="1" applyAlignment="1">
      <alignment vertical="center"/>
    </xf>
    <xf numFmtId="0" fontId="10" fillId="0" borderId="0" xfId="5" applyFont="1" applyAlignment="1">
      <alignment vertical="center"/>
    </xf>
    <xf numFmtId="0" fontId="12" fillId="0" borderId="0" xfId="5" applyAlignment="1">
      <alignment vertical="center"/>
    </xf>
    <xf numFmtId="0" fontId="0" fillId="4" borderId="0" xfId="0" applyFill="1" applyAlignment="1">
      <alignment horizontal="left" wrapText="1"/>
    </xf>
    <xf numFmtId="0" fontId="0" fillId="4" borderId="1" xfId="0" applyFill="1" applyBorder="1" applyAlignment="1">
      <alignment horizontal="center"/>
    </xf>
    <xf numFmtId="0" fontId="12" fillId="0" borderId="0" xfId="5" applyAlignment="1">
      <alignment vertical="center"/>
    </xf>
    <xf numFmtId="0" fontId="0" fillId="4" borderId="0" xfId="0" applyFill="1" applyAlignment="1">
      <alignment horizontal="left" wrapText="1"/>
    </xf>
    <xf numFmtId="0" fontId="0" fillId="4" borderId="1" xfId="0" applyFill="1" applyBorder="1" applyAlignment="1">
      <alignment horizontal="center"/>
    </xf>
    <xf numFmtId="0" fontId="10" fillId="0" borderId="0" xfId="6" applyFont="1" applyBorder="1" applyAlignment="1">
      <alignment vertical="center"/>
    </xf>
    <xf numFmtId="0" fontId="10" fillId="0" borderId="0" xfId="6" applyFont="1" applyFill="1" applyBorder="1" applyAlignment="1">
      <alignment vertical="center"/>
    </xf>
    <xf numFmtId="0" fontId="7" fillId="0" borderId="0" xfId="6" applyFont="1" applyFill="1" applyBorder="1" applyAlignment="1">
      <alignment vertical="center" wrapText="1"/>
    </xf>
    <xf numFmtId="0" fontId="10" fillId="0" borderId="6" xfId="6" applyFont="1" applyBorder="1" applyAlignment="1">
      <alignment vertical="center"/>
    </xf>
    <xf numFmtId="0" fontId="11" fillId="0" borderId="4" xfId="6" applyFont="1" applyFill="1" applyBorder="1" applyAlignment="1">
      <alignment horizontal="right" vertical="center" wrapText="1"/>
    </xf>
    <xf numFmtId="0" fontId="10" fillId="0" borderId="0" xfId="6" applyFont="1" applyFill="1" applyBorder="1" applyAlignment="1">
      <alignment horizontal="right" vertical="center" wrapText="1"/>
    </xf>
    <xf numFmtId="0" fontId="11" fillId="0" borderId="0" xfId="7" applyFont="1" applyBorder="1" applyAlignment="1">
      <alignment vertical="center"/>
    </xf>
    <xf numFmtId="3" fontId="9" fillId="0" borderId="0" xfId="7" applyNumberFormat="1" applyFont="1" applyBorder="1" applyAlignment="1">
      <alignment horizontal="right" vertical="center"/>
    </xf>
    <xf numFmtId="3" fontId="10" fillId="0" borderId="0" xfId="6" applyNumberFormat="1" applyFont="1" applyBorder="1" applyAlignment="1">
      <alignment vertical="center"/>
    </xf>
    <xf numFmtId="0" fontId="9" fillId="0" borderId="0" xfId="6" applyFont="1" applyBorder="1" applyAlignment="1">
      <alignment vertical="center"/>
    </xf>
    <xf numFmtId="3" fontId="9" fillId="0" borderId="0" xfId="6" applyNumberFormat="1" applyFont="1" applyBorder="1" applyAlignment="1">
      <alignment vertical="center"/>
    </xf>
    <xf numFmtId="165" fontId="10" fillId="0" borderId="0" xfId="6" applyNumberFormat="1" applyFont="1" applyBorder="1" applyAlignment="1">
      <alignment vertical="center"/>
    </xf>
    <xf numFmtId="3" fontId="10" fillId="0" borderId="0" xfId="6" applyNumberFormat="1" applyFont="1" applyFill="1" applyBorder="1" applyAlignment="1">
      <alignment horizontal="right" vertical="center"/>
    </xf>
    <xf numFmtId="0" fontId="10" fillId="0" borderId="0" xfId="8" applyFont="1" applyBorder="1" applyAlignment="1">
      <alignment vertical="center"/>
    </xf>
    <xf numFmtId="3" fontId="10" fillId="8" borderId="0" xfId="6" applyNumberFormat="1" applyFont="1" applyFill="1" applyBorder="1" applyAlignment="1">
      <alignment horizontal="right" vertical="center"/>
    </xf>
    <xf numFmtId="0" fontId="10" fillId="5" borderId="0" xfId="6" applyFont="1" applyFill="1" applyBorder="1" applyAlignment="1">
      <alignment vertical="center"/>
    </xf>
    <xf numFmtId="3" fontId="9" fillId="0" borderId="0" xfId="6" applyNumberFormat="1" applyFont="1" applyBorder="1" applyAlignment="1">
      <alignment horizontal="right" vertical="center"/>
    </xf>
    <xf numFmtId="0" fontId="10" fillId="0" borderId="0" xfId="6" applyFont="1" applyBorder="1" applyAlignment="1">
      <alignment horizontal="left" vertical="center"/>
    </xf>
    <xf numFmtId="0" fontId="10" fillId="8" borderId="0" xfId="6" applyFont="1" applyFill="1" applyBorder="1" applyAlignment="1">
      <alignment vertical="center"/>
    </xf>
    <xf numFmtId="0" fontId="10" fillId="0" borderId="0" xfId="4" applyFont="1" applyBorder="1" applyAlignment="1">
      <alignment vertical="center"/>
    </xf>
    <xf numFmtId="0" fontId="0" fillId="4" borderId="2" xfId="0" applyFill="1" applyBorder="1" applyAlignment="1">
      <alignment horizontal="center" vertical="center" wrapText="1"/>
    </xf>
    <xf numFmtId="0" fontId="0" fillId="5" borderId="0" xfId="0" applyFill="1" applyAlignment="1">
      <alignment horizontal="center" wrapText="1"/>
    </xf>
    <xf numFmtId="0" fontId="0" fillId="4" borderId="1" xfId="0" applyFill="1" applyBorder="1" applyAlignment="1">
      <alignment horizontal="center" vertical="center" wrapText="1"/>
    </xf>
    <xf numFmtId="3" fontId="0" fillId="5" borderId="0" xfId="0" applyNumberFormat="1" applyFont="1" applyFill="1" applyBorder="1" applyAlignment="1">
      <alignment horizontal="right"/>
    </xf>
    <xf numFmtId="0" fontId="0" fillId="4" borderId="0" xfId="0" applyFill="1" applyBorder="1"/>
    <xf numFmtId="3" fontId="0" fillId="5" borderId="1" xfId="0" applyNumberFormat="1" applyFont="1" applyFill="1" applyBorder="1" applyAlignment="1">
      <alignment horizontal="right"/>
    </xf>
    <xf numFmtId="0" fontId="0" fillId="4" borderId="0" xfId="0" applyFill="1" applyBorder="1" applyAlignment="1">
      <alignment horizontal="center" vertical="center" wrapText="1"/>
    </xf>
    <xf numFmtId="3" fontId="10" fillId="9" borderId="0" xfId="6" applyNumberFormat="1" applyFont="1" applyFill="1" applyBorder="1" applyAlignment="1">
      <alignment horizontal="right" vertical="center"/>
    </xf>
    <xf numFmtId="3" fontId="10" fillId="5" borderId="0" xfId="6" applyNumberFormat="1" applyFont="1" applyFill="1" applyBorder="1" applyAlignment="1">
      <alignment horizontal="right" vertical="center"/>
    </xf>
    <xf numFmtId="0" fontId="12" fillId="0" borderId="0" xfId="5" applyAlignment="1">
      <alignment vertical="center"/>
    </xf>
    <xf numFmtId="0" fontId="12" fillId="0" borderId="0" xfId="5" applyAlignment="1">
      <alignment vertical="center"/>
    </xf>
    <xf numFmtId="0" fontId="0" fillId="4" borderId="0" xfId="0" applyFill="1" applyAlignment="1">
      <alignment horizontal="left" wrapText="1"/>
    </xf>
    <xf numFmtId="0" fontId="10" fillId="0" borderId="0" xfId="9" applyFont="1" applyBorder="1" applyAlignment="1">
      <alignment vertical="center"/>
    </xf>
    <xf numFmtId="0" fontId="10" fillId="0" borderId="0" xfId="9" applyFont="1" applyFill="1" applyBorder="1" applyAlignment="1">
      <alignment vertical="center"/>
    </xf>
    <xf numFmtId="0" fontId="7" fillId="0" borderId="0" xfId="9" applyFont="1" applyFill="1" applyBorder="1" applyAlignment="1">
      <alignment vertical="center" wrapText="1"/>
    </xf>
    <xf numFmtId="0" fontId="10" fillId="0" borderId="6" xfId="9" applyFont="1" applyBorder="1" applyAlignment="1">
      <alignment vertical="center"/>
    </xf>
    <xf numFmtId="0" fontId="11" fillId="0" borderId="4" xfId="9" applyFont="1" applyFill="1" applyBorder="1" applyAlignment="1">
      <alignment horizontal="right" vertical="center" wrapText="1"/>
    </xf>
    <xf numFmtId="0" fontId="10" fillId="0" borderId="0" xfId="9" applyFont="1" applyFill="1" applyBorder="1" applyAlignment="1">
      <alignment horizontal="right" vertical="center" wrapText="1"/>
    </xf>
    <xf numFmtId="0" fontId="11" fillId="0" borderId="0" xfId="10" applyFont="1" applyBorder="1" applyAlignment="1">
      <alignment vertical="center"/>
    </xf>
    <xf numFmtId="3" fontId="9" fillId="0" borderId="0" xfId="10" applyNumberFormat="1" applyFont="1" applyBorder="1" applyAlignment="1">
      <alignment horizontal="right" vertical="center"/>
    </xf>
    <xf numFmtId="3" fontId="10" fillId="0" borderId="0" xfId="9" applyNumberFormat="1" applyFont="1" applyBorder="1" applyAlignment="1">
      <alignment vertical="center"/>
    </xf>
    <xf numFmtId="0" fontId="9" fillId="0" borderId="0" xfId="9" applyFont="1" applyBorder="1" applyAlignment="1">
      <alignment vertical="center"/>
    </xf>
    <xf numFmtId="3" fontId="9" fillId="0" borderId="0" xfId="9" applyNumberFormat="1" applyFont="1" applyBorder="1" applyAlignment="1">
      <alignment vertical="center"/>
    </xf>
    <xf numFmtId="3" fontId="10" fillId="0" borderId="0" xfId="9" applyNumberFormat="1" applyFont="1" applyFill="1" applyBorder="1" applyAlignment="1">
      <alignment horizontal="right" vertical="center"/>
    </xf>
    <xf numFmtId="0" fontId="10" fillId="0" borderId="0" xfId="11" applyFont="1" applyBorder="1" applyAlignment="1">
      <alignment vertical="center"/>
    </xf>
    <xf numFmtId="0" fontId="10" fillId="5" borderId="0" xfId="9" applyFont="1" applyFill="1" applyBorder="1" applyAlignment="1">
      <alignment vertical="center"/>
    </xf>
    <xf numFmtId="3" fontId="10" fillId="5" borderId="0" xfId="9" applyNumberFormat="1" applyFont="1" applyFill="1" applyBorder="1" applyAlignment="1">
      <alignment horizontal="right" vertical="center"/>
    </xf>
    <xf numFmtId="3" fontId="9" fillId="0" borderId="0" xfId="9" applyNumberFormat="1" applyFont="1" applyBorder="1" applyAlignment="1">
      <alignment horizontal="right" vertical="center"/>
    </xf>
    <xf numFmtId="3" fontId="10" fillId="0" borderId="6" xfId="9" applyNumberFormat="1" applyFont="1" applyFill="1" applyBorder="1" applyAlignment="1">
      <alignment horizontal="right" vertical="center"/>
    </xf>
    <xf numFmtId="0" fontId="10" fillId="0" borderId="0" xfId="9" applyFont="1" applyBorder="1" applyAlignment="1">
      <alignment horizontal="left" vertical="center"/>
    </xf>
    <xf numFmtId="0" fontId="10" fillId="0" borderId="0" xfId="12" applyFont="1" applyBorder="1" applyAlignment="1">
      <alignment vertical="center"/>
    </xf>
    <xf numFmtId="10" fontId="10" fillId="0" borderId="0" xfId="9" applyNumberFormat="1" applyFont="1" applyBorder="1" applyAlignment="1">
      <alignment vertical="center"/>
    </xf>
    <xf numFmtId="0" fontId="12" fillId="0" borderId="0" xfId="5" applyFill="1" applyAlignment="1">
      <alignment vertical="center"/>
    </xf>
    <xf numFmtId="3" fontId="8" fillId="0" borderId="0" xfId="12" applyNumberFormat="1" applyFont="1" applyFill="1" applyBorder="1" applyAlignment="1">
      <alignment vertical="center"/>
    </xf>
    <xf numFmtId="0" fontId="16" fillId="0" borderId="0" xfId="5" applyFont="1" applyFill="1" applyBorder="1" applyAlignment="1">
      <alignment vertical="center"/>
    </xf>
    <xf numFmtId="3" fontId="10" fillId="0" borderId="6" xfId="6" applyNumberFormat="1" applyFont="1" applyFill="1" applyBorder="1" applyAlignment="1">
      <alignment horizontal="right" vertical="center"/>
    </xf>
    <xf numFmtId="3" fontId="10" fillId="9" borderId="0" xfId="9" applyNumberFormat="1" applyFont="1" applyFill="1" applyBorder="1" applyAlignment="1">
      <alignment horizontal="right" vertical="center"/>
    </xf>
    <xf numFmtId="0" fontId="1" fillId="4" borderId="0" xfId="0" applyFont="1" applyFill="1" applyAlignment="1">
      <alignment horizontal="left" wrapText="1"/>
    </xf>
    <xf numFmtId="0" fontId="3" fillId="4" borderId="0" xfId="0" applyFont="1" applyFill="1"/>
    <xf numFmtId="0" fontId="0" fillId="4" borderId="0" xfId="0" applyFill="1" applyAlignment="1">
      <alignment horizontal="left" wrapText="1"/>
    </xf>
    <xf numFmtId="0" fontId="0" fillId="4" borderId="0" xfId="0" applyFill="1" applyAlignment="1">
      <alignment horizontal="left"/>
    </xf>
    <xf numFmtId="1" fontId="0" fillId="4" borderId="0" xfId="0" quotePrefix="1" applyNumberFormat="1" applyFill="1"/>
    <xf numFmtId="0" fontId="12" fillId="0" borderId="0" xfId="5" applyAlignment="1">
      <alignment vertical="center"/>
    </xf>
    <xf numFmtId="0" fontId="0" fillId="4" borderId="0" xfId="0" applyFill="1" applyAlignment="1">
      <alignment horizontal="left" wrapText="1"/>
    </xf>
    <xf numFmtId="0" fontId="0" fillId="4" borderId="0" xfId="0" applyFill="1" applyAlignment="1">
      <alignment wrapText="1"/>
    </xf>
    <xf numFmtId="0" fontId="12" fillId="0" borderId="0" xfId="5" applyAlignment="1">
      <alignment vertical="center"/>
    </xf>
    <xf numFmtId="0" fontId="0" fillId="4" borderId="0" xfId="0" applyFill="1" applyAlignment="1">
      <alignment wrapText="1"/>
    </xf>
    <xf numFmtId="3" fontId="10" fillId="10" borderId="0" xfId="6" applyNumberFormat="1" applyFont="1" applyFill="1" applyBorder="1" applyAlignment="1">
      <alignment horizontal="right" vertical="center"/>
    </xf>
    <xf numFmtId="0" fontId="5" fillId="4" borderId="0" xfId="2" applyFill="1"/>
    <xf numFmtId="0" fontId="0" fillId="4" borderId="0" xfId="0" applyFill="1" applyAlignment="1">
      <alignment horizontal="center" wrapText="1"/>
    </xf>
    <xf numFmtId="0" fontId="10" fillId="9" borderId="0" xfId="6" applyFont="1" applyFill="1" applyBorder="1" applyAlignment="1">
      <alignment vertical="center"/>
    </xf>
    <xf numFmtId="0" fontId="0" fillId="4" borderId="0" xfId="0" applyFill="1" applyAlignment="1">
      <alignment wrapText="1"/>
    </xf>
    <xf numFmtId="0" fontId="10" fillId="0" borderId="0" xfId="6" applyFont="1" applyBorder="1" applyAlignment="1">
      <alignment vertical="center" wrapText="1"/>
    </xf>
    <xf numFmtId="0" fontId="12" fillId="0" borderId="0" xfId="5" applyAlignment="1">
      <alignment vertical="center"/>
    </xf>
    <xf numFmtId="0" fontId="7" fillId="7" borderId="0" xfId="6" applyFont="1" applyFill="1" applyBorder="1" applyAlignment="1">
      <alignment vertical="center" wrapText="1"/>
    </xf>
    <xf numFmtId="0" fontId="11" fillId="0" borderId="6" xfId="5" applyFont="1" applyFill="1" applyBorder="1" applyAlignment="1">
      <alignment horizontal="center" vertical="center"/>
    </xf>
    <xf numFmtId="0" fontId="11" fillId="0" borderId="6" xfId="5" applyFont="1" applyFill="1" applyBorder="1" applyAlignment="1">
      <alignment horizontal="center" vertical="center" wrapText="1"/>
    </xf>
    <xf numFmtId="0" fontId="10" fillId="0" borderId="0" xfId="9" applyFont="1" applyFill="1" applyBorder="1" applyAlignment="1">
      <alignment vertical="center" wrapText="1"/>
    </xf>
    <xf numFmtId="0" fontId="12" fillId="0" borderId="0" xfId="5" applyFill="1" applyAlignment="1">
      <alignment vertical="center"/>
    </xf>
    <xf numFmtId="0" fontId="7" fillId="7" borderId="0" xfId="9" applyFont="1" applyFill="1" applyBorder="1" applyAlignment="1">
      <alignment vertical="center" wrapText="1"/>
    </xf>
    <xf numFmtId="0" fontId="10" fillId="0" borderId="0" xfId="9" applyFont="1" applyBorder="1" applyAlignment="1">
      <alignment vertical="center" wrapText="1"/>
    </xf>
    <xf numFmtId="0" fontId="7" fillId="7" borderId="3" xfId="9" applyFont="1" applyFill="1" applyBorder="1" applyAlignment="1">
      <alignment vertical="center" wrapText="1"/>
    </xf>
    <xf numFmtId="0" fontId="12" fillId="0" borderId="4" xfId="5" applyBorder="1" applyAlignment="1">
      <alignment vertical="center"/>
    </xf>
    <xf numFmtId="0" fontId="12" fillId="0" borderId="5" xfId="5" applyBorder="1" applyAlignment="1">
      <alignment vertical="center"/>
    </xf>
    <xf numFmtId="0" fontId="7" fillId="7" borderId="3" xfId="6" applyFont="1" applyFill="1" applyBorder="1" applyAlignment="1">
      <alignment vertical="center" wrapText="1"/>
    </xf>
    <xf numFmtId="0" fontId="0" fillId="4" borderId="0" xfId="0" applyFill="1" applyAlignment="1">
      <alignment horizontal="left" wrapText="1"/>
    </xf>
    <xf numFmtId="0" fontId="4" fillId="6" borderId="0" xfId="1" applyFont="1" applyFill="1" applyAlignment="1">
      <alignment horizontal="center" vertical="center"/>
    </xf>
    <xf numFmtId="0" fontId="0" fillId="4" borderId="1" xfId="0" applyFill="1" applyBorder="1" applyAlignment="1">
      <alignment horizontal="center"/>
    </xf>
    <xf numFmtId="0" fontId="0" fillId="4" borderId="7" xfId="0" applyFill="1" applyBorder="1" applyAlignment="1">
      <alignment horizontal="center" vertical="center" wrapText="1"/>
    </xf>
    <xf numFmtId="0" fontId="2" fillId="3" borderId="0" xfId="0" applyFont="1" applyFill="1" applyAlignment="1">
      <alignment horizontal="left" wrapText="1"/>
    </xf>
    <xf numFmtId="0" fontId="0" fillId="4" borderId="0" xfId="0" applyFill="1" applyAlignment="1">
      <alignment horizontal="left"/>
    </xf>
    <xf numFmtId="0" fontId="2" fillId="2" borderId="0" xfId="0" applyFont="1" applyFill="1" applyAlignment="1">
      <alignment horizontal="left" wrapText="1"/>
    </xf>
    <xf numFmtId="0" fontId="0" fillId="4" borderId="0" xfId="0" applyFill="1" applyAlignment="1">
      <alignment wrapText="1"/>
    </xf>
    <xf numFmtId="0" fontId="3" fillId="4" borderId="0" xfId="0" applyFont="1" applyFill="1" applyAlignment="1">
      <alignment horizontal="left" wrapText="1"/>
    </xf>
    <xf numFmtId="0" fontId="5" fillId="4" borderId="0" xfId="2" applyFill="1" applyAlignment="1">
      <alignment horizontal="right"/>
    </xf>
    <xf numFmtId="0" fontId="19" fillId="11" borderId="0" xfId="0" applyFont="1" applyFill="1" applyAlignment="1">
      <alignment horizontal="right"/>
    </xf>
    <xf numFmtId="0" fontId="18" fillId="4" borderId="0" xfId="2" applyFont="1" applyFill="1" applyAlignment="1">
      <alignment horizontal="left" vertical="center" wrapText="1"/>
    </xf>
    <xf numFmtId="0" fontId="0" fillId="4" borderId="0" xfId="0" applyFill="1" applyAlignment="1">
      <alignment horizontal="left" vertical="center" wrapText="1"/>
    </xf>
    <xf numFmtId="0" fontId="3" fillId="4" borderId="0" xfId="0" applyFont="1" applyFill="1" applyAlignment="1">
      <alignment horizontal="left"/>
    </xf>
  </cellXfs>
  <cellStyles count="13">
    <cellStyle name="Hyperlink" xfId="2" xr:uid="{00000000-0005-0000-0000-000000000000}"/>
    <cellStyle name="Normal" xfId="0" builtinId="0"/>
    <cellStyle name="Normal 2" xfId="1" xr:uid="{00000000-0005-0000-0000-000002000000}"/>
    <cellStyle name="Normal 2 2" xfId="3" xr:uid="{00000000-0005-0000-0000-000003000000}"/>
    <cellStyle name="Normal 3" xfId="5" xr:uid="{00000000-0005-0000-0000-000004000000}"/>
    <cellStyle name="Normal_Book1" xfId="4" xr:uid="{00000000-0005-0000-0000-000005000000}"/>
    <cellStyle name="Normal_Book1 2" xfId="12" xr:uid="{00000000-0005-0000-0000-000006000000}"/>
    <cellStyle name="Normal_Gender" xfId="8" xr:uid="{00000000-0005-0000-0000-000007000000}"/>
    <cellStyle name="Normal_Gender 2" xfId="11" xr:uid="{00000000-0005-0000-0000-000008000000}"/>
    <cellStyle name="Normal_Injuries" xfId="7" xr:uid="{00000000-0005-0000-0000-000009000000}"/>
    <cellStyle name="Normal_Injuries 2" xfId="10" xr:uid="{00000000-0005-0000-0000-00000A000000}"/>
    <cellStyle name="Normal_Operational Activities" xfId="6" xr:uid="{00000000-0005-0000-0000-00000B000000}"/>
    <cellStyle name="Normal_Operational Activities 2" xfId="9" xr:uid="{00000000-0005-0000-0000-00000C000000}"/>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pageSetUpPr fitToPage="1"/>
  </sheetPr>
  <dimension ref="A1:H68"/>
  <sheetViews>
    <sheetView showGridLines="0" zoomScale="85" zoomScaleNormal="85" workbookViewId="0">
      <pane xSplit="2" ySplit="3" topLeftCell="C4" activePane="bottomRight" state="frozen"/>
      <selection activeCell="A65" sqref="A65:I65"/>
      <selection pane="topRight" activeCell="A65" sqref="A65:I65"/>
      <selection pane="bottomLeft" activeCell="A65" sqref="A65:I65"/>
      <selection pane="bottomRight" activeCell="C19" sqref="C19"/>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9.0898437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9.0898437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9.0898437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9.0898437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9.0898437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9.0898437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9.0898437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9.0898437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9.0898437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9.0898437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9.0898437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9.0898437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9.0898437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9.0898437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9.0898437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9.0898437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9.0898437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9.0898437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9.0898437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9.0898437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9.0898437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9.0898437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9.0898437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9.0898437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9.0898437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9.0898437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9.0898437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9.0898437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9.0898437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9.0898437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9.0898437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9.0898437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9.0898437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9.0898437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9.0898437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9.0898437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9.0898437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9.0898437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9.0898437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9.0898437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9.0898437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9.0898437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9.0898437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9.0898437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9.0898437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9.0898437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9.0898437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9.0898437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9.0898437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9.0898437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9.0898437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9.0898437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9.0898437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9.0898437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9.0898437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9.0898437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9.0898437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9.0898437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9.0898437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9.0898437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9.0898437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9.0898437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9.0898437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9.08984375" style="34"/>
  </cols>
  <sheetData>
    <row r="1" spans="1:8" ht="33.75" customHeight="1" x14ac:dyDescent="0.35">
      <c r="B1" s="108" t="s">
        <v>104</v>
      </c>
      <c r="C1" s="107"/>
      <c r="D1" s="107"/>
      <c r="E1" s="107"/>
      <c r="F1" s="107"/>
      <c r="G1" s="107"/>
      <c r="H1" s="107"/>
    </row>
    <row r="2" spans="1:8" s="35" customFormat="1" ht="39.75" customHeight="1" x14ac:dyDescent="0.35">
      <c r="B2" s="36"/>
      <c r="C2" s="109" t="s">
        <v>67</v>
      </c>
      <c r="D2" s="109"/>
      <c r="E2" s="110" t="s">
        <v>68</v>
      </c>
      <c r="F2" s="110"/>
      <c r="G2" s="110" t="s">
        <v>69</v>
      </c>
      <c r="H2" s="110"/>
    </row>
    <row r="3" spans="1:8" ht="42.75" customHeight="1" x14ac:dyDescent="0.35">
      <c r="B3" s="37"/>
      <c r="C3" s="38" t="s">
        <v>70</v>
      </c>
      <c r="D3" s="38" t="s">
        <v>71</v>
      </c>
      <c r="E3" s="38" t="s">
        <v>70</v>
      </c>
      <c r="F3" s="38" t="s">
        <v>71</v>
      </c>
      <c r="G3" s="38" t="s">
        <v>70</v>
      </c>
      <c r="H3" s="38" t="s">
        <v>71</v>
      </c>
    </row>
    <row r="4" spans="1:8" ht="18" hidden="1" customHeight="1" x14ac:dyDescent="0.35">
      <c r="C4" s="39" t="s">
        <v>72</v>
      </c>
      <c r="D4" s="39" t="s">
        <v>72</v>
      </c>
      <c r="E4" s="39" t="s">
        <v>73</v>
      </c>
      <c r="F4" s="39" t="s">
        <v>73</v>
      </c>
      <c r="G4" s="39" t="s">
        <v>74</v>
      </c>
      <c r="H4" s="39" t="s">
        <v>74</v>
      </c>
    </row>
    <row r="5" spans="1:8" ht="15.75" hidden="1" customHeight="1" x14ac:dyDescent="0.35">
      <c r="C5" s="39" t="s">
        <v>75</v>
      </c>
      <c r="D5" s="39" t="s">
        <v>76</v>
      </c>
      <c r="E5" s="39" t="s">
        <v>75</v>
      </c>
      <c r="F5" s="39" t="s">
        <v>76</v>
      </c>
      <c r="G5" s="39" t="s">
        <v>75</v>
      </c>
      <c r="H5" s="39" t="s">
        <v>76</v>
      </c>
    </row>
    <row r="6" spans="1:8" ht="26.25" customHeight="1" x14ac:dyDescent="0.35">
      <c r="B6" s="40" t="s">
        <v>77</v>
      </c>
      <c r="C6" s="41">
        <v>157636</v>
      </c>
      <c r="D6" s="41">
        <v>693731.12</v>
      </c>
      <c r="E6" s="41">
        <v>23748</v>
      </c>
      <c r="F6" s="41">
        <v>238560.55</v>
      </c>
      <c r="G6" s="41">
        <v>43245</v>
      </c>
      <c r="H6" s="41">
        <v>176765.4</v>
      </c>
    </row>
    <row r="7" spans="1:8" s="43" customFormat="1" ht="26.25" customHeight="1" x14ac:dyDescent="0.35">
      <c r="A7" s="26"/>
      <c r="B7" s="43" t="s">
        <v>52</v>
      </c>
      <c r="C7" s="44">
        <v>111078</v>
      </c>
      <c r="D7" s="44">
        <v>507338.62</v>
      </c>
      <c r="E7" s="44">
        <v>13415</v>
      </c>
      <c r="F7" s="44">
        <v>174550.3</v>
      </c>
      <c r="G7" s="44">
        <v>34344</v>
      </c>
      <c r="H7" s="44">
        <v>135287.4</v>
      </c>
    </row>
    <row r="8" spans="1:8" x14ac:dyDescent="0.35">
      <c r="A8" s="27">
        <v>51</v>
      </c>
      <c r="B8" s="34" t="s">
        <v>5</v>
      </c>
      <c r="C8" s="46">
        <v>639</v>
      </c>
      <c r="D8" s="46">
        <v>2984</v>
      </c>
      <c r="E8" s="46">
        <v>192</v>
      </c>
      <c r="F8" s="46">
        <v>1520</v>
      </c>
      <c r="G8" s="46">
        <v>447</v>
      </c>
      <c r="H8" s="46">
        <v>1464</v>
      </c>
    </row>
    <row r="9" spans="1:8" ht="14.5" x14ac:dyDescent="0.35">
      <c r="A9" s="27">
        <v>52</v>
      </c>
      <c r="B9" s="34" t="s">
        <v>96</v>
      </c>
      <c r="C9" s="46">
        <v>1789</v>
      </c>
      <c r="D9" s="46">
        <v>10971</v>
      </c>
      <c r="E9" s="90" t="s">
        <v>117</v>
      </c>
      <c r="F9" s="90" t="s">
        <v>117</v>
      </c>
      <c r="G9" s="90" t="s">
        <v>117</v>
      </c>
      <c r="H9" s="90" t="s">
        <v>117</v>
      </c>
    </row>
    <row r="10" spans="1:8" x14ac:dyDescent="0.35">
      <c r="A10" s="27">
        <v>86</v>
      </c>
      <c r="B10" s="34" t="s">
        <v>7</v>
      </c>
      <c r="C10" s="46">
        <v>566</v>
      </c>
      <c r="D10" s="46">
        <v>6809</v>
      </c>
      <c r="E10" s="46">
        <v>38</v>
      </c>
      <c r="F10" s="46">
        <v>115</v>
      </c>
      <c r="G10" s="46">
        <v>528</v>
      </c>
      <c r="H10" s="46">
        <v>6694</v>
      </c>
    </row>
    <row r="11" spans="1:8" x14ac:dyDescent="0.35">
      <c r="A11" s="27">
        <v>53</v>
      </c>
      <c r="B11" s="34" t="s">
        <v>8</v>
      </c>
      <c r="C11" s="46">
        <v>462</v>
      </c>
      <c r="D11" s="46">
        <v>2331</v>
      </c>
      <c r="E11" s="46">
        <v>260</v>
      </c>
      <c r="F11" s="46">
        <v>1683</v>
      </c>
      <c r="G11" s="46">
        <v>202</v>
      </c>
      <c r="H11" s="46">
        <v>648</v>
      </c>
    </row>
    <row r="12" spans="1:8" x14ac:dyDescent="0.35">
      <c r="A12" s="27">
        <v>54</v>
      </c>
      <c r="B12" s="34" t="s">
        <v>9</v>
      </c>
      <c r="C12" s="46">
        <v>950</v>
      </c>
      <c r="D12" s="46">
        <v>2281</v>
      </c>
      <c r="E12" s="46">
        <v>35</v>
      </c>
      <c r="F12" s="46">
        <v>90</v>
      </c>
      <c r="G12" s="90" t="s">
        <v>117</v>
      </c>
      <c r="H12" s="90" t="s">
        <v>117</v>
      </c>
    </row>
    <row r="13" spans="1:8" ht="14.5" x14ac:dyDescent="0.35">
      <c r="A13" s="27">
        <v>55</v>
      </c>
      <c r="B13" s="34" t="s">
        <v>105</v>
      </c>
      <c r="C13" s="46">
        <v>4822</v>
      </c>
      <c r="D13" s="46">
        <v>13194</v>
      </c>
      <c r="E13" s="46">
        <v>98</v>
      </c>
      <c r="F13" s="46">
        <v>6039</v>
      </c>
      <c r="G13" s="46">
        <v>373</v>
      </c>
      <c r="H13" s="46">
        <v>2596</v>
      </c>
    </row>
    <row r="14" spans="1:8" x14ac:dyDescent="0.35">
      <c r="A14" s="27">
        <v>56</v>
      </c>
      <c r="B14" s="34" t="s">
        <v>11</v>
      </c>
      <c r="C14" s="46">
        <v>9190</v>
      </c>
      <c r="D14" s="46">
        <v>28080</v>
      </c>
      <c r="E14" s="46">
        <v>1321</v>
      </c>
      <c r="F14" s="46">
        <v>10926</v>
      </c>
      <c r="G14" s="46">
        <v>7869</v>
      </c>
      <c r="H14" s="46">
        <v>17154</v>
      </c>
    </row>
    <row r="15" spans="1:8" x14ac:dyDescent="0.35">
      <c r="A15" s="27">
        <v>57</v>
      </c>
      <c r="B15" s="34" t="s">
        <v>12</v>
      </c>
      <c r="C15" s="46">
        <v>1304</v>
      </c>
      <c r="D15" s="46">
        <v>10205</v>
      </c>
      <c r="E15" s="46">
        <v>300</v>
      </c>
      <c r="F15" s="46">
        <v>1500</v>
      </c>
      <c r="G15" s="46">
        <v>519</v>
      </c>
      <c r="H15" s="46">
        <v>2001</v>
      </c>
    </row>
    <row r="16" spans="1:8" ht="14.5" x14ac:dyDescent="0.35">
      <c r="A16" s="27">
        <v>59</v>
      </c>
      <c r="B16" s="34" t="s">
        <v>106</v>
      </c>
      <c r="C16" s="46">
        <v>256</v>
      </c>
      <c r="D16" s="46">
        <v>3406</v>
      </c>
      <c r="E16" s="90" t="s">
        <v>117</v>
      </c>
      <c r="F16" s="90" t="s">
        <v>117</v>
      </c>
      <c r="G16" s="90" t="s">
        <v>117</v>
      </c>
      <c r="H16" s="90" t="s">
        <v>117</v>
      </c>
    </row>
    <row r="17" spans="1:8" x14ac:dyDescent="0.35">
      <c r="A17" s="27">
        <v>60</v>
      </c>
      <c r="B17" s="34" t="s">
        <v>14</v>
      </c>
      <c r="C17" s="46">
        <v>3380</v>
      </c>
      <c r="D17" s="46">
        <v>11991</v>
      </c>
      <c r="E17" s="46">
        <v>400</v>
      </c>
      <c r="F17" s="46">
        <v>1174</v>
      </c>
      <c r="G17" s="46">
        <v>784</v>
      </c>
      <c r="H17" s="46">
        <v>6098</v>
      </c>
    </row>
    <row r="18" spans="1:8" x14ac:dyDescent="0.35">
      <c r="A18" s="27">
        <v>61</v>
      </c>
      <c r="B18" s="47" t="s">
        <v>53</v>
      </c>
      <c r="C18" s="46">
        <v>3685</v>
      </c>
      <c r="D18" s="46">
        <v>25764.77</v>
      </c>
      <c r="E18" s="46">
        <v>879</v>
      </c>
      <c r="F18" s="46">
        <v>2264</v>
      </c>
      <c r="G18" s="46">
        <v>1420</v>
      </c>
      <c r="H18" s="46">
        <v>9845.9</v>
      </c>
    </row>
    <row r="19" spans="1:8" x14ac:dyDescent="0.35">
      <c r="A19" s="27"/>
      <c r="B19" s="47" t="s">
        <v>131</v>
      </c>
      <c r="C19" s="46" t="s">
        <v>132</v>
      </c>
      <c r="D19" s="46" t="s">
        <v>132</v>
      </c>
      <c r="E19" s="46" t="s">
        <v>132</v>
      </c>
      <c r="F19" s="46" t="s">
        <v>132</v>
      </c>
      <c r="G19" s="46" t="s">
        <v>132</v>
      </c>
      <c r="H19" s="46" t="s">
        <v>132</v>
      </c>
    </row>
    <row r="20" spans="1:8" x14ac:dyDescent="0.35">
      <c r="A20" s="27">
        <v>62</v>
      </c>
      <c r="B20" s="34" t="s">
        <v>16</v>
      </c>
      <c r="C20" s="46">
        <v>1466</v>
      </c>
      <c r="D20" s="46">
        <v>17410</v>
      </c>
      <c r="E20" s="46">
        <v>499</v>
      </c>
      <c r="F20" s="46">
        <v>12233</v>
      </c>
      <c r="G20" s="46">
        <v>102</v>
      </c>
      <c r="H20" s="46">
        <v>1216</v>
      </c>
    </row>
    <row r="21" spans="1:8" x14ac:dyDescent="0.35">
      <c r="A21" s="27">
        <v>58</v>
      </c>
      <c r="B21" s="34" t="s">
        <v>17</v>
      </c>
      <c r="C21" s="46">
        <v>3284</v>
      </c>
      <c r="D21" s="46">
        <v>14721</v>
      </c>
      <c r="E21" s="46">
        <v>800</v>
      </c>
      <c r="F21" s="46">
        <v>4844</v>
      </c>
      <c r="G21" s="46">
        <v>766</v>
      </c>
      <c r="H21" s="46">
        <v>4132</v>
      </c>
    </row>
    <row r="22" spans="1:8" x14ac:dyDescent="0.35">
      <c r="A22" s="27">
        <v>63</v>
      </c>
      <c r="B22" s="34" t="s">
        <v>18</v>
      </c>
      <c r="C22" s="46">
        <v>4602</v>
      </c>
      <c r="D22" s="46">
        <v>18003</v>
      </c>
      <c r="E22" s="46">
        <v>113</v>
      </c>
      <c r="F22" s="46">
        <v>3225</v>
      </c>
      <c r="G22" s="46">
        <v>714</v>
      </c>
      <c r="H22" s="46">
        <v>4306</v>
      </c>
    </row>
    <row r="23" spans="1:8" x14ac:dyDescent="0.35">
      <c r="A23" s="27">
        <v>64</v>
      </c>
      <c r="B23" s="34" t="s">
        <v>19</v>
      </c>
      <c r="C23" s="46">
        <v>3130</v>
      </c>
      <c r="D23" s="46">
        <v>23082</v>
      </c>
      <c r="E23" s="46">
        <v>469</v>
      </c>
      <c r="F23" s="46">
        <v>8898</v>
      </c>
      <c r="G23" s="46">
        <v>1453</v>
      </c>
      <c r="H23" s="46">
        <v>6383</v>
      </c>
    </row>
    <row r="24" spans="1:8" x14ac:dyDescent="0.35">
      <c r="A24" s="27">
        <v>65</v>
      </c>
      <c r="B24" s="34" t="s">
        <v>20</v>
      </c>
      <c r="C24" s="46">
        <v>2507</v>
      </c>
      <c r="D24" s="46">
        <v>6194.2</v>
      </c>
      <c r="E24" s="46">
        <v>135</v>
      </c>
      <c r="F24" s="46">
        <v>1353</v>
      </c>
      <c r="G24" s="46">
        <v>694</v>
      </c>
      <c r="H24" s="46">
        <v>1794</v>
      </c>
    </row>
    <row r="25" spans="1:8" ht="14.5" x14ac:dyDescent="0.35">
      <c r="A25" s="27">
        <v>67</v>
      </c>
      <c r="B25" s="34" t="s">
        <v>107</v>
      </c>
      <c r="C25" s="46">
        <v>3023</v>
      </c>
      <c r="D25" s="46">
        <v>52025.25</v>
      </c>
      <c r="E25" s="46">
        <v>617</v>
      </c>
      <c r="F25" s="46">
        <v>22641</v>
      </c>
      <c r="G25" s="46">
        <v>1388</v>
      </c>
      <c r="H25" s="46">
        <v>13951.5</v>
      </c>
    </row>
    <row r="26" spans="1:8" x14ac:dyDescent="0.35">
      <c r="A26" s="27">
        <v>68</v>
      </c>
      <c r="B26" s="34" t="s">
        <v>54</v>
      </c>
      <c r="C26" s="46">
        <v>1153</v>
      </c>
      <c r="D26" s="46">
        <v>5486</v>
      </c>
      <c r="E26" s="46">
        <v>45</v>
      </c>
      <c r="F26" s="46">
        <v>645</v>
      </c>
      <c r="G26" s="46">
        <v>557</v>
      </c>
      <c r="H26" s="46">
        <v>2159</v>
      </c>
    </row>
    <row r="27" spans="1:8" ht="14.5" x14ac:dyDescent="0.35">
      <c r="A27" s="27">
        <v>69</v>
      </c>
      <c r="B27" s="34" t="s">
        <v>108</v>
      </c>
      <c r="C27" s="46">
        <v>2100</v>
      </c>
      <c r="D27" s="46">
        <v>9670</v>
      </c>
      <c r="E27" s="90" t="s">
        <v>117</v>
      </c>
      <c r="F27" s="90" t="s">
        <v>117</v>
      </c>
      <c r="G27" s="90" t="s">
        <v>117</v>
      </c>
      <c r="H27" s="90" t="s">
        <v>117</v>
      </c>
    </row>
    <row r="28" spans="1:8" x14ac:dyDescent="0.35">
      <c r="A28" s="27">
        <v>70</v>
      </c>
      <c r="B28" s="34" t="s">
        <v>26</v>
      </c>
      <c r="C28" s="46">
        <v>5163</v>
      </c>
      <c r="D28" s="46">
        <v>9908</v>
      </c>
      <c r="E28" s="46">
        <v>472</v>
      </c>
      <c r="F28" s="46">
        <v>3679</v>
      </c>
      <c r="G28" s="46">
        <v>785</v>
      </c>
      <c r="H28" s="46">
        <v>2717</v>
      </c>
    </row>
    <row r="29" spans="1:8" x14ac:dyDescent="0.35">
      <c r="A29" s="27">
        <v>71</v>
      </c>
      <c r="B29" s="34" t="s">
        <v>55</v>
      </c>
      <c r="C29" s="46">
        <v>142</v>
      </c>
      <c r="D29" s="46">
        <v>1053</v>
      </c>
      <c r="E29" s="46">
        <v>99</v>
      </c>
      <c r="F29" s="46">
        <v>500</v>
      </c>
      <c r="G29" s="46">
        <v>43</v>
      </c>
      <c r="H29" s="46">
        <v>553</v>
      </c>
    </row>
    <row r="30" spans="1:8" x14ac:dyDescent="0.35">
      <c r="A30" s="27">
        <v>73</v>
      </c>
      <c r="B30" s="34" t="s">
        <v>29</v>
      </c>
      <c r="C30" s="46">
        <v>2588</v>
      </c>
      <c r="D30" s="46">
        <v>15904</v>
      </c>
      <c r="E30" s="46">
        <v>322</v>
      </c>
      <c r="F30" s="46">
        <v>1227</v>
      </c>
      <c r="G30" s="46">
        <v>87</v>
      </c>
      <c r="H30" s="46">
        <v>1361</v>
      </c>
    </row>
    <row r="31" spans="1:8" x14ac:dyDescent="0.35">
      <c r="A31" s="27">
        <v>74</v>
      </c>
      <c r="B31" s="34" t="s">
        <v>30</v>
      </c>
      <c r="C31" s="46">
        <v>8666</v>
      </c>
      <c r="D31" s="46">
        <v>28270</v>
      </c>
      <c r="E31" s="46">
        <v>961</v>
      </c>
      <c r="F31" s="46">
        <v>3263</v>
      </c>
      <c r="G31" s="46">
        <v>1568</v>
      </c>
      <c r="H31" s="46">
        <v>4612</v>
      </c>
    </row>
    <row r="32" spans="1:8" x14ac:dyDescent="0.35">
      <c r="A32" s="27">
        <v>75</v>
      </c>
      <c r="B32" s="34" t="s">
        <v>31</v>
      </c>
      <c r="C32" s="46">
        <v>2285</v>
      </c>
      <c r="D32" s="46">
        <v>22459.45</v>
      </c>
      <c r="E32" s="46">
        <v>965</v>
      </c>
      <c r="F32" s="46">
        <v>16423</v>
      </c>
      <c r="G32" s="46">
        <v>966</v>
      </c>
      <c r="H32" s="46">
        <v>3847.5</v>
      </c>
    </row>
    <row r="33" spans="1:8" x14ac:dyDescent="0.35">
      <c r="A33" s="27">
        <v>76</v>
      </c>
      <c r="B33" s="34" t="s">
        <v>32</v>
      </c>
      <c r="C33" s="46">
        <v>774</v>
      </c>
      <c r="D33" s="46">
        <v>22538</v>
      </c>
      <c r="E33" s="46">
        <v>564</v>
      </c>
      <c r="F33" s="46">
        <v>21138</v>
      </c>
      <c r="G33" s="46">
        <v>210</v>
      </c>
      <c r="H33" s="46">
        <v>1400</v>
      </c>
    </row>
    <row r="34" spans="1:8" x14ac:dyDescent="0.35">
      <c r="A34" s="27">
        <v>79</v>
      </c>
      <c r="B34" s="34" t="s">
        <v>34</v>
      </c>
      <c r="C34" s="46">
        <v>568</v>
      </c>
      <c r="D34" s="46">
        <v>1709.2</v>
      </c>
      <c r="E34" s="46">
        <v>58</v>
      </c>
      <c r="F34" s="46">
        <v>95.3</v>
      </c>
      <c r="G34" s="46">
        <v>270</v>
      </c>
      <c r="H34" s="46">
        <v>890</v>
      </c>
    </row>
    <row r="35" spans="1:8" x14ac:dyDescent="0.35">
      <c r="A35" s="27">
        <v>80</v>
      </c>
      <c r="B35" s="34" t="s">
        <v>35</v>
      </c>
      <c r="C35" s="46">
        <v>4288</v>
      </c>
      <c r="D35" s="46">
        <v>15128</v>
      </c>
      <c r="E35" s="46">
        <v>322</v>
      </c>
      <c r="F35" s="46">
        <v>4163</v>
      </c>
      <c r="G35" s="46">
        <v>405</v>
      </c>
      <c r="H35" s="46">
        <v>1779</v>
      </c>
    </row>
    <row r="36" spans="1:8" x14ac:dyDescent="0.35">
      <c r="A36" s="27">
        <v>81</v>
      </c>
      <c r="B36" s="34" t="s">
        <v>36</v>
      </c>
      <c r="C36" s="46">
        <v>832</v>
      </c>
      <c r="D36" s="46">
        <v>1795.5</v>
      </c>
      <c r="E36" s="46">
        <v>179</v>
      </c>
      <c r="F36" s="46">
        <v>811</v>
      </c>
      <c r="G36" s="46">
        <v>210</v>
      </c>
      <c r="H36" s="46">
        <v>520</v>
      </c>
    </row>
    <row r="37" spans="1:8" x14ac:dyDescent="0.35">
      <c r="A37" s="27">
        <v>83</v>
      </c>
      <c r="B37" s="34" t="s">
        <v>37</v>
      </c>
      <c r="C37" s="46">
        <v>4267</v>
      </c>
      <c r="D37" s="46">
        <v>20549.75</v>
      </c>
      <c r="E37" s="46">
        <v>1069</v>
      </c>
      <c r="F37" s="46">
        <v>13771</v>
      </c>
      <c r="G37" s="46">
        <v>149</v>
      </c>
      <c r="H37" s="46">
        <v>1114.25</v>
      </c>
    </row>
    <row r="38" spans="1:8" x14ac:dyDescent="0.35">
      <c r="A38" s="27">
        <v>84</v>
      </c>
      <c r="B38" s="34" t="s">
        <v>38</v>
      </c>
      <c r="C38" s="46">
        <v>1730</v>
      </c>
      <c r="D38" s="46">
        <v>8785</v>
      </c>
      <c r="E38" s="46">
        <v>166</v>
      </c>
      <c r="F38" s="46">
        <v>465</v>
      </c>
      <c r="G38" s="46">
        <v>875</v>
      </c>
      <c r="H38" s="46">
        <v>6692</v>
      </c>
    </row>
    <row r="39" spans="1:8" ht="14.5" x14ac:dyDescent="0.35">
      <c r="A39" s="27">
        <v>85</v>
      </c>
      <c r="B39" s="34" t="s">
        <v>109</v>
      </c>
      <c r="C39" s="46">
        <v>1044</v>
      </c>
      <c r="D39" s="46">
        <v>12178</v>
      </c>
      <c r="E39" s="46">
        <v>238</v>
      </c>
      <c r="F39" s="46">
        <v>7058</v>
      </c>
      <c r="G39" s="46">
        <v>381</v>
      </c>
      <c r="H39" s="46">
        <v>2632</v>
      </c>
    </row>
    <row r="40" spans="1:8" x14ac:dyDescent="0.35">
      <c r="A40" s="27">
        <v>87</v>
      </c>
      <c r="B40" s="34" t="s">
        <v>40</v>
      </c>
      <c r="C40" s="46">
        <v>2210</v>
      </c>
      <c r="D40" s="46">
        <v>5126</v>
      </c>
      <c r="E40" s="46">
        <v>55</v>
      </c>
      <c r="F40" s="46">
        <v>158</v>
      </c>
      <c r="G40" s="46">
        <v>14</v>
      </c>
      <c r="H40" s="46">
        <v>100</v>
      </c>
    </row>
    <row r="41" spans="1:8" x14ac:dyDescent="0.35">
      <c r="A41" s="27">
        <v>90</v>
      </c>
      <c r="B41" s="34" t="s">
        <v>42</v>
      </c>
      <c r="C41" s="46">
        <v>16062</v>
      </c>
      <c r="D41" s="46">
        <v>29037</v>
      </c>
      <c r="E41" s="46">
        <v>191</v>
      </c>
      <c r="F41" s="46">
        <v>1198</v>
      </c>
      <c r="G41" s="46">
        <v>969</v>
      </c>
      <c r="H41" s="46">
        <v>3849</v>
      </c>
    </row>
    <row r="42" spans="1:8" x14ac:dyDescent="0.35">
      <c r="A42" s="27">
        <v>91</v>
      </c>
      <c r="B42" s="34" t="s">
        <v>43</v>
      </c>
      <c r="C42" s="46">
        <v>665</v>
      </c>
      <c r="D42" s="46">
        <v>6124</v>
      </c>
      <c r="E42" s="46">
        <v>73</v>
      </c>
      <c r="F42" s="46">
        <v>1044</v>
      </c>
      <c r="G42" s="46">
        <v>222</v>
      </c>
      <c r="H42" s="46">
        <v>2386</v>
      </c>
    </row>
    <row r="43" spans="1:8" x14ac:dyDescent="0.35">
      <c r="A43" s="27">
        <v>92</v>
      </c>
      <c r="B43" s="34" t="s">
        <v>44</v>
      </c>
      <c r="C43" s="46">
        <v>1017</v>
      </c>
      <c r="D43" s="46">
        <v>6715</v>
      </c>
      <c r="E43" s="46">
        <v>348</v>
      </c>
      <c r="F43" s="46">
        <v>4843</v>
      </c>
      <c r="G43" s="46">
        <v>669</v>
      </c>
      <c r="H43" s="46">
        <v>1872</v>
      </c>
    </row>
    <row r="44" spans="1:8" x14ac:dyDescent="0.35">
      <c r="A44" s="27">
        <v>94</v>
      </c>
      <c r="B44" s="34" t="s">
        <v>46</v>
      </c>
      <c r="C44" s="46">
        <v>1303</v>
      </c>
      <c r="D44" s="46">
        <v>14407</v>
      </c>
      <c r="E44" s="46">
        <v>440</v>
      </c>
      <c r="F44" s="46">
        <v>10775</v>
      </c>
      <c r="G44" s="46">
        <v>711</v>
      </c>
      <c r="H44" s="46">
        <v>3217</v>
      </c>
    </row>
    <row r="45" spans="1:8" x14ac:dyDescent="0.35">
      <c r="A45" s="27">
        <v>96</v>
      </c>
      <c r="B45" s="34" t="s">
        <v>48</v>
      </c>
      <c r="C45" s="46">
        <v>8172</v>
      </c>
      <c r="D45" s="46">
        <v>19003</v>
      </c>
      <c r="E45" s="46">
        <v>682</v>
      </c>
      <c r="F45" s="46">
        <v>4755</v>
      </c>
      <c r="G45" s="46">
        <v>7490</v>
      </c>
      <c r="H45" s="46">
        <v>14248</v>
      </c>
    </row>
    <row r="46" spans="1:8" x14ac:dyDescent="0.35">
      <c r="A46" s="27">
        <v>98</v>
      </c>
      <c r="B46" s="34" t="s">
        <v>50</v>
      </c>
      <c r="C46" s="46">
        <v>985</v>
      </c>
      <c r="D46" s="46">
        <v>2018</v>
      </c>
      <c r="E46" s="46">
        <v>6</v>
      </c>
      <c r="F46" s="46">
        <v>18</v>
      </c>
      <c r="G46" s="46">
        <v>503</v>
      </c>
      <c r="H46" s="46">
        <v>1053.75</v>
      </c>
    </row>
    <row r="47" spans="1:8" x14ac:dyDescent="0.35">
      <c r="A47" s="27">
        <v>72</v>
      </c>
      <c r="B47" s="34" t="s">
        <v>28</v>
      </c>
      <c r="C47" s="46">
        <v>9</v>
      </c>
      <c r="D47" s="46">
        <v>22.5</v>
      </c>
      <c r="E47" s="46">
        <v>4</v>
      </c>
      <c r="F47" s="46">
        <v>16</v>
      </c>
      <c r="G47" s="46">
        <v>1</v>
      </c>
      <c r="H47" s="46">
        <v>1.5</v>
      </c>
    </row>
    <row r="48" spans="1:8" s="43" customFormat="1" ht="26.25" customHeight="1" x14ac:dyDescent="0.35">
      <c r="B48" s="43" t="s">
        <v>56</v>
      </c>
      <c r="C48" s="50">
        <v>46558</v>
      </c>
      <c r="D48" s="50">
        <v>186392.5</v>
      </c>
      <c r="E48" s="50">
        <v>10333</v>
      </c>
      <c r="F48" s="50">
        <v>64010.25</v>
      </c>
      <c r="G48" s="50">
        <v>8901</v>
      </c>
      <c r="H48" s="50">
        <v>41478</v>
      </c>
    </row>
    <row r="49" spans="1:8" x14ac:dyDescent="0.35">
      <c r="A49" s="27">
        <v>66</v>
      </c>
      <c r="B49" s="34" t="s">
        <v>22</v>
      </c>
      <c r="C49" s="46">
        <v>5029</v>
      </c>
      <c r="D49" s="46">
        <v>29823.5</v>
      </c>
      <c r="E49" s="46">
        <v>336</v>
      </c>
      <c r="F49" s="46">
        <v>2351.25</v>
      </c>
      <c r="G49" s="90" t="s">
        <v>117</v>
      </c>
      <c r="H49" s="90" t="s">
        <v>117</v>
      </c>
    </row>
    <row r="50" spans="1:8" x14ac:dyDescent="0.35">
      <c r="A50" s="27">
        <v>78</v>
      </c>
      <c r="B50" s="34" t="s">
        <v>33</v>
      </c>
      <c r="C50" s="46">
        <v>13366</v>
      </c>
      <c r="D50" s="46">
        <v>24958</v>
      </c>
      <c r="E50" s="46">
        <v>4737</v>
      </c>
      <c r="F50" s="46">
        <v>4846</v>
      </c>
      <c r="G50" s="90" t="s">
        <v>117</v>
      </c>
      <c r="H50" s="90" t="s">
        <v>117</v>
      </c>
    </row>
    <row r="51" spans="1:8" x14ac:dyDescent="0.35">
      <c r="A51" s="27">
        <v>89</v>
      </c>
      <c r="B51" s="34" t="s">
        <v>41</v>
      </c>
      <c r="C51" s="46">
        <v>3066</v>
      </c>
      <c r="D51" s="46">
        <v>11878</v>
      </c>
      <c r="E51" s="46">
        <v>180</v>
      </c>
      <c r="F51" s="46">
        <v>2850</v>
      </c>
      <c r="G51" s="46">
        <v>2886</v>
      </c>
      <c r="H51" s="46">
        <v>9028</v>
      </c>
    </row>
    <row r="52" spans="1:8" x14ac:dyDescent="0.35">
      <c r="A52" s="27">
        <v>93</v>
      </c>
      <c r="B52" s="34" t="s">
        <v>57</v>
      </c>
      <c r="C52" s="46">
        <v>3945</v>
      </c>
      <c r="D52" s="46">
        <v>18616</v>
      </c>
      <c r="E52" s="46">
        <v>679</v>
      </c>
      <c r="F52" s="46">
        <v>4998</v>
      </c>
      <c r="G52" s="46">
        <v>1340</v>
      </c>
      <c r="H52" s="46">
        <v>12070</v>
      </c>
    </row>
    <row r="53" spans="1:8" x14ac:dyDescent="0.35">
      <c r="A53" s="27">
        <v>95</v>
      </c>
      <c r="B53" s="34" t="s">
        <v>47</v>
      </c>
      <c r="C53" s="46">
        <v>8088</v>
      </c>
      <c r="D53" s="46">
        <v>70277</v>
      </c>
      <c r="E53" s="46">
        <v>3173</v>
      </c>
      <c r="F53" s="46">
        <v>44887</v>
      </c>
      <c r="G53" s="46">
        <v>2765</v>
      </c>
      <c r="H53" s="46">
        <v>15683</v>
      </c>
    </row>
    <row r="54" spans="1:8" x14ac:dyDescent="0.35">
      <c r="A54" s="27">
        <v>97</v>
      </c>
      <c r="B54" s="34" t="s">
        <v>49</v>
      </c>
      <c r="C54" s="46">
        <v>11195</v>
      </c>
      <c r="D54" s="46">
        <v>24159</v>
      </c>
      <c r="E54" s="46">
        <v>772</v>
      </c>
      <c r="F54" s="46">
        <v>2710</v>
      </c>
      <c r="G54" s="46">
        <v>737</v>
      </c>
      <c r="H54" s="46">
        <v>1484</v>
      </c>
    </row>
    <row r="55" spans="1:8" ht="14.5" x14ac:dyDescent="0.35">
      <c r="A55" s="27">
        <v>77</v>
      </c>
      <c r="B55" s="37" t="s">
        <v>110</v>
      </c>
      <c r="C55" s="89">
        <v>1869</v>
      </c>
      <c r="D55" s="89">
        <v>6681</v>
      </c>
      <c r="E55" s="89">
        <v>456</v>
      </c>
      <c r="F55" s="89">
        <v>1368</v>
      </c>
      <c r="G55" s="89">
        <v>1173</v>
      </c>
      <c r="H55" s="89">
        <v>3213</v>
      </c>
    </row>
    <row r="57" spans="1:8" ht="27.75" customHeight="1" x14ac:dyDescent="0.35">
      <c r="B57" s="106" t="s">
        <v>80</v>
      </c>
      <c r="C57" s="107"/>
      <c r="D57" s="107"/>
      <c r="E57" s="107"/>
      <c r="F57" s="107"/>
      <c r="G57" s="107"/>
      <c r="H57" s="107"/>
    </row>
    <row r="58" spans="1:8" ht="27.75" customHeight="1" x14ac:dyDescent="0.35">
      <c r="B58" s="106" t="s">
        <v>81</v>
      </c>
      <c r="C58" s="107"/>
      <c r="D58" s="107"/>
      <c r="E58" s="107"/>
      <c r="F58" s="107"/>
      <c r="G58" s="107"/>
      <c r="H58" s="107"/>
    </row>
    <row r="59" spans="1:8" ht="13.5" customHeight="1" x14ac:dyDescent="0.35">
      <c r="B59" s="34" t="s">
        <v>82</v>
      </c>
      <c r="C59" s="64"/>
      <c r="D59" s="64"/>
      <c r="E59" s="64"/>
      <c r="F59" s="64"/>
      <c r="G59" s="64"/>
      <c r="H59" s="64"/>
    </row>
    <row r="60" spans="1:8" ht="13.5" customHeight="1" x14ac:dyDescent="0.35">
      <c r="B60" s="34" t="s">
        <v>111</v>
      </c>
      <c r="C60" s="64"/>
      <c r="D60" s="64"/>
      <c r="E60" s="64"/>
      <c r="F60" s="64"/>
      <c r="G60" s="64"/>
      <c r="H60" s="64"/>
    </row>
    <row r="61" spans="1:8" x14ac:dyDescent="0.35">
      <c r="B61" s="34" t="s">
        <v>112</v>
      </c>
    </row>
    <row r="62" spans="1:8" x14ac:dyDescent="0.35">
      <c r="B62" s="34" t="s">
        <v>113</v>
      </c>
    </row>
    <row r="63" spans="1:8" x14ac:dyDescent="0.35">
      <c r="B63" s="34" t="s">
        <v>114</v>
      </c>
    </row>
    <row r="64" spans="1:8" x14ac:dyDescent="0.35">
      <c r="B64" s="34" t="s">
        <v>115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P68"/>
  <sheetViews>
    <sheetView showGridLines="0" zoomScale="85" zoomScaleNormal="85" workbookViewId="0">
      <pane xSplit="2" ySplit="3" topLeftCell="C43" activePane="bottomRight" state="frozen"/>
      <selection activeCell="A65" sqref="A65:I65"/>
      <selection pane="topRight" activeCell="A65" sqref="A65:I65"/>
      <selection pane="bottomLeft" activeCell="A65" sqref="A65:I65"/>
      <selection pane="bottomRight" activeCell="B47" sqref="B47"/>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8.9062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8.9062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8.9062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8.9062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8.9062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8.9062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8.9062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8.9062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8.9062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8.9062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8.9062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8.9062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8.9062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8.9062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8.9062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8.9062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8.9062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8.9062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8.9062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8.9062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8.9062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8.9062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8.9062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8.9062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8.9062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8.9062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8.9062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8.9062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8.9062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8.9062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8.9062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8.9062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8.9062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8.9062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8.9062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8.9062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8.9062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8.9062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8.9062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8.9062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8.9062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8.9062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8.9062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8.9062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8.9062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8.9062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8.9062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8.9062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8.9062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8.9062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8.9062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8.9062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8.9062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8.9062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8.9062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8.9062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8.9062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8.9062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8.9062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8.9062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8.9062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8.9062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8.9062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8.90625" style="34"/>
  </cols>
  <sheetData>
    <row r="1" spans="1:16" ht="33.75" customHeight="1" x14ac:dyDescent="0.35">
      <c r="B1" s="118" t="s">
        <v>136</v>
      </c>
      <c r="C1" s="116"/>
      <c r="D1" s="116"/>
      <c r="E1" s="116"/>
      <c r="F1" s="116"/>
      <c r="G1" s="116"/>
      <c r="H1" s="117"/>
    </row>
    <row r="2" spans="1:16" s="35" customFormat="1" ht="39.75" customHeight="1" x14ac:dyDescent="0.35">
      <c r="B2" s="36"/>
      <c r="C2" s="109" t="s">
        <v>67</v>
      </c>
      <c r="D2" s="109"/>
      <c r="E2" s="110" t="s">
        <v>68</v>
      </c>
      <c r="F2" s="110"/>
      <c r="G2" s="110" t="s">
        <v>69</v>
      </c>
      <c r="H2" s="110"/>
    </row>
    <row r="3" spans="1:16" ht="42.75" customHeight="1" x14ac:dyDescent="0.35">
      <c r="B3" s="37"/>
      <c r="C3" s="38" t="s">
        <v>70</v>
      </c>
      <c r="D3" s="38" t="s">
        <v>71</v>
      </c>
      <c r="E3" s="38" t="s">
        <v>70</v>
      </c>
      <c r="F3" s="38" t="s">
        <v>71</v>
      </c>
      <c r="G3" s="38" t="s">
        <v>70</v>
      </c>
      <c r="H3" s="38" t="s">
        <v>71</v>
      </c>
    </row>
    <row r="4" spans="1:16" ht="18" hidden="1" customHeight="1" x14ac:dyDescent="0.35">
      <c r="C4" s="39" t="s">
        <v>72</v>
      </c>
      <c r="D4" s="39" t="s">
        <v>72</v>
      </c>
      <c r="E4" s="39" t="s">
        <v>73</v>
      </c>
      <c r="F4" s="39" t="s">
        <v>73</v>
      </c>
      <c r="G4" s="39" t="s">
        <v>74</v>
      </c>
      <c r="H4" s="39" t="s">
        <v>74</v>
      </c>
    </row>
    <row r="5" spans="1:16" ht="15.75" hidden="1" customHeight="1" x14ac:dyDescent="0.35">
      <c r="C5" s="39" t="s">
        <v>75</v>
      </c>
      <c r="D5" s="39" t="s">
        <v>76</v>
      </c>
      <c r="E5" s="39" t="s">
        <v>75</v>
      </c>
      <c r="F5" s="39" t="s">
        <v>76</v>
      </c>
      <c r="G5" s="39" t="s">
        <v>75</v>
      </c>
      <c r="H5" s="39" t="s">
        <v>76</v>
      </c>
    </row>
    <row r="6" spans="1:16" ht="26.25" customHeight="1" x14ac:dyDescent="0.35">
      <c r="B6" s="40" t="s">
        <v>77</v>
      </c>
      <c r="C6" s="41">
        <f t="shared" ref="C6:H6" si="0">C7+C48</f>
        <v>124336</v>
      </c>
      <c r="D6" s="41">
        <f t="shared" si="0"/>
        <v>576793.43999999994</v>
      </c>
      <c r="E6" s="41">
        <f t="shared" si="0"/>
        <v>22714</v>
      </c>
      <c r="F6" s="41">
        <f t="shared" si="0"/>
        <v>167556.24633333331</v>
      </c>
      <c r="G6" s="41">
        <f t="shared" si="0"/>
        <v>22390</v>
      </c>
      <c r="H6" s="41">
        <f t="shared" si="0"/>
        <v>141640.14033333334</v>
      </c>
      <c r="J6" s="42"/>
      <c r="K6" s="42"/>
      <c r="L6" s="42"/>
      <c r="M6" s="42"/>
      <c r="N6" s="42"/>
      <c r="O6" s="42"/>
      <c r="P6" s="42"/>
    </row>
    <row r="7" spans="1:16" s="43" customFormat="1" ht="26.25" customHeight="1" x14ac:dyDescent="0.35">
      <c r="A7" s="26"/>
      <c r="B7" s="43" t="s">
        <v>52</v>
      </c>
      <c r="C7" s="44">
        <f t="shared" ref="C7:H7" si="1">SUM(C8:C47)</f>
        <v>106121</v>
      </c>
      <c r="D7" s="44">
        <f t="shared" si="1"/>
        <v>445439.44</v>
      </c>
      <c r="E7" s="44">
        <f t="shared" si="1"/>
        <v>16830</v>
      </c>
      <c r="F7" s="44">
        <f t="shared" si="1"/>
        <v>113013.66299999999</v>
      </c>
      <c r="G7" s="44">
        <f t="shared" si="1"/>
        <v>17975</v>
      </c>
      <c r="H7" s="44">
        <f t="shared" si="1"/>
        <v>111278.20700000001</v>
      </c>
      <c r="J7" s="42"/>
      <c r="K7" s="42"/>
      <c r="L7" s="45"/>
      <c r="M7" s="42"/>
      <c r="N7" s="42"/>
      <c r="O7" s="42"/>
    </row>
    <row r="8" spans="1:16" x14ac:dyDescent="0.35">
      <c r="A8" s="27">
        <v>51</v>
      </c>
      <c r="B8" s="34" t="s">
        <v>5</v>
      </c>
      <c r="C8" s="46">
        <v>15611</v>
      </c>
      <c r="D8" s="46">
        <v>3316.5</v>
      </c>
      <c r="E8" s="46">
        <v>207</v>
      </c>
      <c r="F8" s="46">
        <v>1020</v>
      </c>
      <c r="G8" s="46">
        <v>247</v>
      </c>
      <c r="H8" s="46">
        <v>458.5</v>
      </c>
      <c r="J8" s="42"/>
      <c r="K8" s="42"/>
      <c r="L8" s="42"/>
      <c r="M8" s="42"/>
      <c r="N8" s="42"/>
      <c r="O8" s="42"/>
    </row>
    <row r="9" spans="1:16" x14ac:dyDescent="0.35">
      <c r="A9" s="27">
        <v>52</v>
      </c>
      <c r="B9" s="34" t="s">
        <v>6</v>
      </c>
      <c r="C9" s="46">
        <v>1099</v>
      </c>
      <c r="D9" s="46">
        <v>9053</v>
      </c>
      <c r="E9" s="46">
        <v>114</v>
      </c>
      <c r="F9" s="46">
        <v>802</v>
      </c>
      <c r="G9" s="46">
        <v>244</v>
      </c>
      <c r="H9" s="46">
        <v>4316</v>
      </c>
      <c r="J9" s="42"/>
      <c r="K9" s="42"/>
      <c r="L9" s="42"/>
      <c r="M9" s="42"/>
      <c r="N9" s="42"/>
      <c r="O9" s="42"/>
    </row>
    <row r="10" spans="1:16" x14ac:dyDescent="0.35">
      <c r="A10" s="27">
        <v>86</v>
      </c>
      <c r="B10" s="34" t="s">
        <v>7</v>
      </c>
      <c r="C10" s="46">
        <v>304</v>
      </c>
      <c r="D10" s="46">
        <v>2110</v>
      </c>
      <c r="E10" s="46">
        <v>24</v>
      </c>
      <c r="F10" s="46">
        <v>596</v>
      </c>
      <c r="G10" s="46">
        <v>180</v>
      </c>
      <c r="H10" s="46">
        <v>1428</v>
      </c>
      <c r="J10" s="42"/>
      <c r="K10" s="42"/>
      <c r="L10" s="42"/>
      <c r="M10" s="42"/>
      <c r="N10" s="42"/>
      <c r="O10" s="42"/>
    </row>
    <row r="11" spans="1:16" x14ac:dyDescent="0.35">
      <c r="A11" s="27">
        <v>53</v>
      </c>
      <c r="B11" s="34" t="s">
        <v>8</v>
      </c>
      <c r="C11" s="46">
        <v>988</v>
      </c>
      <c r="D11" s="46">
        <v>5936.5</v>
      </c>
      <c r="E11" s="46">
        <v>59</v>
      </c>
      <c r="F11" s="46">
        <v>360</v>
      </c>
      <c r="G11" s="46">
        <v>42</v>
      </c>
      <c r="H11" s="46">
        <v>801</v>
      </c>
      <c r="J11" s="42"/>
      <c r="K11" s="42"/>
      <c r="L11" s="42"/>
      <c r="M11" s="42"/>
      <c r="N11" s="42"/>
      <c r="O11" s="42"/>
    </row>
    <row r="12" spans="1:16" x14ac:dyDescent="0.35">
      <c r="A12" s="27">
        <v>54</v>
      </c>
      <c r="B12" s="34" t="s">
        <v>9</v>
      </c>
      <c r="C12" s="46">
        <v>513</v>
      </c>
      <c r="D12" s="46">
        <v>2041</v>
      </c>
      <c r="E12" s="46">
        <v>114</v>
      </c>
      <c r="F12" s="46">
        <v>853</v>
      </c>
      <c r="G12" s="46">
        <v>207</v>
      </c>
      <c r="H12" s="46">
        <v>803</v>
      </c>
      <c r="J12" s="42"/>
      <c r="K12" s="42"/>
      <c r="L12" s="42"/>
      <c r="M12" s="42"/>
      <c r="N12" s="42"/>
      <c r="O12" s="42"/>
    </row>
    <row r="13" spans="1:16" x14ac:dyDescent="0.35">
      <c r="A13" s="27">
        <v>55</v>
      </c>
      <c r="B13" s="34" t="s">
        <v>10</v>
      </c>
      <c r="C13" s="46">
        <v>2528</v>
      </c>
      <c r="D13" s="46">
        <v>19276</v>
      </c>
      <c r="E13" s="46">
        <v>1058</v>
      </c>
      <c r="F13" s="46">
        <v>3333</v>
      </c>
      <c r="G13" s="46">
        <v>534</v>
      </c>
      <c r="H13" s="46">
        <v>10553</v>
      </c>
      <c r="J13" s="42"/>
      <c r="K13" s="42"/>
      <c r="L13" s="42"/>
      <c r="M13" s="42"/>
      <c r="N13" s="42"/>
      <c r="O13" s="42"/>
    </row>
    <row r="14" spans="1:16" x14ac:dyDescent="0.35">
      <c r="A14" s="27">
        <v>56</v>
      </c>
      <c r="B14" s="34" t="s">
        <v>11</v>
      </c>
      <c r="C14" s="46">
        <v>1780</v>
      </c>
      <c r="D14" s="46">
        <v>15470</v>
      </c>
      <c r="E14" s="46">
        <v>430</v>
      </c>
      <c r="F14" s="46">
        <v>3520</v>
      </c>
      <c r="G14" s="46">
        <v>1350</v>
      </c>
      <c r="H14" s="46">
        <v>11950</v>
      </c>
      <c r="J14" s="42"/>
      <c r="K14" s="42"/>
      <c r="L14" s="42"/>
      <c r="M14" s="42"/>
      <c r="N14" s="42"/>
      <c r="O14" s="42"/>
    </row>
    <row r="15" spans="1:16" x14ac:dyDescent="0.35">
      <c r="A15" s="27">
        <v>57</v>
      </c>
      <c r="B15" s="34" t="s">
        <v>12</v>
      </c>
      <c r="C15" s="46">
        <v>566</v>
      </c>
      <c r="D15" s="46">
        <v>4758</v>
      </c>
      <c r="E15" s="46">
        <v>20</v>
      </c>
      <c r="F15" s="46">
        <v>716.41</v>
      </c>
      <c r="G15" s="46">
        <v>133</v>
      </c>
      <c r="H15" s="46">
        <v>889</v>
      </c>
      <c r="J15" s="42"/>
      <c r="K15" s="42"/>
      <c r="L15" s="42"/>
      <c r="M15" s="42"/>
      <c r="N15" s="42"/>
      <c r="O15" s="42"/>
    </row>
    <row r="16" spans="1:16" x14ac:dyDescent="0.35">
      <c r="A16" s="27">
        <v>59</v>
      </c>
      <c r="B16" s="34" t="s">
        <v>13</v>
      </c>
      <c r="C16" s="46">
        <v>740</v>
      </c>
      <c r="D16" s="46">
        <v>26640</v>
      </c>
      <c r="E16" s="46">
        <v>191</v>
      </c>
      <c r="F16" s="46">
        <v>6876</v>
      </c>
      <c r="G16" s="46">
        <v>234</v>
      </c>
      <c r="H16" s="46">
        <v>8424</v>
      </c>
      <c r="J16" s="42"/>
      <c r="K16" s="42"/>
      <c r="L16" s="42"/>
      <c r="M16" s="42"/>
      <c r="N16" s="42"/>
      <c r="O16" s="42"/>
    </row>
    <row r="17" spans="1:15" x14ac:dyDescent="0.35">
      <c r="A17" s="27">
        <v>60</v>
      </c>
      <c r="B17" s="34" t="s">
        <v>14</v>
      </c>
      <c r="C17" s="46">
        <v>23448</v>
      </c>
      <c r="D17" s="46">
        <v>12731.22</v>
      </c>
      <c r="E17" s="46">
        <v>488</v>
      </c>
      <c r="F17" s="46">
        <v>4334.57</v>
      </c>
      <c r="G17" s="46">
        <v>409</v>
      </c>
      <c r="H17" s="46">
        <v>1174.6500000000001</v>
      </c>
      <c r="J17" s="42"/>
      <c r="K17" s="42"/>
      <c r="L17" s="42"/>
      <c r="M17" s="42"/>
      <c r="N17" s="42"/>
      <c r="O17" s="42"/>
    </row>
    <row r="18" spans="1:15" x14ac:dyDescent="0.35">
      <c r="A18" s="27">
        <v>61</v>
      </c>
      <c r="B18" s="47" t="s">
        <v>53</v>
      </c>
      <c r="C18" s="46">
        <v>4990</v>
      </c>
      <c r="D18" s="46">
        <v>12427</v>
      </c>
      <c r="E18" s="46">
        <v>636</v>
      </c>
      <c r="F18" s="46">
        <v>2685</v>
      </c>
      <c r="G18" s="46">
        <v>1629</v>
      </c>
      <c r="H18" s="46">
        <v>3522</v>
      </c>
      <c r="J18" s="42"/>
      <c r="K18" s="42"/>
      <c r="L18" s="42"/>
      <c r="M18" s="42"/>
      <c r="N18" s="42"/>
      <c r="O18" s="42"/>
    </row>
    <row r="19" spans="1:15" x14ac:dyDescent="0.35">
      <c r="A19" s="27"/>
      <c r="B19" s="47" t="s">
        <v>131</v>
      </c>
      <c r="C19" s="46">
        <v>6097</v>
      </c>
      <c r="D19" s="46">
        <v>7268</v>
      </c>
      <c r="E19" s="46">
        <v>36</v>
      </c>
      <c r="F19" s="46">
        <v>1779</v>
      </c>
      <c r="G19" s="46">
        <v>563</v>
      </c>
      <c r="H19" s="46">
        <v>1751</v>
      </c>
      <c r="J19" s="42"/>
      <c r="K19" s="42"/>
      <c r="L19" s="42"/>
      <c r="M19" s="42"/>
      <c r="N19" s="42"/>
      <c r="O19" s="42"/>
    </row>
    <row r="20" spans="1:15" x14ac:dyDescent="0.35">
      <c r="A20" s="27">
        <v>62</v>
      </c>
      <c r="B20" s="34" t="s">
        <v>16</v>
      </c>
      <c r="C20" s="46" t="s">
        <v>132</v>
      </c>
      <c r="D20" s="46" t="s">
        <v>132</v>
      </c>
      <c r="E20" s="46" t="s">
        <v>132</v>
      </c>
      <c r="F20" s="46" t="s">
        <v>132</v>
      </c>
      <c r="G20" s="46" t="s">
        <v>132</v>
      </c>
      <c r="H20" s="46" t="s">
        <v>132</v>
      </c>
      <c r="J20" s="42"/>
      <c r="K20" s="42"/>
      <c r="L20" s="42"/>
      <c r="M20" s="42"/>
      <c r="N20" s="42"/>
      <c r="O20" s="42"/>
    </row>
    <row r="21" spans="1:15" x14ac:dyDescent="0.35">
      <c r="A21" s="27">
        <v>58</v>
      </c>
      <c r="B21" s="34" t="s">
        <v>17</v>
      </c>
      <c r="C21" s="46">
        <v>376</v>
      </c>
      <c r="D21" s="46">
        <v>1501</v>
      </c>
      <c r="E21" s="46">
        <v>82</v>
      </c>
      <c r="F21" s="46">
        <v>349</v>
      </c>
      <c r="G21" s="46">
        <v>225</v>
      </c>
      <c r="H21" s="46">
        <v>944</v>
      </c>
      <c r="J21" s="42"/>
      <c r="K21" s="42"/>
      <c r="L21" s="42"/>
      <c r="M21" s="42"/>
      <c r="N21" s="42"/>
      <c r="O21" s="42"/>
    </row>
    <row r="22" spans="1:15" x14ac:dyDescent="0.35">
      <c r="A22" s="27">
        <v>63</v>
      </c>
      <c r="B22" s="34" t="s">
        <v>18</v>
      </c>
      <c r="C22" s="46">
        <v>1485</v>
      </c>
      <c r="D22" s="46">
        <v>6670.67</v>
      </c>
      <c r="E22" s="46">
        <v>65</v>
      </c>
      <c r="F22" s="46">
        <v>415.48</v>
      </c>
      <c r="G22" s="46">
        <v>242</v>
      </c>
      <c r="H22" s="46">
        <v>2869.21</v>
      </c>
      <c r="J22" s="42"/>
      <c r="K22" s="42"/>
      <c r="L22" s="42"/>
      <c r="M22" s="42"/>
      <c r="N22" s="42"/>
      <c r="O22" s="42"/>
    </row>
    <row r="23" spans="1:15" x14ac:dyDescent="0.35">
      <c r="A23" s="27">
        <v>64</v>
      </c>
      <c r="B23" s="34" t="s">
        <v>19</v>
      </c>
      <c r="C23" s="46">
        <v>1906</v>
      </c>
      <c r="D23" s="46">
        <v>127209</v>
      </c>
      <c r="E23" s="46">
        <v>95</v>
      </c>
      <c r="F23" s="46">
        <v>20615</v>
      </c>
      <c r="G23" s="46">
        <v>74</v>
      </c>
      <c r="H23" s="46">
        <v>5835</v>
      </c>
      <c r="J23" s="42"/>
      <c r="K23" s="42"/>
      <c r="L23" s="42"/>
      <c r="M23" s="42"/>
      <c r="N23" s="42"/>
      <c r="O23" s="42"/>
    </row>
    <row r="24" spans="1:15" x14ac:dyDescent="0.35">
      <c r="A24" s="27">
        <v>65</v>
      </c>
      <c r="B24" s="34" t="s">
        <v>20</v>
      </c>
      <c r="C24" s="46">
        <v>636</v>
      </c>
      <c r="D24" s="46">
        <v>21674</v>
      </c>
      <c r="E24" s="46">
        <v>66</v>
      </c>
      <c r="F24" s="46">
        <v>846</v>
      </c>
      <c r="G24" s="46">
        <v>97</v>
      </c>
      <c r="H24" s="46">
        <v>743</v>
      </c>
      <c r="J24" s="42"/>
      <c r="K24" s="42"/>
      <c r="L24" s="42"/>
      <c r="M24" s="42"/>
      <c r="N24" s="42"/>
      <c r="O24" s="42"/>
    </row>
    <row r="25" spans="1:15" x14ac:dyDescent="0.35">
      <c r="A25" s="27">
        <v>67</v>
      </c>
      <c r="B25" s="34" t="s">
        <v>23</v>
      </c>
      <c r="C25" s="46">
        <v>1336</v>
      </c>
      <c r="D25" s="46">
        <v>12137</v>
      </c>
      <c r="E25" s="46">
        <v>750</v>
      </c>
      <c r="F25" s="46">
        <v>6042</v>
      </c>
      <c r="G25" s="46">
        <v>471</v>
      </c>
      <c r="H25" s="46">
        <v>5158.8</v>
      </c>
      <c r="J25" s="42"/>
      <c r="K25" s="42"/>
      <c r="L25" s="42"/>
      <c r="M25" s="42"/>
      <c r="N25" s="42"/>
      <c r="O25" s="42"/>
    </row>
    <row r="26" spans="1:15" x14ac:dyDescent="0.35">
      <c r="A26" s="27">
        <v>68</v>
      </c>
      <c r="B26" s="34" t="s">
        <v>54</v>
      </c>
      <c r="C26" s="46">
        <v>313</v>
      </c>
      <c r="D26" s="46">
        <v>3280</v>
      </c>
      <c r="E26" s="46">
        <v>25</v>
      </c>
      <c r="F26" s="46">
        <v>59</v>
      </c>
      <c r="G26" s="46">
        <v>111</v>
      </c>
      <c r="H26" s="46">
        <v>2560</v>
      </c>
      <c r="J26" s="42"/>
      <c r="K26" s="42"/>
      <c r="L26" s="42"/>
      <c r="M26" s="42"/>
      <c r="N26" s="42"/>
      <c r="O26" s="42"/>
    </row>
    <row r="27" spans="1:15" x14ac:dyDescent="0.35">
      <c r="A27" s="27">
        <v>69</v>
      </c>
      <c r="B27" s="34" t="s">
        <v>25</v>
      </c>
      <c r="C27" s="46">
        <v>0</v>
      </c>
      <c r="D27" s="46">
        <v>0</v>
      </c>
      <c r="E27" s="46">
        <v>176</v>
      </c>
      <c r="F27" s="46">
        <v>3250</v>
      </c>
      <c r="G27" s="46">
        <v>9</v>
      </c>
      <c r="H27" s="46">
        <v>128</v>
      </c>
      <c r="J27" s="42"/>
      <c r="K27" s="42"/>
      <c r="L27" s="42"/>
      <c r="M27" s="42"/>
      <c r="N27" s="42"/>
      <c r="O27" s="42"/>
    </row>
    <row r="28" spans="1:15" x14ac:dyDescent="0.35">
      <c r="A28" s="27">
        <v>70</v>
      </c>
      <c r="B28" s="34" t="s">
        <v>26</v>
      </c>
      <c r="C28" s="46">
        <v>1336</v>
      </c>
      <c r="D28" s="46">
        <v>4529</v>
      </c>
      <c r="E28" s="46">
        <v>376</v>
      </c>
      <c r="F28" s="46">
        <v>2776</v>
      </c>
      <c r="G28" s="46">
        <v>192</v>
      </c>
      <c r="H28" s="46">
        <v>454</v>
      </c>
      <c r="J28" s="42"/>
      <c r="K28" s="42"/>
      <c r="L28" s="42"/>
      <c r="M28" s="42"/>
      <c r="N28" s="42"/>
      <c r="O28" s="42"/>
    </row>
    <row r="29" spans="1:15" x14ac:dyDescent="0.35">
      <c r="A29" s="27">
        <v>71</v>
      </c>
      <c r="B29" s="34" t="s">
        <v>55</v>
      </c>
      <c r="C29" s="46">
        <v>128</v>
      </c>
      <c r="D29" s="46">
        <v>307</v>
      </c>
      <c r="E29" s="46">
        <v>10</v>
      </c>
      <c r="F29" s="46">
        <v>40</v>
      </c>
      <c r="G29" s="46">
        <v>76</v>
      </c>
      <c r="H29" s="46">
        <v>177</v>
      </c>
      <c r="J29" s="42"/>
      <c r="K29" s="42"/>
      <c r="L29" s="42"/>
      <c r="M29" s="42"/>
      <c r="N29" s="42"/>
      <c r="O29" s="42"/>
    </row>
    <row r="30" spans="1:15" x14ac:dyDescent="0.35">
      <c r="A30" s="27">
        <v>73</v>
      </c>
      <c r="B30" s="34" t="s">
        <v>29</v>
      </c>
      <c r="C30" s="46">
        <v>2185</v>
      </c>
      <c r="D30" s="46">
        <v>0</v>
      </c>
      <c r="E30" s="46">
        <v>656</v>
      </c>
      <c r="F30" s="46">
        <v>0</v>
      </c>
      <c r="G30" s="46">
        <v>10</v>
      </c>
      <c r="H30" s="46">
        <v>0</v>
      </c>
      <c r="J30" s="42"/>
      <c r="K30" s="42"/>
      <c r="L30" s="42"/>
      <c r="M30" s="42"/>
      <c r="N30" s="42"/>
      <c r="O30" s="42"/>
    </row>
    <row r="31" spans="1:15" x14ac:dyDescent="0.35">
      <c r="A31" s="27">
        <v>74</v>
      </c>
      <c r="B31" s="34" t="s">
        <v>30</v>
      </c>
      <c r="C31" s="46">
        <v>3465</v>
      </c>
      <c r="D31" s="46">
        <v>11209</v>
      </c>
      <c r="E31" s="46">
        <v>1199</v>
      </c>
      <c r="F31" s="46">
        <v>2186</v>
      </c>
      <c r="G31" s="46">
        <v>1307</v>
      </c>
      <c r="H31" s="46">
        <v>4892</v>
      </c>
      <c r="J31" s="42"/>
      <c r="K31" s="42"/>
      <c r="L31" s="42"/>
      <c r="M31" s="42"/>
      <c r="N31" s="42"/>
      <c r="O31" s="42"/>
    </row>
    <row r="32" spans="1:15" x14ac:dyDescent="0.35">
      <c r="A32" s="27">
        <v>75</v>
      </c>
      <c r="B32" s="34" t="s">
        <v>31</v>
      </c>
      <c r="C32" s="46">
        <v>2895</v>
      </c>
      <c r="D32" s="46">
        <v>14435</v>
      </c>
      <c r="E32" s="46">
        <v>288</v>
      </c>
      <c r="F32" s="46">
        <v>1975</v>
      </c>
      <c r="G32" s="46">
        <v>897</v>
      </c>
      <c r="H32" s="46">
        <v>4946</v>
      </c>
      <c r="J32" s="42"/>
      <c r="K32" s="42"/>
      <c r="L32" s="42"/>
      <c r="M32" s="42"/>
      <c r="N32" s="42"/>
      <c r="O32" s="42"/>
    </row>
    <row r="33" spans="1:15" x14ac:dyDescent="0.35">
      <c r="A33" s="27">
        <v>76</v>
      </c>
      <c r="B33" s="34" t="s">
        <v>32</v>
      </c>
      <c r="C33" s="46">
        <v>1209</v>
      </c>
      <c r="D33" s="46">
        <v>7356</v>
      </c>
      <c r="E33" s="46">
        <v>495</v>
      </c>
      <c r="F33" s="46">
        <v>1485</v>
      </c>
      <c r="G33" s="46">
        <v>149</v>
      </c>
      <c r="H33" s="46">
        <v>964</v>
      </c>
      <c r="J33" s="42"/>
      <c r="K33" s="42"/>
      <c r="L33" s="42"/>
      <c r="M33" s="42"/>
      <c r="N33" s="42"/>
      <c r="O33" s="42"/>
    </row>
    <row r="34" spans="1:15" x14ac:dyDescent="0.35">
      <c r="A34" s="27">
        <v>79</v>
      </c>
      <c r="B34" s="34" t="s">
        <v>34</v>
      </c>
      <c r="C34" s="46">
        <v>6030</v>
      </c>
      <c r="D34" s="46">
        <v>18889.25</v>
      </c>
      <c r="E34" s="46">
        <v>5069</v>
      </c>
      <c r="F34" s="46">
        <v>17070</v>
      </c>
      <c r="G34" s="46">
        <v>730</v>
      </c>
      <c r="H34" s="46">
        <v>1300</v>
      </c>
      <c r="J34" s="42"/>
      <c r="K34" s="42"/>
      <c r="L34" s="42"/>
      <c r="M34" s="42"/>
      <c r="N34" s="42"/>
      <c r="O34" s="42"/>
    </row>
    <row r="35" spans="1:15" x14ac:dyDescent="0.35">
      <c r="A35" s="27">
        <v>80</v>
      </c>
      <c r="B35" s="34" t="s">
        <v>35</v>
      </c>
      <c r="C35" s="46">
        <v>2116</v>
      </c>
      <c r="D35" s="46">
        <v>7545</v>
      </c>
      <c r="E35" s="46">
        <v>94</v>
      </c>
      <c r="F35" s="46">
        <v>251</v>
      </c>
      <c r="G35" s="46">
        <v>286</v>
      </c>
      <c r="H35" s="46">
        <v>354</v>
      </c>
      <c r="J35" s="42"/>
      <c r="K35" s="42"/>
      <c r="L35" s="42"/>
      <c r="M35" s="42"/>
      <c r="N35" s="42"/>
      <c r="O35" s="42"/>
    </row>
    <row r="36" spans="1:15" x14ac:dyDescent="0.35">
      <c r="A36" s="27">
        <v>81</v>
      </c>
      <c r="B36" s="34" t="s">
        <v>36</v>
      </c>
      <c r="C36" s="46">
        <v>1235</v>
      </c>
      <c r="D36" s="46">
        <v>6464</v>
      </c>
      <c r="E36" s="46">
        <v>575</v>
      </c>
      <c r="F36" s="46">
        <v>2387</v>
      </c>
      <c r="G36" s="46">
        <v>537</v>
      </c>
      <c r="H36" s="46">
        <v>1105</v>
      </c>
      <c r="J36" s="42"/>
      <c r="K36" s="42"/>
      <c r="L36" s="42"/>
      <c r="M36" s="42"/>
      <c r="N36" s="42"/>
      <c r="O36" s="42"/>
    </row>
    <row r="37" spans="1:15" x14ac:dyDescent="0.35">
      <c r="A37" s="27">
        <v>83</v>
      </c>
      <c r="B37" s="34" t="s">
        <v>37</v>
      </c>
      <c r="C37" s="46">
        <v>3769</v>
      </c>
      <c r="D37" s="46">
        <v>6235.5</v>
      </c>
      <c r="E37" s="46">
        <v>394</v>
      </c>
      <c r="F37" s="46">
        <v>4097.5</v>
      </c>
      <c r="G37" s="46">
        <v>256</v>
      </c>
      <c r="H37" s="46">
        <v>1012</v>
      </c>
      <c r="J37" s="42"/>
      <c r="K37" s="42"/>
      <c r="L37" s="42"/>
      <c r="M37" s="42"/>
      <c r="N37" s="42"/>
      <c r="O37" s="42"/>
    </row>
    <row r="38" spans="1:15" x14ac:dyDescent="0.35">
      <c r="A38" s="27">
        <v>84</v>
      </c>
      <c r="B38" s="34" t="s">
        <v>38</v>
      </c>
      <c r="C38" s="46">
        <v>5132</v>
      </c>
      <c r="D38" s="46">
        <v>23326.3</v>
      </c>
      <c r="E38" s="46">
        <v>405</v>
      </c>
      <c r="F38" s="46">
        <v>5922.0829999999996</v>
      </c>
      <c r="G38" s="46">
        <v>446</v>
      </c>
      <c r="H38" s="46">
        <v>5549.9669999999996</v>
      </c>
      <c r="J38" s="42"/>
      <c r="K38" s="42"/>
      <c r="L38" s="42"/>
      <c r="M38" s="42"/>
      <c r="N38" s="42"/>
      <c r="O38" s="42"/>
    </row>
    <row r="39" spans="1:15" x14ac:dyDescent="0.35">
      <c r="A39" s="27">
        <v>85</v>
      </c>
      <c r="B39" s="34" t="s">
        <v>39</v>
      </c>
      <c r="C39" s="46">
        <v>1815</v>
      </c>
      <c r="D39" s="46">
        <v>9564</v>
      </c>
      <c r="E39" s="46">
        <v>64</v>
      </c>
      <c r="F39" s="46">
        <v>379.5</v>
      </c>
      <c r="G39" s="46">
        <v>367</v>
      </c>
      <c r="H39" s="46">
        <v>4206</v>
      </c>
      <c r="J39" s="42"/>
      <c r="K39" s="42"/>
      <c r="L39" s="42"/>
      <c r="M39" s="42"/>
      <c r="N39" s="42"/>
      <c r="O39" s="42"/>
    </row>
    <row r="40" spans="1:15" x14ac:dyDescent="0.35">
      <c r="A40" s="27">
        <v>87</v>
      </c>
      <c r="B40" s="34" t="s">
        <v>40</v>
      </c>
      <c r="C40" s="46">
        <v>378</v>
      </c>
      <c r="D40" s="46">
        <v>1874</v>
      </c>
      <c r="E40" s="46">
        <v>34</v>
      </c>
      <c r="F40" s="46">
        <v>204</v>
      </c>
      <c r="G40" s="46">
        <v>181</v>
      </c>
      <c r="H40" s="46">
        <v>902</v>
      </c>
      <c r="J40" s="42"/>
      <c r="K40" s="42"/>
      <c r="L40" s="42"/>
      <c r="M40" s="42"/>
      <c r="N40" s="42"/>
      <c r="O40" s="42"/>
    </row>
    <row r="41" spans="1:15" ht="14.5" x14ac:dyDescent="0.35">
      <c r="A41" s="27">
        <v>90</v>
      </c>
      <c r="B41" s="49" t="s">
        <v>78</v>
      </c>
      <c r="C41" s="46">
        <v>0</v>
      </c>
      <c r="D41" s="46">
        <v>0</v>
      </c>
      <c r="E41" s="46">
        <v>0</v>
      </c>
      <c r="F41" s="46">
        <v>0</v>
      </c>
      <c r="G41" s="46">
        <v>0</v>
      </c>
      <c r="H41" s="46">
        <v>0</v>
      </c>
      <c r="J41" s="42"/>
      <c r="K41" s="42"/>
      <c r="L41" s="42"/>
      <c r="M41" s="42"/>
      <c r="N41" s="42"/>
      <c r="O41" s="42"/>
    </row>
    <row r="42" spans="1:15" x14ac:dyDescent="0.35">
      <c r="A42" s="27">
        <v>91</v>
      </c>
      <c r="B42" s="34" t="s">
        <v>43</v>
      </c>
      <c r="C42" s="46">
        <v>381</v>
      </c>
      <c r="D42" s="46">
        <v>3425</v>
      </c>
      <c r="E42" s="46">
        <v>166</v>
      </c>
      <c r="F42" s="46">
        <v>1859.12</v>
      </c>
      <c r="G42" s="46">
        <v>140</v>
      </c>
      <c r="H42" s="46">
        <v>1563.58</v>
      </c>
      <c r="J42" s="42"/>
      <c r="K42" s="42"/>
      <c r="L42" s="42"/>
      <c r="M42" s="42"/>
      <c r="N42" s="42"/>
      <c r="O42" s="42"/>
    </row>
    <row r="43" spans="1:15" x14ac:dyDescent="0.35">
      <c r="A43" s="27">
        <v>92</v>
      </c>
      <c r="B43" s="34" t="s">
        <v>44</v>
      </c>
      <c r="C43" s="46">
        <v>1549</v>
      </c>
      <c r="D43" s="46">
        <v>8331</v>
      </c>
      <c r="E43" s="46">
        <v>82</v>
      </c>
      <c r="F43" s="46">
        <v>5144</v>
      </c>
      <c r="G43" s="46">
        <v>57</v>
      </c>
      <c r="H43" s="46">
        <v>225</v>
      </c>
      <c r="J43" s="42"/>
      <c r="K43" s="42"/>
      <c r="L43" s="42"/>
      <c r="M43" s="42"/>
      <c r="N43" s="42"/>
      <c r="O43" s="42"/>
    </row>
    <row r="44" spans="1:15" x14ac:dyDescent="0.35">
      <c r="A44" s="27">
        <v>94</v>
      </c>
      <c r="B44" s="34" t="s">
        <v>46</v>
      </c>
      <c r="C44" s="46">
        <v>5206</v>
      </c>
      <c r="D44" s="46">
        <v>20743</v>
      </c>
      <c r="E44" s="46">
        <v>295</v>
      </c>
      <c r="F44" s="46">
        <v>2716</v>
      </c>
      <c r="G44" s="46">
        <v>4867</v>
      </c>
      <c r="H44" s="46">
        <v>17918</v>
      </c>
      <c r="J44" s="42"/>
      <c r="K44" s="42"/>
      <c r="L44" s="42"/>
      <c r="M44" s="42"/>
      <c r="N44" s="42"/>
      <c r="O44" s="42"/>
    </row>
    <row r="45" spans="1:15" ht="14.5" x14ac:dyDescent="0.35">
      <c r="A45" s="27">
        <v>96</v>
      </c>
      <c r="B45" s="49" t="s">
        <v>79</v>
      </c>
      <c r="C45" s="46">
        <v>2569</v>
      </c>
      <c r="D45" s="46">
        <v>7693.5</v>
      </c>
      <c r="E45" s="46">
        <v>1991</v>
      </c>
      <c r="F45" s="46">
        <v>6068</v>
      </c>
      <c r="G45" s="46">
        <v>472</v>
      </c>
      <c r="H45" s="46">
        <v>1394.5</v>
      </c>
      <c r="J45" s="42"/>
      <c r="K45" s="42"/>
      <c r="L45" s="42"/>
      <c r="M45" s="42"/>
      <c r="N45" s="42"/>
      <c r="O45" s="42"/>
    </row>
    <row r="46" spans="1:15" x14ac:dyDescent="0.35">
      <c r="A46" s="27">
        <v>98</v>
      </c>
      <c r="B46" s="34" t="s">
        <v>50</v>
      </c>
      <c r="C46" s="46" t="s">
        <v>132</v>
      </c>
      <c r="D46" s="46" t="s">
        <v>132</v>
      </c>
      <c r="E46" s="46" t="s">
        <v>132</v>
      </c>
      <c r="F46" s="46" t="s">
        <v>132</v>
      </c>
      <c r="G46" s="46" t="s">
        <v>132</v>
      </c>
      <c r="H46" s="46" t="s">
        <v>132</v>
      </c>
      <c r="J46" s="42"/>
      <c r="K46" s="42"/>
      <c r="L46" s="42"/>
      <c r="M46" s="42"/>
      <c r="N46" s="42"/>
      <c r="O46" s="42"/>
    </row>
    <row r="47" spans="1:15" x14ac:dyDescent="0.35">
      <c r="A47" s="27">
        <v>72</v>
      </c>
      <c r="B47" s="34" t="s">
        <v>28</v>
      </c>
      <c r="C47" s="46">
        <v>7</v>
      </c>
      <c r="D47" s="46">
        <v>14</v>
      </c>
      <c r="E47" s="46">
        <v>1</v>
      </c>
      <c r="F47" s="46">
        <v>2</v>
      </c>
      <c r="G47" s="46">
        <v>4</v>
      </c>
      <c r="H47" s="46">
        <v>7</v>
      </c>
      <c r="J47" s="42"/>
      <c r="K47" s="42"/>
      <c r="L47" s="42"/>
      <c r="M47" s="42"/>
      <c r="N47" s="42"/>
      <c r="O47" s="42"/>
    </row>
    <row r="48" spans="1:15" s="43" customFormat="1" ht="26.25" customHeight="1" x14ac:dyDescent="0.35">
      <c r="B48" s="43" t="s">
        <v>56</v>
      </c>
      <c r="C48" s="50">
        <f t="shared" ref="C48:H48" si="2">SUM(C49:C55)</f>
        <v>18215</v>
      </c>
      <c r="D48" s="50">
        <f t="shared" si="2"/>
        <v>131354</v>
      </c>
      <c r="E48" s="50">
        <f t="shared" si="2"/>
        <v>5884</v>
      </c>
      <c r="F48" s="50">
        <f t="shared" si="2"/>
        <v>54542.583333333328</v>
      </c>
      <c r="G48" s="50">
        <f t="shared" si="2"/>
        <v>4415</v>
      </c>
      <c r="H48" s="50">
        <f t="shared" si="2"/>
        <v>30361.933333333334</v>
      </c>
      <c r="J48" s="42"/>
      <c r="K48" s="42"/>
      <c r="L48" s="42"/>
      <c r="M48" s="42"/>
      <c r="N48" s="42"/>
      <c r="O48" s="42"/>
    </row>
    <row r="49" spans="1:15" x14ac:dyDescent="0.35">
      <c r="A49" s="27">
        <v>66</v>
      </c>
      <c r="B49" s="34" t="s">
        <v>22</v>
      </c>
      <c r="C49" s="46">
        <v>2753</v>
      </c>
      <c r="D49" s="46">
        <v>15241</v>
      </c>
      <c r="E49" s="46">
        <v>259</v>
      </c>
      <c r="F49" s="46">
        <v>328.58333333333337</v>
      </c>
      <c r="G49" s="46">
        <v>1198</v>
      </c>
      <c r="H49" s="46">
        <v>3740.9333333333334</v>
      </c>
      <c r="J49" s="42"/>
      <c r="K49" s="42"/>
      <c r="L49" s="42"/>
      <c r="M49" s="42"/>
      <c r="N49" s="42"/>
      <c r="O49" s="42"/>
    </row>
    <row r="50" spans="1:15" x14ac:dyDescent="0.35">
      <c r="A50" s="27">
        <v>78</v>
      </c>
      <c r="B50" s="34" t="s">
        <v>33</v>
      </c>
      <c r="C50" s="46">
        <v>5455</v>
      </c>
      <c r="D50" s="46">
        <v>24651</v>
      </c>
      <c r="E50" s="46">
        <v>3029</v>
      </c>
      <c r="F50" s="46">
        <v>18986</v>
      </c>
      <c r="G50" s="46">
        <v>0</v>
      </c>
      <c r="H50" s="46">
        <v>1808</v>
      </c>
      <c r="J50" s="42"/>
      <c r="K50" s="42"/>
      <c r="L50" s="42"/>
      <c r="M50" s="42"/>
      <c r="N50" s="42"/>
      <c r="O50" s="42"/>
    </row>
    <row r="51" spans="1:15" x14ac:dyDescent="0.35">
      <c r="A51" s="27">
        <v>89</v>
      </c>
      <c r="B51" s="34" t="s">
        <v>41</v>
      </c>
      <c r="C51" s="46">
        <v>979</v>
      </c>
      <c r="D51" s="46">
        <v>3632</v>
      </c>
      <c r="E51" s="46">
        <v>566</v>
      </c>
      <c r="F51" s="46">
        <v>2054</v>
      </c>
      <c r="G51" s="46">
        <v>245</v>
      </c>
      <c r="H51" s="46">
        <v>680</v>
      </c>
      <c r="J51" s="42"/>
      <c r="K51" s="42"/>
      <c r="L51" s="42"/>
      <c r="M51" s="42"/>
      <c r="N51" s="42"/>
      <c r="O51" s="42"/>
    </row>
    <row r="52" spans="1:15" x14ac:dyDescent="0.35">
      <c r="A52" s="27">
        <v>93</v>
      </c>
      <c r="B52" s="34" t="s">
        <v>57</v>
      </c>
      <c r="C52" s="46">
        <v>2312</v>
      </c>
      <c r="D52" s="46">
        <v>16794</v>
      </c>
      <c r="E52" s="46">
        <v>321</v>
      </c>
      <c r="F52" s="46">
        <v>1985</v>
      </c>
      <c r="G52" s="46">
        <v>1084</v>
      </c>
      <c r="H52" s="46">
        <v>14162</v>
      </c>
      <c r="J52" s="42"/>
      <c r="K52" s="42"/>
      <c r="L52" s="42"/>
      <c r="M52" s="42"/>
      <c r="N52" s="42"/>
      <c r="O52" s="42"/>
    </row>
    <row r="53" spans="1:15" x14ac:dyDescent="0.35">
      <c r="A53" s="27">
        <v>95</v>
      </c>
      <c r="B53" s="34" t="s">
        <v>47</v>
      </c>
      <c r="C53" s="46">
        <v>2279</v>
      </c>
      <c r="D53" s="46">
        <v>19931</v>
      </c>
      <c r="E53" s="46">
        <v>333</v>
      </c>
      <c r="F53" s="46">
        <v>444</v>
      </c>
      <c r="G53" s="46">
        <v>148</v>
      </c>
      <c r="H53" s="46">
        <v>2430</v>
      </c>
      <c r="J53" s="42"/>
      <c r="K53" s="42"/>
      <c r="L53" s="42"/>
      <c r="M53" s="42"/>
      <c r="N53" s="42"/>
      <c r="O53" s="42"/>
    </row>
    <row r="54" spans="1:15" x14ac:dyDescent="0.35">
      <c r="A54" s="27">
        <v>97</v>
      </c>
      <c r="B54" s="34" t="s">
        <v>49</v>
      </c>
      <c r="C54" s="46">
        <v>2390</v>
      </c>
      <c r="D54" s="46">
        <v>19259</v>
      </c>
      <c r="E54" s="46">
        <v>614</v>
      </c>
      <c r="F54" s="46">
        <v>3639</v>
      </c>
      <c r="G54" s="46">
        <v>455</v>
      </c>
      <c r="H54" s="46">
        <v>2801</v>
      </c>
      <c r="J54" s="42"/>
      <c r="K54" s="42"/>
      <c r="L54" s="42"/>
      <c r="M54" s="42"/>
      <c r="N54" s="42"/>
      <c r="O54" s="42"/>
    </row>
    <row r="55" spans="1:15" x14ac:dyDescent="0.35">
      <c r="A55" s="27">
        <v>77</v>
      </c>
      <c r="B55" s="37" t="s">
        <v>21</v>
      </c>
      <c r="C55" s="46">
        <v>2047</v>
      </c>
      <c r="D55" s="46">
        <v>31846</v>
      </c>
      <c r="E55" s="46">
        <v>762</v>
      </c>
      <c r="F55" s="46">
        <v>27106</v>
      </c>
      <c r="G55" s="46">
        <v>1285</v>
      </c>
      <c r="H55" s="46">
        <v>4740</v>
      </c>
      <c r="J55" s="42"/>
      <c r="K55" s="42"/>
      <c r="L55" s="42"/>
      <c r="M55" s="42"/>
      <c r="N55" s="42"/>
      <c r="O55" s="42"/>
    </row>
    <row r="57" spans="1:15" ht="27.75" customHeight="1" x14ac:dyDescent="0.35">
      <c r="B57" s="106" t="s">
        <v>80</v>
      </c>
      <c r="C57" s="107"/>
      <c r="D57" s="107"/>
      <c r="E57" s="107"/>
      <c r="F57" s="107"/>
      <c r="G57" s="107"/>
      <c r="H57" s="107"/>
    </row>
    <row r="58" spans="1:15" ht="27.75" customHeight="1" x14ac:dyDescent="0.35">
      <c r="B58" s="106" t="s">
        <v>81</v>
      </c>
      <c r="C58" s="107"/>
      <c r="D58" s="107"/>
      <c r="E58" s="107"/>
      <c r="F58" s="107"/>
      <c r="G58" s="107"/>
      <c r="H58" s="107"/>
    </row>
    <row r="59" spans="1:15" ht="13.5" customHeight="1" x14ac:dyDescent="0.35">
      <c r="B59" s="34" t="s">
        <v>82</v>
      </c>
      <c r="C59" s="99"/>
      <c r="D59" s="99"/>
      <c r="E59" s="99"/>
      <c r="F59" s="99"/>
      <c r="G59" s="99"/>
      <c r="H59" s="99"/>
    </row>
    <row r="60" spans="1:15" ht="13.5" customHeight="1" x14ac:dyDescent="0.35">
      <c r="B60" s="51" t="s">
        <v>83</v>
      </c>
      <c r="C60" s="99"/>
      <c r="D60" s="99"/>
      <c r="E60" s="99"/>
      <c r="F60" s="99"/>
      <c r="G60" s="99"/>
      <c r="H60" s="99"/>
    </row>
    <row r="61" spans="1:15" x14ac:dyDescent="0.35">
      <c r="B61" s="51" t="s">
        <v>84</v>
      </c>
    </row>
    <row r="63" spans="1:15" x14ac:dyDescent="0.35">
      <c r="B63" s="52" t="s">
        <v>85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P68"/>
  <sheetViews>
    <sheetView showGridLines="0" zoomScale="85" zoomScaleNormal="85" workbookViewId="0">
      <pane xSplit="2" ySplit="3" topLeftCell="C4" activePane="bottomRight" state="frozen"/>
      <selection activeCell="A65" sqref="A65:I65"/>
      <selection pane="topRight" activeCell="A65" sqref="A65:I65"/>
      <selection pane="bottomLeft" activeCell="A65" sqref="A65:I65"/>
      <selection pane="bottomRight" activeCell="H30" sqref="H30"/>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8.9062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8.9062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8.9062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8.9062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8.9062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8.9062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8.9062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8.9062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8.9062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8.9062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8.9062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8.9062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8.9062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8.9062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8.9062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8.9062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8.9062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8.9062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8.9062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8.9062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8.9062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8.9062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8.9062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8.9062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8.9062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8.9062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8.9062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8.9062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8.9062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8.9062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8.9062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8.9062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8.9062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8.9062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8.9062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8.9062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8.9062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8.9062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8.9062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8.9062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8.9062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8.9062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8.9062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8.9062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8.9062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8.9062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8.9062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8.9062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8.9062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8.9062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8.9062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8.9062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8.9062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8.9062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8.9062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8.9062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8.9062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8.9062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8.9062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8.9062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8.9062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8.9062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8.9062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8.90625" style="34"/>
  </cols>
  <sheetData>
    <row r="1" spans="1:16" ht="33.75" customHeight="1" x14ac:dyDescent="0.35">
      <c r="B1" s="118" t="s">
        <v>136</v>
      </c>
      <c r="C1" s="116"/>
      <c r="D1" s="116"/>
      <c r="E1" s="116"/>
      <c r="F1" s="116"/>
      <c r="G1" s="116"/>
      <c r="H1" s="117"/>
    </row>
    <row r="2" spans="1:16" s="35" customFormat="1" ht="39.75" customHeight="1" x14ac:dyDescent="0.35">
      <c r="B2" s="36"/>
      <c r="C2" s="109" t="s">
        <v>67</v>
      </c>
      <c r="D2" s="109"/>
      <c r="E2" s="110" t="s">
        <v>68</v>
      </c>
      <c r="F2" s="110"/>
      <c r="G2" s="110" t="s">
        <v>69</v>
      </c>
      <c r="H2" s="110"/>
    </row>
    <row r="3" spans="1:16" ht="42.75" customHeight="1" x14ac:dyDescent="0.35">
      <c r="B3" s="37"/>
      <c r="C3" s="38" t="s">
        <v>70</v>
      </c>
      <c r="D3" s="38" t="s">
        <v>71</v>
      </c>
      <c r="E3" s="38" t="s">
        <v>70</v>
      </c>
      <c r="F3" s="38" t="s">
        <v>71</v>
      </c>
      <c r="G3" s="38" t="s">
        <v>70</v>
      </c>
      <c r="H3" s="38" t="s">
        <v>71</v>
      </c>
    </row>
    <row r="4" spans="1:16" ht="18" hidden="1" customHeight="1" x14ac:dyDescent="0.35">
      <c r="C4" s="39" t="s">
        <v>72</v>
      </c>
      <c r="D4" s="39" t="s">
        <v>72</v>
      </c>
      <c r="E4" s="39" t="s">
        <v>73</v>
      </c>
      <c r="F4" s="39" t="s">
        <v>73</v>
      </c>
      <c r="G4" s="39" t="s">
        <v>74</v>
      </c>
      <c r="H4" s="39" t="s">
        <v>74</v>
      </c>
    </row>
    <row r="5" spans="1:16" ht="15.75" hidden="1" customHeight="1" x14ac:dyDescent="0.35">
      <c r="C5" s="39" t="s">
        <v>75</v>
      </c>
      <c r="D5" s="39" t="s">
        <v>76</v>
      </c>
      <c r="E5" s="39" t="s">
        <v>75</v>
      </c>
      <c r="F5" s="39" t="s">
        <v>76</v>
      </c>
      <c r="G5" s="39" t="s">
        <v>75</v>
      </c>
      <c r="H5" s="39" t="s">
        <v>76</v>
      </c>
    </row>
    <row r="6" spans="1:16" ht="26.25" customHeight="1" x14ac:dyDescent="0.35">
      <c r="B6" s="40" t="s">
        <v>77</v>
      </c>
      <c r="C6" s="41">
        <f t="shared" ref="C6:H6" si="0">C7+C48</f>
        <v>140560</v>
      </c>
      <c r="D6" s="41">
        <f t="shared" si="0"/>
        <v>625836.64697567699</v>
      </c>
      <c r="E6" s="41">
        <f t="shared" si="0"/>
        <v>23532</v>
      </c>
      <c r="F6" s="41">
        <f t="shared" si="0"/>
        <v>175498.35452498711</v>
      </c>
      <c r="G6" s="41">
        <f t="shared" si="0"/>
        <v>24896</v>
      </c>
      <c r="H6" s="41">
        <f t="shared" si="0"/>
        <v>148727.64595131087</v>
      </c>
      <c r="J6" s="42"/>
      <c r="K6" s="42"/>
      <c r="L6" s="42"/>
      <c r="M6" s="42"/>
      <c r="N6" s="42"/>
      <c r="O6" s="42"/>
      <c r="P6" s="42"/>
    </row>
    <row r="7" spans="1:16" s="43" customFormat="1" ht="26.25" customHeight="1" x14ac:dyDescent="0.35">
      <c r="A7" s="26"/>
      <c r="B7" s="43" t="s">
        <v>52</v>
      </c>
      <c r="C7" s="44">
        <f t="shared" ref="C7:H7" si="1">SUM(C8:C47)</f>
        <v>122345</v>
      </c>
      <c r="D7" s="44">
        <f t="shared" si="1"/>
        <v>494482.64697567694</v>
      </c>
      <c r="E7" s="44">
        <f t="shared" si="1"/>
        <v>17648</v>
      </c>
      <c r="F7" s="44">
        <f t="shared" si="1"/>
        <v>120955.77119165378</v>
      </c>
      <c r="G7" s="44">
        <f t="shared" si="1"/>
        <v>20129</v>
      </c>
      <c r="H7" s="44">
        <f t="shared" si="1"/>
        <v>118365.71261797754</v>
      </c>
      <c r="J7" s="42"/>
      <c r="K7" s="42"/>
      <c r="L7" s="45"/>
      <c r="M7" s="42"/>
      <c r="N7" s="42"/>
      <c r="O7" s="42"/>
    </row>
    <row r="8" spans="1:16" x14ac:dyDescent="0.35">
      <c r="A8" s="27">
        <v>51</v>
      </c>
      <c r="B8" s="34" t="s">
        <v>5</v>
      </c>
      <c r="C8" s="46">
        <f>'2017-18 working'!C8</f>
        <v>15611</v>
      </c>
      <c r="D8" s="46">
        <f>'2017-18 working'!D8</f>
        <v>3316.5</v>
      </c>
      <c r="E8" s="46">
        <f>'2017-18 working'!E8</f>
        <v>207</v>
      </c>
      <c r="F8" s="46">
        <f>'2017-18 working'!F8</f>
        <v>1020</v>
      </c>
      <c r="G8" s="46">
        <f>'2017-18 working'!G8</f>
        <v>247</v>
      </c>
      <c r="H8" s="46">
        <f>'2017-18 working'!H8</f>
        <v>458.5</v>
      </c>
      <c r="J8" s="42"/>
      <c r="K8" s="42"/>
      <c r="L8" s="42"/>
      <c r="M8" s="42"/>
      <c r="N8" s="42"/>
      <c r="O8" s="42"/>
    </row>
    <row r="9" spans="1:16" x14ac:dyDescent="0.35">
      <c r="A9" s="27">
        <v>52</v>
      </c>
      <c r="B9" s="34" t="s">
        <v>6</v>
      </c>
      <c r="C9" s="46">
        <f>'2017-18 working'!C9</f>
        <v>1099</v>
      </c>
      <c r="D9" s="46">
        <f>'2017-18 working'!D9</f>
        <v>9053</v>
      </c>
      <c r="E9" s="46">
        <f>'2017-18 working'!E9</f>
        <v>114</v>
      </c>
      <c r="F9" s="46">
        <f>'2017-18 working'!F9</f>
        <v>802</v>
      </c>
      <c r="G9" s="46">
        <f>'2017-18 working'!G9</f>
        <v>244</v>
      </c>
      <c r="H9" s="46">
        <f>'2017-18 working'!H9</f>
        <v>4316</v>
      </c>
      <c r="J9" s="42"/>
      <c r="K9" s="42"/>
      <c r="L9" s="42"/>
      <c r="M9" s="42"/>
      <c r="N9" s="42"/>
      <c r="O9" s="42"/>
    </row>
    <row r="10" spans="1:16" x14ac:dyDescent="0.35">
      <c r="A10" s="27">
        <v>86</v>
      </c>
      <c r="B10" s="34" t="s">
        <v>7</v>
      </c>
      <c r="C10" s="46">
        <f>'2017-18 working'!C10</f>
        <v>304</v>
      </c>
      <c r="D10" s="46">
        <f>'2017-18 working'!D10</f>
        <v>2110</v>
      </c>
      <c r="E10" s="46">
        <f>'2017-18 working'!E10</f>
        <v>24</v>
      </c>
      <c r="F10" s="46">
        <f>'2017-18 working'!F10</f>
        <v>596</v>
      </c>
      <c r="G10" s="46">
        <f>'2017-18 working'!G10</f>
        <v>180</v>
      </c>
      <c r="H10" s="46">
        <f>'2017-18 working'!H10</f>
        <v>1428</v>
      </c>
      <c r="J10" s="42"/>
      <c r="K10" s="42"/>
      <c r="L10" s="42"/>
      <c r="M10" s="42"/>
      <c r="N10" s="42"/>
      <c r="O10" s="42"/>
    </row>
    <row r="11" spans="1:16" x14ac:dyDescent="0.35">
      <c r="A11" s="27">
        <v>53</v>
      </c>
      <c r="B11" s="34" t="s">
        <v>8</v>
      </c>
      <c r="C11" s="46">
        <f>'2017-18 working'!C11</f>
        <v>988</v>
      </c>
      <c r="D11" s="46">
        <f>'2017-18 working'!D11</f>
        <v>5936.5</v>
      </c>
      <c r="E11" s="46">
        <f>'2017-18 working'!E11</f>
        <v>59</v>
      </c>
      <c r="F11" s="46">
        <f>'2017-18 working'!F11</f>
        <v>360</v>
      </c>
      <c r="G11" s="46">
        <f>'2017-18 working'!G11</f>
        <v>42</v>
      </c>
      <c r="H11" s="46">
        <f>'2017-18 working'!H11</f>
        <v>801</v>
      </c>
      <c r="J11" s="42"/>
      <c r="K11" s="42"/>
      <c r="L11" s="42"/>
      <c r="M11" s="42"/>
      <c r="N11" s="42"/>
      <c r="O11" s="42"/>
    </row>
    <row r="12" spans="1:16" x14ac:dyDescent="0.35">
      <c r="A12" s="27">
        <v>54</v>
      </c>
      <c r="B12" s="34" t="s">
        <v>9</v>
      </c>
      <c r="C12" s="46">
        <f>'2017-18 working'!C12</f>
        <v>513</v>
      </c>
      <c r="D12" s="46">
        <f>'2017-18 working'!D12</f>
        <v>2041</v>
      </c>
      <c r="E12" s="46">
        <f>'2017-18 working'!E12</f>
        <v>114</v>
      </c>
      <c r="F12" s="46">
        <f>'2017-18 working'!F12</f>
        <v>853</v>
      </c>
      <c r="G12" s="46">
        <f>'2017-18 working'!G12</f>
        <v>207</v>
      </c>
      <c r="H12" s="46">
        <f>'2017-18 working'!H12</f>
        <v>803</v>
      </c>
      <c r="J12" s="42"/>
      <c r="K12" s="42"/>
      <c r="L12" s="42"/>
      <c r="M12" s="42"/>
      <c r="N12" s="42"/>
      <c r="O12" s="42"/>
    </row>
    <row r="13" spans="1:16" x14ac:dyDescent="0.35">
      <c r="A13" s="27">
        <v>55</v>
      </c>
      <c r="B13" s="34" t="s">
        <v>10</v>
      </c>
      <c r="C13" s="46">
        <f>'2017-18 working'!C13</f>
        <v>2528</v>
      </c>
      <c r="D13" s="46">
        <f>'2017-18 working'!D13</f>
        <v>19276</v>
      </c>
      <c r="E13" s="46">
        <f>'2017-18 working'!E13</f>
        <v>1058</v>
      </c>
      <c r="F13" s="46">
        <f>'2017-18 working'!F13</f>
        <v>3333</v>
      </c>
      <c r="G13" s="46">
        <f>'2017-18 working'!G13</f>
        <v>534</v>
      </c>
      <c r="H13" s="46">
        <f>'2017-18 working'!H13</f>
        <v>10553</v>
      </c>
      <c r="J13" s="42"/>
      <c r="K13" s="42"/>
      <c r="L13" s="42"/>
      <c r="M13" s="42"/>
      <c r="N13" s="42"/>
      <c r="O13" s="42"/>
    </row>
    <row r="14" spans="1:16" x14ac:dyDescent="0.35">
      <c r="A14" s="27">
        <v>56</v>
      </c>
      <c r="B14" s="34" t="s">
        <v>11</v>
      </c>
      <c r="C14" s="46">
        <f>'2017-18 working'!C14</f>
        <v>1780</v>
      </c>
      <c r="D14" s="46">
        <f>'2017-18 working'!D14</f>
        <v>15470</v>
      </c>
      <c r="E14" s="46">
        <f>'2017-18 working'!E14</f>
        <v>430</v>
      </c>
      <c r="F14" s="46">
        <f>'2017-18 working'!F14</f>
        <v>3520</v>
      </c>
      <c r="G14" s="46">
        <f>'2017-18 working'!G14</f>
        <v>1350</v>
      </c>
      <c r="H14" s="46">
        <f>'2017-18 working'!H14</f>
        <v>11950</v>
      </c>
      <c r="J14" s="42"/>
      <c r="K14" s="42"/>
      <c r="L14" s="42"/>
      <c r="M14" s="42"/>
      <c r="N14" s="42"/>
      <c r="O14" s="42"/>
    </row>
    <row r="15" spans="1:16" x14ac:dyDescent="0.35">
      <c r="A15" s="27">
        <v>57</v>
      </c>
      <c r="B15" s="34" t="s">
        <v>12</v>
      </c>
      <c r="C15" s="46">
        <f>'2017-18 working'!C15</f>
        <v>566</v>
      </c>
      <c r="D15" s="46">
        <f>'2017-18 working'!D15</f>
        <v>4758</v>
      </c>
      <c r="E15" s="46">
        <f>'2017-18 working'!E15</f>
        <v>20</v>
      </c>
      <c r="F15" s="46">
        <f>'2017-18 working'!F15</f>
        <v>716.41</v>
      </c>
      <c r="G15" s="46">
        <f>'2017-18 working'!G15</f>
        <v>133</v>
      </c>
      <c r="H15" s="46">
        <f>'2017-18 working'!H15</f>
        <v>889</v>
      </c>
      <c r="J15" s="42"/>
      <c r="K15" s="42"/>
      <c r="L15" s="42"/>
      <c r="M15" s="42"/>
      <c r="N15" s="42"/>
      <c r="O15" s="42"/>
    </row>
    <row r="16" spans="1:16" x14ac:dyDescent="0.35">
      <c r="A16" s="27">
        <v>59</v>
      </c>
      <c r="B16" s="34" t="s">
        <v>13</v>
      </c>
      <c r="C16" s="46">
        <f>'2017-18 working'!C16</f>
        <v>740</v>
      </c>
      <c r="D16" s="46">
        <f>'2017-18 working'!D16</f>
        <v>26640</v>
      </c>
      <c r="E16" s="46">
        <f>'2017-18 working'!E16</f>
        <v>191</v>
      </c>
      <c r="F16" s="46">
        <f>'2017-18 working'!F16</f>
        <v>6876</v>
      </c>
      <c r="G16" s="46">
        <f>'2017-18 working'!G16</f>
        <v>234</v>
      </c>
      <c r="H16" s="46">
        <f>'2017-18 working'!H16</f>
        <v>8424</v>
      </c>
      <c r="J16" s="42"/>
      <c r="K16" s="42"/>
      <c r="L16" s="42"/>
      <c r="M16" s="42"/>
      <c r="N16" s="42"/>
      <c r="O16" s="42"/>
    </row>
    <row r="17" spans="1:15" x14ac:dyDescent="0.35">
      <c r="A17" s="27">
        <v>60</v>
      </c>
      <c r="B17" s="34" t="s">
        <v>14</v>
      </c>
      <c r="C17" s="46">
        <f>'2017-18 working'!C17</f>
        <v>23448</v>
      </c>
      <c r="D17" s="46">
        <f>'2017-18 working'!D17</f>
        <v>12731.22</v>
      </c>
      <c r="E17" s="46">
        <f>'2017-18 working'!E17</f>
        <v>488</v>
      </c>
      <c r="F17" s="46">
        <f>'2017-18 working'!F17</f>
        <v>4334.57</v>
      </c>
      <c r="G17" s="46">
        <f>'2017-18 working'!G17</f>
        <v>409</v>
      </c>
      <c r="H17" s="46">
        <f>'2017-18 working'!H17</f>
        <v>1174.6500000000001</v>
      </c>
      <c r="J17" s="42"/>
      <c r="K17" s="42"/>
      <c r="L17" s="42"/>
      <c r="M17" s="42"/>
      <c r="N17" s="42"/>
      <c r="O17" s="42"/>
    </row>
    <row r="18" spans="1:15" x14ac:dyDescent="0.35">
      <c r="A18" s="27">
        <v>61</v>
      </c>
      <c r="B18" s="47" t="s">
        <v>53</v>
      </c>
      <c r="C18" s="46">
        <f>'2017-18 working'!C18</f>
        <v>4990</v>
      </c>
      <c r="D18" s="46">
        <f>'2017-18 working'!D18</f>
        <v>12427</v>
      </c>
      <c r="E18" s="46">
        <f>'2017-18 working'!E18</f>
        <v>636</v>
      </c>
      <c r="F18" s="46">
        <f>'2017-18 working'!F18</f>
        <v>2685</v>
      </c>
      <c r="G18" s="46">
        <f>'2017-18 working'!G18</f>
        <v>1629</v>
      </c>
      <c r="H18" s="46">
        <f>'2017-18 working'!H18</f>
        <v>3522</v>
      </c>
      <c r="J18" s="42"/>
      <c r="K18" s="42"/>
      <c r="L18" s="42"/>
      <c r="M18" s="42"/>
      <c r="N18" s="42"/>
      <c r="O18" s="42"/>
    </row>
    <row r="19" spans="1:15" x14ac:dyDescent="0.35">
      <c r="A19" s="27"/>
      <c r="B19" s="47" t="s">
        <v>131</v>
      </c>
      <c r="C19" s="46">
        <f>'2017-18 working'!C19</f>
        <v>6097</v>
      </c>
      <c r="D19" s="46">
        <f>'2017-18 working'!D19</f>
        <v>7268</v>
      </c>
      <c r="E19" s="46">
        <f>'2017-18 working'!E19</f>
        <v>36</v>
      </c>
      <c r="F19" s="46">
        <f>'2017-18 working'!F19</f>
        <v>1779</v>
      </c>
      <c r="G19" s="46">
        <f>'2017-18 working'!G19</f>
        <v>563</v>
      </c>
      <c r="H19" s="46">
        <f>'2017-18 working'!H19</f>
        <v>1751</v>
      </c>
      <c r="J19" s="42"/>
      <c r="K19" s="42"/>
      <c r="L19" s="42"/>
      <c r="M19" s="42"/>
      <c r="N19" s="42"/>
      <c r="O19" s="42"/>
    </row>
    <row r="20" spans="1:15" x14ac:dyDescent="0.35">
      <c r="A20" s="27">
        <v>62</v>
      </c>
      <c r="B20" s="34" t="s">
        <v>16</v>
      </c>
      <c r="C20" s="46" t="str">
        <f>'2017-18 working'!C20</f>
        <v>..</v>
      </c>
      <c r="D20" s="46" t="str">
        <f>'2017-18 working'!D20</f>
        <v>..</v>
      </c>
      <c r="E20" s="46" t="str">
        <f>'2017-18 working'!E20</f>
        <v>..</v>
      </c>
      <c r="F20" s="46" t="str">
        <f>'2017-18 working'!F20</f>
        <v>..</v>
      </c>
      <c r="G20" s="46" t="str">
        <f>'2017-18 working'!G20</f>
        <v>..</v>
      </c>
      <c r="H20" s="46" t="str">
        <f>'2017-18 working'!H20</f>
        <v>..</v>
      </c>
      <c r="J20" s="42"/>
      <c r="K20" s="42"/>
      <c r="L20" s="42"/>
      <c r="M20" s="42"/>
      <c r="N20" s="42"/>
      <c r="O20" s="42"/>
    </row>
    <row r="21" spans="1:15" x14ac:dyDescent="0.35">
      <c r="A21" s="27">
        <v>58</v>
      </c>
      <c r="B21" s="34" t="s">
        <v>17</v>
      </c>
      <c r="C21" s="46">
        <f>'2017-18 working'!C21</f>
        <v>376</v>
      </c>
      <c r="D21" s="46">
        <f>'2017-18 working'!D21</f>
        <v>1501</v>
      </c>
      <c r="E21" s="46">
        <f>'2017-18 working'!E21</f>
        <v>82</v>
      </c>
      <c r="F21" s="46">
        <f>'2017-18 working'!F21</f>
        <v>349</v>
      </c>
      <c r="G21" s="46">
        <f>'2017-18 working'!G21</f>
        <v>225</v>
      </c>
      <c r="H21" s="46">
        <f>'2017-18 working'!H21</f>
        <v>944</v>
      </c>
      <c r="J21" s="42"/>
      <c r="K21" s="42"/>
      <c r="L21" s="42"/>
      <c r="M21" s="42"/>
      <c r="N21" s="42"/>
      <c r="O21" s="42"/>
    </row>
    <row r="22" spans="1:15" x14ac:dyDescent="0.35">
      <c r="A22" s="27">
        <v>63</v>
      </c>
      <c r="B22" s="34" t="s">
        <v>18</v>
      </c>
      <c r="C22" s="46">
        <f>'2017-18 working'!C22</f>
        <v>1485</v>
      </c>
      <c r="D22" s="46">
        <f>'2017-18 working'!D22</f>
        <v>6670.67</v>
      </c>
      <c r="E22" s="46">
        <f>'2017-18 working'!E22</f>
        <v>65</v>
      </c>
      <c r="F22" s="46">
        <f>'2017-18 working'!F22</f>
        <v>415.48</v>
      </c>
      <c r="G22" s="46">
        <f>'2017-18 working'!G22</f>
        <v>242</v>
      </c>
      <c r="H22" s="46">
        <f>'2017-18 working'!H22</f>
        <v>2869.21</v>
      </c>
      <c r="J22" s="42"/>
      <c r="K22" s="42"/>
      <c r="L22" s="42"/>
      <c r="M22" s="42"/>
      <c r="N22" s="42"/>
      <c r="O22" s="42"/>
    </row>
    <row r="23" spans="1:15" x14ac:dyDescent="0.35">
      <c r="A23" s="27">
        <v>64</v>
      </c>
      <c r="B23" s="34" t="s">
        <v>19</v>
      </c>
      <c r="C23" s="46">
        <f>'2017-18 working'!C23</f>
        <v>1906</v>
      </c>
      <c r="D23" s="46">
        <f>'2017-18 working'!D23</f>
        <v>127209</v>
      </c>
      <c r="E23" s="46">
        <f>'2017-18 working'!E23</f>
        <v>95</v>
      </c>
      <c r="F23" s="46">
        <f>'2017-18 working'!F23</f>
        <v>20615</v>
      </c>
      <c r="G23" s="46">
        <f>'2017-18 working'!G23</f>
        <v>74</v>
      </c>
      <c r="H23" s="46">
        <f>'2017-18 working'!H23</f>
        <v>5835</v>
      </c>
      <c r="J23" s="42"/>
      <c r="K23" s="42"/>
      <c r="L23" s="42"/>
      <c r="M23" s="42"/>
      <c r="N23" s="42"/>
      <c r="O23" s="42"/>
    </row>
    <row r="24" spans="1:15" x14ac:dyDescent="0.35">
      <c r="A24" s="27">
        <v>65</v>
      </c>
      <c r="B24" s="34" t="s">
        <v>20</v>
      </c>
      <c r="C24" s="46">
        <f>'2017-18 working'!C24</f>
        <v>636</v>
      </c>
      <c r="D24" s="46">
        <f>'2017-18 working'!D24</f>
        <v>21674</v>
      </c>
      <c r="E24" s="62">
        <f>'2017-18 working'!E24</f>
        <v>66</v>
      </c>
      <c r="F24" s="62">
        <f>'2017-18 working'!F24</f>
        <v>846</v>
      </c>
      <c r="G24" s="46">
        <f>'2017-18 working'!G24</f>
        <v>97</v>
      </c>
      <c r="H24" s="46">
        <f>'2017-18 working'!H24</f>
        <v>743</v>
      </c>
      <c r="J24" s="42"/>
      <c r="K24" s="42"/>
      <c r="L24" s="42"/>
      <c r="M24" s="42"/>
      <c r="N24" s="42"/>
      <c r="O24" s="42"/>
    </row>
    <row r="25" spans="1:15" x14ac:dyDescent="0.35">
      <c r="A25" s="27">
        <v>67</v>
      </c>
      <c r="B25" s="34" t="s">
        <v>23</v>
      </c>
      <c r="C25" s="46">
        <f>'2017-18 working'!C25</f>
        <v>1336</v>
      </c>
      <c r="D25" s="46">
        <f>'2017-18 working'!D25</f>
        <v>12137</v>
      </c>
      <c r="E25" s="46">
        <f>'2017-18 working'!E25</f>
        <v>750</v>
      </c>
      <c r="F25" s="46">
        <f>'2017-18 working'!F25</f>
        <v>6042</v>
      </c>
      <c r="G25" s="46">
        <f>'2017-18 working'!G25</f>
        <v>471</v>
      </c>
      <c r="H25" s="46">
        <f>'2017-18 working'!H25</f>
        <v>5158.8</v>
      </c>
      <c r="J25" s="42"/>
      <c r="K25" s="42"/>
      <c r="L25" s="42"/>
      <c r="M25" s="42"/>
      <c r="N25" s="42"/>
      <c r="O25" s="42"/>
    </row>
    <row r="26" spans="1:15" x14ac:dyDescent="0.35">
      <c r="A26" s="27">
        <v>68</v>
      </c>
      <c r="B26" s="34" t="s">
        <v>54</v>
      </c>
      <c r="C26" s="46">
        <f>'2017-18 working'!C26</f>
        <v>313</v>
      </c>
      <c r="D26" s="46">
        <f>'2017-18 working'!D26</f>
        <v>3280</v>
      </c>
      <c r="E26" s="46">
        <f>'2017-18 working'!E26</f>
        <v>25</v>
      </c>
      <c r="F26" s="46">
        <f>'2017-18 working'!F26</f>
        <v>59</v>
      </c>
      <c r="G26" s="46">
        <f>'2017-18 working'!G26</f>
        <v>111</v>
      </c>
      <c r="H26" s="46">
        <f>'2017-18 working'!H26</f>
        <v>2560</v>
      </c>
      <c r="J26" s="42"/>
      <c r="K26" s="42"/>
      <c r="L26" s="42"/>
      <c r="M26" s="42"/>
      <c r="N26" s="42"/>
      <c r="O26" s="42"/>
    </row>
    <row r="27" spans="1:15" x14ac:dyDescent="0.35">
      <c r="A27" s="27">
        <v>69</v>
      </c>
      <c r="B27" s="34" t="s">
        <v>25</v>
      </c>
      <c r="C27" s="101">
        <f>'(2016-17)'!C27</f>
        <v>9185</v>
      </c>
      <c r="D27" s="101">
        <f>'(2016-17)'!D27</f>
        <v>22099</v>
      </c>
      <c r="E27" s="46">
        <f>'2017-18 working'!E27</f>
        <v>176</v>
      </c>
      <c r="F27" s="46">
        <f>'2017-18 working'!F27</f>
        <v>3250</v>
      </c>
      <c r="G27" s="46">
        <f>'2017-18 working'!G27</f>
        <v>9</v>
      </c>
      <c r="H27" s="46">
        <f>'2017-18 working'!H27</f>
        <v>128</v>
      </c>
      <c r="J27" s="42"/>
      <c r="K27" s="42"/>
      <c r="L27" s="42"/>
      <c r="M27" s="42"/>
      <c r="N27" s="42"/>
      <c r="O27" s="42"/>
    </row>
    <row r="28" spans="1:15" x14ac:dyDescent="0.35">
      <c r="A28" s="27">
        <v>70</v>
      </c>
      <c r="B28" s="34" t="s">
        <v>26</v>
      </c>
      <c r="C28" s="46">
        <f>'2017-18 working'!C28</f>
        <v>1336</v>
      </c>
      <c r="D28" s="46">
        <f>'2017-18 working'!D28</f>
        <v>4529</v>
      </c>
      <c r="E28" s="46">
        <f>'2017-18 working'!E28</f>
        <v>376</v>
      </c>
      <c r="F28" s="46">
        <f>'2017-18 working'!F28</f>
        <v>2776</v>
      </c>
      <c r="G28" s="46">
        <f>'2017-18 working'!G28</f>
        <v>192</v>
      </c>
      <c r="H28" s="46">
        <f>'2017-18 working'!H28</f>
        <v>454</v>
      </c>
      <c r="J28" s="42"/>
      <c r="K28" s="42"/>
      <c r="L28" s="42"/>
      <c r="M28" s="42"/>
      <c r="N28" s="42"/>
      <c r="O28" s="42"/>
    </row>
    <row r="29" spans="1:15" x14ac:dyDescent="0.35">
      <c r="A29" s="27">
        <v>71</v>
      </c>
      <c r="B29" s="34" t="s">
        <v>55</v>
      </c>
      <c r="C29" s="46">
        <f>'2017-18 working'!C29</f>
        <v>128</v>
      </c>
      <c r="D29" s="46">
        <f>'2017-18 working'!D29</f>
        <v>307</v>
      </c>
      <c r="E29" s="46">
        <f>'2017-18 working'!E29</f>
        <v>10</v>
      </c>
      <c r="F29" s="46">
        <f>'2017-18 working'!F29</f>
        <v>40</v>
      </c>
      <c r="G29" s="46">
        <f>'2017-18 working'!G29</f>
        <v>76</v>
      </c>
      <c r="H29" s="46">
        <f>'2017-18 working'!H29</f>
        <v>177</v>
      </c>
      <c r="J29" s="42"/>
      <c r="K29" s="42"/>
      <c r="L29" s="42"/>
      <c r="M29" s="42"/>
      <c r="N29" s="42"/>
      <c r="O29" s="42"/>
    </row>
    <row r="30" spans="1:15" x14ac:dyDescent="0.35">
      <c r="A30" s="27">
        <v>73</v>
      </c>
      <c r="B30" s="34" t="s">
        <v>29</v>
      </c>
      <c r="C30" s="46">
        <f>'2017-18 working'!C30</f>
        <v>2185</v>
      </c>
      <c r="D30" s="101">
        <f>C30*('(2016-17)'!D30/'(2016-17)'!C30)</f>
        <v>8451.206975676916</v>
      </c>
      <c r="E30" s="46">
        <f>'2017-18 working'!E30</f>
        <v>656</v>
      </c>
      <c r="F30" s="101">
        <f>E30*('(2016-17)'!F30/'(2016-17)'!E30)</f>
        <v>1174.1081916537867</v>
      </c>
      <c r="G30" s="46">
        <f>'2017-18 working'!G30</f>
        <v>10</v>
      </c>
      <c r="H30" s="101">
        <f>G30*('(2015-16)'!H30/'(2015-16)'!G30)</f>
        <v>15.50561797752809</v>
      </c>
      <c r="J30" s="42"/>
      <c r="K30" s="42"/>
      <c r="L30" s="42"/>
      <c r="M30" s="42"/>
      <c r="N30" s="42"/>
      <c r="O30" s="42"/>
    </row>
    <row r="31" spans="1:15" x14ac:dyDescent="0.35">
      <c r="A31" s="27">
        <v>74</v>
      </c>
      <c r="B31" s="34" t="s">
        <v>30</v>
      </c>
      <c r="C31" s="46">
        <f>'2017-18 working'!C31</f>
        <v>3465</v>
      </c>
      <c r="D31" s="46">
        <f>'2017-18 working'!D31</f>
        <v>11209</v>
      </c>
      <c r="E31" s="46">
        <f>'2017-18 working'!E31</f>
        <v>1199</v>
      </c>
      <c r="F31" s="46">
        <f>'2017-18 working'!F31</f>
        <v>2186</v>
      </c>
      <c r="G31" s="46">
        <f>'2017-18 working'!G31</f>
        <v>1307</v>
      </c>
      <c r="H31" s="46">
        <f>'2017-18 working'!H31</f>
        <v>4892</v>
      </c>
      <c r="J31" s="42"/>
      <c r="K31" s="42"/>
      <c r="L31" s="42"/>
      <c r="M31" s="42"/>
      <c r="N31" s="42"/>
      <c r="O31" s="42"/>
    </row>
    <row r="32" spans="1:15" x14ac:dyDescent="0.35">
      <c r="A32" s="27">
        <v>75</v>
      </c>
      <c r="B32" s="34" t="s">
        <v>31</v>
      </c>
      <c r="C32" s="46">
        <f>'2017-18 working'!C32</f>
        <v>2895</v>
      </c>
      <c r="D32" s="46">
        <f>'2017-18 working'!D32</f>
        <v>14435</v>
      </c>
      <c r="E32" s="46">
        <f>'2017-18 working'!E32</f>
        <v>288</v>
      </c>
      <c r="F32" s="46">
        <f>'2017-18 working'!F32</f>
        <v>1975</v>
      </c>
      <c r="G32" s="46">
        <f>'2017-18 working'!G32</f>
        <v>897</v>
      </c>
      <c r="H32" s="46">
        <f>'2017-18 working'!H32</f>
        <v>4946</v>
      </c>
      <c r="J32" s="42"/>
      <c r="K32" s="42"/>
      <c r="L32" s="42"/>
      <c r="M32" s="42"/>
      <c r="N32" s="42"/>
      <c r="O32" s="42"/>
    </row>
    <row r="33" spans="1:15" x14ac:dyDescent="0.35">
      <c r="A33" s="27">
        <v>76</v>
      </c>
      <c r="B33" s="34" t="s">
        <v>32</v>
      </c>
      <c r="C33" s="46">
        <f>'2017-18 working'!C33</f>
        <v>1209</v>
      </c>
      <c r="D33" s="46">
        <f>'2017-18 working'!D33</f>
        <v>7356</v>
      </c>
      <c r="E33" s="46">
        <f>'2017-18 working'!E33</f>
        <v>495</v>
      </c>
      <c r="F33" s="46">
        <f>'2017-18 working'!F33</f>
        <v>1485</v>
      </c>
      <c r="G33" s="46">
        <f>'2017-18 working'!G33</f>
        <v>149</v>
      </c>
      <c r="H33" s="46">
        <f>'2017-18 working'!H33</f>
        <v>964</v>
      </c>
      <c r="J33" s="42"/>
      <c r="K33" s="42"/>
      <c r="L33" s="42"/>
      <c r="M33" s="42"/>
      <c r="N33" s="42"/>
      <c r="O33" s="42"/>
    </row>
    <row r="34" spans="1:15" x14ac:dyDescent="0.35">
      <c r="A34" s="27">
        <v>79</v>
      </c>
      <c r="B34" s="34" t="s">
        <v>34</v>
      </c>
      <c r="C34" s="46">
        <f>'2017-18 working'!C34</f>
        <v>6030</v>
      </c>
      <c r="D34" s="46">
        <f>'2017-18 working'!D34</f>
        <v>18889.25</v>
      </c>
      <c r="E34" s="46">
        <f>'2017-18 working'!E34</f>
        <v>5069</v>
      </c>
      <c r="F34" s="46">
        <f>'2017-18 working'!F34</f>
        <v>17070</v>
      </c>
      <c r="G34" s="46">
        <f>'2017-18 working'!G34</f>
        <v>730</v>
      </c>
      <c r="H34" s="46">
        <f>'2017-18 working'!H34</f>
        <v>1300</v>
      </c>
      <c r="J34" s="42"/>
      <c r="K34" s="42"/>
      <c r="L34" s="42"/>
      <c r="M34" s="42"/>
      <c r="N34" s="42"/>
      <c r="O34" s="42"/>
    </row>
    <row r="35" spans="1:15" x14ac:dyDescent="0.35">
      <c r="A35" s="27">
        <v>80</v>
      </c>
      <c r="B35" s="34" t="s">
        <v>35</v>
      </c>
      <c r="C35" s="46">
        <f>'2017-18 working'!C35</f>
        <v>2116</v>
      </c>
      <c r="D35" s="46">
        <f>'2017-18 working'!D35</f>
        <v>7545</v>
      </c>
      <c r="E35" s="46">
        <f>'2017-18 working'!E35</f>
        <v>94</v>
      </c>
      <c r="F35" s="46">
        <f>'2017-18 working'!F35</f>
        <v>251</v>
      </c>
      <c r="G35" s="46">
        <f>'2017-18 working'!G35</f>
        <v>286</v>
      </c>
      <c r="H35" s="46">
        <f>'2017-18 working'!H35</f>
        <v>354</v>
      </c>
      <c r="J35" s="42"/>
      <c r="K35" s="42"/>
      <c r="L35" s="42"/>
      <c r="M35" s="42"/>
      <c r="N35" s="42"/>
      <c r="O35" s="42"/>
    </row>
    <row r="36" spans="1:15" x14ac:dyDescent="0.35">
      <c r="A36" s="27">
        <v>81</v>
      </c>
      <c r="B36" s="34" t="s">
        <v>36</v>
      </c>
      <c r="C36" s="46">
        <f>'2017-18 working'!C36</f>
        <v>1235</v>
      </c>
      <c r="D36" s="46">
        <f>'2017-18 working'!D36</f>
        <v>6464</v>
      </c>
      <c r="E36" s="46">
        <f>'2017-18 working'!E36</f>
        <v>575</v>
      </c>
      <c r="F36" s="46">
        <f>'2017-18 working'!F36</f>
        <v>2387</v>
      </c>
      <c r="G36" s="46">
        <f>'2017-18 working'!G36</f>
        <v>537</v>
      </c>
      <c r="H36" s="46">
        <f>'2017-18 working'!H36</f>
        <v>1105</v>
      </c>
      <c r="J36" s="42"/>
      <c r="K36" s="42"/>
      <c r="L36" s="42"/>
      <c r="M36" s="42"/>
      <c r="N36" s="42"/>
      <c r="O36" s="42"/>
    </row>
    <row r="37" spans="1:15" x14ac:dyDescent="0.35">
      <c r="A37" s="27">
        <v>83</v>
      </c>
      <c r="B37" s="34" t="s">
        <v>37</v>
      </c>
      <c r="C37" s="46">
        <f>'2017-18 working'!C37</f>
        <v>3769</v>
      </c>
      <c r="D37" s="46">
        <f>'2017-18 working'!D37</f>
        <v>6235.5</v>
      </c>
      <c r="E37" s="46">
        <f>'2017-18 working'!E37</f>
        <v>394</v>
      </c>
      <c r="F37" s="46">
        <f>'2017-18 working'!F37</f>
        <v>4097.5</v>
      </c>
      <c r="G37" s="46">
        <f>'2017-18 working'!G37</f>
        <v>256</v>
      </c>
      <c r="H37" s="46">
        <f>'2017-18 working'!H37</f>
        <v>1012</v>
      </c>
      <c r="J37" s="42"/>
      <c r="K37" s="42"/>
      <c r="L37" s="42"/>
      <c r="M37" s="42"/>
      <c r="N37" s="42"/>
      <c r="O37" s="42"/>
    </row>
    <row r="38" spans="1:15" x14ac:dyDescent="0.35">
      <c r="A38" s="27">
        <v>84</v>
      </c>
      <c r="B38" s="34" t="s">
        <v>38</v>
      </c>
      <c r="C38" s="46">
        <f>'2017-18 working'!C38</f>
        <v>5132</v>
      </c>
      <c r="D38" s="46">
        <f>'2017-18 working'!D38</f>
        <v>23326.3</v>
      </c>
      <c r="E38" s="46">
        <f>'2017-18 working'!E38</f>
        <v>405</v>
      </c>
      <c r="F38" s="46">
        <f>'2017-18 working'!F38</f>
        <v>5922.0829999999996</v>
      </c>
      <c r="G38" s="46">
        <f>'2017-18 working'!G38</f>
        <v>446</v>
      </c>
      <c r="H38" s="46">
        <f>'2017-18 working'!H38</f>
        <v>5549.9669999999996</v>
      </c>
      <c r="J38" s="42"/>
      <c r="K38" s="42"/>
      <c r="L38" s="42"/>
      <c r="M38" s="42"/>
      <c r="N38" s="42"/>
      <c r="O38" s="42"/>
    </row>
    <row r="39" spans="1:15" x14ac:dyDescent="0.35">
      <c r="A39" s="27">
        <v>85</v>
      </c>
      <c r="B39" s="34" t="s">
        <v>39</v>
      </c>
      <c r="C39" s="46">
        <f>'2017-18 working'!C39</f>
        <v>1815</v>
      </c>
      <c r="D39" s="46">
        <f>'2017-18 working'!D39</f>
        <v>9564</v>
      </c>
      <c r="E39" s="46">
        <f>'2017-18 working'!E39</f>
        <v>64</v>
      </c>
      <c r="F39" s="46">
        <f>'2017-18 working'!F39</f>
        <v>379.5</v>
      </c>
      <c r="G39" s="46">
        <f>'2017-18 working'!G39</f>
        <v>367</v>
      </c>
      <c r="H39" s="46">
        <f>'2017-18 working'!H39</f>
        <v>4206</v>
      </c>
      <c r="J39" s="42"/>
      <c r="K39" s="42"/>
      <c r="L39" s="42"/>
      <c r="M39" s="42"/>
      <c r="N39" s="42"/>
      <c r="O39" s="42"/>
    </row>
    <row r="40" spans="1:15" x14ac:dyDescent="0.35">
      <c r="A40" s="27">
        <v>87</v>
      </c>
      <c r="B40" s="34" t="s">
        <v>40</v>
      </c>
      <c r="C40" s="46">
        <f>'2017-18 working'!C40</f>
        <v>378</v>
      </c>
      <c r="D40" s="46">
        <f>'2017-18 working'!D40</f>
        <v>1874</v>
      </c>
      <c r="E40" s="46">
        <f>'2017-18 working'!E40</f>
        <v>34</v>
      </c>
      <c r="F40" s="46">
        <f>'2017-18 working'!F40</f>
        <v>204</v>
      </c>
      <c r="G40" s="46">
        <f>'2017-18 working'!G40</f>
        <v>181</v>
      </c>
      <c r="H40" s="46">
        <f>'2017-18 working'!H40</f>
        <v>902</v>
      </c>
      <c r="J40" s="42"/>
      <c r="K40" s="42"/>
      <c r="L40" s="42"/>
      <c r="M40" s="42"/>
      <c r="N40" s="42"/>
      <c r="O40" s="42"/>
    </row>
    <row r="41" spans="1:15" ht="14.5" x14ac:dyDescent="0.35">
      <c r="A41" s="27">
        <v>90</v>
      </c>
      <c r="B41" s="49" t="s">
        <v>78</v>
      </c>
      <c r="C41" s="61">
        <f>'(2014-15)'!C41</f>
        <v>7039</v>
      </c>
      <c r="D41" s="61">
        <f>'(2014-15)'!D41</f>
        <v>18493</v>
      </c>
      <c r="E41" s="61">
        <f>'(2014-15)'!E41</f>
        <v>818</v>
      </c>
      <c r="F41" s="61">
        <f>'(2014-15)'!F41</f>
        <v>6768</v>
      </c>
      <c r="G41" s="61">
        <f>'(2014-15)'!G41</f>
        <v>2154</v>
      </c>
      <c r="H41" s="61">
        <f>'(2014-15)'!H41</f>
        <v>7072</v>
      </c>
      <c r="J41" s="42"/>
      <c r="K41" s="42"/>
      <c r="L41" s="42"/>
      <c r="M41" s="42"/>
      <c r="N41" s="42"/>
      <c r="O41" s="42"/>
    </row>
    <row r="42" spans="1:15" x14ac:dyDescent="0.35">
      <c r="A42" s="27">
        <v>91</v>
      </c>
      <c r="B42" s="34" t="s">
        <v>43</v>
      </c>
      <c r="C42" s="46">
        <f>'2017-18 working'!C42</f>
        <v>381</v>
      </c>
      <c r="D42" s="46">
        <f>'2017-18 working'!D42</f>
        <v>3425</v>
      </c>
      <c r="E42" s="46">
        <f>'2017-18 working'!E42</f>
        <v>166</v>
      </c>
      <c r="F42" s="46">
        <f>'2017-18 working'!F42</f>
        <v>1859.12</v>
      </c>
      <c r="G42" s="46">
        <f>'2017-18 working'!G42</f>
        <v>140</v>
      </c>
      <c r="H42" s="46">
        <f>'2017-18 working'!H42</f>
        <v>1563.58</v>
      </c>
      <c r="J42" s="42"/>
      <c r="K42" s="42"/>
      <c r="L42" s="42"/>
      <c r="M42" s="42"/>
      <c r="N42" s="42"/>
      <c r="O42" s="42"/>
    </row>
    <row r="43" spans="1:15" x14ac:dyDescent="0.35">
      <c r="A43" s="27">
        <v>92</v>
      </c>
      <c r="B43" s="34" t="s">
        <v>44</v>
      </c>
      <c r="C43" s="46">
        <f>'2017-18 working'!C43</f>
        <v>1549</v>
      </c>
      <c r="D43" s="46">
        <f>'2017-18 working'!D43</f>
        <v>8331</v>
      </c>
      <c r="E43" s="46">
        <f>'2017-18 working'!E43</f>
        <v>82</v>
      </c>
      <c r="F43" s="46">
        <f>'2017-18 working'!F43</f>
        <v>5144</v>
      </c>
      <c r="G43" s="46">
        <f>'2017-18 working'!G43</f>
        <v>57</v>
      </c>
      <c r="H43" s="46">
        <f>'2017-18 working'!H43</f>
        <v>225</v>
      </c>
      <c r="J43" s="42"/>
      <c r="K43" s="42"/>
      <c r="L43" s="42"/>
      <c r="M43" s="42"/>
      <c r="N43" s="42"/>
      <c r="O43" s="42"/>
    </row>
    <row r="44" spans="1:15" x14ac:dyDescent="0.35">
      <c r="A44" s="27">
        <v>94</v>
      </c>
      <c r="B44" s="34" t="s">
        <v>46</v>
      </c>
      <c r="C44" s="46">
        <f>'2017-18 working'!C44</f>
        <v>5206</v>
      </c>
      <c r="D44" s="46">
        <f>'2017-18 working'!D44</f>
        <v>20743</v>
      </c>
      <c r="E44" s="46">
        <f>'2017-18 working'!E44</f>
        <v>295</v>
      </c>
      <c r="F44" s="46">
        <f>'2017-18 working'!F44</f>
        <v>2716</v>
      </c>
      <c r="G44" s="46">
        <f>'2017-18 working'!G44</f>
        <v>4867</v>
      </c>
      <c r="H44" s="46">
        <f>'2017-18 working'!H44</f>
        <v>17918</v>
      </c>
      <c r="J44" s="42"/>
      <c r="K44" s="42"/>
      <c r="L44" s="42"/>
      <c r="M44" s="42"/>
      <c r="N44" s="42"/>
      <c r="O44" s="42"/>
    </row>
    <row r="45" spans="1:15" ht="14.5" x14ac:dyDescent="0.35">
      <c r="A45" s="27">
        <v>96</v>
      </c>
      <c r="B45" s="49" t="s">
        <v>79</v>
      </c>
      <c r="C45" s="46">
        <f>'2017-18 working'!C45</f>
        <v>2569</v>
      </c>
      <c r="D45" s="46">
        <f>'2017-18 working'!D45</f>
        <v>7693.5</v>
      </c>
      <c r="E45" s="46">
        <f>'2017-18 working'!E45</f>
        <v>1991</v>
      </c>
      <c r="F45" s="46">
        <f>'2017-18 working'!F45</f>
        <v>6068</v>
      </c>
      <c r="G45" s="46">
        <f>'2017-18 working'!G45</f>
        <v>472</v>
      </c>
      <c r="H45" s="46">
        <f>'2017-18 working'!H45</f>
        <v>1394.5</v>
      </c>
      <c r="J45" s="42"/>
      <c r="K45" s="42"/>
      <c r="L45" s="42"/>
      <c r="M45" s="42"/>
      <c r="N45" s="42"/>
      <c r="O45" s="42"/>
    </row>
    <row r="46" spans="1:15" x14ac:dyDescent="0.35">
      <c r="A46" s="27">
        <v>98</v>
      </c>
      <c r="B46" s="34" t="s">
        <v>50</v>
      </c>
      <c r="C46" s="46" t="str">
        <f>'2017-18 working'!C46</f>
        <v>..</v>
      </c>
      <c r="D46" s="46" t="str">
        <f>'2017-18 working'!D46</f>
        <v>..</v>
      </c>
      <c r="E46" s="46" t="str">
        <f>'2017-18 working'!E46</f>
        <v>..</v>
      </c>
      <c r="F46" s="46" t="str">
        <f>'2017-18 working'!F46</f>
        <v>..</v>
      </c>
      <c r="G46" s="46" t="str">
        <f>'2017-18 working'!G46</f>
        <v>..</v>
      </c>
      <c r="H46" s="46" t="str">
        <f>'2017-18 working'!H46</f>
        <v>..</v>
      </c>
      <c r="J46" s="42"/>
      <c r="K46" s="42"/>
      <c r="L46" s="42"/>
      <c r="M46" s="42"/>
      <c r="N46" s="42"/>
      <c r="O46" s="42"/>
    </row>
    <row r="47" spans="1:15" x14ac:dyDescent="0.35">
      <c r="A47" s="27">
        <v>72</v>
      </c>
      <c r="B47" s="34" t="s">
        <v>28</v>
      </c>
      <c r="C47" s="46">
        <f>'2017-18 working'!C47</f>
        <v>7</v>
      </c>
      <c r="D47" s="46">
        <f>'2017-18 working'!D47</f>
        <v>14</v>
      </c>
      <c r="E47" s="46">
        <f>'2017-18 working'!E47</f>
        <v>1</v>
      </c>
      <c r="F47" s="46">
        <f>'2017-18 working'!F47</f>
        <v>2</v>
      </c>
      <c r="G47" s="46">
        <f>'2017-18 working'!G47</f>
        <v>4</v>
      </c>
      <c r="H47" s="46">
        <f>'2017-18 working'!H47</f>
        <v>7</v>
      </c>
      <c r="J47" s="42"/>
      <c r="K47" s="42"/>
      <c r="L47" s="42"/>
      <c r="M47" s="42"/>
      <c r="N47" s="42"/>
      <c r="O47" s="42"/>
    </row>
    <row r="48" spans="1:15" s="43" customFormat="1" ht="26.25" customHeight="1" x14ac:dyDescent="0.35">
      <c r="B48" s="43" t="s">
        <v>56</v>
      </c>
      <c r="C48" s="50">
        <f t="shared" ref="C48:H48" si="2">SUM(C49:C55)</f>
        <v>18215</v>
      </c>
      <c r="D48" s="50">
        <f t="shared" si="2"/>
        <v>131354</v>
      </c>
      <c r="E48" s="50">
        <f t="shared" si="2"/>
        <v>5884</v>
      </c>
      <c r="F48" s="50">
        <f t="shared" si="2"/>
        <v>54542.583333333328</v>
      </c>
      <c r="G48" s="50">
        <f t="shared" si="2"/>
        <v>4767</v>
      </c>
      <c r="H48" s="50">
        <f t="shared" si="2"/>
        <v>30361.933333333334</v>
      </c>
      <c r="J48" s="42"/>
      <c r="K48" s="42"/>
      <c r="L48" s="42"/>
      <c r="M48" s="42"/>
      <c r="N48" s="42"/>
      <c r="O48" s="42"/>
    </row>
    <row r="49" spans="1:15" x14ac:dyDescent="0.35">
      <c r="A49" s="27">
        <v>66</v>
      </c>
      <c r="B49" s="34" t="s">
        <v>22</v>
      </c>
      <c r="C49" s="46">
        <f>'2017-18 working'!C49</f>
        <v>2753</v>
      </c>
      <c r="D49" s="46">
        <f>'2017-18 working'!D49</f>
        <v>15241</v>
      </c>
      <c r="E49" s="46">
        <f>'2017-18 working'!E49</f>
        <v>259</v>
      </c>
      <c r="F49" s="46">
        <f>'2017-18 working'!F49</f>
        <v>328.58333333333337</v>
      </c>
      <c r="G49" s="46">
        <f>'2017-18 working'!G49</f>
        <v>1198</v>
      </c>
      <c r="H49" s="46">
        <f>'2017-18 working'!H49</f>
        <v>3740.9333333333334</v>
      </c>
      <c r="J49" s="42"/>
      <c r="K49" s="42"/>
      <c r="L49" s="42"/>
      <c r="M49" s="42"/>
      <c r="N49" s="42"/>
      <c r="O49" s="42"/>
    </row>
    <row r="50" spans="1:15" x14ac:dyDescent="0.35">
      <c r="A50" s="27">
        <v>78</v>
      </c>
      <c r="B50" s="34" t="s">
        <v>33</v>
      </c>
      <c r="C50" s="46">
        <f>'2017-18 working'!C50</f>
        <v>5455</v>
      </c>
      <c r="D50" s="46">
        <f>'2017-18 working'!D50</f>
        <v>24651</v>
      </c>
      <c r="E50" s="46">
        <f>'2017-18 working'!E50</f>
        <v>3029</v>
      </c>
      <c r="F50" s="46">
        <f>'2017-18 working'!F50</f>
        <v>18986</v>
      </c>
      <c r="G50" s="61">
        <f>ROUND(H50*('(2014-15)'!G50/'(2014-15)'!H50),0)</f>
        <v>352</v>
      </c>
      <c r="H50" s="46">
        <f>'2017-18 working'!H50</f>
        <v>1808</v>
      </c>
      <c r="J50" s="42"/>
      <c r="K50" s="42"/>
      <c r="L50" s="42"/>
      <c r="M50" s="42"/>
      <c r="N50" s="42"/>
      <c r="O50" s="42"/>
    </row>
    <row r="51" spans="1:15" x14ac:dyDescent="0.35">
      <c r="A51" s="27">
        <v>89</v>
      </c>
      <c r="B51" s="34" t="s">
        <v>41</v>
      </c>
      <c r="C51" s="46">
        <f>'2017-18 working'!C51</f>
        <v>979</v>
      </c>
      <c r="D51" s="46">
        <f>'2017-18 working'!D51</f>
        <v>3632</v>
      </c>
      <c r="E51" s="46">
        <f>'2017-18 working'!E51</f>
        <v>566</v>
      </c>
      <c r="F51" s="46">
        <f>'2017-18 working'!F51</f>
        <v>2054</v>
      </c>
      <c r="G51" s="46">
        <f>'2017-18 working'!G51</f>
        <v>245</v>
      </c>
      <c r="H51" s="46">
        <f>'2017-18 working'!H51</f>
        <v>680</v>
      </c>
      <c r="J51" s="42"/>
      <c r="K51" s="42"/>
      <c r="L51" s="42"/>
      <c r="M51" s="42"/>
      <c r="N51" s="42"/>
      <c r="O51" s="42"/>
    </row>
    <row r="52" spans="1:15" x14ac:dyDescent="0.35">
      <c r="A52" s="27">
        <v>93</v>
      </c>
      <c r="B52" s="34" t="s">
        <v>57</v>
      </c>
      <c r="C52" s="46">
        <f>'2017-18 working'!C52</f>
        <v>2312</v>
      </c>
      <c r="D52" s="46">
        <f>'2017-18 working'!D52</f>
        <v>16794</v>
      </c>
      <c r="E52" s="46">
        <f>'2017-18 working'!E52</f>
        <v>321</v>
      </c>
      <c r="F52" s="46">
        <f>'2017-18 working'!F52</f>
        <v>1985</v>
      </c>
      <c r="G52" s="46">
        <f>'2017-18 working'!G52</f>
        <v>1084</v>
      </c>
      <c r="H52" s="46">
        <f>'2017-18 working'!H52</f>
        <v>14162</v>
      </c>
      <c r="J52" s="42"/>
      <c r="K52" s="42"/>
      <c r="L52" s="42"/>
      <c r="M52" s="42"/>
      <c r="N52" s="42"/>
      <c r="O52" s="42"/>
    </row>
    <row r="53" spans="1:15" x14ac:dyDescent="0.35">
      <c r="A53" s="27">
        <v>95</v>
      </c>
      <c r="B53" s="34" t="s">
        <v>47</v>
      </c>
      <c r="C53" s="46">
        <f>'2017-18 working'!C53</f>
        <v>2279</v>
      </c>
      <c r="D53" s="46">
        <f>'2017-18 working'!D53</f>
        <v>19931</v>
      </c>
      <c r="E53" s="46">
        <f>'2017-18 working'!E53</f>
        <v>333</v>
      </c>
      <c r="F53" s="46">
        <f>'2017-18 working'!F53</f>
        <v>444</v>
      </c>
      <c r="G53" s="46">
        <f>'2017-18 working'!G53</f>
        <v>148</v>
      </c>
      <c r="H53" s="46">
        <f>'2017-18 working'!H53</f>
        <v>2430</v>
      </c>
      <c r="J53" s="42"/>
      <c r="K53" s="42"/>
      <c r="L53" s="42"/>
      <c r="M53" s="42"/>
      <c r="N53" s="42"/>
      <c r="O53" s="42"/>
    </row>
    <row r="54" spans="1:15" x14ac:dyDescent="0.35">
      <c r="A54" s="27">
        <v>97</v>
      </c>
      <c r="B54" s="34" t="s">
        <v>49</v>
      </c>
      <c r="C54" s="46">
        <f>'2017-18 working'!C54</f>
        <v>2390</v>
      </c>
      <c r="D54" s="46">
        <f>'2017-18 working'!D54</f>
        <v>19259</v>
      </c>
      <c r="E54" s="46">
        <f>'2017-18 working'!E54</f>
        <v>614</v>
      </c>
      <c r="F54" s="46">
        <f>'2017-18 working'!F54</f>
        <v>3639</v>
      </c>
      <c r="G54" s="46">
        <f>'2017-18 working'!G54</f>
        <v>455</v>
      </c>
      <c r="H54" s="46">
        <f>'2017-18 working'!H54</f>
        <v>2801</v>
      </c>
      <c r="J54" s="42"/>
      <c r="K54" s="42"/>
      <c r="L54" s="42"/>
      <c r="M54" s="42"/>
      <c r="N54" s="42"/>
      <c r="O54" s="42"/>
    </row>
    <row r="55" spans="1:15" x14ac:dyDescent="0.35">
      <c r="A55" s="27">
        <v>77</v>
      </c>
      <c r="B55" s="37" t="s">
        <v>21</v>
      </c>
      <c r="C55" s="46">
        <f>'2017-18 working'!C55</f>
        <v>2047</v>
      </c>
      <c r="D55" s="46">
        <f>'2017-18 working'!D55</f>
        <v>31846</v>
      </c>
      <c r="E55" s="46">
        <f>'2017-18 working'!E55</f>
        <v>762</v>
      </c>
      <c r="F55" s="46">
        <f>'2017-18 working'!F55</f>
        <v>27106</v>
      </c>
      <c r="G55" s="46">
        <f>'2017-18 working'!G55</f>
        <v>1285</v>
      </c>
      <c r="H55" s="46">
        <f>'2017-18 working'!H55</f>
        <v>4740</v>
      </c>
      <c r="J55" s="42"/>
      <c r="K55" s="42"/>
      <c r="L55" s="42"/>
      <c r="M55" s="42"/>
      <c r="N55" s="42"/>
      <c r="O55" s="42"/>
    </row>
    <row r="57" spans="1:15" ht="27.75" customHeight="1" x14ac:dyDescent="0.35">
      <c r="B57" s="106" t="s">
        <v>80</v>
      </c>
      <c r="C57" s="107"/>
      <c r="D57" s="107"/>
      <c r="E57" s="107"/>
      <c r="F57" s="107"/>
      <c r="G57" s="107"/>
      <c r="H57" s="107"/>
    </row>
    <row r="58" spans="1:15" ht="27.75" customHeight="1" x14ac:dyDescent="0.35">
      <c r="B58" s="106" t="s">
        <v>81</v>
      </c>
      <c r="C58" s="107"/>
      <c r="D58" s="107"/>
      <c r="E58" s="107"/>
      <c r="F58" s="107"/>
      <c r="G58" s="107"/>
      <c r="H58" s="107"/>
    </row>
    <row r="59" spans="1:15" ht="13.5" customHeight="1" x14ac:dyDescent="0.35">
      <c r="B59" s="34" t="s">
        <v>82</v>
      </c>
      <c r="C59" s="99"/>
      <c r="D59" s="99"/>
      <c r="E59" s="99"/>
      <c r="F59" s="99"/>
      <c r="G59" s="99"/>
      <c r="H59" s="99"/>
    </row>
    <row r="60" spans="1:15" ht="13.5" customHeight="1" x14ac:dyDescent="0.35">
      <c r="B60" s="51" t="s">
        <v>83</v>
      </c>
      <c r="C60" s="99"/>
      <c r="D60" s="99"/>
      <c r="E60" s="99"/>
      <c r="F60" s="99"/>
      <c r="G60" s="99"/>
      <c r="H60" s="99"/>
    </row>
    <row r="61" spans="1:15" x14ac:dyDescent="0.35">
      <c r="B61" s="51" t="s">
        <v>84</v>
      </c>
    </row>
    <row r="63" spans="1:15" x14ac:dyDescent="0.35">
      <c r="B63" s="104" t="s">
        <v>85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70"/>
  <sheetViews>
    <sheetView zoomScaleNormal="100" workbookViewId="0">
      <selection activeCell="C17" sqref="C17"/>
    </sheetView>
  </sheetViews>
  <sheetFormatPr defaultColWidth="9.08984375" defaultRowHeight="14.5" x14ac:dyDescent="0.35"/>
  <cols>
    <col min="1" max="1" width="50.6328125" style="4" customWidth="1"/>
    <col min="2" max="7" width="14.6328125" style="4" customWidth="1"/>
    <col min="8" max="8" width="11.90625" style="4" customWidth="1"/>
    <col min="9" max="13" width="9.08984375" style="4"/>
    <col min="14" max="14" width="11" style="4" customWidth="1"/>
    <col min="15" max="16384" width="9.08984375" style="4"/>
  </cols>
  <sheetData>
    <row r="1" spans="1:27" s="3" customFormat="1" ht="23.25" customHeight="1" x14ac:dyDescent="0.5">
      <c r="A1" s="123"/>
      <c r="B1" s="123"/>
      <c r="C1" s="123"/>
      <c r="D1" s="123"/>
      <c r="E1" s="123"/>
      <c r="F1" s="123"/>
      <c r="G1" s="123"/>
    </row>
    <row r="2" spans="1:27" s="5" customFormat="1" ht="15" customHeight="1" x14ac:dyDescent="0.35">
      <c r="A2" s="4"/>
      <c r="B2" s="4"/>
      <c r="C2" s="4"/>
      <c r="D2" s="4"/>
      <c r="E2" s="4"/>
      <c r="F2" s="4"/>
      <c r="G2" s="4"/>
    </row>
    <row r="3" spans="1:27" s="5" customFormat="1" ht="15" customHeight="1" x14ac:dyDescent="0.35">
      <c r="A3" s="21"/>
      <c r="B3" s="22"/>
      <c r="C3" s="22"/>
      <c r="D3" s="22"/>
      <c r="E3" s="22"/>
      <c r="F3" s="4"/>
      <c r="G3" s="4"/>
    </row>
    <row r="4" spans="1:27" s="5" customFormat="1" ht="15" customHeight="1" x14ac:dyDescent="0.35">
      <c r="A4" s="120" t="str">
        <f>VLOOKUP(FIRE1203!A4,'FIRE1203 raw'!J10:K17,2,FALSE)</f>
        <v>2017-18</v>
      </c>
      <c r="B4" s="120"/>
      <c r="C4" s="120"/>
      <c r="D4" s="120"/>
      <c r="E4" s="120"/>
      <c r="F4" s="4"/>
      <c r="G4" s="4"/>
    </row>
    <row r="5" spans="1:27" s="5" customFormat="1" ht="15" thickBot="1" x14ac:dyDescent="0.4">
      <c r="A5" s="4"/>
      <c r="B5" s="121"/>
      <c r="C5" s="121"/>
      <c r="D5" s="121"/>
      <c r="E5" s="121"/>
      <c r="F5" s="30"/>
      <c r="G5" s="30"/>
      <c r="H5" s="6"/>
      <c r="I5" s="6"/>
      <c r="K5" s="6"/>
      <c r="L5" s="6"/>
      <c r="M5" s="6"/>
      <c r="N5" s="6"/>
      <c r="O5" s="6"/>
      <c r="R5" s="7"/>
    </row>
    <row r="6" spans="1:27" s="3" customFormat="1" ht="53.25" customHeight="1" thickBot="1" x14ac:dyDescent="0.4">
      <c r="A6" s="2"/>
      <c r="B6" s="122" t="s">
        <v>88</v>
      </c>
      <c r="C6" s="122"/>
      <c r="D6" s="122" t="s">
        <v>91</v>
      </c>
      <c r="E6" s="122"/>
      <c r="F6" s="122" t="s">
        <v>92</v>
      </c>
      <c r="G6" s="122"/>
      <c r="I6" s="55"/>
      <c r="J6" s="55"/>
      <c r="K6" s="55"/>
      <c r="L6" s="55"/>
      <c r="M6" s="55"/>
    </row>
    <row r="7" spans="1:27" s="9" customFormat="1" ht="15" thickBot="1" x14ac:dyDescent="0.4">
      <c r="A7" s="8" t="s">
        <v>58</v>
      </c>
      <c r="B7" s="56" t="s">
        <v>70</v>
      </c>
      <c r="C7" s="56" t="s">
        <v>90</v>
      </c>
      <c r="D7" s="56" t="s">
        <v>70</v>
      </c>
      <c r="E7" s="56" t="s">
        <v>90</v>
      </c>
      <c r="F7" s="56" t="s">
        <v>70</v>
      </c>
      <c r="G7" s="56" t="s">
        <v>90</v>
      </c>
    </row>
    <row r="8" spans="1:27" s="5" customFormat="1" ht="15" customHeight="1" x14ac:dyDescent="0.35">
      <c r="A8" s="24" t="s">
        <v>0</v>
      </c>
      <c r="B8" s="14">
        <f ca="1">INDIRECT("'("&amp;$A$4&amp;")'!C6")</f>
        <v>140560</v>
      </c>
      <c r="C8" s="14">
        <f ca="1">INDIRECT("'("&amp;$A$4&amp;")'!d6")</f>
        <v>625836.64697567699</v>
      </c>
      <c r="D8" s="14">
        <f ca="1">INDIRECT("'("&amp;$A$4&amp;")'!e6")</f>
        <v>23532</v>
      </c>
      <c r="E8" s="14">
        <f ca="1">INDIRECT("'("&amp;$A$4&amp;")'!f6")</f>
        <v>175498.35452498711</v>
      </c>
      <c r="F8" s="14">
        <f ca="1">INDIRECT("'("&amp;$A$4&amp;")'!g6")</f>
        <v>24896</v>
      </c>
      <c r="G8" s="14">
        <f ca="1">INDIRECT("'("&amp;$A$4&amp;")'!h6")</f>
        <v>148727.64595131087</v>
      </c>
      <c r="H8" s="10"/>
      <c r="I8" s="10"/>
      <c r="K8" s="12"/>
      <c r="L8" s="12"/>
      <c r="M8" s="12"/>
      <c r="N8" s="12"/>
      <c r="O8" s="12"/>
      <c r="Q8" s="11"/>
      <c r="R8" s="11"/>
      <c r="S8" s="11"/>
      <c r="T8" s="11"/>
      <c r="U8" s="11"/>
      <c r="V8" s="11"/>
      <c r="W8" s="11"/>
      <c r="X8" s="11"/>
      <c r="Y8" s="11"/>
      <c r="Z8" s="11"/>
      <c r="AA8" s="11"/>
    </row>
    <row r="9" spans="1:27" s="5" customFormat="1" ht="15" customHeight="1" x14ac:dyDescent="0.35">
      <c r="A9" s="25" t="s">
        <v>4</v>
      </c>
      <c r="B9" s="14">
        <f ca="1">INDIRECT("'("&amp;$A$4&amp;")'!C7")</f>
        <v>122345</v>
      </c>
      <c r="C9" s="14">
        <f ca="1">INDIRECT("'("&amp;$A$4&amp;")'!d7")</f>
        <v>494482.64697567694</v>
      </c>
      <c r="D9" s="14">
        <f ca="1">INDIRECT("'("&amp;$A$4&amp;")'!e7")</f>
        <v>17648</v>
      </c>
      <c r="E9" s="14">
        <f ca="1">INDIRECT("'("&amp;$A$4&amp;")'!f7")</f>
        <v>120955.77119165378</v>
      </c>
      <c r="F9" s="14">
        <f ca="1">INDIRECT("'("&amp;$A$4&amp;")'!g7")</f>
        <v>20129</v>
      </c>
      <c r="G9" s="14">
        <f ca="1">INDIRECT("'("&amp;$A$4&amp;")'!h7")</f>
        <v>118365.71261797754</v>
      </c>
      <c r="H9" s="10"/>
      <c r="I9" s="10"/>
      <c r="K9" s="12"/>
      <c r="L9" s="12"/>
      <c r="M9" s="12"/>
      <c r="N9" s="12"/>
      <c r="O9" s="12"/>
      <c r="Q9" s="11"/>
      <c r="R9" s="11"/>
      <c r="S9" s="11"/>
      <c r="T9" s="11"/>
      <c r="U9" s="11"/>
      <c r="V9" s="11"/>
      <c r="W9" s="11"/>
      <c r="X9" s="11"/>
      <c r="Y9" s="11"/>
      <c r="Z9" s="11"/>
      <c r="AA9" s="11"/>
    </row>
    <row r="10" spans="1:27" s="5" customFormat="1" ht="15" customHeight="1" x14ac:dyDescent="0.35">
      <c r="A10" s="4" t="s">
        <v>5</v>
      </c>
      <c r="B10" s="13">
        <f ca="1">INDIRECT("'("&amp;$A$4&amp;")'!C8")</f>
        <v>15611</v>
      </c>
      <c r="C10" s="13">
        <f ca="1">INDIRECT("'("&amp;$A$4&amp;")'!d8")</f>
        <v>3316.5</v>
      </c>
      <c r="D10" s="13">
        <f ca="1">INDIRECT("'("&amp;$A$4&amp;")'!e8")</f>
        <v>207</v>
      </c>
      <c r="E10" s="13">
        <f ca="1">INDIRECT("'("&amp;$A$4&amp;")'!f8")</f>
        <v>1020</v>
      </c>
      <c r="F10" s="13">
        <f ca="1">INDIRECT("'("&amp;$A$4&amp;")'!g8")</f>
        <v>247</v>
      </c>
      <c r="G10" s="13">
        <f ca="1">INDIRECT("'("&amp;$A$4&amp;")'!h8")</f>
        <v>458.5</v>
      </c>
      <c r="H10" s="10"/>
      <c r="I10" s="10"/>
      <c r="J10" s="95" t="s">
        <v>122</v>
      </c>
      <c r="K10" s="95" t="s">
        <v>61</v>
      </c>
      <c r="L10" s="12"/>
      <c r="M10" s="12"/>
      <c r="N10" s="12"/>
      <c r="O10" s="12"/>
      <c r="Q10" s="11"/>
      <c r="R10" s="11"/>
      <c r="S10" s="11"/>
      <c r="T10" s="11"/>
      <c r="U10" s="11"/>
      <c r="V10" s="11"/>
      <c r="W10" s="11"/>
      <c r="X10" s="11"/>
      <c r="Y10" s="11"/>
      <c r="Z10" s="11"/>
      <c r="AA10" s="11"/>
    </row>
    <row r="11" spans="1:27" s="5" customFormat="1" ht="15" customHeight="1" x14ac:dyDescent="0.35">
      <c r="A11" s="4" t="s">
        <v>6</v>
      </c>
      <c r="B11" s="13">
        <f ca="1">INDIRECT("'("&amp;$A$4&amp;")'!C9")</f>
        <v>1099</v>
      </c>
      <c r="C11" s="13">
        <f ca="1">INDIRECT("'("&amp;$A$4&amp;")'!d9")</f>
        <v>9053</v>
      </c>
      <c r="D11" s="13">
        <f ca="1">INDIRECT("'("&amp;$A$4&amp;")'!e9")</f>
        <v>114</v>
      </c>
      <c r="E11" s="13">
        <f ca="1">INDIRECT("'("&amp;$A$4&amp;")'!f9")</f>
        <v>802</v>
      </c>
      <c r="F11" s="13">
        <f ca="1">INDIRECT("'("&amp;$A$4&amp;")'!g9")</f>
        <v>244</v>
      </c>
      <c r="G11" s="13">
        <f ca="1">INDIRECT("'("&amp;$A$4&amp;")'!h9")</f>
        <v>4316</v>
      </c>
      <c r="H11" s="10"/>
      <c r="I11" s="10"/>
      <c r="J11" s="95" t="s">
        <v>123</v>
      </c>
      <c r="K11" s="95" t="s">
        <v>62</v>
      </c>
      <c r="L11" s="12"/>
      <c r="M11" s="12"/>
      <c r="N11" s="12"/>
      <c r="O11" s="12"/>
      <c r="Q11" s="11"/>
      <c r="R11" s="11"/>
      <c r="S11" s="11"/>
      <c r="T11" s="11"/>
      <c r="U11" s="11"/>
      <c r="V11" s="11"/>
      <c r="W11" s="11"/>
      <c r="X11" s="11"/>
      <c r="Y11" s="11"/>
      <c r="Z11" s="11"/>
      <c r="AA11" s="11"/>
    </row>
    <row r="12" spans="1:27" s="5" customFormat="1" ht="15" customHeight="1" x14ac:dyDescent="0.35">
      <c r="A12" s="4" t="s">
        <v>7</v>
      </c>
      <c r="B12" s="13">
        <f ca="1">INDIRECT("'("&amp;$A$4&amp;")'!C10")</f>
        <v>304</v>
      </c>
      <c r="C12" s="13">
        <f ca="1">INDIRECT("'("&amp;$A$4&amp;")'!d10")</f>
        <v>2110</v>
      </c>
      <c r="D12" s="13">
        <f ca="1">INDIRECT("'("&amp;$A$4&amp;")'!e10")</f>
        <v>24</v>
      </c>
      <c r="E12" s="13">
        <f ca="1">INDIRECT("'("&amp;$A$4&amp;")'!f10")</f>
        <v>596</v>
      </c>
      <c r="F12" s="13">
        <f ca="1">INDIRECT("'("&amp;$A$4&amp;")'!g10")</f>
        <v>180</v>
      </c>
      <c r="G12" s="13">
        <f ca="1">INDIRECT("'("&amp;$A$4&amp;")'!h10")</f>
        <v>1428</v>
      </c>
      <c r="H12" s="10"/>
      <c r="I12" s="10"/>
      <c r="J12" s="95" t="s">
        <v>124</v>
      </c>
      <c r="K12" s="95" t="s">
        <v>63</v>
      </c>
      <c r="L12" s="12"/>
      <c r="M12" s="12"/>
      <c r="N12" s="12"/>
      <c r="O12" s="12"/>
      <c r="Q12" s="11"/>
      <c r="R12" s="11"/>
      <c r="S12" s="11"/>
      <c r="T12" s="11"/>
      <c r="U12" s="11"/>
      <c r="V12" s="11"/>
      <c r="W12" s="11"/>
      <c r="X12" s="11"/>
      <c r="Y12" s="11"/>
      <c r="Z12" s="11"/>
      <c r="AA12" s="11"/>
    </row>
    <row r="13" spans="1:27" s="5" customFormat="1" ht="15" customHeight="1" x14ac:dyDescent="0.35">
      <c r="A13" s="4" t="s">
        <v>8</v>
      </c>
      <c r="B13" s="13">
        <f ca="1">INDIRECT("'("&amp;$A$4&amp;")'!C11")</f>
        <v>988</v>
      </c>
      <c r="C13" s="13">
        <f ca="1">INDIRECT("'("&amp;$A$4&amp;")'!d11")</f>
        <v>5936.5</v>
      </c>
      <c r="D13" s="13">
        <f ca="1">INDIRECT("'("&amp;$A$4&amp;")'!e11")</f>
        <v>59</v>
      </c>
      <c r="E13" s="13">
        <f ca="1">INDIRECT("'("&amp;$A$4&amp;")'!f11")</f>
        <v>360</v>
      </c>
      <c r="F13" s="13">
        <f ca="1">INDIRECT("'("&amp;$A$4&amp;")'!g11")</f>
        <v>42</v>
      </c>
      <c r="G13" s="13">
        <f ca="1">INDIRECT("'("&amp;$A$4&amp;")'!h11")</f>
        <v>801</v>
      </c>
      <c r="H13" s="10"/>
      <c r="I13" s="10"/>
      <c r="J13" s="95" t="s">
        <v>125</v>
      </c>
      <c r="K13" s="95" t="s">
        <v>64</v>
      </c>
      <c r="L13" s="12"/>
      <c r="M13" s="12"/>
      <c r="N13" s="12"/>
      <c r="O13" s="12"/>
      <c r="Q13" s="11"/>
      <c r="R13" s="11"/>
      <c r="S13" s="11"/>
      <c r="T13" s="11"/>
      <c r="U13" s="11"/>
      <c r="V13" s="11"/>
      <c r="W13" s="11"/>
      <c r="X13" s="11"/>
      <c r="Y13" s="11"/>
      <c r="Z13" s="11"/>
      <c r="AA13" s="11"/>
    </row>
    <row r="14" spans="1:27" s="5" customFormat="1" ht="15" customHeight="1" x14ac:dyDescent="0.35">
      <c r="A14" s="4" t="s">
        <v>9</v>
      </c>
      <c r="B14" s="13">
        <f ca="1">INDIRECT("'("&amp;$A$4&amp;")'!C12")</f>
        <v>513</v>
      </c>
      <c r="C14" s="13">
        <f ca="1">INDIRECT("'("&amp;$A$4&amp;")'!d12")</f>
        <v>2041</v>
      </c>
      <c r="D14" s="13">
        <f ca="1">INDIRECT("'("&amp;$A$4&amp;")'!e12")</f>
        <v>114</v>
      </c>
      <c r="E14" s="13">
        <f ca="1">INDIRECT("'("&amp;$A$4&amp;")'!f12")</f>
        <v>853</v>
      </c>
      <c r="F14" s="13">
        <f ca="1">INDIRECT("'("&amp;$A$4&amp;")'!g12")</f>
        <v>207</v>
      </c>
      <c r="G14" s="13">
        <f ca="1">INDIRECT("'("&amp;$A$4&amp;")'!h12")</f>
        <v>803</v>
      </c>
      <c r="H14" s="10"/>
      <c r="I14" s="10"/>
      <c r="J14" s="95" t="s">
        <v>126</v>
      </c>
      <c r="K14" s="95" t="s">
        <v>60</v>
      </c>
      <c r="L14" s="12"/>
      <c r="M14" s="12"/>
      <c r="N14" s="12"/>
      <c r="O14" s="12"/>
      <c r="Q14" s="11"/>
      <c r="R14" s="11"/>
      <c r="S14" s="11"/>
      <c r="T14" s="11"/>
      <c r="U14" s="11"/>
      <c r="V14" s="11"/>
      <c r="W14" s="11"/>
      <c r="X14" s="11"/>
      <c r="Y14" s="11"/>
      <c r="Z14" s="11"/>
      <c r="AA14" s="11"/>
    </row>
    <row r="15" spans="1:27" s="5" customFormat="1" ht="15" customHeight="1" x14ac:dyDescent="0.35">
      <c r="A15" s="4" t="s">
        <v>10</v>
      </c>
      <c r="B15" s="13">
        <f ca="1">INDIRECT("'("&amp;$A$4&amp;")'!C13")</f>
        <v>2528</v>
      </c>
      <c r="C15" s="13">
        <f ca="1">INDIRECT("'("&amp;$A$4&amp;")'!d13")</f>
        <v>19276</v>
      </c>
      <c r="D15" s="13">
        <f ca="1">INDIRECT("'("&amp;$A$4&amp;")'!e13")</f>
        <v>1058</v>
      </c>
      <c r="E15" s="13">
        <f ca="1">INDIRECT("'("&amp;$A$4&amp;")'!f13")</f>
        <v>3333</v>
      </c>
      <c r="F15" s="13">
        <f ca="1">INDIRECT("'("&amp;$A$4&amp;")'!g13")</f>
        <v>534</v>
      </c>
      <c r="G15" s="13">
        <f ca="1">INDIRECT("'("&amp;$A$4&amp;")'!h13")</f>
        <v>10553</v>
      </c>
      <c r="H15" s="10"/>
      <c r="I15" s="10"/>
      <c r="J15" s="95" t="s">
        <v>127</v>
      </c>
      <c r="K15" s="95" t="s">
        <v>51</v>
      </c>
      <c r="L15" s="12"/>
      <c r="M15" s="12"/>
      <c r="N15" s="12"/>
      <c r="O15" s="12"/>
      <c r="Q15" s="11"/>
      <c r="R15" s="11"/>
      <c r="S15" s="11"/>
      <c r="T15" s="11"/>
      <c r="U15" s="11"/>
      <c r="V15" s="11"/>
      <c r="W15" s="11"/>
      <c r="X15" s="11"/>
      <c r="Y15" s="11"/>
      <c r="Z15" s="11"/>
      <c r="AA15" s="11"/>
    </row>
    <row r="16" spans="1:27" s="5" customFormat="1" ht="15" customHeight="1" x14ac:dyDescent="0.35">
      <c r="A16" s="4" t="s">
        <v>11</v>
      </c>
      <c r="B16" s="13">
        <f ca="1">INDIRECT("'("&amp;$A$4&amp;")'!C14")</f>
        <v>1780</v>
      </c>
      <c r="C16" s="13">
        <f ca="1">INDIRECT("'("&amp;$A$4&amp;")'!d14")</f>
        <v>15470</v>
      </c>
      <c r="D16" s="13">
        <f ca="1">INDIRECT("'("&amp;$A$4&amp;")'!e14")</f>
        <v>430</v>
      </c>
      <c r="E16" s="13">
        <f ca="1">INDIRECT("'("&amp;$A$4&amp;")'!f14")</f>
        <v>3520</v>
      </c>
      <c r="F16" s="13">
        <f ca="1">INDIRECT("'("&amp;$A$4&amp;")'!g14")</f>
        <v>1350</v>
      </c>
      <c r="G16" s="13">
        <f ca="1">INDIRECT("'("&amp;$A$4&amp;")'!h14")</f>
        <v>11950</v>
      </c>
      <c r="H16" s="10"/>
      <c r="I16" s="10"/>
      <c r="J16" s="5" t="s">
        <v>134</v>
      </c>
      <c r="K16" s="12" t="s">
        <v>135</v>
      </c>
      <c r="L16" s="12"/>
      <c r="M16" s="12"/>
      <c r="N16" s="12"/>
      <c r="O16" s="12"/>
      <c r="Q16" s="11"/>
      <c r="R16" s="11"/>
      <c r="S16" s="11"/>
      <c r="T16" s="11"/>
      <c r="U16" s="11"/>
      <c r="V16" s="11"/>
      <c r="W16" s="11"/>
      <c r="X16" s="11"/>
      <c r="Y16" s="11"/>
      <c r="Z16" s="11"/>
      <c r="AA16" s="11"/>
    </row>
    <row r="17" spans="1:27" s="5" customFormat="1" ht="15" customHeight="1" x14ac:dyDescent="0.35">
      <c r="A17" s="4" t="s">
        <v>12</v>
      </c>
      <c r="B17" s="13">
        <f ca="1">INDIRECT("'("&amp;$A$4&amp;")'!C15")</f>
        <v>566</v>
      </c>
      <c r="C17" s="13">
        <f ca="1">INDIRECT("'("&amp;$A$4&amp;")'!d15")</f>
        <v>4758</v>
      </c>
      <c r="D17" s="13">
        <f ca="1">INDIRECT("'("&amp;$A$4&amp;")'!e15")</f>
        <v>20</v>
      </c>
      <c r="E17" s="13">
        <f ca="1">INDIRECT("'("&amp;$A$4&amp;")'!f15")</f>
        <v>716.41</v>
      </c>
      <c r="F17" s="13">
        <f ca="1">INDIRECT("'("&amp;$A$4&amp;")'!g15")</f>
        <v>133</v>
      </c>
      <c r="G17" s="13">
        <f ca="1">INDIRECT("'("&amp;$A$4&amp;")'!h15")</f>
        <v>889</v>
      </c>
      <c r="H17" s="10"/>
      <c r="I17" s="10"/>
      <c r="J17" s="5" t="s">
        <v>150</v>
      </c>
      <c r="K17" s="12" t="s">
        <v>151</v>
      </c>
      <c r="L17" s="12"/>
      <c r="M17" s="12"/>
      <c r="N17" s="12"/>
      <c r="O17" s="12"/>
      <c r="Q17" s="11"/>
      <c r="R17" s="11"/>
      <c r="S17" s="11"/>
      <c r="T17" s="11"/>
      <c r="U17" s="11"/>
      <c r="V17" s="11"/>
      <c r="W17" s="11"/>
      <c r="X17" s="11"/>
      <c r="Y17" s="11"/>
      <c r="Z17" s="11"/>
      <c r="AA17" s="11"/>
    </row>
    <row r="18" spans="1:27" s="5" customFormat="1" ht="15" customHeight="1" x14ac:dyDescent="0.35">
      <c r="A18" s="4" t="s">
        <v>13</v>
      </c>
      <c r="B18" s="13">
        <f ca="1">INDIRECT("'("&amp;$A$4&amp;")'!C16")</f>
        <v>740</v>
      </c>
      <c r="C18" s="13">
        <f ca="1">INDIRECT("'("&amp;$A$4&amp;")'!d16")</f>
        <v>26640</v>
      </c>
      <c r="D18" s="13">
        <f ca="1">INDIRECT("'("&amp;$A$4&amp;")'!e16")</f>
        <v>191</v>
      </c>
      <c r="E18" s="13">
        <f ca="1">INDIRECT("'("&amp;$A$4&amp;")'!f16")</f>
        <v>6876</v>
      </c>
      <c r="F18" s="13">
        <f ca="1">INDIRECT("'("&amp;$A$4&amp;")'!g16")</f>
        <v>234</v>
      </c>
      <c r="G18" s="13">
        <f ca="1">INDIRECT("'("&amp;$A$4&amp;")'!h16")</f>
        <v>8424</v>
      </c>
      <c r="H18" s="10"/>
      <c r="I18" s="10"/>
      <c r="K18" s="12"/>
      <c r="L18" s="12"/>
      <c r="M18" s="12"/>
      <c r="N18" s="12"/>
      <c r="O18" s="12"/>
      <c r="Q18" s="11"/>
      <c r="R18" s="11"/>
      <c r="S18" s="11"/>
      <c r="T18" s="11"/>
      <c r="U18" s="11"/>
      <c r="V18" s="11"/>
      <c r="W18" s="11"/>
      <c r="X18" s="11"/>
      <c r="Y18" s="11"/>
      <c r="Z18" s="11"/>
      <c r="AA18" s="11"/>
    </row>
    <row r="19" spans="1:27" s="5" customFormat="1" ht="15" customHeight="1" x14ac:dyDescent="0.35">
      <c r="A19" s="20" t="s">
        <v>14</v>
      </c>
      <c r="B19" s="13">
        <f ca="1">INDIRECT("'("&amp;$A$4&amp;")'!C17")</f>
        <v>23448</v>
      </c>
      <c r="C19" s="13">
        <f ca="1">INDIRECT("'("&amp;$A$4&amp;")'!d17")</f>
        <v>12731.22</v>
      </c>
      <c r="D19" s="13">
        <f ca="1">INDIRECT("'("&amp;$A$4&amp;")'!e17")</f>
        <v>488</v>
      </c>
      <c r="E19" s="13">
        <f ca="1">INDIRECT("'("&amp;$A$4&amp;")'!f17")</f>
        <v>4334.57</v>
      </c>
      <c r="F19" s="13">
        <f ca="1">INDIRECT("'("&amp;$A$4&amp;")'!g17")</f>
        <v>409</v>
      </c>
      <c r="G19" s="13">
        <f ca="1">INDIRECT("'("&amp;$A$4&amp;")'!h17")</f>
        <v>1174.6500000000001</v>
      </c>
      <c r="H19" s="10"/>
      <c r="I19" s="10"/>
      <c r="K19" s="12"/>
      <c r="L19" s="12"/>
      <c r="M19" s="12"/>
      <c r="N19" s="12"/>
      <c r="O19" s="12"/>
      <c r="Q19" s="11"/>
      <c r="R19" s="11"/>
      <c r="S19" s="11"/>
      <c r="T19" s="11"/>
      <c r="U19" s="11"/>
      <c r="V19" s="11"/>
      <c r="W19" s="11"/>
      <c r="X19" s="11"/>
      <c r="Y19" s="11"/>
      <c r="Z19" s="11"/>
      <c r="AA19" s="11"/>
    </row>
    <row r="20" spans="1:27" s="5" customFormat="1" ht="15" customHeight="1" x14ac:dyDescent="0.35">
      <c r="A20" s="20" t="s">
        <v>15</v>
      </c>
      <c r="B20" s="13">
        <f ca="1">INDIRECT("'("&amp;$A$4&amp;")'!C18")</f>
        <v>4990</v>
      </c>
      <c r="C20" s="13">
        <f ca="1">INDIRECT("'("&amp;$A$4&amp;")'!d18")</f>
        <v>12427</v>
      </c>
      <c r="D20" s="13">
        <f ca="1">INDIRECT("'("&amp;$A$4&amp;")'!e18")</f>
        <v>636</v>
      </c>
      <c r="E20" s="13">
        <f ca="1">INDIRECT("'("&amp;$A$4&amp;")'!f18")</f>
        <v>2685</v>
      </c>
      <c r="F20" s="13">
        <f ca="1">INDIRECT("'("&amp;$A$4&amp;")'!g18")</f>
        <v>1629</v>
      </c>
      <c r="G20" s="13">
        <f ca="1">INDIRECT("'("&amp;$A$4&amp;")'!h18")</f>
        <v>3522</v>
      </c>
      <c r="H20" s="10"/>
      <c r="I20" s="10"/>
      <c r="K20" s="12"/>
      <c r="L20" s="12"/>
      <c r="M20" s="12"/>
      <c r="N20" s="12"/>
      <c r="O20" s="12"/>
      <c r="Q20" s="11"/>
      <c r="R20" s="11"/>
      <c r="S20" s="11"/>
      <c r="T20" s="11"/>
      <c r="U20" s="11"/>
      <c r="V20" s="11"/>
      <c r="W20" s="11"/>
      <c r="X20" s="11"/>
      <c r="Y20" s="11"/>
      <c r="Z20" s="11"/>
      <c r="AA20" s="11"/>
    </row>
    <row r="21" spans="1:27" s="5" customFormat="1" ht="15" customHeight="1" x14ac:dyDescent="0.35">
      <c r="A21" s="20" t="s">
        <v>133</v>
      </c>
      <c r="B21" s="13">
        <f ca="1">INDIRECT("'("&amp;$A$4&amp;")'!C19")</f>
        <v>6097</v>
      </c>
      <c r="C21" s="13">
        <f ca="1">INDIRECT("'("&amp;$A$4&amp;")'!d19")</f>
        <v>7268</v>
      </c>
      <c r="D21" s="13">
        <f ca="1">INDIRECT("'("&amp;$A$4&amp;")'!e19")</f>
        <v>36</v>
      </c>
      <c r="E21" s="13">
        <f ca="1">INDIRECT("'("&amp;$A$4&amp;")'!f19")</f>
        <v>1779</v>
      </c>
      <c r="F21" s="13">
        <f ca="1">INDIRECT("'("&amp;$A$4&amp;")'!g19")</f>
        <v>563</v>
      </c>
      <c r="G21" s="13">
        <f ca="1">INDIRECT("'("&amp;$A$4&amp;")'!h19")</f>
        <v>1751</v>
      </c>
      <c r="H21" s="10"/>
      <c r="I21" s="10"/>
      <c r="K21" s="12"/>
      <c r="L21" s="12"/>
      <c r="M21" s="12"/>
      <c r="N21" s="12"/>
      <c r="O21" s="12"/>
      <c r="Q21" s="11"/>
      <c r="R21" s="11"/>
      <c r="S21" s="11"/>
      <c r="T21" s="11"/>
      <c r="U21" s="11"/>
      <c r="V21" s="11"/>
      <c r="W21" s="11"/>
      <c r="X21" s="11"/>
      <c r="Y21" s="11"/>
      <c r="Z21" s="11"/>
      <c r="AA21" s="11"/>
    </row>
    <row r="22" spans="1:27" s="5" customFormat="1" ht="15" customHeight="1" x14ac:dyDescent="0.35">
      <c r="A22" s="4" t="s">
        <v>16</v>
      </c>
      <c r="B22" s="13" t="str">
        <f ca="1">INDIRECT("'("&amp;$A$4&amp;")'!C20")</f>
        <v>..</v>
      </c>
      <c r="C22" s="13" t="str">
        <f ca="1">INDIRECT("'("&amp;$A$4&amp;")'!d20")</f>
        <v>..</v>
      </c>
      <c r="D22" s="13" t="str">
        <f ca="1">INDIRECT("'("&amp;$A$4&amp;")'!e20")</f>
        <v>..</v>
      </c>
      <c r="E22" s="13" t="str">
        <f ca="1">INDIRECT("'("&amp;$A$4&amp;")'!f20")</f>
        <v>..</v>
      </c>
      <c r="F22" s="13" t="str">
        <f ca="1">INDIRECT("'("&amp;$A$4&amp;")'!g20")</f>
        <v>..</v>
      </c>
      <c r="G22" s="13" t="str">
        <f ca="1">INDIRECT("'("&amp;$A$4&amp;")'!h20")</f>
        <v>..</v>
      </c>
      <c r="H22" s="10"/>
      <c r="I22" s="10"/>
      <c r="K22" s="12"/>
      <c r="L22" s="12"/>
      <c r="M22" s="12"/>
      <c r="N22" s="12"/>
      <c r="O22" s="12"/>
      <c r="Q22" s="11"/>
      <c r="R22" s="11"/>
      <c r="S22" s="11"/>
      <c r="T22" s="11"/>
      <c r="U22" s="11"/>
      <c r="V22" s="11"/>
      <c r="W22" s="11"/>
      <c r="X22" s="11"/>
      <c r="Y22" s="11"/>
      <c r="Z22" s="11"/>
      <c r="AA22" s="11"/>
    </row>
    <row r="23" spans="1:27" s="5" customFormat="1" ht="15" customHeight="1" x14ac:dyDescent="0.35">
      <c r="A23" s="4" t="s">
        <v>17</v>
      </c>
      <c r="B23" s="13">
        <f ca="1">INDIRECT("'("&amp;$A$4&amp;")'!C21")</f>
        <v>376</v>
      </c>
      <c r="C23" s="13">
        <f ca="1">INDIRECT("'("&amp;$A$4&amp;")'!d21")</f>
        <v>1501</v>
      </c>
      <c r="D23" s="13">
        <f ca="1">INDIRECT("'("&amp;$A$4&amp;")'!e21")</f>
        <v>82</v>
      </c>
      <c r="E23" s="13">
        <f ca="1">INDIRECT("'("&amp;$A$4&amp;")'!f21")</f>
        <v>349</v>
      </c>
      <c r="F23" s="13">
        <f ca="1">INDIRECT("'("&amp;$A$4&amp;")'!g21")</f>
        <v>225</v>
      </c>
      <c r="G23" s="13">
        <f ca="1">INDIRECT("'("&amp;$A$4&amp;")'!h21")</f>
        <v>944</v>
      </c>
      <c r="H23" s="10"/>
      <c r="I23" s="10"/>
      <c r="K23" s="12"/>
      <c r="L23" s="12"/>
      <c r="M23" s="12"/>
      <c r="N23" s="12"/>
      <c r="O23" s="12"/>
      <c r="Q23" s="11"/>
      <c r="R23" s="11"/>
      <c r="S23" s="11"/>
      <c r="T23" s="11"/>
      <c r="U23" s="11"/>
      <c r="V23" s="11"/>
      <c r="W23" s="11"/>
      <c r="X23" s="11"/>
      <c r="Y23" s="11"/>
      <c r="Z23" s="11"/>
      <c r="AA23" s="11"/>
    </row>
    <row r="24" spans="1:27" s="5" customFormat="1" ht="15" customHeight="1" x14ac:dyDescent="0.35">
      <c r="A24" s="4" t="s">
        <v>18</v>
      </c>
      <c r="B24" s="13">
        <f ca="1">INDIRECT("'("&amp;$A$4&amp;")'!C22")</f>
        <v>1485</v>
      </c>
      <c r="C24" s="13">
        <f ca="1">INDIRECT("'("&amp;$A$4&amp;")'!d22")</f>
        <v>6670.67</v>
      </c>
      <c r="D24" s="13">
        <f ca="1">INDIRECT("'("&amp;$A$4&amp;")'!e22")</f>
        <v>65</v>
      </c>
      <c r="E24" s="13">
        <f ca="1">INDIRECT("'("&amp;$A$4&amp;")'!f22")</f>
        <v>415.48</v>
      </c>
      <c r="F24" s="13">
        <f ca="1">INDIRECT("'("&amp;$A$4&amp;")'!g22")</f>
        <v>242</v>
      </c>
      <c r="G24" s="13">
        <f ca="1">INDIRECT("'("&amp;$A$4&amp;")'!h22")</f>
        <v>2869.21</v>
      </c>
      <c r="H24" s="10"/>
      <c r="I24" s="10"/>
      <c r="K24" s="12"/>
      <c r="L24" s="12"/>
      <c r="M24" s="12"/>
      <c r="N24" s="12"/>
      <c r="O24" s="12"/>
      <c r="Q24" s="11"/>
      <c r="R24" s="11"/>
      <c r="S24" s="11"/>
      <c r="T24" s="11"/>
      <c r="U24" s="11"/>
      <c r="V24" s="11"/>
      <c r="W24" s="11"/>
      <c r="X24" s="11"/>
      <c r="Y24" s="11"/>
      <c r="Z24" s="11"/>
      <c r="AA24" s="11"/>
    </row>
    <row r="25" spans="1:27" s="5" customFormat="1" ht="15" customHeight="1" x14ac:dyDescent="0.35">
      <c r="A25" s="4" t="s">
        <v>19</v>
      </c>
      <c r="B25" s="13">
        <f ca="1">INDIRECT("'("&amp;$A$4&amp;")'!C23")</f>
        <v>1906</v>
      </c>
      <c r="C25" s="13">
        <f ca="1">INDIRECT("'("&amp;$A$4&amp;")'!d23")</f>
        <v>127209</v>
      </c>
      <c r="D25" s="13">
        <f ca="1">INDIRECT("'("&amp;$A$4&amp;")'!e23")</f>
        <v>95</v>
      </c>
      <c r="E25" s="13">
        <f ca="1">INDIRECT("'("&amp;$A$4&amp;")'!f23")</f>
        <v>20615</v>
      </c>
      <c r="F25" s="13">
        <f ca="1">INDIRECT("'("&amp;$A$4&amp;")'!g23")</f>
        <v>74</v>
      </c>
      <c r="G25" s="13">
        <f ca="1">INDIRECT("'("&amp;$A$4&amp;")'!h23")</f>
        <v>5835</v>
      </c>
      <c r="H25" s="10"/>
      <c r="I25" s="10"/>
      <c r="K25" s="12"/>
      <c r="L25" s="12"/>
      <c r="M25" s="12"/>
      <c r="N25" s="12"/>
      <c r="O25" s="12"/>
      <c r="Q25" s="11"/>
      <c r="R25" s="11"/>
      <c r="S25" s="11"/>
      <c r="T25" s="11"/>
      <c r="U25" s="11"/>
      <c r="V25" s="11"/>
      <c r="W25" s="11"/>
      <c r="X25" s="11"/>
      <c r="Y25" s="11"/>
      <c r="Z25" s="11"/>
      <c r="AA25" s="11"/>
    </row>
    <row r="26" spans="1:27" s="5" customFormat="1" ht="15" customHeight="1" x14ac:dyDescent="0.35">
      <c r="A26" s="4" t="s">
        <v>20</v>
      </c>
      <c r="B26" s="13">
        <f ca="1">INDIRECT("'("&amp;$A$4&amp;")'!C24")</f>
        <v>636</v>
      </c>
      <c r="C26" s="13">
        <f ca="1">INDIRECT("'("&amp;$A$4&amp;")'!d24")</f>
        <v>21674</v>
      </c>
      <c r="D26" s="13">
        <f ca="1">INDIRECT("'("&amp;$A$4&amp;")'!e24")</f>
        <v>66</v>
      </c>
      <c r="E26" s="13">
        <f ca="1">INDIRECT("'("&amp;$A$4&amp;")'!f24")</f>
        <v>846</v>
      </c>
      <c r="F26" s="13">
        <f ca="1">INDIRECT("'("&amp;$A$4&amp;")'!g24")</f>
        <v>97</v>
      </c>
      <c r="G26" s="13">
        <f ca="1">INDIRECT("'("&amp;$A$4&amp;")'!h24")</f>
        <v>743</v>
      </c>
      <c r="H26" s="10"/>
      <c r="I26" s="10"/>
      <c r="K26" s="12"/>
      <c r="L26" s="12"/>
      <c r="M26" s="12"/>
      <c r="N26" s="12"/>
      <c r="O26" s="12"/>
      <c r="Q26" s="11"/>
      <c r="R26" s="11"/>
      <c r="S26" s="11"/>
      <c r="T26" s="11"/>
      <c r="U26" s="11"/>
      <c r="V26" s="11"/>
      <c r="W26" s="11"/>
      <c r="X26" s="11"/>
      <c r="Y26" s="11"/>
      <c r="Z26" s="11"/>
      <c r="AA26" s="11"/>
    </row>
    <row r="27" spans="1:27" s="5" customFormat="1" ht="15" customHeight="1" x14ac:dyDescent="0.35">
      <c r="A27" s="4" t="s">
        <v>23</v>
      </c>
      <c r="B27" s="13">
        <f ca="1">INDIRECT("'("&amp;$A$4&amp;")'!C25")</f>
        <v>1336</v>
      </c>
      <c r="C27" s="13">
        <f ca="1">INDIRECT("'("&amp;$A$4&amp;")'!d25")</f>
        <v>12137</v>
      </c>
      <c r="D27" s="13">
        <f ca="1">INDIRECT("'("&amp;$A$4&amp;")'!e25")</f>
        <v>750</v>
      </c>
      <c r="E27" s="13">
        <f ca="1">INDIRECT("'("&amp;$A$4&amp;")'!f25")</f>
        <v>6042</v>
      </c>
      <c r="F27" s="13">
        <f ca="1">INDIRECT("'("&amp;$A$4&amp;")'!g25")</f>
        <v>471</v>
      </c>
      <c r="G27" s="13">
        <f ca="1">INDIRECT("'("&amp;$A$4&amp;")'!h25")</f>
        <v>5158.8</v>
      </c>
      <c r="H27" s="10"/>
      <c r="I27" s="10"/>
      <c r="K27" s="12"/>
      <c r="L27" s="12"/>
      <c r="M27" s="12"/>
      <c r="N27" s="12"/>
      <c r="O27" s="12"/>
      <c r="Q27" s="11"/>
      <c r="R27" s="11"/>
      <c r="S27" s="11"/>
      <c r="T27" s="11"/>
      <c r="U27" s="11"/>
      <c r="V27" s="11"/>
      <c r="W27" s="11"/>
      <c r="X27" s="11"/>
      <c r="Y27" s="11"/>
      <c r="Z27" s="11"/>
      <c r="AA27" s="11"/>
    </row>
    <row r="28" spans="1:27" s="5" customFormat="1" ht="15" customHeight="1" x14ac:dyDescent="0.35">
      <c r="A28" s="4" t="s">
        <v>24</v>
      </c>
      <c r="B28" s="13">
        <f ca="1">INDIRECT("'("&amp;$A$4&amp;")'!C26")</f>
        <v>313</v>
      </c>
      <c r="C28" s="13">
        <f ca="1">INDIRECT("'("&amp;$A$4&amp;")'!d26")</f>
        <v>3280</v>
      </c>
      <c r="D28" s="13">
        <f ca="1">INDIRECT("'("&amp;$A$4&amp;")'!e26")</f>
        <v>25</v>
      </c>
      <c r="E28" s="13">
        <f ca="1">INDIRECT("'("&amp;$A$4&amp;")'!f26")</f>
        <v>59</v>
      </c>
      <c r="F28" s="13">
        <f ca="1">INDIRECT("'("&amp;$A$4&amp;")'!g26")</f>
        <v>111</v>
      </c>
      <c r="G28" s="13">
        <f ca="1">INDIRECT("'("&amp;$A$4&amp;")'!h26")</f>
        <v>2560</v>
      </c>
      <c r="H28" s="10"/>
      <c r="I28" s="10"/>
      <c r="K28" s="12"/>
      <c r="L28" s="12"/>
      <c r="M28" s="12"/>
      <c r="N28" s="12"/>
      <c r="O28" s="12"/>
      <c r="Q28" s="11"/>
      <c r="R28" s="11"/>
      <c r="S28" s="11"/>
      <c r="T28" s="11"/>
      <c r="U28" s="11"/>
      <c r="V28" s="11"/>
      <c r="W28" s="11"/>
      <c r="X28" s="11"/>
      <c r="Y28" s="11"/>
      <c r="Z28" s="11"/>
      <c r="AA28" s="11"/>
    </row>
    <row r="29" spans="1:27" s="5" customFormat="1" ht="15" customHeight="1" x14ac:dyDescent="0.35">
      <c r="A29" s="4" t="s">
        <v>25</v>
      </c>
      <c r="B29" s="13">
        <f ca="1">INDIRECT("'("&amp;$A$4&amp;")'!C27")</f>
        <v>9185</v>
      </c>
      <c r="C29" s="13">
        <f ca="1">INDIRECT("'("&amp;$A$4&amp;")'!d27")</f>
        <v>22099</v>
      </c>
      <c r="D29" s="13">
        <f ca="1">INDIRECT("'("&amp;$A$4&amp;")'!e27")</f>
        <v>176</v>
      </c>
      <c r="E29" s="13">
        <f ca="1">INDIRECT("'("&amp;$A$4&amp;")'!f27")</f>
        <v>3250</v>
      </c>
      <c r="F29" s="13">
        <f ca="1">INDIRECT("'("&amp;$A$4&amp;")'!g27")</f>
        <v>9</v>
      </c>
      <c r="G29" s="13">
        <f ca="1">INDIRECT("'("&amp;$A$4&amp;")'!h27")</f>
        <v>128</v>
      </c>
      <c r="H29" s="10"/>
      <c r="I29" s="10"/>
      <c r="K29" s="12"/>
      <c r="L29" s="12"/>
      <c r="M29" s="12"/>
      <c r="N29" s="12"/>
      <c r="O29" s="12"/>
      <c r="Q29" s="11"/>
      <c r="R29" s="11"/>
      <c r="S29" s="11"/>
      <c r="T29" s="11"/>
      <c r="U29" s="11"/>
      <c r="V29" s="11"/>
      <c r="W29" s="11"/>
      <c r="X29" s="11"/>
      <c r="Y29" s="11"/>
      <c r="Z29" s="11"/>
      <c r="AA29" s="11"/>
    </row>
    <row r="30" spans="1:27" s="5" customFormat="1" ht="15" customHeight="1" x14ac:dyDescent="0.35">
      <c r="A30" s="4" t="s">
        <v>26</v>
      </c>
      <c r="B30" s="13">
        <f ca="1">INDIRECT("'("&amp;$A$4&amp;")'!C28")</f>
        <v>1336</v>
      </c>
      <c r="C30" s="13">
        <f ca="1">INDIRECT("'("&amp;$A$4&amp;")'!d28")</f>
        <v>4529</v>
      </c>
      <c r="D30" s="13">
        <f ca="1">INDIRECT("'("&amp;$A$4&amp;")'!e28")</f>
        <v>376</v>
      </c>
      <c r="E30" s="13">
        <f ca="1">INDIRECT("'("&amp;$A$4&amp;")'!f28")</f>
        <v>2776</v>
      </c>
      <c r="F30" s="13">
        <f ca="1">INDIRECT("'("&amp;$A$4&amp;")'!g28")</f>
        <v>192</v>
      </c>
      <c r="G30" s="13">
        <f ca="1">INDIRECT("'("&amp;$A$4&amp;")'!h28")</f>
        <v>454</v>
      </c>
      <c r="H30" s="10"/>
      <c r="I30" s="10"/>
      <c r="K30" s="12"/>
      <c r="L30" s="12"/>
      <c r="M30" s="12"/>
      <c r="N30" s="12"/>
      <c r="O30" s="12"/>
      <c r="Q30" s="11"/>
      <c r="R30" s="11"/>
      <c r="S30" s="11"/>
      <c r="T30" s="11"/>
      <c r="U30" s="11"/>
      <c r="V30" s="11"/>
      <c r="W30" s="11"/>
      <c r="X30" s="11"/>
      <c r="Y30" s="11"/>
      <c r="Z30" s="11"/>
      <c r="AA30" s="11"/>
    </row>
    <row r="31" spans="1:27" s="5" customFormat="1" ht="15" customHeight="1" x14ac:dyDescent="0.35">
      <c r="A31" s="4" t="s">
        <v>27</v>
      </c>
      <c r="B31" s="13">
        <f ca="1">INDIRECT("'("&amp;$A$4&amp;")'!C29")</f>
        <v>128</v>
      </c>
      <c r="C31" s="13">
        <f ca="1">INDIRECT("'("&amp;$A$4&amp;")'!d29")</f>
        <v>307</v>
      </c>
      <c r="D31" s="13">
        <f ca="1">INDIRECT("'("&amp;$A$4&amp;")'!e29")</f>
        <v>10</v>
      </c>
      <c r="E31" s="13">
        <f ca="1">INDIRECT("'("&amp;$A$4&amp;")'!f29")</f>
        <v>40</v>
      </c>
      <c r="F31" s="13">
        <f ca="1">INDIRECT("'("&amp;$A$4&amp;")'!g29")</f>
        <v>76</v>
      </c>
      <c r="G31" s="13">
        <f ca="1">INDIRECT("'("&amp;$A$4&amp;")'!h29")</f>
        <v>177</v>
      </c>
      <c r="H31" s="10"/>
      <c r="I31" s="10"/>
      <c r="K31" s="12"/>
      <c r="L31" s="12"/>
      <c r="M31" s="12"/>
      <c r="N31" s="12"/>
      <c r="O31" s="12"/>
      <c r="Q31" s="11"/>
      <c r="R31" s="11"/>
      <c r="S31" s="11"/>
      <c r="T31" s="11"/>
      <c r="U31" s="11"/>
      <c r="V31" s="11"/>
      <c r="W31" s="11"/>
      <c r="X31" s="11"/>
      <c r="Y31" s="11"/>
      <c r="Z31" s="11"/>
      <c r="AA31" s="11"/>
    </row>
    <row r="32" spans="1:27" s="5" customFormat="1" ht="15" customHeight="1" x14ac:dyDescent="0.35">
      <c r="A32" s="5" t="s">
        <v>29</v>
      </c>
      <c r="B32" s="13">
        <f ca="1">INDIRECT("'("&amp;$A$4&amp;")'!C30")</f>
        <v>2185</v>
      </c>
      <c r="C32" s="13">
        <f ca="1">INDIRECT("'("&amp;$A$4&amp;")'!d30")</f>
        <v>8451.206975676916</v>
      </c>
      <c r="D32" s="13">
        <f ca="1">INDIRECT("'("&amp;$A$4&amp;")'!e30")</f>
        <v>656</v>
      </c>
      <c r="E32" s="13">
        <f ca="1">INDIRECT("'("&amp;$A$4&amp;")'!f30")</f>
        <v>1174.1081916537867</v>
      </c>
      <c r="F32" s="13">
        <f ca="1">INDIRECT("'("&amp;$A$4&amp;")'!g30")</f>
        <v>10</v>
      </c>
      <c r="G32" s="13">
        <f ca="1">INDIRECT("'("&amp;$A$4&amp;")'!h30")</f>
        <v>15.50561797752809</v>
      </c>
      <c r="H32" s="10"/>
      <c r="I32" s="10"/>
      <c r="K32" s="12"/>
      <c r="L32" s="12"/>
      <c r="M32" s="12"/>
      <c r="N32" s="12"/>
      <c r="O32" s="12"/>
      <c r="Q32" s="11"/>
      <c r="R32" s="11"/>
      <c r="S32" s="11"/>
      <c r="T32" s="11"/>
      <c r="U32" s="11"/>
      <c r="V32" s="11"/>
      <c r="W32" s="11"/>
      <c r="X32" s="11"/>
      <c r="Y32" s="11"/>
      <c r="Z32" s="11"/>
      <c r="AA32" s="11"/>
    </row>
    <row r="33" spans="1:27" s="5" customFormat="1" ht="15" customHeight="1" x14ac:dyDescent="0.35">
      <c r="A33" s="5" t="s">
        <v>30</v>
      </c>
      <c r="B33" s="13">
        <f ca="1">INDIRECT("'("&amp;$A$4&amp;")'!C31")</f>
        <v>3465</v>
      </c>
      <c r="C33" s="13">
        <f ca="1">INDIRECT("'("&amp;$A$4&amp;")'!d31")</f>
        <v>11209</v>
      </c>
      <c r="D33" s="13">
        <f ca="1">INDIRECT("'("&amp;$A$4&amp;")'!e31")</f>
        <v>1199</v>
      </c>
      <c r="E33" s="13">
        <f ca="1">INDIRECT("'("&amp;$A$4&amp;")'!f31")</f>
        <v>2186</v>
      </c>
      <c r="F33" s="13">
        <f ca="1">INDIRECT("'("&amp;$A$4&amp;")'!g31")</f>
        <v>1307</v>
      </c>
      <c r="G33" s="13">
        <f ca="1">INDIRECT("'("&amp;$A$4&amp;")'!h31")</f>
        <v>4892</v>
      </c>
      <c r="H33" s="10"/>
      <c r="I33" s="10"/>
      <c r="K33" s="12"/>
      <c r="L33" s="12"/>
      <c r="M33" s="12"/>
      <c r="N33" s="12"/>
      <c r="O33" s="12"/>
      <c r="Q33" s="11"/>
      <c r="R33" s="11"/>
      <c r="S33" s="11"/>
      <c r="T33" s="11"/>
      <c r="U33" s="11"/>
      <c r="V33" s="11"/>
      <c r="W33" s="11"/>
      <c r="X33" s="11"/>
      <c r="Y33" s="11"/>
      <c r="Z33" s="11"/>
      <c r="AA33" s="11"/>
    </row>
    <row r="34" spans="1:27" s="5" customFormat="1" ht="15" customHeight="1" x14ac:dyDescent="0.35">
      <c r="A34" s="4" t="s">
        <v>31</v>
      </c>
      <c r="B34" s="13">
        <f ca="1">INDIRECT("'("&amp;$A$4&amp;")'!C32")</f>
        <v>2895</v>
      </c>
      <c r="C34" s="13">
        <f ca="1">INDIRECT("'("&amp;$A$4&amp;")'!d32")</f>
        <v>14435</v>
      </c>
      <c r="D34" s="13">
        <f ca="1">INDIRECT("'("&amp;$A$4&amp;")'!e32")</f>
        <v>288</v>
      </c>
      <c r="E34" s="13">
        <f ca="1">INDIRECT("'("&amp;$A$4&amp;")'!f32")</f>
        <v>1975</v>
      </c>
      <c r="F34" s="13">
        <f ca="1">INDIRECT("'("&amp;$A$4&amp;")'!g32")</f>
        <v>897</v>
      </c>
      <c r="G34" s="13">
        <f ca="1">INDIRECT("'("&amp;$A$4&amp;")'!h32")</f>
        <v>4946</v>
      </c>
      <c r="H34" s="10"/>
      <c r="I34" s="10"/>
      <c r="K34" s="12"/>
      <c r="L34" s="12"/>
      <c r="M34" s="12"/>
      <c r="N34" s="12"/>
      <c r="O34" s="12"/>
      <c r="Q34" s="11"/>
      <c r="R34" s="11"/>
      <c r="S34" s="11"/>
      <c r="T34" s="11"/>
      <c r="U34" s="11"/>
      <c r="V34" s="11"/>
      <c r="W34" s="11"/>
      <c r="X34" s="11"/>
      <c r="Y34" s="11"/>
      <c r="Z34" s="11"/>
      <c r="AA34" s="11"/>
    </row>
    <row r="35" spans="1:27" s="5" customFormat="1" ht="15" customHeight="1" x14ac:dyDescent="0.35">
      <c r="A35" s="5" t="s">
        <v>32</v>
      </c>
      <c r="B35" s="13">
        <f ca="1">INDIRECT("'("&amp;$A$4&amp;")'!C33")</f>
        <v>1209</v>
      </c>
      <c r="C35" s="13">
        <f ca="1">INDIRECT("'("&amp;$A$4&amp;")'!d33")</f>
        <v>7356</v>
      </c>
      <c r="D35" s="13">
        <f ca="1">INDIRECT("'("&amp;$A$4&amp;")'!e33")</f>
        <v>495</v>
      </c>
      <c r="E35" s="13">
        <f ca="1">INDIRECT("'("&amp;$A$4&amp;")'!f33")</f>
        <v>1485</v>
      </c>
      <c r="F35" s="13">
        <f ca="1">INDIRECT("'("&amp;$A$4&amp;")'!g33")</f>
        <v>149</v>
      </c>
      <c r="G35" s="13">
        <f ca="1">INDIRECT("'("&amp;$A$4&amp;")'!h33")</f>
        <v>964</v>
      </c>
      <c r="H35" s="10"/>
      <c r="I35" s="10"/>
      <c r="K35" s="12"/>
      <c r="L35" s="12"/>
      <c r="M35" s="12"/>
      <c r="N35" s="12"/>
      <c r="O35" s="12"/>
      <c r="Q35" s="11"/>
      <c r="R35" s="11"/>
      <c r="S35" s="11"/>
      <c r="T35" s="11"/>
      <c r="U35" s="11"/>
      <c r="V35" s="11"/>
      <c r="W35" s="11"/>
      <c r="X35" s="11"/>
      <c r="Y35" s="11"/>
      <c r="Z35" s="11"/>
      <c r="AA35" s="11"/>
    </row>
    <row r="36" spans="1:27" s="5" customFormat="1" ht="15" customHeight="1" x14ac:dyDescent="0.35">
      <c r="A36" s="5" t="s">
        <v>34</v>
      </c>
      <c r="B36" s="13">
        <f ca="1">INDIRECT("'("&amp;$A$4&amp;")'!C34")</f>
        <v>6030</v>
      </c>
      <c r="C36" s="13">
        <f ca="1">INDIRECT("'("&amp;$A$4&amp;")'!d34")</f>
        <v>18889.25</v>
      </c>
      <c r="D36" s="13">
        <f ca="1">INDIRECT("'("&amp;$A$4&amp;")'!e34")</f>
        <v>5069</v>
      </c>
      <c r="E36" s="13">
        <f ca="1">INDIRECT("'("&amp;$A$4&amp;")'!f34")</f>
        <v>17070</v>
      </c>
      <c r="F36" s="13">
        <f ca="1">INDIRECT("'("&amp;$A$4&amp;")'!g34")</f>
        <v>730</v>
      </c>
      <c r="G36" s="13">
        <f ca="1">INDIRECT("'("&amp;$A$4&amp;")'!h34")</f>
        <v>1300</v>
      </c>
      <c r="H36" s="10"/>
      <c r="I36" s="10"/>
      <c r="K36" s="12"/>
      <c r="L36" s="12"/>
      <c r="M36" s="12"/>
      <c r="N36" s="12"/>
      <c r="O36" s="12"/>
      <c r="Q36" s="11"/>
      <c r="R36" s="11"/>
      <c r="S36" s="11"/>
      <c r="T36" s="11"/>
      <c r="U36" s="11"/>
      <c r="V36" s="11"/>
      <c r="W36" s="11"/>
      <c r="X36" s="11"/>
      <c r="Y36" s="11"/>
      <c r="Z36" s="11"/>
      <c r="AA36" s="11"/>
    </row>
    <row r="37" spans="1:27" s="5" customFormat="1" ht="15" customHeight="1" x14ac:dyDescent="0.35">
      <c r="A37" s="5" t="s">
        <v>35</v>
      </c>
      <c r="B37" s="13">
        <f ca="1">INDIRECT("'("&amp;$A$4&amp;")'!C35")</f>
        <v>2116</v>
      </c>
      <c r="C37" s="13">
        <f ca="1">INDIRECT("'("&amp;$A$4&amp;")'!d35")</f>
        <v>7545</v>
      </c>
      <c r="D37" s="13">
        <f ca="1">INDIRECT("'("&amp;$A$4&amp;")'!e35")</f>
        <v>94</v>
      </c>
      <c r="E37" s="13">
        <f ca="1">INDIRECT("'("&amp;$A$4&amp;")'!f35")</f>
        <v>251</v>
      </c>
      <c r="F37" s="13">
        <f ca="1">INDIRECT("'("&amp;$A$4&amp;")'!g35")</f>
        <v>286</v>
      </c>
      <c r="G37" s="13">
        <f ca="1">INDIRECT("'("&amp;$A$4&amp;")'!h35")</f>
        <v>354</v>
      </c>
      <c r="H37" s="10"/>
      <c r="I37" s="10"/>
      <c r="K37" s="12"/>
      <c r="L37" s="12"/>
      <c r="M37" s="12"/>
      <c r="N37" s="12"/>
      <c r="O37" s="12"/>
      <c r="Q37" s="11"/>
      <c r="R37" s="11"/>
      <c r="S37" s="11"/>
      <c r="T37" s="11"/>
      <c r="U37" s="11"/>
      <c r="V37" s="11"/>
      <c r="W37" s="11"/>
      <c r="X37" s="11"/>
      <c r="Y37" s="11"/>
      <c r="Z37" s="11"/>
      <c r="AA37" s="11"/>
    </row>
    <row r="38" spans="1:27" s="5" customFormat="1" ht="15" customHeight="1" x14ac:dyDescent="0.35">
      <c r="A38" s="5" t="s">
        <v>36</v>
      </c>
      <c r="B38" s="13">
        <f ca="1">INDIRECT("'("&amp;$A$4&amp;")'!C36")</f>
        <v>1235</v>
      </c>
      <c r="C38" s="13">
        <f ca="1">INDIRECT("'("&amp;$A$4&amp;")'!d36")</f>
        <v>6464</v>
      </c>
      <c r="D38" s="13">
        <f ca="1">INDIRECT("'("&amp;$A$4&amp;")'!e36")</f>
        <v>575</v>
      </c>
      <c r="E38" s="13">
        <f ca="1">INDIRECT("'("&amp;$A$4&amp;")'!f36")</f>
        <v>2387</v>
      </c>
      <c r="F38" s="13">
        <f ca="1">INDIRECT("'("&amp;$A$4&amp;")'!g36")</f>
        <v>537</v>
      </c>
      <c r="G38" s="13">
        <f ca="1">INDIRECT("'("&amp;$A$4&amp;")'!h36")</f>
        <v>1105</v>
      </c>
      <c r="H38" s="10"/>
      <c r="I38" s="10"/>
      <c r="K38" s="12"/>
      <c r="L38" s="12"/>
      <c r="M38" s="12"/>
      <c r="N38" s="12"/>
      <c r="O38" s="12"/>
      <c r="Q38" s="11"/>
      <c r="R38" s="11"/>
      <c r="S38" s="11"/>
      <c r="T38" s="11"/>
      <c r="U38" s="11"/>
      <c r="V38" s="11"/>
      <c r="W38" s="11"/>
      <c r="X38" s="11"/>
      <c r="Y38" s="11"/>
      <c r="Z38" s="11"/>
      <c r="AA38" s="11"/>
    </row>
    <row r="39" spans="1:27" s="5" customFormat="1" ht="15" customHeight="1" x14ac:dyDescent="0.35">
      <c r="A39" s="5" t="s">
        <v>37</v>
      </c>
      <c r="B39" s="13">
        <f ca="1">INDIRECT("'("&amp;$A$4&amp;")'!C37")</f>
        <v>3769</v>
      </c>
      <c r="C39" s="13">
        <f ca="1">INDIRECT("'("&amp;$A$4&amp;")'!d37")</f>
        <v>6235.5</v>
      </c>
      <c r="D39" s="13">
        <f ca="1">INDIRECT("'("&amp;$A$4&amp;")'!e37")</f>
        <v>394</v>
      </c>
      <c r="E39" s="13">
        <f ca="1">INDIRECT("'("&amp;$A$4&amp;")'!f37")</f>
        <v>4097.5</v>
      </c>
      <c r="F39" s="13">
        <f ca="1">INDIRECT("'("&amp;$A$4&amp;")'!g37")</f>
        <v>256</v>
      </c>
      <c r="G39" s="13">
        <f ca="1">INDIRECT("'("&amp;$A$4&amp;")'!h37")</f>
        <v>1012</v>
      </c>
      <c r="H39" s="10"/>
      <c r="I39" s="10"/>
      <c r="K39" s="12"/>
      <c r="L39" s="12"/>
      <c r="M39" s="12"/>
      <c r="N39" s="12"/>
      <c r="O39" s="12"/>
      <c r="Q39" s="11"/>
      <c r="R39" s="11"/>
      <c r="S39" s="11"/>
      <c r="T39" s="11"/>
      <c r="U39" s="11"/>
      <c r="V39" s="11"/>
      <c r="W39" s="11"/>
      <c r="X39" s="11"/>
      <c r="Y39" s="11"/>
      <c r="Z39" s="11"/>
      <c r="AA39" s="11"/>
    </row>
    <row r="40" spans="1:27" s="5" customFormat="1" ht="15" customHeight="1" x14ac:dyDescent="0.35">
      <c r="A40" s="4" t="s">
        <v>38</v>
      </c>
      <c r="B40" s="13">
        <f ca="1">INDIRECT("'("&amp;$A$4&amp;")'!C38")</f>
        <v>5132</v>
      </c>
      <c r="C40" s="13">
        <f ca="1">INDIRECT("'("&amp;$A$4&amp;")'!d38")</f>
        <v>23326.3</v>
      </c>
      <c r="D40" s="13">
        <f ca="1">INDIRECT("'("&amp;$A$4&amp;")'!e38")</f>
        <v>405</v>
      </c>
      <c r="E40" s="13">
        <f ca="1">INDIRECT("'("&amp;$A$4&amp;")'!f38")</f>
        <v>5922.0829999999996</v>
      </c>
      <c r="F40" s="13">
        <f ca="1">INDIRECT("'("&amp;$A$4&amp;")'!g38")</f>
        <v>446</v>
      </c>
      <c r="G40" s="13">
        <f ca="1">INDIRECT("'("&amp;$A$4&amp;")'!h38")</f>
        <v>5549.9669999999996</v>
      </c>
      <c r="H40" s="10"/>
      <c r="I40" s="10"/>
      <c r="K40" s="12"/>
      <c r="L40" s="12"/>
      <c r="M40" s="12"/>
      <c r="N40" s="12"/>
      <c r="O40" s="12"/>
      <c r="Q40" s="11"/>
      <c r="R40" s="11"/>
      <c r="S40" s="11"/>
      <c r="T40" s="11"/>
      <c r="U40" s="11"/>
      <c r="V40" s="11"/>
      <c r="W40" s="11"/>
      <c r="X40" s="11"/>
      <c r="Y40" s="11"/>
      <c r="Z40" s="11"/>
      <c r="AA40" s="11"/>
    </row>
    <row r="41" spans="1:27" s="5" customFormat="1" ht="15" customHeight="1" x14ac:dyDescent="0.35">
      <c r="A41" s="4" t="s">
        <v>39</v>
      </c>
      <c r="B41" s="13">
        <f ca="1">INDIRECT("'("&amp;$A$4&amp;")'!C39")</f>
        <v>1815</v>
      </c>
      <c r="C41" s="13">
        <f ca="1">INDIRECT("'("&amp;$A$4&amp;")'!d39")</f>
        <v>9564</v>
      </c>
      <c r="D41" s="13">
        <f ca="1">INDIRECT("'("&amp;$A$4&amp;")'!e39")</f>
        <v>64</v>
      </c>
      <c r="E41" s="13">
        <f ca="1">INDIRECT("'("&amp;$A$4&amp;")'!f39")</f>
        <v>379.5</v>
      </c>
      <c r="F41" s="13">
        <f ca="1">INDIRECT("'("&amp;$A$4&amp;")'!g39")</f>
        <v>367</v>
      </c>
      <c r="G41" s="13">
        <f ca="1">INDIRECT("'("&amp;$A$4&amp;")'!h39")</f>
        <v>4206</v>
      </c>
      <c r="H41" s="10"/>
      <c r="I41" s="10"/>
      <c r="K41" s="12"/>
      <c r="L41" s="12"/>
      <c r="M41" s="12"/>
      <c r="N41" s="12"/>
      <c r="O41" s="12"/>
      <c r="Q41" s="11"/>
      <c r="R41" s="11"/>
      <c r="S41" s="11"/>
      <c r="T41" s="11"/>
      <c r="U41" s="11"/>
      <c r="V41" s="11"/>
      <c r="W41" s="11"/>
      <c r="X41" s="11"/>
      <c r="Y41" s="11"/>
      <c r="Z41" s="11"/>
      <c r="AA41" s="11"/>
    </row>
    <row r="42" spans="1:27" s="5" customFormat="1" ht="15" customHeight="1" x14ac:dyDescent="0.35">
      <c r="A42" s="4" t="s">
        <v>40</v>
      </c>
      <c r="B42" s="13">
        <f ca="1">INDIRECT("'("&amp;$A$4&amp;")'!C40")</f>
        <v>378</v>
      </c>
      <c r="C42" s="13">
        <f ca="1">INDIRECT("'("&amp;$A$4&amp;")'!d40")</f>
        <v>1874</v>
      </c>
      <c r="D42" s="13">
        <f ca="1">INDIRECT("'("&amp;$A$4&amp;")'!e40")</f>
        <v>34</v>
      </c>
      <c r="E42" s="13">
        <f ca="1">INDIRECT("'("&amp;$A$4&amp;")'!f40")</f>
        <v>204</v>
      </c>
      <c r="F42" s="13">
        <f ca="1">INDIRECT("'("&amp;$A$4&amp;")'!g40")</f>
        <v>181</v>
      </c>
      <c r="G42" s="13">
        <f ca="1">INDIRECT("'("&amp;$A$4&amp;")'!h40")</f>
        <v>902</v>
      </c>
      <c r="H42" s="10"/>
      <c r="I42" s="10"/>
      <c r="K42" s="12"/>
      <c r="L42" s="12"/>
      <c r="M42" s="12"/>
      <c r="N42" s="12"/>
      <c r="O42" s="12"/>
      <c r="Q42" s="11"/>
      <c r="R42" s="11"/>
      <c r="S42" s="11"/>
      <c r="T42" s="11"/>
      <c r="U42" s="11"/>
      <c r="V42" s="11"/>
      <c r="W42" s="11"/>
      <c r="X42" s="11"/>
      <c r="Y42" s="11"/>
      <c r="Z42" s="11"/>
      <c r="AA42" s="11"/>
    </row>
    <row r="43" spans="1:27" s="5" customFormat="1" ht="15" customHeight="1" x14ac:dyDescent="0.35">
      <c r="A43" s="4" t="s">
        <v>42</v>
      </c>
      <c r="B43" s="13">
        <f ca="1">INDIRECT("'("&amp;$A$4&amp;")'!C41")</f>
        <v>7039</v>
      </c>
      <c r="C43" s="13">
        <f ca="1">INDIRECT("'("&amp;$A$4&amp;")'!d41")</f>
        <v>18493</v>
      </c>
      <c r="D43" s="13">
        <f ca="1">INDIRECT("'("&amp;$A$4&amp;")'!e41")</f>
        <v>818</v>
      </c>
      <c r="E43" s="13">
        <f ca="1">INDIRECT("'("&amp;$A$4&amp;")'!f41")</f>
        <v>6768</v>
      </c>
      <c r="F43" s="13">
        <f ca="1">INDIRECT("'("&amp;$A$4&amp;")'!g41")</f>
        <v>2154</v>
      </c>
      <c r="G43" s="13">
        <f ca="1">INDIRECT("'("&amp;$A$4&amp;")'!h41")</f>
        <v>7072</v>
      </c>
      <c r="H43" s="10"/>
      <c r="I43" s="10"/>
      <c r="K43" s="12"/>
      <c r="L43" s="12"/>
      <c r="M43" s="12"/>
      <c r="N43" s="12"/>
      <c r="O43" s="12"/>
      <c r="Q43" s="11"/>
      <c r="R43" s="11"/>
      <c r="S43" s="11"/>
      <c r="T43" s="11"/>
      <c r="U43" s="11"/>
      <c r="V43" s="11"/>
      <c r="W43" s="11"/>
      <c r="X43" s="11"/>
      <c r="Y43" s="11"/>
      <c r="Z43" s="11"/>
      <c r="AA43" s="11"/>
    </row>
    <row r="44" spans="1:27" s="5" customFormat="1" ht="15" customHeight="1" x14ac:dyDescent="0.35">
      <c r="A44" s="4" t="s">
        <v>43</v>
      </c>
      <c r="B44" s="13">
        <f ca="1">INDIRECT("'("&amp;$A$4&amp;")'!C42")</f>
        <v>381</v>
      </c>
      <c r="C44" s="13">
        <f ca="1">INDIRECT("'("&amp;$A$4&amp;")'!d42")</f>
        <v>3425</v>
      </c>
      <c r="D44" s="13">
        <f ca="1">INDIRECT("'("&amp;$A$4&amp;")'!e42")</f>
        <v>166</v>
      </c>
      <c r="E44" s="13">
        <f ca="1">INDIRECT("'("&amp;$A$4&amp;")'!f42")</f>
        <v>1859.12</v>
      </c>
      <c r="F44" s="13">
        <f ca="1">INDIRECT("'("&amp;$A$4&amp;")'!g42")</f>
        <v>140</v>
      </c>
      <c r="G44" s="13">
        <f ca="1">INDIRECT("'("&amp;$A$4&amp;")'!h42")</f>
        <v>1563.58</v>
      </c>
      <c r="H44" s="10"/>
      <c r="I44" s="10"/>
      <c r="K44" s="12"/>
      <c r="L44" s="12"/>
      <c r="M44" s="12"/>
      <c r="N44" s="12"/>
      <c r="O44" s="12"/>
      <c r="Q44" s="11"/>
      <c r="R44" s="11"/>
      <c r="S44" s="11"/>
      <c r="T44" s="11"/>
      <c r="U44" s="11"/>
      <c r="V44" s="11"/>
      <c r="W44" s="11"/>
      <c r="X44" s="11"/>
      <c r="Y44" s="11"/>
      <c r="Z44" s="11"/>
      <c r="AA44" s="11"/>
    </row>
    <row r="45" spans="1:27" s="5" customFormat="1" ht="15" customHeight="1" x14ac:dyDescent="0.35">
      <c r="A45" s="4" t="s">
        <v>44</v>
      </c>
      <c r="B45" s="13">
        <f ca="1">INDIRECT("'("&amp;$A$4&amp;")'!C43")</f>
        <v>1549</v>
      </c>
      <c r="C45" s="13">
        <f ca="1">INDIRECT("'("&amp;$A$4&amp;")'!d43")</f>
        <v>8331</v>
      </c>
      <c r="D45" s="13">
        <f ca="1">INDIRECT("'("&amp;$A$4&amp;")'!e43")</f>
        <v>82</v>
      </c>
      <c r="E45" s="13">
        <f ca="1">INDIRECT("'("&amp;$A$4&amp;")'!f43")</f>
        <v>5144</v>
      </c>
      <c r="F45" s="13">
        <f ca="1">INDIRECT("'("&amp;$A$4&amp;")'!g43")</f>
        <v>57</v>
      </c>
      <c r="G45" s="13">
        <f ca="1">INDIRECT("'("&amp;$A$4&amp;")'!h43")</f>
        <v>225</v>
      </c>
      <c r="H45" s="10"/>
      <c r="I45" s="10"/>
      <c r="K45" s="12"/>
      <c r="L45" s="12"/>
      <c r="M45" s="12"/>
      <c r="N45" s="12"/>
      <c r="O45" s="12"/>
      <c r="Q45" s="11"/>
      <c r="R45" s="11"/>
      <c r="S45" s="11"/>
      <c r="T45" s="11"/>
      <c r="U45" s="11"/>
      <c r="V45" s="11"/>
      <c r="W45" s="11"/>
      <c r="X45" s="11"/>
      <c r="Y45" s="11"/>
      <c r="Z45" s="11"/>
      <c r="AA45" s="11"/>
    </row>
    <row r="46" spans="1:27" s="5" customFormat="1" ht="15" customHeight="1" x14ac:dyDescent="0.35">
      <c r="A46" s="4" t="s">
        <v>46</v>
      </c>
      <c r="B46" s="13">
        <f ca="1">INDIRECT("'("&amp;$A$4&amp;")'!C44")</f>
        <v>5206</v>
      </c>
      <c r="C46" s="13">
        <f ca="1">INDIRECT("'("&amp;$A$4&amp;")'!d44")</f>
        <v>20743</v>
      </c>
      <c r="D46" s="13">
        <f ca="1">INDIRECT("'("&amp;$A$4&amp;")'!e44")</f>
        <v>295</v>
      </c>
      <c r="E46" s="13">
        <f ca="1">INDIRECT("'("&amp;$A$4&amp;")'!f44")</f>
        <v>2716</v>
      </c>
      <c r="F46" s="13">
        <f ca="1">INDIRECT("'("&amp;$A$4&amp;")'!g44")</f>
        <v>4867</v>
      </c>
      <c r="G46" s="13">
        <f ca="1">INDIRECT("'("&amp;$A$4&amp;")'!h44")</f>
        <v>17918</v>
      </c>
      <c r="H46" s="10"/>
      <c r="I46" s="10"/>
      <c r="K46" s="12"/>
      <c r="L46" s="12"/>
      <c r="M46" s="12"/>
      <c r="N46" s="12"/>
      <c r="O46" s="12"/>
      <c r="Q46" s="11"/>
      <c r="R46" s="11"/>
      <c r="S46" s="11"/>
      <c r="T46" s="11"/>
      <c r="U46" s="11"/>
      <c r="V46" s="11"/>
      <c r="W46" s="11"/>
      <c r="X46" s="11"/>
      <c r="Y46" s="11"/>
      <c r="Z46" s="11"/>
      <c r="AA46" s="11"/>
    </row>
    <row r="47" spans="1:27" s="5" customFormat="1" ht="15" customHeight="1" x14ac:dyDescent="0.35">
      <c r="A47" s="4" t="s">
        <v>48</v>
      </c>
      <c r="B47" s="57">
        <f ca="1">INDIRECT("'("&amp;$A$4&amp;")'!C45")</f>
        <v>2569</v>
      </c>
      <c r="C47" s="57">
        <f ca="1">INDIRECT("'("&amp;$A$4&amp;")'!d45")</f>
        <v>7693.5</v>
      </c>
      <c r="D47" s="57">
        <f ca="1">INDIRECT("'("&amp;$A$4&amp;")'!e45")</f>
        <v>1991</v>
      </c>
      <c r="E47" s="57">
        <f ca="1">INDIRECT("'("&amp;$A$4&amp;")'!f45")</f>
        <v>6068</v>
      </c>
      <c r="F47" s="57">
        <f ca="1">INDIRECT("'("&amp;$A$4&amp;")'!g45")</f>
        <v>472</v>
      </c>
      <c r="G47" s="57">
        <f ca="1">INDIRECT("'("&amp;$A$4&amp;")'!h45")</f>
        <v>1394.5</v>
      </c>
      <c r="H47" s="10"/>
      <c r="I47" s="10"/>
      <c r="K47" s="12"/>
      <c r="L47" s="12"/>
      <c r="M47" s="12"/>
      <c r="N47" s="12"/>
      <c r="O47" s="12"/>
      <c r="Q47" s="11"/>
      <c r="R47" s="11"/>
      <c r="S47" s="11"/>
      <c r="T47" s="11"/>
      <c r="U47" s="11"/>
      <c r="V47" s="11"/>
      <c r="W47" s="11"/>
      <c r="X47" s="11"/>
      <c r="Y47" s="11"/>
      <c r="Z47" s="11"/>
      <c r="AA47" s="11"/>
    </row>
    <row r="48" spans="1:27" s="5" customFormat="1" ht="15" customHeight="1" x14ac:dyDescent="0.35">
      <c r="A48" s="4" t="s">
        <v>50</v>
      </c>
      <c r="B48" s="13" t="str">
        <f ca="1">INDIRECT("'("&amp;$A$4&amp;")'!C46")</f>
        <v>..</v>
      </c>
      <c r="C48" s="13" t="str">
        <f ca="1">INDIRECT("'("&amp;$A$4&amp;")'!d46")</f>
        <v>..</v>
      </c>
      <c r="D48" s="13" t="str">
        <f ca="1">INDIRECT("'("&amp;$A$4&amp;")'!e46")</f>
        <v>..</v>
      </c>
      <c r="E48" s="13" t="str">
        <f ca="1">INDIRECT("'("&amp;$A$4&amp;")'!f46")</f>
        <v>..</v>
      </c>
      <c r="F48" s="13" t="str">
        <f ca="1">INDIRECT("'("&amp;$A$4&amp;")'!g46")</f>
        <v>..</v>
      </c>
      <c r="G48" s="13" t="str">
        <f ca="1">INDIRECT("'("&amp;$A$4&amp;")'!h46")</f>
        <v>..</v>
      </c>
      <c r="H48" s="10"/>
      <c r="I48" s="10"/>
      <c r="K48" s="12"/>
      <c r="L48" s="12"/>
      <c r="M48" s="12"/>
      <c r="N48" s="12"/>
      <c r="O48" s="12"/>
      <c r="Q48" s="11"/>
      <c r="R48" s="11"/>
      <c r="S48" s="11"/>
      <c r="T48" s="11"/>
      <c r="U48" s="11"/>
      <c r="V48" s="11"/>
      <c r="W48" s="11"/>
      <c r="X48" s="11"/>
      <c r="Y48" s="11"/>
      <c r="Z48" s="11"/>
      <c r="AA48" s="11"/>
    </row>
    <row r="49" spans="1:27" s="5" customFormat="1" ht="15" customHeight="1" x14ac:dyDescent="0.35">
      <c r="A49" s="4" t="s">
        <v>28</v>
      </c>
      <c r="B49" s="57">
        <f ca="1">INDIRECT("'("&amp;$A$4&amp;")'!C47")</f>
        <v>7</v>
      </c>
      <c r="C49" s="57">
        <f ca="1">INDIRECT("'("&amp;$A$4&amp;")'!d47")</f>
        <v>14</v>
      </c>
      <c r="D49" s="57">
        <f ca="1">INDIRECT("'("&amp;$A$4&amp;")'!e47")</f>
        <v>1</v>
      </c>
      <c r="E49" s="57">
        <f ca="1">INDIRECT("'("&amp;$A$4&amp;")'!f47")</f>
        <v>2</v>
      </c>
      <c r="F49" s="57">
        <f ca="1">INDIRECT("'("&amp;$A$4&amp;")'!g47")</f>
        <v>4</v>
      </c>
      <c r="G49" s="57">
        <f ca="1">INDIRECT("'("&amp;$A$4&amp;")'!h47")</f>
        <v>7</v>
      </c>
      <c r="H49" s="10"/>
      <c r="I49" s="10"/>
      <c r="K49" s="12"/>
      <c r="L49" s="12"/>
      <c r="M49" s="12"/>
      <c r="N49" s="12"/>
      <c r="O49" s="12"/>
      <c r="Q49" s="11"/>
      <c r="R49" s="11"/>
      <c r="S49" s="11"/>
      <c r="T49" s="11"/>
      <c r="U49" s="11"/>
      <c r="V49" s="11"/>
      <c r="W49" s="11"/>
      <c r="X49" s="11"/>
      <c r="Y49" s="11"/>
      <c r="Z49" s="11"/>
      <c r="AA49" s="11"/>
    </row>
    <row r="50" spans="1:27" s="5" customFormat="1" ht="15" customHeight="1" x14ac:dyDescent="0.35">
      <c r="A50" s="23" t="s">
        <v>3</v>
      </c>
      <c r="B50" s="14">
        <f ca="1">INDIRECT("'("&amp;$A$4&amp;")'!C48")</f>
        <v>18215</v>
      </c>
      <c r="C50" s="14">
        <f ca="1">INDIRECT("'("&amp;$A$4&amp;")'!d48")</f>
        <v>131354</v>
      </c>
      <c r="D50" s="14">
        <f ca="1">INDIRECT("'("&amp;$A$4&amp;")'!e48")</f>
        <v>5884</v>
      </c>
      <c r="E50" s="14">
        <f ca="1">INDIRECT("'("&amp;$A$4&amp;")'!f48")</f>
        <v>54542.583333333328</v>
      </c>
      <c r="F50" s="14">
        <f ca="1">INDIRECT("'("&amp;$A$4&amp;")'!g48")</f>
        <v>4767</v>
      </c>
      <c r="G50" s="14">
        <f ca="1">INDIRECT("'("&amp;$A$4&amp;")'!h48")</f>
        <v>30361.933333333334</v>
      </c>
      <c r="H50" s="10"/>
      <c r="I50" s="10"/>
      <c r="K50" s="12"/>
      <c r="L50" s="12"/>
      <c r="M50" s="12"/>
      <c r="N50" s="12"/>
      <c r="O50" s="12"/>
      <c r="Q50" s="11"/>
      <c r="R50" s="11"/>
      <c r="S50" s="11"/>
      <c r="T50" s="11"/>
      <c r="U50" s="11"/>
      <c r="V50" s="11"/>
      <c r="W50" s="11"/>
      <c r="X50" s="11"/>
      <c r="Y50" s="11"/>
      <c r="Z50" s="11"/>
      <c r="AA50" s="11"/>
    </row>
    <row r="51" spans="1:27" s="5" customFormat="1" ht="15" customHeight="1" x14ac:dyDescent="0.35">
      <c r="A51" s="4" t="s">
        <v>22</v>
      </c>
      <c r="B51" s="57">
        <f ca="1">INDIRECT("'("&amp;$A$4&amp;")'!C49")</f>
        <v>2753</v>
      </c>
      <c r="C51" s="57">
        <f ca="1">INDIRECT("'("&amp;$A$4&amp;")'!d49")</f>
        <v>15241</v>
      </c>
      <c r="D51" s="57">
        <f ca="1">INDIRECT("'("&amp;$A$4&amp;")'!e49")</f>
        <v>259</v>
      </c>
      <c r="E51" s="57">
        <f ca="1">INDIRECT("'("&amp;$A$4&amp;")'!f49")</f>
        <v>328.58333333333337</v>
      </c>
      <c r="F51" s="57">
        <f ca="1">INDIRECT("'("&amp;$A$4&amp;")'!g49")</f>
        <v>1198</v>
      </c>
      <c r="G51" s="57">
        <f ca="1">INDIRECT("'("&amp;$A$4&amp;")'!h49")</f>
        <v>3740.9333333333334</v>
      </c>
      <c r="H51" s="10"/>
      <c r="I51" s="10"/>
      <c r="K51" s="12"/>
      <c r="L51" s="12"/>
      <c r="M51" s="12"/>
      <c r="N51" s="12"/>
      <c r="O51" s="12"/>
      <c r="Q51" s="11"/>
      <c r="R51" s="11"/>
      <c r="S51" s="11"/>
      <c r="T51" s="11"/>
      <c r="U51" s="11"/>
      <c r="V51" s="11"/>
      <c r="W51" s="11"/>
      <c r="X51" s="11"/>
      <c r="Y51" s="11"/>
      <c r="Z51" s="11"/>
      <c r="AA51" s="11"/>
    </row>
    <row r="52" spans="1:27" s="5" customFormat="1" ht="15" customHeight="1" x14ac:dyDescent="0.35">
      <c r="A52" s="4" t="s">
        <v>33</v>
      </c>
      <c r="B52" s="13">
        <f ca="1">INDIRECT("'("&amp;$A$4&amp;")'!C50")</f>
        <v>5455</v>
      </c>
      <c r="C52" s="13">
        <f ca="1">INDIRECT("'("&amp;$A$4&amp;")'!d50")</f>
        <v>24651</v>
      </c>
      <c r="D52" s="13">
        <f ca="1">INDIRECT("'("&amp;$A$4&amp;")'!e50")</f>
        <v>3029</v>
      </c>
      <c r="E52" s="13">
        <f ca="1">INDIRECT("'("&amp;$A$4&amp;")'!f50")</f>
        <v>18986</v>
      </c>
      <c r="F52" s="13">
        <f ca="1">INDIRECT("'("&amp;$A$4&amp;")'!g50")</f>
        <v>352</v>
      </c>
      <c r="G52" s="13">
        <f ca="1">INDIRECT("'("&amp;$A$4&amp;")'!h50")</f>
        <v>1808</v>
      </c>
      <c r="H52" s="10"/>
      <c r="I52" s="10"/>
      <c r="K52" s="12"/>
      <c r="L52" s="12"/>
      <c r="M52" s="12"/>
      <c r="N52" s="12"/>
      <c r="O52" s="12"/>
      <c r="Q52" s="11"/>
      <c r="R52" s="11"/>
      <c r="S52" s="11"/>
      <c r="T52" s="11"/>
      <c r="U52" s="11"/>
      <c r="V52" s="11"/>
      <c r="W52" s="11"/>
      <c r="X52" s="11"/>
      <c r="Y52" s="11"/>
      <c r="Z52" s="11"/>
      <c r="AA52" s="11"/>
    </row>
    <row r="53" spans="1:27" s="5" customFormat="1" ht="15" customHeight="1" x14ac:dyDescent="0.35">
      <c r="A53" s="4" t="s">
        <v>41</v>
      </c>
      <c r="B53" s="13">
        <f ca="1">INDIRECT("'("&amp;$A$4&amp;")'!C51")</f>
        <v>979</v>
      </c>
      <c r="C53" s="13">
        <f ca="1">INDIRECT("'("&amp;$A$4&amp;")'!d51")</f>
        <v>3632</v>
      </c>
      <c r="D53" s="13">
        <f ca="1">INDIRECT("'("&amp;$A$4&amp;")'!e51")</f>
        <v>566</v>
      </c>
      <c r="E53" s="13">
        <f ca="1">INDIRECT("'("&amp;$A$4&amp;")'!f51")</f>
        <v>2054</v>
      </c>
      <c r="F53" s="13">
        <f ca="1">INDIRECT("'("&amp;$A$4&amp;")'!g51")</f>
        <v>245</v>
      </c>
      <c r="G53" s="13">
        <f ca="1">INDIRECT("'("&amp;$A$4&amp;")'!h51")</f>
        <v>680</v>
      </c>
      <c r="H53" s="10"/>
      <c r="I53" s="10"/>
      <c r="K53" s="12"/>
      <c r="L53" s="12"/>
      <c r="M53" s="12"/>
      <c r="N53" s="12"/>
      <c r="O53" s="12"/>
      <c r="Q53" s="11"/>
      <c r="R53" s="11"/>
      <c r="S53" s="11"/>
      <c r="T53" s="11"/>
      <c r="U53" s="11"/>
      <c r="V53" s="11"/>
      <c r="W53" s="11"/>
      <c r="X53" s="11"/>
      <c r="Y53" s="11"/>
      <c r="Z53" s="11"/>
      <c r="AA53" s="11"/>
    </row>
    <row r="54" spans="1:27" s="5" customFormat="1" ht="15" customHeight="1" x14ac:dyDescent="0.35">
      <c r="A54" s="4" t="s">
        <v>45</v>
      </c>
      <c r="B54" s="13">
        <f ca="1">INDIRECT("'("&amp;$A$4&amp;")'!C52")</f>
        <v>2312</v>
      </c>
      <c r="C54" s="13">
        <f ca="1">INDIRECT("'("&amp;$A$4&amp;")'!d52")</f>
        <v>16794</v>
      </c>
      <c r="D54" s="13">
        <f ca="1">INDIRECT("'("&amp;$A$4&amp;")'!e52")</f>
        <v>321</v>
      </c>
      <c r="E54" s="13">
        <f ca="1">INDIRECT("'("&amp;$A$4&amp;")'!f52")</f>
        <v>1985</v>
      </c>
      <c r="F54" s="13">
        <f ca="1">INDIRECT("'("&amp;$A$4&amp;")'!g52")</f>
        <v>1084</v>
      </c>
      <c r="G54" s="13">
        <f ca="1">INDIRECT("'("&amp;$A$4&amp;")'!h52")</f>
        <v>14162</v>
      </c>
      <c r="H54" s="10"/>
      <c r="I54" s="10"/>
      <c r="K54" s="12"/>
      <c r="L54" s="12"/>
      <c r="M54" s="12"/>
      <c r="N54" s="12"/>
      <c r="O54" s="12"/>
      <c r="Q54" s="11"/>
      <c r="R54" s="11"/>
      <c r="S54" s="11"/>
      <c r="T54" s="11"/>
      <c r="U54" s="11"/>
      <c r="V54" s="11"/>
      <c r="W54" s="11"/>
      <c r="X54" s="11"/>
      <c r="Y54" s="11"/>
      <c r="Z54" s="11"/>
      <c r="AA54" s="11"/>
    </row>
    <row r="55" spans="1:27" s="5" customFormat="1" ht="15" customHeight="1" x14ac:dyDescent="0.35">
      <c r="A55" s="4" t="s">
        <v>47</v>
      </c>
      <c r="B55" s="13">
        <f ca="1">INDIRECT("'("&amp;$A$4&amp;")'!C53")</f>
        <v>2279</v>
      </c>
      <c r="C55" s="13">
        <f ca="1">INDIRECT("'("&amp;$A$4&amp;")'!d53")</f>
        <v>19931</v>
      </c>
      <c r="D55" s="13">
        <f ca="1">INDIRECT("'("&amp;$A$4&amp;")'!e53")</f>
        <v>333</v>
      </c>
      <c r="E55" s="13">
        <f ca="1">INDIRECT("'("&amp;$A$4&amp;")'!f53")</f>
        <v>444</v>
      </c>
      <c r="F55" s="13">
        <f ca="1">INDIRECT("'("&amp;$A$4&amp;")'!g53")</f>
        <v>148</v>
      </c>
      <c r="G55" s="13">
        <f ca="1">INDIRECT("'("&amp;$A$4&amp;")'!h53")</f>
        <v>2430</v>
      </c>
      <c r="H55" s="10"/>
      <c r="I55" s="10"/>
      <c r="K55" s="12"/>
      <c r="L55" s="12"/>
      <c r="M55" s="12"/>
      <c r="N55" s="12"/>
      <c r="O55" s="12"/>
      <c r="Q55" s="11"/>
      <c r="R55" s="11"/>
      <c r="S55" s="11"/>
      <c r="T55" s="11"/>
      <c r="U55" s="11"/>
      <c r="V55" s="11"/>
      <c r="W55" s="11"/>
      <c r="X55" s="11"/>
      <c r="Y55" s="11"/>
      <c r="Z55" s="11"/>
      <c r="AA55" s="11"/>
    </row>
    <row r="56" spans="1:27" s="5" customFormat="1" ht="15" customHeight="1" x14ac:dyDescent="0.35">
      <c r="A56" s="58" t="s">
        <v>49</v>
      </c>
      <c r="B56" s="13">
        <f ca="1">INDIRECT("'("&amp;$A$4&amp;")'!C54")</f>
        <v>2390</v>
      </c>
      <c r="C56" s="13">
        <f ca="1">INDIRECT("'("&amp;$A$4&amp;")'!d54")</f>
        <v>19259</v>
      </c>
      <c r="D56" s="13">
        <f ca="1">INDIRECT("'("&amp;$A$4&amp;")'!e54")</f>
        <v>614</v>
      </c>
      <c r="E56" s="13">
        <f ca="1">INDIRECT("'("&amp;$A$4&amp;")'!f54")</f>
        <v>3639</v>
      </c>
      <c r="F56" s="13">
        <f ca="1">INDIRECT("'("&amp;$A$4&amp;")'!g54")</f>
        <v>455</v>
      </c>
      <c r="G56" s="13">
        <f ca="1">INDIRECT("'("&amp;$A$4&amp;")'!h54")</f>
        <v>2801</v>
      </c>
      <c r="H56" s="10"/>
      <c r="I56" s="10"/>
      <c r="K56" s="12"/>
      <c r="L56" s="12"/>
      <c r="M56" s="12"/>
      <c r="N56" s="12"/>
      <c r="O56" s="12"/>
      <c r="Q56" s="11"/>
      <c r="R56" s="11"/>
      <c r="S56" s="11"/>
      <c r="T56" s="11"/>
      <c r="U56" s="11"/>
      <c r="V56" s="11"/>
      <c r="W56" s="11"/>
      <c r="X56" s="11"/>
      <c r="Y56" s="11"/>
      <c r="Z56" s="11"/>
      <c r="AA56" s="11"/>
    </row>
    <row r="57" spans="1:27" s="5" customFormat="1" ht="15" customHeight="1" thickBot="1" x14ac:dyDescent="0.4">
      <c r="A57" s="15" t="s">
        <v>21</v>
      </c>
      <c r="B57" s="16">
        <f ca="1">INDIRECT("'("&amp;$A$4&amp;")'!C55")</f>
        <v>2047</v>
      </c>
      <c r="C57" s="16">
        <f ca="1">INDIRECT("'("&amp;$A$4&amp;")'!d55")</f>
        <v>31846</v>
      </c>
      <c r="D57" s="16">
        <f ca="1">INDIRECT("'("&amp;$A$4&amp;")'!e55")</f>
        <v>762</v>
      </c>
      <c r="E57" s="16">
        <f ca="1">INDIRECT("'("&amp;$A$4&amp;")'!f55")</f>
        <v>27106</v>
      </c>
      <c r="F57" s="16">
        <f ca="1">INDIRECT("'("&amp;$A$4&amp;")'!g55")</f>
        <v>1285</v>
      </c>
      <c r="G57" s="16">
        <f ca="1">INDIRECT("'("&amp;$A$4&amp;")'!h55")</f>
        <v>4740</v>
      </c>
      <c r="H57" s="10"/>
      <c r="I57" s="10"/>
      <c r="K57" s="12"/>
      <c r="L57" s="12"/>
      <c r="M57" s="12"/>
      <c r="N57" s="12"/>
      <c r="O57" s="12"/>
      <c r="Q57" s="11"/>
      <c r="R57" s="11"/>
      <c r="S57" s="11"/>
      <c r="T57" s="11"/>
      <c r="U57" s="11"/>
      <c r="V57" s="11"/>
      <c r="W57" s="11"/>
      <c r="X57" s="11"/>
      <c r="Y57" s="11"/>
      <c r="Z57" s="11"/>
      <c r="AA57" s="11"/>
    </row>
    <row r="58" spans="1:27" x14ac:dyDescent="0.35">
      <c r="H58" s="10"/>
      <c r="I58" s="10"/>
      <c r="J58" s="10"/>
      <c r="K58" s="10"/>
      <c r="L58" s="10"/>
      <c r="M58" s="10"/>
      <c r="N58" s="10"/>
      <c r="O58" s="10"/>
    </row>
    <row r="59" spans="1:27" s="5" customFormat="1" ht="15" customHeight="1" x14ac:dyDescent="0.35">
      <c r="A59" s="119"/>
      <c r="B59" s="119"/>
      <c r="C59" s="119"/>
      <c r="D59" s="119"/>
      <c r="E59" s="119"/>
      <c r="F59" s="119"/>
      <c r="G59" s="119"/>
      <c r="H59" s="10"/>
      <c r="I59" s="10"/>
      <c r="J59" s="10"/>
      <c r="K59" s="10"/>
      <c r="L59" s="10"/>
      <c r="M59" s="10"/>
      <c r="N59" s="10"/>
      <c r="O59" s="10"/>
    </row>
    <row r="60" spans="1:27" s="5" customFormat="1" ht="15" customHeight="1" x14ac:dyDescent="0.35">
      <c r="A60" s="124"/>
      <c r="B60" s="124"/>
      <c r="C60" s="124"/>
      <c r="D60" s="124"/>
      <c r="E60" s="124"/>
      <c r="F60" s="124"/>
      <c r="G60" s="124"/>
      <c r="H60" s="10"/>
      <c r="I60" s="10"/>
      <c r="J60" s="10"/>
      <c r="K60" s="10"/>
      <c r="L60" s="10"/>
      <c r="M60" s="10"/>
      <c r="N60" s="10"/>
      <c r="O60" s="10"/>
    </row>
    <row r="61" spans="1:27" s="5" customFormat="1" ht="15" customHeight="1" x14ac:dyDescent="0.35">
      <c r="A61" s="17"/>
      <c r="B61" s="4"/>
      <c r="C61" s="4"/>
      <c r="D61" s="4"/>
      <c r="E61" s="4"/>
      <c r="F61" s="4"/>
      <c r="G61" s="4"/>
      <c r="H61" s="10"/>
      <c r="I61" s="10"/>
      <c r="J61" s="10"/>
      <c r="K61" s="10"/>
      <c r="L61" s="10"/>
      <c r="M61" s="10"/>
      <c r="N61" s="10"/>
      <c r="O61" s="10"/>
    </row>
    <row r="62" spans="1:27" s="5" customFormat="1" ht="31.5" customHeight="1" x14ac:dyDescent="0.35">
      <c r="A62" s="119"/>
      <c r="B62" s="119"/>
      <c r="C62" s="119"/>
      <c r="D62" s="119"/>
      <c r="E62" s="119"/>
      <c r="F62" s="119"/>
      <c r="G62" s="119"/>
      <c r="H62" s="10"/>
      <c r="I62" s="10"/>
      <c r="J62" s="10"/>
      <c r="K62" s="10"/>
      <c r="L62" s="10"/>
      <c r="M62" s="10"/>
      <c r="N62" s="10"/>
      <c r="O62" s="10"/>
    </row>
    <row r="63" spans="1:27" s="5" customFormat="1" ht="15" customHeight="1" x14ac:dyDescent="0.35">
      <c r="A63" s="29"/>
      <c r="B63" s="29"/>
      <c r="C63" s="29"/>
      <c r="D63" s="29"/>
      <c r="E63" s="29"/>
      <c r="F63" s="29"/>
      <c r="G63" s="29"/>
      <c r="H63" s="10"/>
      <c r="I63" s="10"/>
      <c r="J63" s="10"/>
      <c r="K63" s="10"/>
      <c r="L63" s="10"/>
      <c r="M63" s="10"/>
      <c r="N63" s="10"/>
      <c r="O63" s="10"/>
    </row>
    <row r="64" spans="1:27" s="5" customFormat="1" ht="15" customHeight="1" x14ac:dyDescent="0.35">
      <c r="A64" s="4"/>
      <c r="B64" s="2"/>
      <c r="C64" s="2"/>
      <c r="D64" s="2"/>
      <c r="E64" s="2"/>
      <c r="F64" s="2"/>
      <c r="G64" s="2"/>
    </row>
    <row r="65" spans="1:7" s="5" customFormat="1" ht="15" customHeight="1" x14ac:dyDescent="0.35">
      <c r="A65" s="18"/>
      <c r="B65" s="2"/>
      <c r="C65" s="2"/>
      <c r="D65" s="2"/>
      <c r="E65" s="2"/>
      <c r="F65" s="2"/>
      <c r="G65" s="2"/>
    </row>
    <row r="66" spans="1:7" s="5" customFormat="1" ht="15" customHeight="1" x14ac:dyDescent="0.35">
      <c r="A66" s="18"/>
      <c r="B66" s="2"/>
      <c r="C66" s="2"/>
      <c r="D66" s="2"/>
      <c r="E66" s="2"/>
      <c r="F66" s="2"/>
      <c r="G66" s="2"/>
    </row>
    <row r="67" spans="1:7" s="5" customFormat="1" x14ac:dyDescent="0.35">
      <c r="A67" s="119"/>
      <c r="B67" s="119"/>
      <c r="C67" s="119"/>
      <c r="D67" s="119"/>
      <c r="E67" s="119"/>
      <c r="F67" s="119"/>
      <c r="G67" s="119"/>
    </row>
    <row r="69" spans="1:7" s="5" customFormat="1" x14ac:dyDescent="0.35">
      <c r="A69" s="4"/>
      <c r="B69" s="4"/>
      <c r="C69" s="4"/>
      <c r="D69" s="4"/>
      <c r="E69" s="4"/>
      <c r="F69" s="19"/>
      <c r="G69" s="19"/>
    </row>
    <row r="70" spans="1:7" s="5" customFormat="1" x14ac:dyDescent="0.35">
      <c r="A70" s="18"/>
      <c r="B70" s="4"/>
      <c r="C70" s="4"/>
      <c r="D70" s="4"/>
      <c r="E70" s="4"/>
      <c r="F70" s="19"/>
      <c r="G70" s="19"/>
    </row>
  </sheetData>
  <mergeCells count="10">
    <mergeCell ref="A1:G1"/>
    <mergeCell ref="B6:C6"/>
    <mergeCell ref="D6:E6"/>
    <mergeCell ref="A59:G59"/>
    <mergeCell ref="A60:G60"/>
    <mergeCell ref="A62:G62"/>
    <mergeCell ref="A67:G67"/>
    <mergeCell ref="A4:E4"/>
    <mergeCell ref="B5:E5"/>
    <mergeCell ref="F6:G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100"/>
  <sheetViews>
    <sheetView tabSelected="1" zoomScaleNormal="100" workbookViewId="0">
      <pane ySplit="8" topLeftCell="A9" activePane="bottomLeft" state="frozen"/>
      <selection pane="bottomLeft" sqref="A1:I1"/>
    </sheetView>
  </sheetViews>
  <sheetFormatPr defaultColWidth="9.08984375" defaultRowHeight="14.5" x14ac:dyDescent="0.35"/>
  <cols>
    <col min="1" max="1" width="50.6328125" style="4" customWidth="1"/>
    <col min="2" max="3" width="14.6328125" style="4" customWidth="1"/>
    <col min="4" max="4" width="3.6328125" style="4" customWidth="1"/>
    <col min="5" max="6" width="12.6328125" style="4" customWidth="1"/>
    <col min="7" max="7" width="3.6328125" style="4" customWidth="1"/>
    <col min="8" max="9" width="12.6328125" style="4" customWidth="1"/>
    <col min="10" max="10" width="9.08984375" style="4" customWidth="1"/>
    <col min="11" max="11" width="7.6328125" style="4" hidden="1" customWidth="1"/>
    <col min="12" max="12" width="9.08984375" style="4" customWidth="1"/>
    <col min="13" max="13" width="10" style="4" bestFit="1" customWidth="1"/>
    <col min="14" max="14" width="11.90625" style="4" customWidth="1"/>
    <col min="15" max="19" width="9.08984375" style="4"/>
    <col min="20" max="20" width="11" style="4" customWidth="1"/>
    <col min="21" max="16384" width="9.08984375" style="4"/>
  </cols>
  <sheetData>
    <row r="1" spans="1:33" s="3" customFormat="1" ht="23.25" customHeight="1" x14ac:dyDescent="0.5">
      <c r="A1" s="125" t="s">
        <v>129</v>
      </c>
      <c r="B1" s="125"/>
      <c r="C1" s="125"/>
      <c r="D1" s="125"/>
      <c r="E1" s="125"/>
      <c r="F1" s="125"/>
      <c r="G1" s="125"/>
      <c r="H1" s="125"/>
      <c r="I1" s="125"/>
      <c r="J1" s="1"/>
      <c r="K1" s="2"/>
      <c r="L1" s="2"/>
    </row>
    <row r="2" spans="1:33" s="5" customFormat="1" ht="15" customHeight="1" x14ac:dyDescent="0.35">
      <c r="A2" s="4"/>
      <c r="B2" s="4"/>
      <c r="C2" s="4"/>
      <c r="D2" s="4"/>
      <c r="E2" s="4"/>
      <c r="F2" s="4"/>
      <c r="G2" s="4"/>
      <c r="H2" s="4"/>
      <c r="I2" s="4"/>
      <c r="J2" s="4"/>
      <c r="K2" s="4"/>
      <c r="L2" s="4"/>
    </row>
    <row r="3" spans="1:33" s="5" customFormat="1" ht="15" customHeight="1" x14ac:dyDescent="0.35">
      <c r="A3" s="21" t="s">
        <v>59</v>
      </c>
      <c r="B3" s="22"/>
      <c r="C3" s="22"/>
      <c r="D3" s="22"/>
      <c r="E3" s="22"/>
      <c r="F3" s="22"/>
      <c r="G3" s="22"/>
      <c r="H3" s="4"/>
      <c r="I3" s="4"/>
      <c r="J3" s="4"/>
      <c r="K3" s="4"/>
      <c r="L3" s="4"/>
    </row>
    <row r="4" spans="1:33" s="5" customFormat="1" ht="15" customHeight="1" x14ac:dyDescent="0.35">
      <c r="A4" s="120" t="s">
        <v>150</v>
      </c>
      <c r="B4" s="120"/>
      <c r="C4" s="120"/>
      <c r="D4" s="120"/>
      <c r="E4" s="120"/>
      <c r="F4" s="120"/>
      <c r="G4" s="4"/>
      <c r="H4" s="4"/>
      <c r="I4" s="4"/>
      <c r="J4" s="4"/>
      <c r="K4" s="4"/>
      <c r="L4" s="4"/>
      <c r="M4" s="4"/>
    </row>
    <row r="5" spans="1:33" s="5" customFormat="1" ht="15" thickBot="1" x14ac:dyDescent="0.4">
      <c r="A5" s="4"/>
      <c r="B5" s="121"/>
      <c r="C5" s="121"/>
      <c r="D5" s="121"/>
      <c r="E5" s="121"/>
      <c r="F5" s="121"/>
      <c r="G5" s="33"/>
      <c r="H5" s="33"/>
      <c r="I5" s="33"/>
      <c r="J5" s="4"/>
      <c r="K5" s="6"/>
      <c r="L5" s="6"/>
      <c r="N5" s="6"/>
      <c r="O5" s="6"/>
      <c r="Q5" s="6"/>
      <c r="R5" s="6"/>
      <c r="S5" s="6"/>
      <c r="T5" s="6"/>
      <c r="U5" s="6"/>
      <c r="X5" s="7"/>
    </row>
    <row r="6" spans="1:33" s="3" customFormat="1" ht="65.150000000000006" customHeight="1" thickBot="1" x14ac:dyDescent="0.4">
      <c r="A6" s="2"/>
      <c r="B6" s="122" t="s">
        <v>120</v>
      </c>
      <c r="C6" s="122"/>
      <c r="D6" s="54"/>
      <c r="E6" s="122" t="s">
        <v>121</v>
      </c>
      <c r="F6" s="122"/>
      <c r="G6" s="54"/>
      <c r="H6" s="122" t="s">
        <v>137</v>
      </c>
      <c r="I6" s="122"/>
      <c r="J6" s="2"/>
      <c r="K6" s="55"/>
      <c r="L6" s="55"/>
      <c r="N6" s="55"/>
      <c r="O6" s="55"/>
      <c r="Q6" s="55"/>
      <c r="R6" s="55"/>
      <c r="S6" s="55"/>
      <c r="T6" s="55"/>
      <c r="U6" s="55"/>
    </row>
    <row r="7" spans="1:33" s="9" customFormat="1" ht="35.15" customHeight="1" thickBot="1" x14ac:dyDescent="0.4">
      <c r="A7" s="8" t="s">
        <v>58</v>
      </c>
      <c r="B7" s="56" t="s">
        <v>70</v>
      </c>
      <c r="C7" s="56" t="s">
        <v>90</v>
      </c>
      <c r="D7" s="56"/>
      <c r="E7" s="56" t="s">
        <v>70</v>
      </c>
      <c r="F7" s="56" t="s">
        <v>90</v>
      </c>
      <c r="G7" s="56"/>
      <c r="H7" s="56" t="s">
        <v>70</v>
      </c>
      <c r="I7" s="56" t="s">
        <v>90</v>
      </c>
      <c r="J7" s="60"/>
      <c r="M7" s="4"/>
    </row>
    <row r="8" spans="1:33" s="5" customFormat="1" ht="15" customHeight="1" x14ac:dyDescent="0.35">
      <c r="A8" s="24" t="s">
        <v>0</v>
      </c>
      <c r="B8" s="14">
        <f ca="1">IF('FIRE1203 raw'!B8="N/A","N/A",IF('FIRE1203 raw'!B8="..","..",ROUND('FIRE1203 raw'!B8,0)))</f>
        <v>140560</v>
      </c>
      <c r="C8" s="14">
        <f ca="1">IF('FIRE1203 raw'!C8="N/A","N/A",IF('FIRE1203 raw'!C8="..","..",ROUND('FIRE1203 raw'!C8,0)))</f>
        <v>625837</v>
      </c>
      <c r="D8" s="14"/>
      <c r="E8" s="14">
        <f ca="1">IF('FIRE1203 raw'!D8="N/A","N/A",IF('FIRE1203 raw'!D8="..","..",ROUND('FIRE1203 raw'!D8,0)))</f>
        <v>23532</v>
      </c>
      <c r="F8" s="14">
        <f ca="1">IF('FIRE1203 raw'!E8="N/A","N/A",IF('FIRE1203 raw'!E8="..","..",ROUND('FIRE1203 raw'!E8,0)))</f>
        <v>175498</v>
      </c>
      <c r="G8" s="14"/>
      <c r="H8" s="14">
        <f ca="1">IF('FIRE1203 raw'!F8="N/A","N/A",IF('FIRE1203 raw'!F8="..","..",ROUND('FIRE1203 raw'!F8,0)))</f>
        <v>24896</v>
      </c>
      <c r="I8" s="14">
        <f ca="1">IF('FIRE1203 raw'!G8="N/A","N/A",IF('FIRE1203 raw'!G8="..","..",ROUND('FIRE1203 raw'!G8,0)))</f>
        <v>148728</v>
      </c>
      <c r="J8" s="4"/>
      <c r="K8" s="10"/>
      <c r="L8" s="10"/>
      <c r="N8" s="10"/>
      <c r="O8" s="10"/>
      <c r="Q8" s="12"/>
      <c r="R8" s="12"/>
      <c r="S8" s="12"/>
      <c r="T8" s="12"/>
      <c r="U8" s="12"/>
      <c r="W8" s="11"/>
      <c r="X8" s="11"/>
      <c r="Y8" s="11"/>
      <c r="Z8" s="11"/>
      <c r="AA8" s="11"/>
      <c r="AB8" s="11"/>
      <c r="AC8" s="11"/>
      <c r="AD8" s="11"/>
      <c r="AE8" s="11"/>
      <c r="AF8" s="11"/>
      <c r="AG8" s="11"/>
    </row>
    <row r="9" spans="1:33" s="5" customFormat="1" ht="15" customHeight="1" x14ac:dyDescent="0.35">
      <c r="A9" s="25" t="s">
        <v>4</v>
      </c>
      <c r="B9" s="14">
        <f ca="1">IF('FIRE1203 raw'!B9="N/A","N/A",IF('FIRE1203 raw'!B9="..","..",ROUND('FIRE1203 raw'!B9,0)))</f>
        <v>122345</v>
      </c>
      <c r="C9" s="14">
        <f ca="1">IF('FIRE1203 raw'!C9="N/A","N/A",IF('FIRE1203 raw'!C9="..","..",ROUND('FIRE1203 raw'!C9,0)))</f>
        <v>494483</v>
      </c>
      <c r="D9" s="14"/>
      <c r="E9" s="14">
        <f ca="1">IF('FIRE1203 raw'!D9="N/A","N/A",IF('FIRE1203 raw'!D9="..","..",ROUND('FIRE1203 raw'!D9,0)))</f>
        <v>17648</v>
      </c>
      <c r="F9" s="14">
        <f ca="1">IF('FIRE1203 raw'!E9="N/A","N/A",IF('FIRE1203 raw'!E9="..","..",ROUND('FIRE1203 raw'!E9,0)))</f>
        <v>120956</v>
      </c>
      <c r="G9" s="14"/>
      <c r="H9" s="14">
        <f ca="1">IF('FIRE1203 raw'!F9="N/A","N/A",IF('FIRE1203 raw'!F9="..","..",ROUND('FIRE1203 raw'!F9,0)))</f>
        <v>20129</v>
      </c>
      <c r="I9" s="14">
        <f ca="1">IF('FIRE1203 raw'!G9="N/A","N/A",IF('FIRE1203 raw'!G9="..","..",ROUND('FIRE1203 raw'!G9,0)))</f>
        <v>118366</v>
      </c>
      <c r="J9" s="4"/>
      <c r="K9" s="10"/>
      <c r="L9" s="10"/>
      <c r="N9" s="10"/>
      <c r="O9" s="10"/>
      <c r="Q9" s="12"/>
      <c r="R9" s="12"/>
      <c r="S9" s="12"/>
      <c r="T9" s="12"/>
      <c r="U9" s="12"/>
      <c r="W9" s="11"/>
      <c r="X9" s="11"/>
      <c r="Y9" s="11"/>
      <c r="Z9" s="11"/>
      <c r="AA9" s="11"/>
      <c r="AB9" s="11"/>
      <c r="AC9" s="11"/>
      <c r="AD9" s="11"/>
      <c r="AE9" s="11"/>
      <c r="AF9" s="11"/>
      <c r="AG9" s="11"/>
    </row>
    <row r="10" spans="1:33" s="5" customFormat="1" ht="15" customHeight="1" x14ac:dyDescent="0.35">
      <c r="A10" s="4" t="s">
        <v>5</v>
      </c>
      <c r="B10" s="57">
        <f ca="1">IF('FIRE1203 raw'!B10="N/A","N/A",IF('FIRE1203 raw'!B10="..","..",ROUND('FIRE1203 raw'!B10,0)))</f>
        <v>15611</v>
      </c>
      <c r="C10" s="57">
        <f ca="1">IF('FIRE1203 raw'!C10="N/A","N/A",IF('FIRE1203 raw'!C10="..","..",ROUND('FIRE1203 raw'!C10,0)))</f>
        <v>3317</v>
      </c>
      <c r="D10" s="57"/>
      <c r="E10" s="57">
        <f ca="1">IF('FIRE1203 raw'!D10="N/A","N/A",IF('FIRE1203 raw'!D10="..","..",ROUND('FIRE1203 raw'!D10,0)))</f>
        <v>207</v>
      </c>
      <c r="F10" s="57">
        <f ca="1">IF('FIRE1203 raw'!E10="N/A","N/A",IF('FIRE1203 raw'!E10="..","..",ROUND('FIRE1203 raw'!E10,0)))</f>
        <v>1020</v>
      </c>
      <c r="G10" s="57"/>
      <c r="H10" s="57">
        <f ca="1">IF('FIRE1203 raw'!F10="N/A","N/A",IF('FIRE1203 raw'!F10="..","..",ROUND('FIRE1203 raw'!F10,0)))</f>
        <v>247</v>
      </c>
      <c r="I10" s="57">
        <f ca="1">IF('FIRE1203 raw'!G10="N/A","N/A",IF('FIRE1203 raw'!G10="..","..",ROUND('FIRE1203 raw'!G10,0)))</f>
        <v>459</v>
      </c>
      <c r="J10" s="4"/>
      <c r="K10" s="10"/>
      <c r="L10" s="10"/>
      <c r="N10" s="10"/>
      <c r="O10" s="10"/>
      <c r="Q10" s="12"/>
      <c r="R10" s="12"/>
      <c r="S10" s="12"/>
      <c r="T10" s="12"/>
      <c r="U10" s="12"/>
      <c r="W10" s="11"/>
      <c r="X10" s="11"/>
      <c r="Y10" s="11"/>
      <c r="Z10" s="11"/>
      <c r="AA10" s="11"/>
      <c r="AB10" s="11"/>
      <c r="AC10" s="11"/>
      <c r="AD10" s="11"/>
      <c r="AE10" s="11"/>
      <c r="AF10" s="11"/>
      <c r="AG10" s="11"/>
    </row>
    <row r="11" spans="1:33" s="5" customFormat="1" ht="15" customHeight="1" x14ac:dyDescent="0.35">
      <c r="A11" s="4" t="s">
        <v>6</v>
      </c>
      <c r="B11" s="57">
        <f ca="1">IF('FIRE1203 raw'!B11="N/A","N/A",IF('FIRE1203 raw'!B11="..","..",ROUND('FIRE1203 raw'!B11,0)))</f>
        <v>1099</v>
      </c>
      <c r="C11" s="57">
        <f ca="1">IF('FIRE1203 raw'!C11="N/A","N/A",IF('FIRE1203 raw'!C11="..","..",ROUND('FIRE1203 raw'!C11,0)))</f>
        <v>9053</v>
      </c>
      <c r="D11" s="57"/>
      <c r="E11" s="57">
        <f ca="1">IF('FIRE1203 raw'!D11="N/A","N/A",IF('FIRE1203 raw'!D11="..","..",ROUND('FIRE1203 raw'!D11,0)))</f>
        <v>114</v>
      </c>
      <c r="F11" s="57">
        <f ca="1">IF('FIRE1203 raw'!E11="N/A","N/A",IF('FIRE1203 raw'!E11="..","..",ROUND('FIRE1203 raw'!E11,0)))</f>
        <v>802</v>
      </c>
      <c r="G11" s="57"/>
      <c r="H11" s="57">
        <f ca="1">IF('FIRE1203 raw'!F11="N/A","N/A",IF('FIRE1203 raw'!F11="..","..",ROUND('FIRE1203 raw'!F11,0)))</f>
        <v>244</v>
      </c>
      <c r="I11" s="57">
        <f ca="1">IF('FIRE1203 raw'!G11="N/A","N/A",IF('FIRE1203 raw'!G11="..","..",ROUND('FIRE1203 raw'!G11,0)))</f>
        <v>4316</v>
      </c>
      <c r="J11" s="4"/>
      <c r="K11" s="10"/>
      <c r="L11" s="10"/>
      <c r="N11" s="10"/>
      <c r="O11" s="10"/>
      <c r="Q11" s="12"/>
      <c r="R11" s="12"/>
      <c r="S11" s="12"/>
      <c r="T11" s="12"/>
      <c r="U11" s="12"/>
      <c r="W11" s="11"/>
      <c r="X11" s="11"/>
      <c r="Y11" s="11"/>
      <c r="Z11" s="11"/>
      <c r="AA11" s="11"/>
      <c r="AB11" s="11"/>
      <c r="AC11" s="11"/>
      <c r="AD11" s="11"/>
      <c r="AE11" s="11"/>
      <c r="AF11" s="11"/>
      <c r="AG11" s="11"/>
    </row>
    <row r="12" spans="1:33" s="5" customFormat="1" ht="15" customHeight="1" x14ac:dyDescent="0.35">
      <c r="A12" s="4" t="s">
        <v>7</v>
      </c>
      <c r="B12" s="57">
        <f ca="1">IF('FIRE1203 raw'!B12="N/A","N/A",IF('FIRE1203 raw'!B12="..","..",ROUND('FIRE1203 raw'!B12,0)))</f>
        <v>304</v>
      </c>
      <c r="C12" s="57">
        <f ca="1">IF('FIRE1203 raw'!C12="N/A","N/A",IF('FIRE1203 raw'!C12="..","..",ROUND('FIRE1203 raw'!C12,0)))</f>
        <v>2110</v>
      </c>
      <c r="D12" s="57"/>
      <c r="E12" s="57">
        <f ca="1">IF('FIRE1203 raw'!D12="N/A","N/A",IF('FIRE1203 raw'!D12="..","..",ROUND('FIRE1203 raw'!D12,0)))</f>
        <v>24</v>
      </c>
      <c r="F12" s="57">
        <f ca="1">IF('FIRE1203 raw'!E12="N/A","N/A",IF('FIRE1203 raw'!E12="..","..",ROUND('FIRE1203 raw'!E12,0)))</f>
        <v>596</v>
      </c>
      <c r="G12" s="57"/>
      <c r="H12" s="57">
        <f ca="1">IF('FIRE1203 raw'!F12="N/A","N/A",IF('FIRE1203 raw'!F12="..","..",ROUND('FIRE1203 raw'!F12,0)))</f>
        <v>180</v>
      </c>
      <c r="I12" s="57">
        <f ca="1">IF('FIRE1203 raw'!G12="N/A","N/A",IF('FIRE1203 raw'!G12="..","..",ROUND('FIRE1203 raw'!G12,0)))</f>
        <v>1428</v>
      </c>
      <c r="J12" s="4"/>
      <c r="K12" s="10"/>
      <c r="L12" s="10"/>
      <c r="N12" s="10"/>
      <c r="O12" s="10"/>
      <c r="Q12" s="12"/>
      <c r="R12" s="12"/>
      <c r="S12" s="12"/>
      <c r="T12" s="12"/>
      <c r="U12" s="12"/>
      <c r="W12" s="11"/>
      <c r="X12" s="11"/>
      <c r="Y12" s="11"/>
      <c r="Z12" s="11"/>
      <c r="AA12" s="11"/>
      <c r="AB12" s="11"/>
      <c r="AC12" s="11"/>
      <c r="AD12" s="11"/>
      <c r="AE12" s="11"/>
      <c r="AF12" s="11"/>
      <c r="AG12" s="11"/>
    </row>
    <row r="13" spans="1:33" s="5" customFormat="1" ht="15" customHeight="1" x14ac:dyDescent="0.35">
      <c r="A13" s="4" t="s">
        <v>8</v>
      </c>
      <c r="B13" s="57">
        <f ca="1">IF('FIRE1203 raw'!B13="N/A","N/A",IF('FIRE1203 raw'!B13="..","..",ROUND('FIRE1203 raw'!B13,0)))</f>
        <v>988</v>
      </c>
      <c r="C13" s="57">
        <f ca="1">IF('FIRE1203 raw'!C13="N/A","N/A",IF('FIRE1203 raw'!C13="..","..",ROUND('FIRE1203 raw'!C13,0)))</f>
        <v>5937</v>
      </c>
      <c r="D13" s="57"/>
      <c r="E13" s="57">
        <f ca="1">IF('FIRE1203 raw'!D13="N/A","N/A",IF('FIRE1203 raw'!D13="..","..",ROUND('FIRE1203 raw'!D13,0)))</f>
        <v>59</v>
      </c>
      <c r="F13" s="57">
        <f ca="1">IF('FIRE1203 raw'!E13="N/A","N/A",IF('FIRE1203 raw'!E13="..","..",ROUND('FIRE1203 raw'!E13,0)))</f>
        <v>360</v>
      </c>
      <c r="G13" s="57"/>
      <c r="H13" s="57">
        <f ca="1">IF('FIRE1203 raw'!F13="N/A","N/A",IF('FIRE1203 raw'!F13="..","..",ROUND('FIRE1203 raw'!F13,0)))</f>
        <v>42</v>
      </c>
      <c r="I13" s="57">
        <f ca="1">IF('FIRE1203 raw'!G13="N/A","N/A",IF('FIRE1203 raw'!G13="..","..",ROUND('FIRE1203 raw'!G13,0)))</f>
        <v>801</v>
      </c>
      <c r="J13" s="4"/>
      <c r="K13" s="10"/>
      <c r="L13" s="10"/>
      <c r="N13" s="10"/>
      <c r="O13" s="10"/>
      <c r="Q13" s="12"/>
      <c r="R13" s="12"/>
      <c r="S13" s="12"/>
      <c r="T13" s="12"/>
      <c r="U13" s="12"/>
      <c r="W13" s="11"/>
      <c r="X13" s="11"/>
      <c r="Y13" s="11"/>
      <c r="Z13" s="11"/>
      <c r="AA13" s="11"/>
      <c r="AB13" s="11"/>
      <c r="AC13" s="11"/>
      <c r="AD13" s="11"/>
      <c r="AE13" s="11"/>
      <c r="AF13" s="11"/>
      <c r="AG13" s="11"/>
    </row>
    <row r="14" spans="1:33" s="5" customFormat="1" ht="15" customHeight="1" x14ac:dyDescent="0.35">
      <c r="A14" s="4" t="s">
        <v>9</v>
      </c>
      <c r="B14" s="57">
        <f ca="1">IF('FIRE1203 raw'!B14="N/A","N/A",IF('FIRE1203 raw'!B14="..","..",ROUND('FIRE1203 raw'!B14,0)))</f>
        <v>513</v>
      </c>
      <c r="C14" s="57">
        <f ca="1">IF('FIRE1203 raw'!C14="N/A","N/A",IF('FIRE1203 raw'!C14="..","..",ROUND('FIRE1203 raw'!C14,0)))</f>
        <v>2041</v>
      </c>
      <c r="D14" s="57"/>
      <c r="E14" s="57">
        <f ca="1">IF('FIRE1203 raw'!D14="N/A","N/A",IF('FIRE1203 raw'!D14="..","..",ROUND('FIRE1203 raw'!D14,0)))</f>
        <v>114</v>
      </c>
      <c r="F14" s="57">
        <f ca="1">IF('FIRE1203 raw'!E14="N/A","N/A",IF('FIRE1203 raw'!E14="..","..",ROUND('FIRE1203 raw'!E14,0)))</f>
        <v>853</v>
      </c>
      <c r="G14" s="57"/>
      <c r="H14" s="57">
        <f ca="1">IF('FIRE1203 raw'!F14="N/A","N/A",IF('FIRE1203 raw'!F14="..","..",ROUND('FIRE1203 raw'!F14,0)))</f>
        <v>207</v>
      </c>
      <c r="I14" s="57">
        <f ca="1">IF('FIRE1203 raw'!G14="N/A","N/A",IF('FIRE1203 raw'!G14="..","..",ROUND('FIRE1203 raw'!G14,0)))</f>
        <v>803</v>
      </c>
      <c r="J14" s="4"/>
      <c r="K14" s="10"/>
      <c r="L14" s="10"/>
      <c r="N14" s="10"/>
      <c r="O14" s="10"/>
      <c r="Q14" s="12"/>
      <c r="R14" s="12"/>
      <c r="S14" s="12"/>
      <c r="T14" s="12"/>
      <c r="U14" s="12"/>
      <c r="W14" s="11"/>
      <c r="X14" s="11"/>
      <c r="Y14" s="11"/>
      <c r="Z14" s="11"/>
      <c r="AA14" s="11"/>
      <c r="AB14" s="11"/>
      <c r="AC14" s="11"/>
      <c r="AD14" s="11"/>
      <c r="AE14" s="11"/>
      <c r="AF14" s="11"/>
      <c r="AG14" s="11"/>
    </row>
    <row r="15" spans="1:33" s="5" customFormat="1" ht="15" customHeight="1" x14ac:dyDescent="0.35">
      <c r="A15" s="4" t="s">
        <v>10</v>
      </c>
      <c r="B15" s="57">
        <f ca="1">IF('FIRE1203 raw'!B15="N/A","N/A",IF('FIRE1203 raw'!B15="..","..",ROUND('FIRE1203 raw'!B15,0)))</f>
        <v>2528</v>
      </c>
      <c r="C15" s="57">
        <f ca="1">IF('FIRE1203 raw'!C15="N/A","N/A",IF('FIRE1203 raw'!C15="..","..",ROUND('FIRE1203 raw'!C15,0)))</f>
        <v>19276</v>
      </c>
      <c r="D15" s="57"/>
      <c r="E15" s="57">
        <f ca="1">IF('FIRE1203 raw'!D15="N/A","N/A",IF('FIRE1203 raw'!D15="..","..",ROUND('FIRE1203 raw'!D15,0)))</f>
        <v>1058</v>
      </c>
      <c r="F15" s="57">
        <f ca="1">IF('FIRE1203 raw'!E15="N/A","N/A",IF('FIRE1203 raw'!E15="..","..",ROUND('FIRE1203 raw'!E15,0)))</f>
        <v>3333</v>
      </c>
      <c r="G15" s="57"/>
      <c r="H15" s="57">
        <f ca="1">IF('FIRE1203 raw'!F15="N/A","N/A",IF('FIRE1203 raw'!F15="..","..",ROUND('FIRE1203 raw'!F15,0)))</f>
        <v>534</v>
      </c>
      <c r="I15" s="57">
        <f ca="1">IF('FIRE1203 raw'!G15="N/A","N/A",IF('FIRE1203 raw'!G15="..","..",ROUND('FIRE1203 raw'!G15,0)))</f>
        <v>10553</v>
      </c>
      <c r="J15" s="4"/>
      <c r="K15" s="10"/>
      <c r="L15" s="10"/>
      <c r="N15" s="10"/>
      <c r="O15" s="10"/>
      <c r="Q15" s="12"/>
      <c r="R15" s="12"/>
      <c r="S15" s="12"/>
      <c r="T15" s="12"/>
      <c r="U15" s="12"/>
      <c r="W15" s="11"/>
      <c r="X15" s="11"/>
      <c r="Y15" s="11"/>
      <c r="Z15" s="11"/>
      <c r="AA15" s="11"/>
      <c r="AB15" s="11"/>
      <c r="AC15" s="11"/>
      <c r="AD15" s="11"/>
      <c r="AE15" s="11"/>
      <c r="AF15" s="11"/>
      <c r="AG15" s="11"/>
    </row>
    <row r="16" spans="1:33" s="5" customFormat="1" ht="15" customHeight="1" x14ac:dyDescent="0.35">
      <c r="A16" s="4" t="s">
        <v>11</v>
      </c>
      <c r="B16" s="57">
        <f ca="1">IF('FIRE1203 raw'!B16="N/A","N/A",IF('FIRE1203 raw'!B16="..","..",ROUND('FIRE1203 raw'!B16,0)))</f>
        <v>1780</v>
      </c>
      <c r="C16" s="57">
        <f ca="1">IF('FIRE1203 raw'!C16="N/A","N/A",IF('FIRE1203 raw'!C16="..","..",ROUND('FIRE1203 raw'!C16,0)))</f>
        <v>15470</v>
      </c>
      <c r="D16" s="57"/>
      <c r="E16" s="57">
        <f ca="1">IF('FIRE1203 raw'!D16="N/A","N/A",IF('FIRE1203 raw'!D16="..","..",ROUND('FIRE1203 raw'!D16,0)))</f>
        <v>430</v>
      </c>
      <c r="F16" s="57">
        <f ca="1">IF('FIRE1203 raw'!E16="N/A","N/A",IF('FIRE1203 raw'!E16="..","..",ROUND('FIRE1203 raw'!E16,0)))</f>
        <v>3520</v>
      </c>
      <c r="G16" s="57"/>
      <c r="H16" s="57">
        <f ca="1">IF('FIRE1203 raw'!F16="N/A","N/A",IF('FIRE1203 raw'!F16="..","..",ROUND('FIRE1203 raw'!F16,0)))</f>
        <v>1350</v>
      </c>
      <c r="I16" s="57">
        <f ca="1">IF('FIRE1203 raw'!G16="N/A","N/A",IF('FIRE1203 raw'!G16="..","..",ROUND('FIRE1203 raw'!G16,0)))</f>
        <v>11950</v>
      </c>
      <c r="J16" s="4"/>
      <c r="K16" s="10"/>
      <c r="L16" s="10"/>
      <c r="N16" s="10"/>
      <c r="O16" s="10"/>
      <c r="Q16" s="12"/>
      <c r="R16" s="12"/>
      <c r="S16" s="12"/>
      <c r="T16" s="12"/>
      <c r="U16" s="12"/>
      <c r="W16" s="11"/>
      <c r="X16" s="11"/>
      <c r="Y16" s="11"/>
      <c r="Z16" s="11"/>
      <c r="AA16" s="11"/>
      <c r="AB16" s="11"/>
      <c r="AC16" s="11"/>
      <c r="AD16" s="11"/>
      <c r="AE16" s="11"/>
      <c r="AF16" s="11"/>
      <c r="AG16" s="11"/>
    </row>
    <row r="17" spans="1:33" s="5" customFormat="1" ht="15" customHeight="1" x14ac:dyDescent="0.35">
      <c r="A17" s="4" t="s">
        <v>12</v>
      </c>
      <c r="B17" s="57">
        <f ca="1">IF('FIRE1203 raw'!B17="N/A","N/A",IF('FIRE1203 raw'!B17="..","..",ROUND('FIRE1203 raw'!B17,0)))</f>
        <v>566</v>
      </c>
      <c r="C17" s="57">
        <f ca="1">IF('FIRE1203 raw'!C17="N/A","N/A",IF('FIRE1203 raw'!C17="..","..",ROUND('FIRE1203 raw'!C17,0)))</f>
        <v>4758</v>
      </c>
      <c r="D17" s="57"/>
      <c r="E17" s="57">
        <f ca="1">IF('FIRE1203 raw'!D17="N/A","N/A",IF('FIRE1203 raw'!D17="..","..",ROUND('FIRE1203 raw'!D17,0)))</f>
        <v>20</v>
      </c>
      <c r="F17" s="57">
        <f ca="1">IF('FIRE1203 raw'!E17="N/A","N/A",IF('FIRE1203 raw'!E17="..","..",ROUND('FIRE1203 raw'!E17,0)))</f>
        <v>716</v>
      </c>
      <c r="G17" s="57"/>
      <c r="H17" s="57">
        <f ca="1">IF('FIRE1203 raw'!F17="N/A","N/A",IF('FIRE1203 raw'!F17="..","..",ROUND('FIRE1203 raw'!F17,0)))</f>
        <v>133</v>
      </c>
      <c r="I17" s="57">
        <f ca="1">IF('FIRE1203 raw'!G17="N/A","N/A",IF('FIRE1203 raw'!G17="..","..",ROUND('FIRE1203 raw'!G17,0)))</f>
        <v>889</v>
      </c>
      <c r="J17" s="4"/>
      <c r="K17" s="10"/>
      <c r="L17" s="10"/>
      <c r="N17" s="10"/>
      <c r="O17" s="10"/>
      <c r="Q17" s="12"/>
      <c r="R17" s="12"/>
      <c r="S17" s="12"/>
      <c r="T17" s="12"/>
      <c r="U17" s="12"/>
      <c r="W17" s="11"/>
      <c r="X17" s="11"/>
      <c r="Y17" s="11"/>
      <c r="Z17" s="11"/>
      <c r="AA17" s="11"/>
      <c r="AB17" s="11"/>
      <c r="AC17" s="11"/>
      <c r="AD17" s="11"/>
      <c r="AE17" s="11"/>
      <c r="AF17" s="11"/>
      <c r="AG17" s="11"/>
    </row>
    <row r="18" spans="1:33" s="5" customFormat="1" ht="15" customHeight="1" x14ac:dyDescent="0.35">
      <c r="A18" s="4" t="s">
        <v>13</v>
      </c>
      <c r="B18" s="57">
        <f ca="1">IF('FIRE1203 raw'!B18="N/A","N/A",IF('FIRE1203 raw'!B18="..","..",ROUND('FIRE1203 raw'!B18,0)))</f>
        <v>740</v>
      </c>
      <c r="C18" s="57">
        <f ca="1">IF('FIRE1203 raw'!C18="N/A","N/A",IF('FIRE1203 raw'!C18="..","..",ROUND('FIRE1203 raw'!C18,0)))</f>
        <v>26640</v>
      </c>
      <c r="D18" s="57"/>
      <c r="E18" s="57">
        <f ca="1">IF('FIRE1203 raw'!D18="N/A","N/A",IF('FIRE1203 raw'!D18="..","..",ROUND('FIRE1203 raw'!D18,0)))</f>
        <v>191</v>
      </c>
      <c r="F18" s="57">
        <f ca="1">IF('FIRE1203 raw'!E18="N/A","N/A",IF('FIRE1203 raw'!E18="..","..",ROUND('FIRE1203 raw'!E18,0)))</f>
        <v>6876</v>
      </c>
      <c r="G18" s="57"/>
      <c r="H18" s="57">
        <f ca="1">IF('FIRE1203 raw'!F18="N/A","N/A",IF('FIRE1203 raw'!F18="..","..",ROUND('FIRE1203 raw'!F18,0)))</f>
        <v>234</v>
      </c>
      <c r="I18" s="57">
        <f ca="1">IF('FIRE1203 raw'!G18="N/A","N/A",IF('FIRE1203 raw'!G18="..","..",ROUND('FIRE1203 raw'!G18,0)))</f>
        <v>8424</v>
      </c>
      <c r="J18" s="4"/>
      <c r="K18" s="10"/>
      <c r="L18" s="10"/>
      <c r="N18" s="10"/>
      <c r="O18" s="10"/>
      <c r="Q18" s="12"/>
      <c r="R18" s="12"/>
      <c r="S18" s="12"/>
      <c r="T18" s="12"/>
      <c r="U18" s="12"/>
      <c r="W18" s="11"/>
      <c r="X18" s="11"/>
      <c r="Y18" s="11"/>
      <c r="Z18" s="11"/>
      <c r="AA18" s="11"/>
      <c r="AB18" s="11"/>
      <c r="AC18" s="11"/>
      <c r="AD18" s="11"/>
      <c r="AE18" s="11"/>
      <c r="AF18" s="11"/>
      <c r="AG18" s="11"/>
    </row>
    <row r="19" spans="1:33" s="5" customFormat="1" ht="15" customHeight="1" x14ac:dyDescent="0.35">
      <c r="A19" s="20" t="s">
        <v>14</v>
      </c>
      <c r="B19" s="57">
        <f ca="1">IF('FIRE1203 raw'!B19="N/A","N/A",IF('FIRE1203 raw'!B19="..","..",ROUND('FIRE1203 raw'!B19,0)))</f>
        <v>23448</v>
      </c>
      <c r="C19" s="57">
        <f ca="1">IF('FIRE1203 raw'!C19="N/A","N/A",IF('FIRE1203 raw'!C19="..","..",ROUND('FIRE1203 raw'!C19,0)))</f>
        <v>12731</v>
      </c>
      <c r="D19" s="57"/>
      <c r="E19" s="57">
        <f ca="1">IF('FIRE1203 raw'!D19="N/A","N/A",IF('FIRE1203 raw'!D19="..","..",ROUND('FIRE1203 raw'!D19,0)))</f>
        <v>488</v>
      </c>
      <c r="F19" s="57">
        <f ca="1">IF('FIRE1203 raw'!E19="N/A","N/A",IF('FIRE1203 raw'!E19="..","..",ROUND('FIRE1203 raw'!E19,0)))</f>
        <v>4335</v>
      </c>
      <c r="G19" s="57"/>
      <c r="H19" s="57">
        <f ca="1">IF('FIRE1203 raw'!F19="N/A","N/A",IF('FIRE1203 raw'!F19="..","..",ROUND('FIRE1203 raw'!F19,0)))</f>
        <v>409</v>
      </c>
      <c r="I19" s="57">
        <f ca="1">IF('FIRE1203 raw'!G19="N/A","N/A",IF('FIRE1203 raw'!G19="..","..",ROUND('FIRE1203 raw'!G19,0)))</f>
        <v>1175</v>
      </c>
      <c r="J19" s="4"/>
      <c r="K19" s="10"/>
      <c r="L19" s="10"/>
      <c r="N19" s="10"/>
      <c r="O19" s="10"/>
      <c r="Q19" s="12"/>
      <c r="R19" s="12"/>
      <c r="S19" s="12"/>
      <c r="T19" s="12"/>
      <c r="U19" s="12"/>
      <c r="W19" s="11"/>
      <c r="X19" s="11"/>
      <c r="Y19" s="11"/>
      <c r="Z19" s="11"/>
      <c r="AA19" s="11"/>
      <c r="AB19" s="11"/>
      <c r="AC19" s="11"/>
      <c r="AD19" s="11"/>
      <c r="AE19" s="11"/>
      <c r="AF19" s="11"/>
      <c r="AG19" s="11"/>
    </row>
    <row r="20" spans="1:33" s="5" customFormat="1" ht="15" customHeight="1" x14ac:dyDescent="0.35">
      <c r="A20" s="20" t="s">
        <v>15</v>
      </c>
      <c r="B20" s="57">
        <f ca="1">IF('FIRE1203 raw'!B20="N/A","N/A",IF('FIRE1203 raw'!B20="..","..",ROUND('FIRE1203 raw'!B20,0)))</f>
        <v>4990</v>
      </c>
      <c r="C20" s="57">
        <f ca="1">IF('FIRE1203 raw'!C20="N/A","N/A",IF('FIRE1203 raw'!C20="..","..",ROUND('FIRE1203 raw'!C20,0)))</f>
        <v>12427</v>
      </c>
      <c r="D20" s="57"/>
      <c r="E20" s="57">
        <f ca="1">IF('FIRE1203 raw'!D20="N/A","N/A",IF('FIRE1203 raw'!D20="..","..",ROUND('FIRE1203 raw'!D20,0)))</f>
        <v>636</v>
      </c>
      <c r="F20" s="57">
        <f ca="1">IF('FIRE1203 raw'!E20="N/A","N/A",IF('FIRE1203 raw'!E20="..","..",ROUND('FIRE1203 raw'!E20,0)))</f>
        <v>2685</v>
      </c>
      <c r="G20" s="57"/>
      <c r="H20" s="57">
        <f ca="1">IF('FIRE1203 raw'!F20="N/A","N/A",IF('FIRE1203 raw'!F20="..","..",ROUND('FIRE1203 raw'!F20,0)))</f>
        <v>1629</v>
      </c>
      <c r="I20" s="57">
        <f ca="1">IF('FIRE1203 raw'!G20="N/A","N/A",IF('FIRE1203 raw'!G20="..","..",ROUND('FIRE1203 raw'!G20,0)))</f>
        <v>3522</v>
      </c>
      <c r="J20" s="4"/>
      <c r="K20" s="10"/>
      <c r="L20" s="10"/>
      <c r="N20" s="10"/>
      <c r="O20" s="10"/>
      <c r="Q20" s="12"/>
      <c r="R20" s="12"/>
      <c r="S20" s="12"/>
      <c r="T20" s="12"/>
      <c r="U20" s="12"/>
      <c r="W20" s="11"/>
      <c r="X20" s="11"/>
      <c r="Y20" s="11"/>
      <c r="Z20" s="11"/>
      <c r="AA20" s="11"/>
      <c r="AB20" s="11"/>
      <c r="AC20" s="11"/>
      <c r="AD20" s="11"/>
      <c r="AE20" s="11"/>
      <c r="AF20" s="11"/>
      <c r="AG20" s="11"/>
    </row>
    <row r="21" spans="1:33" s="5" customFormat="1" ht="15" customHeight="1" x14ac:dyDescent="0.35">
      <c r="A21" s="20" t="s">
        <v>139</v>
      </c>
      <c r="B21" s="57">
        <f ca="1">IF('FIRE1203 raw'!B21="N/A","N/A",IF('FIRE1203 raw'!B21="..","..",ROUND('FIRE1203 raw'!B21,0)))</f>
        <v>6097</v>
      </c>
      <c r="C21" s="57">
        <f ca="1">IF('FIRE1203 raw'!C21="N/A","N/A",IF('FIRE1203 raw'!C21="..","..",ROUND('FIRE1203 raw'!C21,0)))</f>
        <v>7268</v>
      </c>
      <c r="D21" s="57"/>
      <c r="E21" s="57">
        <f ca="1">IF('FIRE1203 raw'!D21="N/A","N/A",IF('FIRE1203 raw'!D21="..","..",ROUND('FIRE1203 raw'!D21,0)))</f>
        <v>36</v>
      </c>
      <c r="F21" s="57">
        <f ca="1">IF('FIRE1203 raw'!E21="N/A","N/A",IF('FIRE1203 raw'!E21="..","..",ROUND('FIRE1203 raw'!E21,0)))</f>
        <v>1779</v>
      </c>
      <c r="G21" s="57"/>
      <c r="H21" s="57">
        <f ca="1">IF('FIRE1203 raw'!F21="N/A","N/A",IF('FIRE1203 raw'!F21="..","..",ROUND('FIRE1203 raw'!F21,0)))</f>
        <v>563</v>
      </c>
      <c r="I21" s="57">
        <f ca="1">IF('FIRE1203 raw'!G21="N/A","N/A",IF('FIRE1203 raw'!G21="..","..",ROUND('FIRE1203 raw'!G21,0)))</f>
        <v>1751</v>
      </c>
      <c r="J21" s="4"/>
      <c r="K21" s="10"/>
      <c r="L21" s="10"/>
      <c r="N21" s="10"/>
      <c r="O21" s="10"/>
      <c r="Q21" s="12"/>
      <c r="R21" s="12"/>
      <c r="S21" s="12"/>
      <c r="T21" s="12"/>
      <c r="U21" s="12"/>
      <c r="W21" s="11"/>
      <c r="X21" s="11"/>
      <c r="Y21" s="11"/>
      <c r="Z21" s="11"/>
      <c r="AA21" s="11"/>
      <c r="AB21" s="11"/>
      <c r="AC21" s="11"/>
      <c r="AD21" s="11"/>
      <c r="AE21" s="11"/>
      <c r="AF21" s="11"/>
      <c r="AG21" s="11"/>
    </row>
    <row r="22" spans="1:33" s="5" customFormat="1" ht="15" customHeight="1" x14ac:dyDescent="0.35">
      <c r="A22" s="4" t="s">
        <v>140</v>
      </c>
      <c r="B22" s="57" t="str">
        <f ca="1">IF('FIRE1203 raw'!B22="N/A","N/A",IF('FIRE1203 raw'!B22="..","..",ROUND('FIRE1203 raw'!B22,0)))</f>
        <v>..</v>
      </c>
      <c r="C22" s="57" t="str">
        <f ca="1">IF('FIRE1203 raw'!C22="N/A","N/A",IF('FIRE1203 raw'!C22="..","..",ROUND('FIRE1203 raw'!C22,0)))</f>
        <v>..</v>
      </c>
      <c r="D22" s="57"/>
      <c r="E22" s="57" t="str">
        <f ca="1">IF('FIRE1203 raw'!D22="N/A","N/A",IF('FIRE1203 raw'!D22="..","..",ROUND('FIRE1203 raw'!D22,0)))</f>
        <v>..</v>
      </c>
      <c r="F22" s="57" t="str">
        <f ca="1">IF('FIRE1203 raw'!E22="N/A","N/A",IF('FIRE1203 raw'!E22="..","..",ROUND('FIRE1203 raw'!E22,0)))</f>
        <v>..</v>
      </c>
      <c r="G22" s="57"/>
      <c r="H22" s="57" t="str">
        <f ca="1">IF('FIRE1203 raw'!F22="N/A","N/A",IF('FIRE1203 raw'!F22="..","..",ROUND('FIRE1203 raw'!F22,0)))</f>
        <v>..</v>
      </c>
      <c r="I22" s="57" t="str">
        <f ca="1">IF('FIRE1203 raw'!G22="N/A","N/A",IF('FIRE1203 raw'!G22="..","..",ROUND('FIRE1203 raw'!G22,0)))</f>
        <v>..</v>
      </c>
      <c r="J22" s="4"/>
      <c r="K22" s="10"/>
      <c r="L22" s="10"/>
      <c r="N22" s="10"/>
      <c r="O22" s="10"/>
      <c r="Q22" s="12"/>
      <c r="R22" s="12"/>
      <c r="S22" s="12"/>
      <c r="T22" s="12"/>
      <c r="U22" s="12"/>
      <c r="W22" s="11"/>
      <c r="X22" s="11"/>
      <c r="Y22" s="11"/>
      <c r="Z22" s="11"/>
      <c r="AA22" s="11"/>
      <c r="AB22" s="11"/>
      <c r="AC22" s="11"/>
      <c r="AD22" s="11"/>
      <c r="AE22" s="11"/>
      <c r="AF22" s="11"/>
      <c r="AG22" s="11"/>
    </row>
    <row r="23" spans="1:33" s="5" customFormat="1" ht="15" customHeight="1" x14ac:dyDescent="0.35">
      <c r="A23" s="4" t="s">
        <v>17</v>
      </c>
      <c r="B23" s="57">
        <f ca="1">IF('FIRE1203 raw'!B23="N/A","N/A",IF('FIRE1203 raw'!B23="..","..",ROUND('FIRE1203 raw'!B23,0)))</f>
        <v>376</v>
      </c>
      <c r="C23" s="57">
        <f ca="1">IF('FIRE1203 raw'!C23="N/A","N/A",IF('FIRE1203 raw'!C23="..","..",ROUND('FIRE1203 raw'!C23,0)))</f>
        <v>1501</v>
      </c>
      <c r="D23" s="57"/>
      <c r="E23" s="57">
        <f ca="1">IF('FIRE1203 raw'!D23="N/A","N/A",IF('FIRE1203 raw'!D23="..","..",ROUND('FIRE1203 raw'!D23,0)))</f>
        <v>82</v>
      </c>
      <c r="F23" s="57">
        <f ca="1">IF('FIRE1203 raw'!E23="N/A","N/A",IF('FIRE1203 raw'!E23="..","..",ROUND('FIRE1203 raw'!E23,0)))</f>
        <v>349</v>
      </c>
      <c r="G23" s="57"/>
      <c r="H23" s="57">
        <f ca="1">IF('FIRE1203 raw'!F23="N/A","N/A",IF('FIRE1203 raw'!F23="..","..",ROUND('FIRE1203 raw'!F23,0)))</f>
        <v>225</v>
      </c>
      <c r="I23" s="57">
        <f ca="1">IF('FIRE1203 raw'!G23="N/A","N/A",IF('FIRE1203 raw'!G23="..","..",ROUND('FIRE1203 raw'!G23,0)))</f>
        <v>944</v>
      </c>
      <c r="J23" s="4"/>
      <c r="K23" s="10"/>
      <c r="L23" s="10"/>
      <c r="N23" s="10"/>
      <c r="O23" s="10"/>
      <c r="Q23" s="12"/>
      <c r="R23" s="12"/>
      <c r="S23" s="12"/>
      <c r="T23" s="12"/>
      <c r="U23" s="12"/>
      <c r="W23" s="11"/>
      <c r="X23" s="11"/>
      <c r="Y23" s="11"/>
      <c r="Z23" s="11"/>
      <c r="AA23" s="11"/>
      <c r="AB23" s="11"/>
      <c r="AC23" s="11"/>
      <c r="AD23" s="11"/>
      <c r="AE23" s="11"/>
      <c r="AF23" s="11"/>
      <c r="AG23" s="11"/>
    </row>
    <row r="24" spans="1:33" s="5" customFormat="1" ht="15" customHeight="1" x14ac:dyDescent="0.35">
      <c r="A24" s="4" t="s">
        <v>18</v>
      </c>
      <c r="B24" s="57">
        <f ca="1">IF('FIRE1203 raw'!B24="N/A","N/A",IF('FIRE1203 raw'!B24="..","..",ROUND('FIRE1203 raw'!B24,0)))</f>
        <v>1485</v>
      </c>
      <c r="C24" s="57">
        <f ca="1">IF('FIRE1203 raw'!C24="N/A","N/A",IF('FIRE1203 raw'!C24="..","..",ROUND('FIRE1203 raw'!C24,0)))</f>
        <v>6671</v>
      </c>
      <c r="D24" s="57"/>
      <c r="E24" s="57">
        <f ca="1">IF('FIRE1203 raw'!D24="N/A","N/A",IF('FIRE1203 raw'!D24="..","..",ROUND('FIRE1203 raw'!D24,0)))</f>
        <v>65</v>
      </c>
      <c r="F24" s="57">
        <f ca="1">IF('FIRE1203 raw'!E24="N/A","N/A",IF('FIRE1203 raw'!E24="..","..",ROUND('FIRE1203 raw'!E24,0)))</f>
        <v>415</v>
      </c>
      <c r="G24" s="57"/>
      <c r="H24" s="57">
        <f ca="1">IF('FIRE1203 raw'!F24="N/A","N/A",IF('FIRE1203 raw'!F24="..","..",ROUND('FIRE1203 raw'!F24,0)))</f>
        <v>242</v>
      </c>
      <c r="I24" s="57">
        <f ca="1">IF('FIRE1203 raw'!G24="N/A","N/A",IF('FIRE1203 raw'!G24="..","..",ROUND('FIRE1203 raw'!G24,0)))</f>
        <v>2869</v>
      </c>
      <c r="J24" s="4"/>
      <c r="K24" s="10"/>
      <c r="L24" s="10"/>
      <c r="N24" s="10"/>
      <c r="O24" s="10"/>
      <c r="Q24" s="12"/>
      <c r="R24" s="12"/>
      <c r="S24" s="12"/>
      <c r="T24" s="12"/>
      <c r="U24" s="12"/>
      <c r="W24" s="11"/>
      <c r="X24" s="11"/>
      <c r="Y24" s="11"/>
      <c r="Z24" s="11"/>
      <c r="AA24" s="11"/>
      <c r="AB24" s="11"/>
      <c r="AC24" s="11"/>
      <c r="AD24" s="11"/>
      <c r="AE24" s="11"/>
      <c r="AF24" s="11"/>
      <c r="AG24" s="11"/>
    </row>
    <row r="25" spans="1:33" s="5" customFormat="1" ht="15" customHeight="1" x14ac:dyDescent="0.35">
      <c r="A25" s="4" t="s">
        <v>19</v>
      </c>
      <c r="B25" s="57">
        <f ca="1">IF('FIRE1203 raw'!B25="N/A","N/A",IF('FIRE1203 raw'!B25="..","..",ROUND('FIRE1203 raw'!B25,0)))</f>
        <v>1906</v>
      </c>
      <c r="C25" s="57">
        <f ca="1">IF('FIRE1203 raw'!C25="N/A","N/A",IF('FIRE1203 raw'!C25="..","..",ROUND('FIRE1203 raw'!C25,0)))</f>
        <v>127209</v>
      </c>
      <c r="D25" s="57"/>
      <c r="E25" s="57">
        <f ca="1">IF('FIRE1203 raw'!D25="N/A","N/A",IF('FIRE1203 raw'!D25="..","..",ROUND('FIRE1203 raw'!D25,0)))</f>
        <v>95</v>
      </c>
      <c r="F25" s="57">
        <f ca="1">IF('FIRE1203 raw'!E25="N/A","N/A",IF('FIRE1203 raw'!E25="..","..",ROUND('FIRE1203 raw'!E25,0)))</f>
        <v>20615</v>
      </c>
      <c r="G25" s="57"/>
      <c r="H25" s="57">
        <f ca="1">IF('FIRE1203 raw'!F25="N/A","N/A",IF('FIRE1203 raw'!F25="..","..",ROUND('FIRE1203 raw'!F25,0)))</f>
        <v>74</v>
      </c>
      <c r="I25" s="57">
        <f ca="1">IF('FIRE1203 raw'!G25="N/A","N/A",IF('FIRE1203 raw'!G25="..","..",ROUND('FIRE1203 raw'!G25,0)))</f>
        <v>5835</v>
      </c>
      <c r="J25" s="4"/>
      <c r="K25" s="10"/>
      <c r="L25" s="10"/>
      <c r="N25" s="10"/>
      <c r="O25" s="10"/>
      <c r="Q25" s="12"/>
      <c r="R25" s="12"/>
      <c r="S25" s="12"/>
      <c r="T25" s="12"/>
      <c r="U25" s="12"/>
      <c r="W25" s="11"/>
      <c r="X25" s="11"/>
      <c r="Y25" s="11"/>
      <c r="Z25" s="11"/>
      <c r="AA25" s="11"/>
      <c r="AB25" s="11"/>
      <c r="AC25" s="11"/>
      <c r="AD25" s="11"/>
      <c r="AE25" s="11"/>
      <c r="AF25" s="11"/>
      <c r="AG25" s="11"/>
    </row>
    <row r="26" spans="1:33" s="5" customFormat="1" ht="15" customHeight="1" x14ac:dyDescent="0.35">
      <c r="A26" s="4" t="s">
        <v>20</v>
      </c>
      <c r="B26" s="57">
        <f ca="1">IF('FIRE1203 raw'!B26="N/A","N/A",IF('FIRE1203 raw'!B26="..","..",ROUND('FIRE1203 raw'!B26,0)))</f>
        <v>636</v>
      </c>
      <c r="C26" s="57">
        <f ca="1">IF('FIRE1203 raw'!C26="N/A","N/A",IF('FIRE1203 raw'!C26="..","..",ROUND('FIRE1203 raw'!C26,0)))</f>
        <v>21674</v>
      </c>
      <c r="D26" s="57"/>
      <c r="E26" s="57">
        <f ca="1">IF('FIRE1203 raw'!D26="N/A","N/A",IF('FIRE1203 raw'!D26="..","..",ROUND('FIRE1203 raw'!D26,0)))</f>
        <v>66</v>
      </c>
      <c r="F26" s="57">
        <f ca="1">IF('FIRE1203 raw'!E26="N/A","N/A",IF('FIRE1203 raw'!E26="..","..",ROUND('FIRE1203 raw'!E26,0)))</f>
        <v>846</v>
      </c>
      <c r="G26" s="57"/>
      <c r="H26" s="57">
        <f ca="1">IF('FIRE1203 raw'!F26="N/A","N/A",IF('FIRE1203 raw'!F26="..","..",ROUND('FIRE1203 raw'!F26,0)))</f>
        <v>97</v>
      </c>
      <c r="I26" s="57">
        <f ca="1">IF('FIRE1203 raw'!G26="N/A","N/A",IF('FIRE1203 raw'!G26="..","..",ROUND('FIRE1203 raw'!G26,0)))</f>
        <v>743</v>
      </c>
      <c r="J26" s="4"/>
      <c r="K26" s="10"/>
      <c r="L26" s="10"/>
      <c r="N26" s="10"/>
      <c r="O26" s="10"/>
      <c r="Q26" s="12"/>
      <c r="R26" s="12"/>
      <c r="S26" s="12"/>
      <c r="T26" s="12"/>
      <c r="U26" s="12"/>
      <c r="W26" s="11"/>
      <c r="X26" s="11"/>
      <c r="Y26" s="11"/>
      <c r="Z26" s="11"/>
      <c r="AA26" s="11"/>
      <c r="AB26" s="11"/>
      <c r="AC26" s="11"/>
      <c r="AD26" s="11"/>
      <c r="AE26" s="11"/>
      <c r="AF26" s="11"/>
      <c r="AG26" s="11"/>
    </row>
    <row r="27" spans="1:33" s="5" customFormat="1" ht="15" customHeight="1" x14ac:dyDescent="0.35">
      <c r="A27" s="4" t="s">
        <v>23</v>
      </c>
      <c r="B27" s="57">
        <f ca="1">IF('FIRE1203 raw'!B27="N/A","N/A",IF('FIRE1203 raw'!B27="..","..",ROUND('FIRE1203 raw'!B27,0)))</f>
        <v>1336</v>
      </c>
      <c r="C27" s="57">
        <f ca="1">IF('FIRE1203 raw'!C27="N/A","N/A",IF('FIRE1203 raw'!C27="..","..",ROUND('FIRE1203 raw'!C27,0)))</f>
        <v>12137</v>
      </c>
      <c r="D27" s="57"/>
      <c r="E27" s="57">
        <f ca="1">IF('FIRE1203 raw'!D27="N/A","N/A",IF('FIRE1203 raw'!D27="..","..",ROUND('FIRE1203 raw'!D27,0)))</f>
        <v>750</v>
      </c>
      <c r="F27" s="57">
        <f ca="1">IF('FIRE1203 raw'!E27="N/A","N/A",IF('FIRE1203 raw'!E27="..","..",ROUND('FIRE1203 raw'!E27,0)))</f>
        <v>6042</v>
      </c>
      <c r="G27" s="57"/>
      <c r="H27" s="57">
        <f ca="1">IF('FIRE1203 raw'!F27="N/A","N/A",IF('FIRE1203 raw'!F27="..","..",ROUND('FIRE1203 raw'!F27,0)))</f>
        <v>471</v>
      </c>
      <c r="I27" s="57">
        <f ca="1">IF('FIRE1203 raw'!G27="N/A","N/A",IF('FIRE1203 raw'!G27="..","..",ROUND('FIRE1203 raw'!G27,0)))</f>
        <v>5159</v>
      </c>
      <c r="J27" s="4"/>
      <c r="K27" s="10"/>
      <c r="L27" s="10"/>
      <c r="N27" s="10"/>
      <c r="O27" s="10"/>
      <c r="Q27" s="12"/>
      <c r="R27" s="12"/>
      <c r="S27" s="12"/>
      <c r="T27" s="12"/>
      <c r="U27" s="12"/>
      <c r="W27" s="11"/>
      <c r="X27" s="11"/>
      <c r="Y27" s="11"/>
      <c r="Z27" s="11"/>
      <c r="AA27" s="11"/>
      <c r="AB27" s="11"/>
      <c r="AC27" s="11"/>
      <c r="AD27" s="11"/>
      <c r="AE27" s="11"/>
      <c r="AF27" s="11"/>
      <c r="AG27" s="11"/>
    </row>
    <row r="28" spans="1:33" s="5" customFormat="1" ht="15" customHeight="1" x14ac:dyDescent="0.35">
      <c r="A28" s="4" t="s">
        <v>24</v>
      </c>
      <c r="B28" s="57">
        <f ca="1">IF('FIRE1203 raw'!B28="N/A","N/A",IF('FIRE1203 raw'!B28="..","..",ROUND('FIRE1203 raw'!B28,0)))</f>
        <v>313</v>
      </c>
      <c r="C28" s="57">
        <f ca="1">IF('FIRE1203 raw'!C28="N/A","N/A",IF('FIRE1203 raw'!C28="..","..",ROUND('FIRE1203 raw'!C28,0)))</f>
        <v>3280</v>
      </c>
      <c r="D28" s="57"/>
      <c r="E28" s="57">
        <f ca="1">IF('FIRE1203 raw'!D28="N/A","N/A",IF('FIRE1203 raw'!D28="..","..",ROUND('FIRE1203 raw'!D28,0)))</f>
        <v>25</v>
      </c>
      <c r="F28" s="57">
        <f ca="1">IF('FIRE1203 raw'!E28="N/A","N/A",IF('FIRE1203 raw'!E28="..","..",ROUND('FIRE1203 raw'!E28,0)))</f>
        <v>59</v>
      </c>
      <c r="G28" s="57"/>
      <c r="H28" s="57">
        <f ca="1">IF('FIRE1203 raw'!F28="N/A","N/A",IF('FIRE1203 raw'!F28="..","..",ROUND('FIRE1203 raw'!F28,0)))</f>
        <v>111</v>
      </c>
      <c r="I28" s="57">
        <f ca="1">IF('FIRE1203 raw'!G28="N/A","N/A",IF('FIRE1203 raw'!G28="..","..",ROUND('FIRE1203 raw'!G28,0)))</f>
        <v>2560</v>
      </c>
      <c r="J28" s="4"/>
      <c r="K28" s="10"/>
      <c r="L28" s="10"/>
      <c r="N28" s="10"/>
      <c r="O28" s="10"/>
      <c r="Q28" s="12"/>
      <c r="R28" s="12"/>
      <c r="S28" s="12"/>
      <c r="T28" s="12"/>
      <c r="U28" s="12"/>
      <c r="W28" s="11"/>
      <c r="X28" s="11"/>
      <c r="Y28" s="11"/>
      <c r="Z28" s="11"/>
      <c r="AA28" s="11"/>
      <c r="AB28" s="11"/>
      <c r="AC28" s="11"/>
      <c r="AD28" s="11"/>
      <c r="AE28" s="11"/>
      <c r="AF28" s="11"/>
      <c r="AG28" s="11"/>
    </row>
    <row r="29" spans="1:33" s="5" customFormat="1" ht="15" customHeight="1" x14ac:dyDescent="0.35">
      <c r="A29" s="4" t="s">
        <v>25</v>
      </c>
      <c r="B29" s="57">
        <f ca="1">IF('FIRE1203 raw'!B29="N/A","N/A",IF('FIRE1203 raw'!B29="..","..",ROUND('FIRE1203 raw'!B29,0)))</f>
        <v>9185</v>
      </c>
      <c r="C29" s="57">
        <f ca="1">IF('FIRE1203 raw'!C29="N/A","N/A",IF('FIRE1203 raw'!C29="..","..",ROUND('FIRE1203 raw'!C29,0)))</f>
        <v>22099</v>
      </c>
      <c r="D29" s="57"/>
      <c r="E29" s="57">
        <f ca="1">IF('FIRE1203 raw'!D29="N/A","N/A",IF('FIRE1203 raw'!D29="..","..",ROUND('FIRE1203 raw'!D29,0)))</f>
        <v>176</v>
      </c>
      <c r="F29" s="57">
        <f ca="1">IF('FIRE1203 raw'!E29="N/A","N/A",IF('FIRE1203 raw'!E29="..","..",ROUND('FIRE1203 raw'!E29,0)))</f>
        <v>3250</v>
      </c>
      <c r="G29" s="57"/>
      <c r="H29" s="57">
        <f ca="1">IF('FIRE1203 raw'!F29="N/A","N/A",IF('FIRE1203 raw'!F29="..","..",ROUND('FIRE1203 raw'!F29,0)))</f>
        <v>9</v>
      </c>
      <c r="I29" s="57">
        <f ca="1">IF('FIRE1203 raw'!G29="N/A","N/A",IF('FIRE1203 raw'!G29="..","..",ROUND('FIRE1203 raw'!G29,0)))</f>
        <v>128</v>
      </c>
      <c r="J29" s="4"/>
      <c r="K29" s="10"/>
      <c r="L29" s="10"/>
      <c r="N29" s="10"/>
      <c r="O29" s="10"/>
      <c r="Q29" s="12"/>
      <c r="R29" s="12"/>
      <c r="S29" s="12"/>
      <c r="T29" s="12"/>
      <c r="U29" s="12"/>
      <c r="W29" s="11"/>
      <c r="X29" s="11"/>
      <c r="Y29" s="11"/>
      <c r="Z29" s="11"/>
      <c r="AA29" s="11"/>
      <c r="AB29" s="11"/>
      <c r="AC29" s="11"/>
      <c r="AD29" s="11"/>
      <c r="AE29" s="11"/>
      <c r="AF29" s="11"/>
      <c r="AG29" s="11"/>
    </row>
    <row r="30" spans="1:33" s="5" customFormat="1" ht="15" customHeight="1" x14ac:dyDescent="0.35">
      <c r="A30" s="4" t="s">
        <v>26</v>
      </c>
      <c r="B30" s="57">
        <f ca="1">IF('FIRE1203 raw'!B30="N/A","N/A",IF('FIRE1203 raw'!B30="..","..",ROUND('FIRE1203 raw'!B30,0)))</f>
        <v>1336</v>
      </c>
      <c r="C30" s="57">
        <f ca="1">IF('FIRE1203 raw'!C30="N/A","N/A",IF('FIRE1203 raw'!C30="..","..",ROUND('FIRE1203 raw'!C30,0)))</f>
        <v>4529</v>
      </c>
      <c r="D30" s="57"/>
      <c r="E30" s="57">
        <f ca="1">IF('FIRE1203 raw'!D30="N/A","N/A",IF('FIRE1203 raw'!D30="..","..",ROUND('FIRE1203 raw'!D30,0)))</f>
        <v>376</v>
      </c>
      <c r="F30" s="57">
        <f ca="1">IF('FIRE1203 raw'!E30="N/A","N/A",IF('FIRE1203 raw'!E30="..","..",ROUND('FIRE1203 raw'!E30,0)))</f>
        <v>2776</v>
      </c>
      <c r="G30" s="57"/>
      <c r="H30" s="57">
        <f ca="1">IF('FIRE1203 raw'!F30="N/A","N/A",IF('FIRE1203 raw'!F30="..","..",ROUND('FIRE1203 raw'!F30,0)))</f>
        <v>192</v>
      </c>
      <c r="I30" s="57">
        <f ca="1">IF('FIRE1203 raw'!G30="N/A","N/A",IF('FIRE1203 raw'!G30="..","..",ROUND('FIRE1203 raw'!G30,0)))</f>
        <v>454</v>
      </c>
      <c r="J30" s="4"/>
      <c r="K30" s="10"/>
      <c r="L30" s="10"/>
      <c r="N30" s="10"/>
      <c r="O30" s="10"/>
      <c r="Q30" s="12"/>
      <c r="R30" s="12"/>
      <c r="S30" s="12"/>
      <c r="T30" s="12"/>
      <c r="U30" s="12"/>
      <c r="W30" s="11"/>
      <c r="X30" s="11"/>
      <c r="Y30" s="11"/>
      <c r="Z30" s="11"/>
      <c r="AA30" s="11"/>
      <c r="AB30" s="11"/>
      <c r="AC30" s="11"/>
      <c r="AD30" s="11"/>
      <c r="AE30" s="11"/>
      <c r="AF30" s="11"/>
      <c r="AG30" s="11"/>
    </row>
    <row r="31" spans="1:33" s="5" customFormat="1" ht="15" customHeight="1" x14ac:dyDescent="0.35">
      <c r="A31" s="4" t="s">
        <v>27</v>
      </c>
      <c r="B31" s="57">
        <f ca="1">IF('FIRE1203 raw'!B31="N/A","N/A",IF('FIRE1203 raw'!B31="..","..",ROUND('FIRE1203 raw'!B31,0)))</f>
        <v>128</v>
      </c>
      <c r="C31" s="57">
        <f ca="1">IF('FIRE1203 raw'!C31="N/A","N/A",IF('FIRE1203 raw'!C31="..","..",ROUND('FIRE1203 raw'!C31,0)))</f>
        <v>307</v>
      </c>
      <c r="D31" s="57"/>
      <c r="E31" s="57">
        <f ca="1">IF('FIRE1203 raw'!D31="N/A","N/A",IF('FIRE1203 raw'!D31="..","..",ROUND('FIRE1203 raw'!D31,0)))</f>
        <v>10</v>
      </c>
      <c r="F31" s="57">
        <f ca="1">IF('FIRE1203 raw'!E31="N/A","N/A",IF('FIRE1203 raw'!E31="..","..",ROUND('FIRE1203 raw'!E31,0)))</f>
        <v>40</v>
      </c>
      <c r="G31" s="57"/>
      <c r="H31" s="57">
        <f ca="1">IF('FIRE1203 raw'!F31="N/A","N/A",IF('FIRE1203 raw'!F31="..","..",ROUND('FIRE1203 raw'!F31,0)))</f>
        <v>76</v>
      </c>
      <c r="I31" s="57">
        <f ca="1">IF('FIRE1203 raw'!G31="N/A","N/A",IF('FIRE1203 raw'!G31="..","..",ROUND('FIRE1203 raw'!G31,0)))</f>
        <v>177</v>
      </c>
      <c r="J31" s="4"/>
      <c r="K31" s="10"/>
      <c r="L31" s="10"/>
      <c r="N31" s="10"/>
      <c r="O31" s="10"/>
      <c r="Q31" s="12"/>
      <c r="R31" s="12"/>
      <c r="S31" s="12"/>
      <c r="T31" s="12"/>
      <c r="U31" s="12"/>
      <c r="W31" s="11"/>
      <c r="X31" s="11"/>
      <c r="Y31" s="11"/>
      <c r="Z31" s="11"/>
      <c r="AA31" s="11"/>
      <c r="AB31" s="11"/>
      <c r="AC31" s="11"/>
      <c r="AD31" s="11"/>
      <c r="AE31" s="11"/>
      <c r="AF31" s="11"/>
      <c r="AG31" s="11"/>
    </row>
    <row r="32" spans="1:33" s="5" customFormat="1" ht="15" customHeight="1" x14ac:dyDescent="0.35">
      <c r="A32" s="5" t="s">
        <v>29</v>
      </c>
      <c r="B32" s="57">
        <f ca="1">IF('FIRE1203 raw'!B32="N/A","N/A",IF('FIRE1203 raw'!B32="..","..",ROUND('FIRE1203 raw'!B32,0)))</f>
        <v>2185</v>
      </c>
      <c r="C32" s="57">
        <f ca="1">IF('FIRE1203 raw'!C32="N/A","N/A",IF('FIRE1203 raw'!C32="..","..",ROUND('FIRE1203 raw'!C32,0)))</f>
        <v>8451</v>
      </c>
      <c r="D32" s="57"/>
      <c r="E32" s="57">
        <f ca="1">IF('FIRE1203 raw'!D32="N/A","N/A",IF('FIRE1203 raw'!D32="..","..",ROUND('FIRE1203 raw'!D32,0)))</f>
        <v>656</v>
      </c>
      <c r="F32" s="57">
        <f ca="1">IF('FIRE1203 raw'!E32="N/A","N/A",IF('FIRE1203 raw'!E32="..","..",ROUND('FIRE1203 raw'!E32,0)))</f>
        <v>1174</v>
      </c>
      <c r="G32" s="57"/>
      <c r="H32" s="57">
        <f ca="1">IF('FIRE1203 raw'!F32="N/A","N/A",IF('FIRE1203 raw'!F32="..","..",ROUND('FIRE1203 raw'!F32,0)))</f>
        <v>10</v>
      </c>
      <c r="I32" s="57">
        <f ca="1">IF('FIRE1203 raw'!G32="N/A","N/A",IF('FIRE1203 raw'!G32="..","..",ROUND('FIRE1203 raw'!G32,0)))</f>
        <v>16</v>
      </c>
      <c r="J32" s="4"/>
      <c r="K32" s="10"/>
      <c r="L32" s="10"/>
      <c r="N32" s="10"/>
      <c r="O32" s="10"/>
      <c r="Q32" s="12"/>
      <c r="R32" s="12"/>
      <c r="S32" s="12"/>
      <c r="T32" s="12"/>
      <c r="U32" s="12"/>
      <c r="W32" s="11"/>
      <c r="X32" s="11"/>
      <c r="Y32" s="11"/>
      <c r="Z32" s="11"/>
      <c r="AA32" s="11"/>
      <c r="AB32" s="11"/>
      <c r="AC32" s="11"/>
      <c r="AD32" s="11"/>
      <c r="AE32" s="11"/>
      <c r="AF32" s="11"/>
      <c r="AG32" s="11"/>
    </row>
    <row r="33" spans="1:33" s="5" customFormat="1" ht="15" customHeight="1" x14ac:dyDescent="0.35">
      <c r="A33" s="5" t="s">
        <v>30</v>
      </c>
      <c r="B33" s="57">
        <f ca="1">IF('FIRE1203 raw'!B33="N/A","N/A",IF('FIRE1203 raw'!B33="..","..",ROUND('FIRE1203 raw'!B33,0)))</f>
        <v>3465</v>
      </c>
      <c r="C33" s="57">
        <f ca="1">IF('FIRE1203 raw'!C33="N/A","N/A",IF('FIRE1203 raw'!C33="..","..",ROUND('FIRE1203 raw'!C33,0)))</f>
        <v>11209</v>
      </c>
      <c r="D33" s="57"/>
      <c r="E33" s="57">
        <f ca="1">IF('FIRE1203 raw'!D33="N/A","N/A",IF('FIRE1203 raw'!D33="..","..",ROUND('FIRE1203 raw'!D33,0)))</f>
        <v>1199</v>
      </c>
      <c r="F33" s="57">
        <f ca="1">IF('FIRE1203 raw'!E33="N/A","N/A",IF('FIRE1203 raw'!E33="..","..",ROUND('FIRE1203 raw'!E33,0)))</f>
        <v>2186</v>
      </c>
      <c r="G33" s="57"/>
      <c r="H33" s="57">
        <f ca="1">IF('FIRE1203 raw'!F33="N/A","N/A",IF('FIRE1203 raw'!F33="..","..",ROUND('FIRE1203 raw'!F33,0)))</f>
        <v>1307</v>
      </c>
      <c r="I33" s="57">
        <f ca="1">IF('FIRE1203 raw'!G33="N/A","N/A",IF('FIRE1203 raw'!G33="..","..",ROUND('FIRE1203 raw'!G33,0)))</f>
        <v>4892</v>
      </c>
      <c r="J33" s="4"/>
      <c r="K33" s="10"/>
      <c r="L33" s="10"/>
      <c r="N33" s="10"/>
      <c r="O33" s="10"/>
      <c r="Q33" s="12"/>
      <c r="R33" s="12"/>
      <c r="S33" s="12"/>
      <c r="T33" s="12"/>
      <c r="U33" s="12"/>
      <c r="W33" s="11"/>
      <c r="X33" s="11"/>
      <c r="Y33" s="11"/>
      <c r="Z33" s="11"/>
      <c r="AA33" s="11"/>
      <c r="AB33" s="11"/>
      <c r="AC33" s="11"/>
      <c r="AD33" s="11"/>
      <c r="AE33" s="11"/>
      <c r="AF33" s="11"/>
      <c r="AG33" s="11"/>
    </row>
    <row r="34" spans="1:33" s="5" customFormat="1" ht="15" customHeight="1" x14ac:dyDescent="0.35">
      <c r="A34" s="4" t="s">
        <v>31</v>
      </c>
      <c r="B34" s="57">
        <f ca="1">IF('FIRE1203 raw'!B34="N/A","N/A",IF('FIRE1203 raw'!B34="..","..",ROUND('FIRE1203 raw'!B34,0)))</f>
        <v>2895</v>
      </c>
      <c r="C34" s="57">
        <f ca="1">IF('FIRE1203 raw'!C34="N/A","N/A",IF('FIRE1203 raw'!C34="..","..",ROUND('FIRE1203 raw'!C34,0)))</f>
        <v>14435</v>
      </c>
      <c r="D34" s="57"/>
      <c r="E34" s="57">
        <f ca="1">IF('FIRE1203 raw'!D34="N/A","N/A",IF('FIRE1203 raw'!D34="..","..",ROUND('FIRE1203 raw'!D34,0)))</f>
        <v>288</v>
      </c>
      <c r="F34" s="57">
        <f ca="1">IF('FIRE1203 raw'!E34="N/A","N/A",IF('FIRE1203 raw'!E34="..","..",ROUND('FIRE1203 raw'!E34,0)))</f>
        <v>1975</v>
      </c>
      <c r="G34" s="57"/>
      <c r="H34" s="57">
        <f ca="1">IF('FIRE1203 raw'!F34="N/A","N/A",IF('FIRE1203 raw'!F34="..","..",ROUND('FIRE1203 raw'!F34,0)))</f>
        <v>897</v>
      </c>
      <c r="I34" s="57">
        <f ca="1">IF('FIRE1203 raw'!G34="N/A","N/A",IF('FIRE1203 raw'!G34="..","..",ROUND('FIRE1203 raw'!G34,0)))</f>
        <v>4946</v>
      </c>
      <c r="J34" s="4"/>
      <c r="K34" s="10"/>
      <c r="L34" s="10"/>
      <c r="N34" s="10"/>
      <c r="O34" s="10"/>
      <c r="Q34" s="12"/>
      <c r="R34" s="12"/>
      <c r="S34" s="12"/>
      <c r="T34" s="12"/>
      <c r="U34" s="12"/>
      <c r="W34" s="11"/>
      <c r="X34" s="11"/>
      <c r="Y34" s="11"/>
      <c r="Z34" s="11"/>
      <c r="AA34" s="11"/>
      <c r="AB34" s="11"/>
      <c r="AC34" s="11"/>
      <c r="AD34" s="11"/>
      <c r="AE34" s="11"/>
      <c r="AF34" s="11"/>
      <c r="AG34" s="11"/>
    </row>
    <row r="35" spans="1:33" s="5" customFormat="1" ht="15" customHeight="1" x14ac:dyDescent="0.35">
      <c r="A35" s="5" t="s">
        <v>32</v>
      </c>
      <c r="B35" s="57">
        <f ca="1">IF('FIRE1203 raw'!B35="N/A","N/A",IF('FIRE1203 raw'!B35="..","..",ROUND('FIRE1203 raw'!B35,0)))</f>
        <v>1209</v>
      </c>
      <c r="C35" s="57">
        <f ca="1">IF('FIRE1203 raw'!C35="N/A","N/A",IF('FIRE1203 raw'!C35="..","..",ROUND('FIRE1203 raw'!C35,0)))</f>
        <v>7356</v>
      </c>
      <c r="D35" s="57"/>
      <c r="E35" s="57">
        <f ca="1">IF('FIRE1203 raw'!D35="N/A","N/A",IF('FIRE1203 raw'!D35="..","..",ROUND('FIRE1203 raw'!D35,0)))</f>
        <v>495</v>
      </c>
      <c r="F35" s="57">
        <f ca="1">IF('FIRE1203 raw'!E35="N/A","N/A",IF('FIRE1203 raw'!E35="..","..",ROUND('FIRE1203 raw'!E35,0)))</f>
        <v>1485</v>
      </c>
      <c r="G35" s="57"/>
      <c r="H35" s="57">
        <f ca="1">IF('FIRE1203 raw'!F35="N/A","N/A",IF('FIRE1203 raw'!F35="..","..",ROUND('FIRE1203 raw'!F35,0)))</f>
        <v>149</v>
      </c>
      <c r="I35" s="57">
        <f ca="1">IF('FIRE1203 raw'!G35="N/A","N/A",IF('FIRE1203 raw'!G35="..","..",ROUND('FIRE1203 raw'!G35,0)))</f>
        <v>964</v>
      </c>
      <c r="J35" s="4"/>
      <c r="K35" s="10"/>
      <c r="L35" s="10"/>
      <c r="N35" s="10"/>
      <c r="O35" s="10"/>
      <c r="Q35" s="12"/>
      <c r="R35" s="12"/>
      <c r="S35" s="12"/>
      <c r="T35" s="12"/>
      <c r="U35" s="12"/>
      <c r="W35" s="11"/>
      <c r="X35" s="11"/>
      <c r="Y35" s="11"/>
      <c r="Z35" s="11"/>
      <c r="AA35" s="11"/>
      <c r="AB35" s="11"/>
      <c r="AC35" s="11"/>
      <c r="AD35" s="11"/>
      <c r="AE35" s="11"/>
      <c r="AF35" s="11"/>
      <c r="AG35" s="11"/>
    </row>
    <row r="36" spans="1:33" s="5" customFormat="1" ht="15" customHeight="1" x14ac:dyDescent="0.35">
      <c r="A36" s="5" t="s">
        <v>34</v>
      </c>
      <c r="B36" s="57">
        <f ca="1">IF('FIRE1203 raw'!B36="N/A","N/A",IF('FIRE1203 raw'!B36="..","..",ROUND('FIRE1203 raw'!B36,0)))</f>
        <v>6030</v>
      </c>
      <c r="C36" s="57">
        <f ca="1">IF('FIRE1203 raw'!C36="N/A","N/A",IF('FIRE1203 raw'!C36="..","..",ROUND('FIRE1203 raw'!C36,0)))</f>
        <v>18889</v>
      </c>
      <c r="D36" s="57"/>
      <c r="E36" s="57">
        <f ca="1">IF('FIRE1203 raw'!D36="N/A","N/A",IF('FIRE1203 raw'!D36="..","..",ROUND('FIRE1203 raw'!D36,0)))</f>
        <v>5069</v>
      </c>
      <c r="F36" s="57">
        <f ca="1">IF('FIRE1203 raw'!E36="N/A","N/A",IF('FIRE1203 raw'!E36="..","..",ROUND('FIRE1203 raw'!E36,0)))</f>
        <v>17070</v>
      </c>
      <c r="G36" s="57"/>
      <c r="H36" s="57">
        <f ca="1">IF('FIRE1203 raw'!F36="N/A","N/A",IF('FIRE1203 raw'!F36="..","..",ROUND('FIRE1203 raw'!F36,0)))</f>
        <v>730</v>
      </c>
      <c r="I36" s="57">
        <f ca="1">IF('FIRE1203 raw'!G36="N/A","N/A",IF('FIRE1203 raw'!G36="..","..",ROUND('FIRE1203 raw'!G36,0)))</f>
        <v>1300</v>
      </c>
      <c r="J36" s="4"/>
      <c r="K36" s="10"/>
      <c r="L36" s="10"/>
      <c r="N36" s="10"/>
      <c r="O36" s="10"/>
      <c r="Q36" s="12"/>
      <c r="R36" s="12"/>
      <c r="S36" s="12"/>
      <c r="T36" s="12"/>
      <c r="U36" s="12"/>
      <c r="W36" s="11"/>
      <c r="X36" s="11"/>
      <c r="Y36" s="11"/>
      <c r="Z36" s="11"/>
      <c r="AA36" s="11"/>
      <c r="AB36" s="11"/>
      <c r="AC36" s="11"/>
      <c r="AD36" s="11"/>
      <c r="AE36" s="11"/>
      <c r="AF36" s="11"/>
      <c r="AG36" s="11"/>
    </row>
    <row r="37" spans="1:33" s="5" customFormat="1" ht="15" customHeight="1" x14ac:dyDescent="0.35">
      <c r="A37" s="5" t="s">
        <v>35</v>
      </c>
      <c r="B37" s="57">
        <f ca="1">IF('FIRE1203 raw'!B37="N/A","N/A",IF('FIRE1203 raw'!B37="..","..",ROUND('FIRE1203 raw'!B37,0)))</f>
        <v>2116</v>
      </c>
      <c r="C37" s="57">
        <f ca="1">IF('FIRE1203 raw'!C37="N/A","N/A",IF('FIRE1203 raw'!C37="..","..",ROUND('FIRE1203 raw'!C37,0)))</f>
        <v>7545</v>
      </c>
      <c r="D37" s="57"/>
      <c r="E37" s="57">
        <f ca="1">IF('FIRE1203 raw'!D37="N/A","N/A",IF('FIRE1203 raw'!D37="..","..",ROUND('FIRE1203 raw'!D37,0)))</f>
        <v>94</v>
      </c>
      <c r="F37" s="57">
        <f ca="1">IF('FIRE1203 raw'!E37="N/A","N/A",IF('FIRE1203 raw'!E37="..","..",ROUND('FIRE1203 raw'!E37,0)))</f>
        <v>251</v>
      </c>
      <c r="G37" s="57"/>
      <c r="H37" s="57">
        <f ca="1">IF('FIRE1203 raw'!F37="N/A","N/A",IF('FIRE1203 raw'!F37="..","..",ROUND('FIRE1203 raw'!F37,0)))</f>
        <v>286</v>
      </c>
      <c r="I37" s="57">
        <f ca="1">IF('FIRE1203 raw'!G37="N/A","N/A",IF('FIRE1203 raw'!G37="..","..",ROUND('FIRE1203 raw'!G37,0)))</f>
        <v>354</v>
      </c>
      <c r="J37" s="4"/>
      <c r="K37" s="10"/>
      <c r="L37" s="10"/>
      <c r="N37" s="10"/>
      <c r="O37" s="10"/>
      <c r="Q37" s="12"/>
      <c r="R37" s="12"/>
      <c r="S37" s="12"/>
      <c r="T37" s="12"/>
      <c r="U37" s="12"/>
      <c r="W37" s="11"/>
      <c r="X37" s="11"/>
      <c r="Y37" s="11"/>
      <c r="Z37" s="11"/>
      <c r="AA37" s="11"/>
      <c r="AB37" s="11"/>
      <c r="AC37" s="11"/>
      <c r="AD37" s="11"/>
      <c r="AE37" s="11"/>
      <c r="AF37" s="11"/>
      <c r="AG37" s="11"/>
    </row>
    <row r="38" spans="1:33" s="5" customFormat="1" ht="15" customHeight="1" x14ac:dyDescent="0.35">
      <c r="A38" s="5" t="s">
        <v>36</v>
      </c>
      <c r="B38" s="57">
        <f ca="1">IF('FIRE1203 raw'!B38="N/A","N/A",IF('FIRE1203 raw'!B38="..","..",ROUND('FIRE1203 raw'!B38,0)))</f>
        <v>1235</v>
      </c>
      <c r="C38" s="57">
        <f ca="1">IF('FIRE1203 raw'!C38="N/A","N/A",IF('FIRE1203 raw'!C38="..","..",ROUND('FIRE1203 raw'!C38,0)))</f>
        <v>6464</v>
      </c>
      <c r="D38" s="57"/>
      <c r="E38" s="57">
        <f ca="1">IF('FIRE1203 raw'!D38="N/A","N/A",IF('FIRE1203 raw'!D38="..","..",ROUND('FIRE1203 raw'!D38,0)))</f>
        <v>575</v>
      </c>
      <c r="F38" s="57">
        <f ca="1">IF('FIRE1203 raw'!E38="N/A","N/A",IF('FIRE1203 raw'!E38="..","..",ROUND('FIRE1203 raw'!E38,0)))</f>
        <v>2387</v>
      </c>
      <c r="G38" s="57"/>
      <c r="H38" s="57">
        <f ca="1">IF('FIRE1203 raw'!F38="N/A","N/A",IF('FIRE1203 raw'!F38="..","..",ROUND('FIRE1203 raw'!F38,0)))</f>
        <v>537</v>
      </c>
      <c r="I38" s="57">
        <f ca="1">IF('FIRE1203 raw'!G38="N/A","N/A",IF('FIRE1203 raw'!G38="..","..",ROUND('FIRE1203 raw'!G38,0)))</f>
        <v>1105</v>
      </c>
      <c r="J38" s="4"/>
      <c r="K38" s="10"/>
      <c r="L38" s="10"/>
      <c r="N38" s="10"/>
      <c r="O38" s="10"/>
      <c r="Q38" s="12"/>
      <c r="R38" s="12"/>
      <c r="S38" s="12"/>
      <c r="T38" s="12"/>
      <c r="U38" s="12"/>
      <c r="W38" s="11"/>
      <c r="X38" s="11"/>
      <c r="Y38" s="11"/>
      <c r="Z38" s="11"/>
      <c r="AA38" s="11"/>
      <c r="AB38" s="11"/>
      <c r="AC38" s="11"/>
      <c r="AD38" s="11"/>
      <c r="AE38" s="11"/>
      <c r="AF38" s="11"/>
      <c r="AG38" s="11"/>
    </row>
    <row r="39" spans="1:33" s="5" customFormat="1" ht="15" customHeight="1" x14ac:dyDescent="0.35">
      <c r="A39" s="5" t="s">
        <v>37</v>
      </c>
      <c r="B39" s="57">
        <f ca="1">IF('FIRE1203 raw'!B39="N/A","N/A",IF('FIRE1203 raw'!B39="..","..",ROUND('FIRE1203 raw'!B39,0)))</f>
        <v>3769</v>
      </c>
      <c r="C39" s="57">
        <f ca="1">IF('FIRE1203 raw'!C39="N/A","N/A",IF('FIRE1203 raw'!C39="..","..",ROUND('FIRE1203 raw'!C39,0)))</f>
        <v>6236</v>
      </c>
      <c r="D39" s="57"/>
      <c r="E39" s="57">
        <f ca="1">IF('FIRE1203 raw'!D39="N/A","N/A",IF('FIRE1203 raw'!D39="..","..",ROUND('FIRE1203 raw'!D39,0)))</f>
        <v>394</v>
      </c>
      <c r="F39" s="57">
        <f ca="1">IF('FIRE1203 raw'!E39="N/A","N/A",IF('FIRE1203 raw'!E39="..","..",ROUND('FIRE1203 raw'!E39,0)))</f>
        <v>4098</v>
      </c>
      <c r="G39" s="57"/>
      <c r="H39" s="57">
        <f ca="1">IF('FIRE1203 raw'!F39="N/A","N/A",IF('FIRE1203 raw'!F39="..","..",ROUND('FIRE1203 raw'!F39,0)))</f>
        <v>256</v>
      </c>
      <c r="I39" s="57">
        <f ca="1">IF('FIRE1203 raw'!G39="N/A","N/A",IF('FIRE1203 raw'!G39="..","..",ROUND('FIRE1203 raw'!G39,0)))</f>
        <v>1012</v>
      </c>
      <c r="J39" s="4"/>
      <c r="K39" s="10"/>
      <c r="L39" s="10"/>
      <c r="N39" s="10"/>
      <c r="O39" s="10"/>
      <c r="Q39" s="12"/>
      <c r="R39" s="12"/>
      <c r="S39" s="12"/>
      <c r="T39" s="12"/>
      <c r="U39" s="12"/>
      <c r="W39" s="11"/>
      <c r="X39" s="11"/>
      <c r="Y39" s="11"/>
      <c r="Z39" s="11"/>
      <c r="AA39" s="11"/>
      <c r="AB39" s="11"/>
      <c r="AC39" s="11"/>
      <c r="AD39" s="11"/>
      <c r="AE39" s="11"/>
      <c r="AF39" s="11"/>
      <c r="AG39" s="11"/>
    </row>
    <row r="40" spans="1:33" s="5" customFormat="1" ht="15" customHeight="1" x14ac:dyDescent="0.35">
      <c r="A40" s="4" t="s">
        <v>38</v>
      </c>
      <c r="B40" s="57">
        <f ca="1">IF('FIRE1203 raw'!B40="N/A","N/A",IF('FIRE1203 raw'!B40="..","..",ROUND('FIRE1203 raw'!B40,0)))</f>
        <v>5132</v>
      </c>
      <c r="C40" s="57">
        <f ca="1">IF('FIRE1203 raw'!C40="N/A","N/A",IF('FIRE1203 raw'!C40="..","..",ROUND('FIRE1203 raw'!C40,0)))</f>
        <v>23326</v>
      </c>
      <c r="D40" s="57"/>
      <c r="E40" s="57">
        <f ca="1">IF('FIRE1203 raw'!D40="N/A","N/A",IF('FIRE1203 raw'!D40="..","..",ROUND('FIRE1203 raw'!D40,0)))</f>
        <v>405</v>
      </c>
      <c r="F40" s="57">
        <f ca="1">IF('FIRE1203 raw'!E40="N/A","N/A",IF('FIRE1203 raw'!E40="..","..",ROUND('FIRE1203 raw'!E40,0)))</f>
        <v>5922</v>
      </c>
      <c r="G40" s="57"/>
      <c r="H40" s="57">
        <f ca="1">IF('FIRE1203 raw'!F40="N/A","N/A",IF('FIRE1203 raw'!F40="..","..",ROUND('FIRE1203 raw'!F40,0)))</f>
        <v>446</v>
      </c>
      <c r="I40" s="57">
        <f ca="1">IF('FIRE1203 raw'!G40="N/A","N/A",IF('FIRE1203 raw'!G40="..","..",ROUND('FIRE1203 raw'!G40,0)))</f>
        <v>5550</v>
      </c>
      <c r="J40" s="4"/>
      <c r="K40" s="10"/>
      <c r="L40" s="10"/>
      <c r="N40" s="10"/>
      <c r="O40" s="10"/>
      <c r="Q40" s="12"/>
      <c r="R40" s="12"/>
      <c r="S40" s="12"/>
      <c r="T40" s="12"/>
      <c r="U40" s="12"/>
      <c r="W40" s="11"/>
      <c r="X40" s="11"/>
      <c r="Y40" s="11"/>
      <c r="Z40" s="11"/>
      <c r="AA40" s="11"/>
      <c r="AB40" s="11"/>
      <c r="AC40" s="11"/>
      <c r="AD40" s="11"/>
      <c r="AE40" s="11"/>
      <c r="AF40" s="11"/>
      <c r="AG40" s="11"/>
    </row>
    <row r="41" spans="1:33" s="5" customFormat="1" ht="15" customHeight="1" x14ac:dyDescent="0.35">
      <c r="A41" s="4" t="s">
        <v>39</v>
      </c>
      <c r="B41" s="57">
        <f ca="1">IF('FIRE1203 raw'!B41="N/A","N/A",IF('FIRE1203 raw'!B41="..","..",ROUND('FIRE1203 raw'!B41,0)))</f>
        <v>1815</v>
      </c>
      <c r="C41" s="57">
        <f ca="1">IF('FIRE1203 raw'!C41="N/A","N/A",IF('FIRE1203 raw'!C41="..","..",ROUND('FIRE1203 raw'!C41,0)))</f>
        <v>9564</v>
      </c>
      <c r="D41" s="57"/>
      <c r="E41" s="57">
        <f ca="1">IF('FIRE1203 raw'!D41="N/A","N/A",IF('FIRE1203 raw'!D41="..","..",ROUND('FIRE1203 raw'!D41,0)))</f>
        <v>64</v>
      </c>
      <c r="F41" s="57">
        <f ca="1">IF('FIRE1203 raw'!E41="N/A","N/A",IF('FIRE1203 raw'!E41="..","..",ROUND('FIRE1203 raw'!E41,0)))</f>
        <v>380</v>
      </c>
      <c r="G41" s="57"/>
      <c r="H41" s="57">
        <f ca="1">IF('FIRE1203 raw'!F41="N/A","N/A",IF('FIRE1203 raw'!F41="..","..",ROUND('FIRE1203 raw'!F41,0)))</f>
        <v>367</v>
      </c>
      <c r="I41" s="57">
        <f ca="1">IF('FIRE1203 raw'!G41="N/A","N/A",IF('FIRE1203 raw'!G41="..","..",ROUND('FIRE1203 raw'!G41,0)))</f>
        <v>4206</v>
      </c>
      <c r="J41" s="4"/>
      <c r="K41" s="10"/>
      <c r="L41" s="10"/>
      <c r="N41" s="10"/>
      <c r="O41" s="10"/>
      <c r="Q41" s="12"/>
      <c r="R41" s="12"/>
      <c r="S41" s="12"/>
      <c r="T41" s="12"/>
      <c r="U41" s="12"/>
      <c r="W41" s="11"/>
      <c r="X41" s="11"/>
      <c r="Y41" s="11"/>
      <c r="Z41" s="11"/>
      <c r="AA41" s="11"/>
      <c r="AB41" s="11"/>
      <c r="AC41" s="11"/>
      <c r="AD41" s="11"/>
      <c r="AE41" s="11"/>
      <c r="AF41" s="11"/>
      <c r="AG41" s="11"/>
    </row>
    <row r="42" spans="1:33" s="5" customFormat="1" ht="15" customHeight="1" x14ac:dyDescent="0.35">
      <c r="A42" s="4" t="s">
        <v>40</v>
      </c>
      <c r="B42" s="57">
        <f ca="1">IF('FIRE1203 raw'!B42="N/A","N/A",IF('FIRE1203 raw'!B42="..","..",ROUND('FIRE1203 raw'!B42,0)))</f>
        <v>378</v>
      </c>
      <c r="C42" s="57">
        <f ca="1">IF('FIRE1203 raw'!C42="N/A","N/A",IF('FIRE1203 raw'!C42="..","..",ROUND('FIRE1203 raw'!C42,0)))</f>
        <v>1874</v>
      </c>
      <c r="D42" s="57"/>
      <c r="E42" s="57">
        <f ca="1">IF('FIRE1203 raw'!D42="N/A","N/A",IF('FIRE1203 raw'!D42="..","..",ROUND('FIRE1203 raw'!D42,0)))</f>
        <v>34</v>
      </c>
      <c r="F42" s="57">
        <f ca="1">IF('FIRE1203 raw'!E42="N/A","N/A",IF('FIRE1203 raw'!E42="..","..",ROUND('FIRE1203 raw'!E42,0)))</f>
        <v>204</v>
      </c>
      <c r="G42" s="57"/>
      <c r="H42" s="57">
        <f ca="1">IF('FIRE1203 raw'!F42="N/A","N/A",IF('FIRE1203 raw'!F42="..","..",ROUND('FIRE1203 raw'!F42,0)))</f>
        <v>181</v>
      </c>
      <c r="I42" s="57">
        <f ca="1">IF('FIRE1203 raw'!G42="N/A","N/A",IF('FIRE1203 raw'!G42="..","..",ROUND('FIRE1203 raw'!G42,0)))</f>
        <v>902</v>
      </c>
      <c r="J42" s="4"/>
      <c r="K42" s="10"/>
      <c r="L42" s="10"/>
      <c r="N42" s="10"/>
      <c r="O42" s="10"/>
      <c r="Q42" s="12"/>
      <c r="R42" s="12"/>
      <c r="S42" s="12"/>
      <c r="T42" s="12"/>
      <c r="U42" s="12"/>
      <c r="W42" s="11"/>
      <c r="X42" s="11"/>
      <c r="Y42" s="11"/>
      <c r="Z42" s="11"/>
      <c r="AA42" s="11"/>
      <c r="AB42" s="11"/>
      <c r="AC42" s="11"/>
      <c r="AD42" s="11"/>
      <c r="AE42" s="11"/>
      <c r="AF42" s="11"/>
      <c r="AG42" s="11"/>
    </row>
    <row r="43" spans="1:33" s="5" customFormat="1" ht="15" customHeight="1" x14ac:dyDescent="0.35">
      <c r="A43" s="4" t="s">
        <v>42</v>
      </c>
      <c r="B43" s="57">
        <f ca="1">IF('FIRE1203 raw'!B43="N/A","N/A",IF('FIRE1203 raw'!B43="..","..",ROUND('FIRE1203 raw'!B43,0)))</f>
        <v>7039</v>
      </c>
      <c r="C43" s="57">
        <f ca="1">IF('FIRE1203 raw'!C43="N/A","N/A",IF('FIRE1203 raw'!C43="..","..",ROUND('FIRE1203 raw'!C43,0)))</f>
        <v>18493</v>
      </c>
      <c r="D43" s="57"/>
      <c r="E43" s="57">
        <f ca="1">IF('FIRE1203 raw'!D43="N/A","N/A",IF('FIRE1203 raw'!D43="..","..",ROUND('FIRE1203 raw'!D43,0)))</f>
        <v>818</v>
      </c>
      <c r="F43" s="57">
        <f ca="1">IF('FIRE1203 raw'!E43="N/A","N/A",IF('FIRE1203 raw'!E43="..","..",ROUND('FIRE1203 raw'!E43,0)))</f>
        <v>6768</v>
      </c>
      <c r="G43" s="57"/>
      <c r="H43" s="57">
        <f ca="1">IF('FIRE1203 raw'!F43="N/A","N/A",IF('FIRE1203 raw'!F43="..","..",ROUND('FIRE1203 raw'!F43,0)))</f>
        <v>2154</v>
      </c>
      <c r="I43" s="57">
        <f ca="1">IF('FIRE1203 raw'!G43="N/A","N/A",IF('FIRE1203 raw'!G43="..","..",ROUND('FIRE1203 raw'!G43,0)))</f>
        <v>7072</v>
      </c>
      <c r="J43" s="4"/>
      <c r="K43" s="10"/>
      <c r="L43" s="10"/>
      <c r="N43" s="10"/>
      <c r="O43" s="10"/>
      <c r="Q43" s="12"/>
      <c r="R43" s="12"/>
      <c r="S43" s="12"/>
      <c r="T43" s="12"/>
      <c r="U43" s="12"/>
      <c r="W43" s="11"/>
      <c r="X43" s="11"/>
      <c r="Y43" s="11"/>
      <c r="Z43" s="11"/>
      <c r="AA43" s="11"/>
      <c r="AB43" s="11"/>
      <c r="AC43" s="11"/>
      <c r="AD43" s="11"/>
      <c r="AE43" s="11"/>
      <c r="AF43" s="11"/>
      <c r="AG43" s="11"/>
    </row>
    <row r="44" spans="1:33" s="5" customFormat="1" ht="15" customHeight="1" x14ac:dyDescent="0.35">
      <c r="A44" s="4" t="s">
        <v>43</v>
      </c>
      <c r="B44" s="57">
        <f ca="1">IF('FIRE1203 raw'!B44="N/A","N/A",IF('FIRE1203 raw'!B44="..","..",ROUND('FIRE1203 raw'!B44,0)))</f>
        <v>381</v>
      </c>
      <c r="C44" s="57">
        <f ca="1">IF('FIRE1203 raw'!C44="N/A","N/A",IF('FIRE1203 raw'!C44="..","..",ROUND('FIRE1203 raw'!C44,0)))</f>
        <v>3425</v>
      </c>
      <c r="D44" s="57"/>
      <c r="E44" s="57">
        <f ca="1">IF('FIRE1203 raw'!D44="N/A","N/A",IF('FIRE1203 raw'!D44="..","..",ROUND('FIRE1203 raw'!D44,0)))</f>
        <v>166</v>
      </c>
      <c r="F44" s="57">
        <f ca="1">IF('FIRE1203 raw'!E44="N/A","N/A",IF('FIRE1203 raw'!E44="..","..",ROUND('FIRE1203 raw'!E44,0)))</f>
        <v>1859</v>
      </c>
      <c r="G44" s="57"/>
      <c r="H44" s="57">
        <f ca="1">IF('FIRE1203 raw'!F44="N/A","N/A",IF('FIRE1203 raw'!F44="..","..",ROUND('FIRE1203 raw'!F44,0)))</f>
        <v>140</v>
      </c>
      <c r="I44" s="57">
        <f ca="1">IF('FIRE1203 raw'!G44="N/A","N/A",IF('FIRE1203 raw'!G44="..","..",ROUND('FIRE1203 raw'!G44,0)))</f>
        <v>1564</v>
      </c>
      <c r="J44" s="4"/>
      <c r="K44" s="10"/>
      <c r="L44" s="10"/>
      <c r="N44" s="10"/>
      <c r="O44" s="10"/>
      <c r="Q44" s="12"/>
      <c r="R44" s="12"/>
      <c r="S44" s="12"/>
      <c r="T44" s="12"/>
      <c r="U44" s="12"/>
      <c r="W44" s="11"/>
      <c r="X44" s="11"/>
      <c r="Y44" s="11"/>
      <c r="Z44" s="11"/>
      <c r="AA44" s="11"/>
      <c r="AB44" s="11"/>
      <c r="AC44" s="11"/>
      <c r="AD44" s="11"/>
      <c r="AE44" s="11"/>
      <c r="AF44" s="11"/>
      <c r="AG44" s="11"/>
    </row>
    <row r="45" spans="1:33" s="5" customFormat="1" ht="15" customHeight="1" x14ac:dyDescent="0.35">
      <c r="A45" s="4" t="s">
        <v>44</v>
      </c>
      <c r="B45" s="57">
        <f ca="1">IF('FIRE1203 raw'!B45="N/A","N/A",IF('FIRE1203 raw'!B45="..","..",ROUND('FIRE1203 raw'!B45,0)))</f>
        <v>1549</v>
      </c>
      <c r="C45" s="57">
        <f ca="1">IF('FIRE1203 raw'!C45="N/A","N/A",IF('FIRE1203 raw'!C45="..","..",ROUND('FIRE1203 raw'!C45,0)))</f>
        <v>8331</v>
      </c>
      <c r="D45" s="57"/>
      <c r="E45" s="57">
        <f ca="1">IF('FIRE1203 raw'!D45="N/A","N/A",IF('FIRE1203 raw'!D45="..","..",ROUND('FIRE1203 raw'!D45,0)))</f>
        <v>82</v>
      </c>
      <c r="F45" s="57">
        <f ca="1">IF('FIRE1203 raw'!E45="N/A","N/A",IF('FIRE1203 raw'!E45="..","..",ROUND('FIRE1203 raw'!E45,0)))</f>
        <v>5144</v>
      </c>
      <c r="G45" s="57"/>
      <c r="H45" s="57">
        <f ca="1">IF('FIRE1203 raw'!F45="N/A","N/A",IF('FIRE1203 raw'!F45="..","..",ROUND('FIRE1203 raw'!F45,0)))</f>
        <v>57</v>
      </c>
      <c r="I45" s="57">
        <f ca="1">IF('FIRE1203 raw'!G45="N/A","N/A",IF('FIRE1203 raw'!G45="..","..",ROUND('FIRE1203 raw'!G45,0)))</f>
        <v>225</v>
      </c>
      <c r="J45" s="4"/>
      <c r="K45" s="10"/>
      <c r="L45" s="10"/>
      <c r="N45" s="10"/>
      <c r="O45" s="10"/>
      <c r="Q45" s="12"/>
      <c r="R45" s="12"/>
      <c r="S45" s="12"/>
      <c r="T45" s="12"/>
      <c r="U45" s="12"/>
      <c r="W45" s="11"/>
      <c r="X45" s="11"/>
      <c r="Y45" s="11"/>
      <c r="Z45" s="11"/>
      <c r="AA45" s="11"/>
      <c r="AB45" s="11"/>
      <c r="AC45" s="11"/>
      <c r="AD45" s="11"/>
      <c r="AE45" s="11"/>
      <c r="AF45" s="11"/>
      <c r="AG45" s="11"/>
    </row>
    <row r="46" spans="1:33" s="5" customFormat="1" ht="15" customHeight="1" x14ac:dyDescent="0.35">
      <c r="A46" s="4" t="s">
        <v>46</v>
      </c>
      <c r="B46" s="57">
        <f ca="1">IF('FIRE1203 raw'!B46="N/A","N/A",IF('FIRE1203 raw'!B46="..","..",ROUND('FIRE1203 raw'!B46,0)))</f>
        <v>5206</v>
      </c>
      <c r="C46" s="57">
        <f ca="1">IF('FIRE1203 raw'!C46="N/A","N/A",IF('FIRE1203 raw'!C46="..","..",ROUND('FIRE1203 raw'!C46,0)))</f>
        <v>20743</v>
      </c>
      <c r="D46" s="57"/>
      <c r="E46" s="57">
        <f ca="1">IF('FIRE1203 raw'!D46="N/A","N/A",IF('FIRE1203 raw'!D46="..","..",ROUND('FIRE1203 raw'!D46,0)))</f>
        <v>295</v>
      </c>
      <c r="F46" s="57">
        <f ca="1">IF('FIRE1203 raw'!E46="N/A","N/A",IF('FIRE1203 raw'!E46="..","..",ROUND('FIRE1203 raw'!E46,0)))</f>
        <v>2716</v>
      </c>
      <c r="G46" s="57"/>
      <c r="H46" s="57">
        <f ca="1">IF('FIRE1203 raw'!F46="N/A","N/A",IF('FIRE1203 raw'!F46="..","..",ROUND('FIRE1203 raw'!F46,0)))</f>
        <v>4867</v>
      </c>
      <c r="I46" s="57">
        <f ca="1">IF('FIRE1203 raw'!G46="N/A","N/A",IF('FIRE1203 raw'!G46="..","..",ROUND('FIRE1203 raw'!G46,0)))</f>
        <v>17918</v>
      </c>
      <c r="J46" s="4"/>
      <c r="K46" s="10"/>
      <c r="L46" s="10"/>
      <c r="N46" s="10"/>
      <c r="O46" s="10"/>
      <c r="Q46" s="12"/>
      <c r="R46" s="12"/>
      <c r="S46" s="12"/>
      <c r="T46" s="12"/>
      <c r="U46" s="12"/>
      <c r="W46" s="11"/>
      <c r="X46" s="11"/>
      <c r="Y46" s="11"/>
      <c r="Z46" s="11"/>
      <c r="AA46" s="11"/>
      <c r="AB46" s="11"/>
      <c r="AC46" s="11"/>
      <c r="AD46" s="11"/>
      <c r="AE46" s="11"/>
      <c r="AF46" s="11"/>
      <c r="AG46" s="11"/>
    </row>
    <row r="47" spans="1:33" s="5" customFormat="1" ht="15" customHeight="1" x14ac:dyDescent="0.35">
      <c r="A47" s="4" t="s">
        <v>48</v>
      </c>
      <c r="B47" s="57">
        <f ca="1">IF('FIRE1203 raw'!B47="N/A","N/A",IF('FIRE1203 raw'!B47="..","..",ROUND('FIRE1203 raw'!B47,0)))</f>
        <v>2569</v>
      </c>
      <c r="C47" s="57">
        <f ca="1">IF('FIRE1203 raw'!C47="N/A","N/A",IF('FIRE1203 raw'!C47="..","..",ROUND('FIRE1203 raw'!C47,0)))</f>
        <v>7694</v>
      </c>
      <c r="D47" s="57"/>
      <c r="E47" s="57">
        <f ca="1">IF('FIRE1203 raw'!D47="N/A","N/A",IF('FIRE1203 raw'!D47="..","..",ROUND('FIRE1203 raw'!D47,0)))</f>
        <v>1991</v>
      </c>
      <c r="F47" s="57">
        <f ca="1">IF('FIRE1203 raw'!E47="N/A","N/A",IF('FIRE1203 raw'!E47="..","..",ROUND('FIRE1203 raw'!E47,0)))</f>
        <v>6068</v>
      </c>
      <c r="G47" s="57"/>
      <c r="H47" s="57">
        <f ca="1">IF('FIRE1203 raw'!F47="N/A","N/A",IF('FIRE1203 raw'!F47="..","..",ROUND('FIRE1203 raw'!F47,0)))</f>
        <v>472</v>
      </c>
      <c r="I47" s="57">
        <f ca="1">IF('FIRE1203 raw'!G47="N/A","N/A",IF('FIRE1203 raw'!G47="..","..",ROUND('FIRE1203 raw'!G47,0)))</f>
        <v>1395</v>
      </c>
      <c r="J47" s="4"/>
      <c r="K47" s="10"/>
      <c r="L47" s="10"/>
      <c r="N47" s="10"/>
      <c r="O47" s="10"/>
      <c r="Q47" s="12"/>
      <c r="R47" s="12"/>
      <c r="S47" s="12"/>
      <c r="T47" s="12"/>
      <c r="U47" s="12"/>
      <c r="W47" s="11"/>
      <c r="X47" s="11"/>
      <c r="Y47" s="11"/>
      <c r="Z47" s="11"/>
      <c r="AA47" s="11"/>
      <c r="AB47" s="11"/>
      <c r="AC47" s="11"/>
      <c r="AD47" s="11"/>
      <c r="AE47" s="11"/>
      <c r="AF47" s="11"/>
      <c r="AG47" s="11"/>
    </row>
    <row r="48" spans="1:33" s="5" customFormat="1" ht="15" customHeight="1" x14ac:dyDescent="0.35">
      <c r="A48" s="4" t="s">
        <v>138</v>
      </c>
      <c r="B48" s="57" t="str">
        <f ca="1">IF('FIRE1203 raw'!B48="N/A","N/A",IF('FIRE1203 raw'!B48="..","..",ROUND('FIRE1203 raw'!B48,0)))</f>
        <v>..</v>
      </c>
      <c r="C48" s="57" t="str">
        <f ca="1">IF('FIRE1203 raw'!C48="N/A","N/A",IF('FIRE1203 raw'!C48="..","..",ROUND('FIRE1203 raw'!C48,0)))</f>
        <v>..</v>
      </c>
      <c r="D48" s="57"/>
      <c r="E48" s="57" t="str">
        <f ca="1">IF('FIRE1203 raw'!D48="N/A","N/A",IF('FIRE1203 raw'!D48="..","..",ROUND('FIRE1203 raw'!D48,0)))</f>
        <v>..</v>
      </c>
      <c r="F48" s="57" t="str">
        <f ca="1">IF('FIRE1203 raw'!E48="N/A","N/A",IF('FIRE1203 raw'!E48="..","..",ROUND('FIRE1203 raw'!E48,0)))</f>
        <v>..</v>
      </c>
      <c r="G48" s="57"/>
      <c r="H48" s="57" t="str">
        <f ca="1">IF('FIRE1203 raw'!F48="N/A","N/A",IF('FIRE1203 raw'!F48="..","..",ROUND('FIRE1203 raw'!F48,0)))</f>
        <v>..</v>
      </c>
      <c r="I48" s="57" t="str">
        <f ca="1">IF('FIRE1203 raw'!G48="N/A","N/A",IF('FIRE1203 raw'!G48="..","..",ROUND('FIRE1203 raw'!G48,0)))</f>
        <v>..</v>
      </c>
      <c r="J48" s="4"/>
      <c r="K48" s="10"/>
      <c r="L48" s="10"/>
      <c r="N48" s="10"/>
      <c r="O48" s="10"/>
      <c r="Q48" s="12"/>
      <c r="R48" s="12"/>
      <c r="S48" s="12"/>
      <c r="T48" s="12"/>
      <c r="U48" s="12"/>
      <c r="W48" s="11"/>
      <c r="X48" s="11"/>
      <c r="Y48" s="11"/>
      <c r="Z48" s="11"/>
      <c r="AA48" s="11"/>
      <c r="AB48" s="11"/>
      <c r="AC48" s="11"/>
      <c r="AD48" s="11"/>
      <c r="AE48" s="11"/>
      <c r="AF48" s="11"/>
      <c r="AG48" s="11"/>
    </row>
    <row r="49" spans="1:33" s="5" customFormat="1" ht="15" customHeight="1" x14ac:dyDescent="0.35">
      <c r="A49" s="4" t="s">
        <v>28</v>
      </c>
      <c r="B49" s="57">
        <f ca="1">IF('FIRE1203 raw'!B49="N/A","N/A",IF('FIRE1203 raw'!B49="..","..",ROUND('FIRE1203 raw'!B49,0)))</f>
        <v>7</v>
      </c>
      <c r="C49" s="57">
        <f ca="1">IF('FIRE1203 raw'!C49="N/A","N/A",IF('FIRE1203 raw'!C49="..","..",ROUND('FIRE1203 raw'!C49,0)))</f>
        <v>14</v>
      </c>
      <c r="D49" s="57"/>
      <c r="E49" s="57">
        <f ca="1">IF('FIRE1203 raw'!D49="N/A","N/A",IF('FIRE1203 raw'!D49="..","..",ROUND('FIRE1203 raw'!D49,0)))</f>
        <v>1</v>
      </c>
      <c r="F49" s="57">
        <f ca="1">IF('FIRE1203 raw'!E49="N/A","N/A",IF('FIRE1203 raw'!E49="..","..",ROUND('FIRE1203 raw'!E49,0)))</f>
        <v>2</v>
      </c>
      <c r="G49" s="57"/>
      <c r="H49" s="57">
        <f ca="1">IF('FIRE1203 raw'!F49="N/A","N/A",IF('FIRE1203 raw'!F49="..","..",ROUND('FIRE1203 raw'!F49,0)))</f>
        <v>4</v>
      </c>
      <c r="I49" s="57">
        <f ca="1">IF('FIRE1203 raw'!G49="N/A","N/A",IF('FIRE1203 raw'!G49="..","..",ROUND('FIRE1203 raw'!G49,0)))</f>
        <v>7</v>
      </c>
      <c r="J49" s="4"/>
      <c r="K49" s="10"/>
      <c r="L49" s="10"/>
      <c r="N49" s="10"/>
      <c r="O49" s="10"/>
      <c r="Q49" s="12"/>
      <c r="R49" s="12"/>
      <c r="S49" s="12"/>
      <c r="T49" s="12"/>
      <c r="U49" s="12"/>
      <c r="W49" s="11"/>
      <c r="X49" s="11"/>
      <c r="Y49" s="11"/>
      <c r="Z49" s="11"/>
      <c r="AA49" s="11"/>
      <c r="AB49" s="11"/>
      <c r="AC49" s="11"/>
      <c r="AD49" s="11"/>
      <c r="AE49" s="11"/>
      <c r="AF49" s="11"/>
      <c r="AG49" s="11"/>
    </row>
    <row r="50" spans="1:33" s="5" customFormat="1" ht="15" customHeight="1" x14ac:dyDescent="0.35">
      <c r="A50" s="23" t="s">
        <v>3</v>
      </c>
      <c r="B50" s="14">
        <f ca="1">IF('FIRE1203 raw'!B50="N/A","N/A",IF('FIRE1203 raw'!B50="..","..",ROUND('FIRE1203 raw'!B50,0)))</f>
        <v>18215</v>
      </c>
      <c r="C50" s="14">
        <f ca="1">IF('FIRE1203 raw'!C50="N/A","N/A",IF('FIRE1203 raw'!C50="..","..",ROUND('FIRE1203 raw'!C50,0)))</f>
        <v>131354</v>
      </c>
      <c r="D50" s="14"/>
      <c r="E50" s="14">
        <f ca="1">IF('FIRE1203 raw'!D50="N/A","N/A",IF('FIRE1203 raw'!D50="..","..",ROUND('FIRE1203 raw'!D50,0)))</f>
        <v>5884</v>
      </c>
      <c r="F50" s="14">
        <f ca="1">IF('FIRE1203 raw'!E50="N/A","N/A",IF('FIRE1203 raw'!E50="..","..",ROUND('FIRE1203 raw'!E50,0)))</f>
        <v>54543</v>
      </c>
      <c r="G50" s="14"/>
      <c r="H50" s="14">
        <f ca="1">IF('FIRE1203 raw'!F50="N/A","N/A",IF('FIRE1203 raw'!F50="..","..",ROUND('FIRE1203 raw'!F50,0)))</f>
        <v>4767</v>
      </c>
      <c r="I50" s="14">
        <f ca="1">IF('FIRE1203 raw'!G50="N/A","N/A",IF('FIRE1203 raw'!G50="..","..",ROUND('FIRE1203 raw'!G50,0)))</f>
        <v>30362</v>
      </c>
      <c r="J50" s="4"/>
      <c r="K50" s="10"/>
      <c r="L50" s="10"/>
      <c r="N50" s="10"/>
      <c r="O50" s="10"/>
      <c r="Q50" s="12"/>
      <c r="R50" s="12"/>
      <c r="S50" s="12"/>
      <c r="T50" s="12"/>
      <c r="U50" s="12"/>
      <c r="W50" s="11"/>
      <c r="X50" s="11"/>
      <c r="Y50" s="11"/>
      <c r="Z50" s="11"/>
      <c r="AA50" s="11"/>
      <c r="AB50" s="11"/>
      <c r="AC50" s="11"/>
      <c r="AD50" s="11"/>
      <c r="AE50" s="11"/>
      <c r="AF50" s="11"/>
      <c r="AG50" s="11"/>
    </row>
    <row r="51" spans="1:33" s="5" customFormat="1" ht="15" customHeight="1" x14ac:dyDescent="0.35">
      <c r="A51" s="58" t="s">
        <v>22</v>
      </c>
      <c r="B51" s="57">
        <f ca="1">IF('FIRE1203 raw'!B51="N/A","N/A",IF('FIRE1203 raw'!B51="..","..",ROUND('FIRE1203 raw'!B51,0)))</f>
        <v>2753</v>
      </c>
      <c r="C51" s="57">
        <f ca="1">IF('FIRE1203 raw'!C51="N/A","N/A",IF('FIRE1203 raw'!C51="..","..",ROUND('FIRE1203 raw'!C51,0)))</f>
        <v>15241</v>
      </c>
      <c r="D51" s="57"/>
      <c r="E51" s="57">
        <f ca="1">IF('FIRE1203 raw'!D51="N/A","N/A",IF('FIRE1203 raw'!D51="..","..",ROUND('FIRE1203 raw'!D51,0)))</f>
        <v>259</v>
      </c>
      <c r="F51" s="57">
        <f ca="1">IF('FIRE1203 raw'!E51="N/A","N/A",IF('FIRE1203 raw'!E51="..","..",ROUND('FIRE1203 raw'!E51,0)))</f>
        <v>329</v>
      </c>
      <c r="G51" s="57"/>
      <c r="H51" s="57">
        <f ca="1">IF('FIRE1203 raw'!F51="N/A","N/A",IF('FIRE1203 raw'!F51="..","..",ROUND('FIRE1203 raw'!F51,0)))</f>
        <v>1198</v>
      </c>
      <c r="I51" s="57">
        <f ca="1">IF('FIRE1203 raw'!G51="N/A","N/A",IF('FIRE1203 raw'!G51="..","..",ROUND('FIRE1203 raw'!G51,0)))</f>
        <v>3741</v>
      </c>
      <c r="J51" s="4"/>
      <c r="K51" s="10"/>
      <c r="L51" s="10"/>
      <c r="N51" s="10"/>
      <c r="O51" s="10"/>
      <c r="Q51" s="12"/>
      <c r="R51" s="12"/>
      <c r="S51" s="12"/>
      <c r="T51" s="12"/>
      <c r="U51" s="12"/>
      <c r="W51" s="11"/>
      <c r="X51" s="11"/>
      <c r="Y51" s="11"/>
      <c r="Z51" s="11"/>
      <c r="AA51" s="11"/>
      <c r="AB51" s="11"/>
      <c r="AC51" s="11"/>
      <c r="AD51" s="11"/>
      <c r="AE51" s="11"/>
      <c r="AF51" s="11"/>
      <c r="AG51" s="11"/>
    </row>
    <row r="52" spans="1:33" s="5" customFormat="1" ht="15" customHeight="1" x14ac:dyDescent="0.35">
      <c r="A52" s="58" t="s">
        <v>33</v>
      </c>
      <c r="B52" s="57">
        <f ca="1">IF('FIRE1203 raw'!B52="N/A","N/A",IF('FIRE1203 raw'!B52="..","..",ROUND('FIRE1203 raw'!B52,0)))</f>
        <v>5455</v>
      </c>
      <c r="C52" s="57">
        <f ca="1">IF('FIRE1203 raw'!C52="N/A","N/A",IF('FIRE1203 raw'!C52="..","..",ROUND('FIRE1203 raw'!C52,0)))</f>
        <v>24651</v>
      </c>
      <c r="D52" s="57"/>
      <c r="E52" s="57">
        <f ca="1">IF('FIRE1203 raw'!D52="N/A","N/A",IF('FIRE1203 raw'!D52="..","..",ROUND('FIRE1203 raw'!D52,0)))</f>
        <v>3029</v>
      </c>
      <c r="F52" s="57">
        <f ca="1">IF('FIRE1203 raw'!E52="N/A","N/A",IF('FIRE1203 raw'!E52="..","..",ROUND('FIRE1203 raw'!E52,0)))</f>
        <v>18986</v>
      </c>
      <c r="G52" s="57"/>
      <c r="H52" s="57">
        <f ca="1">IF('FIRE1203 raw'!F52="N/A","N/A",IF('FIRE1203 raw'!F52="..","..",ROUND('FIRE1203 raw'!F52,0)))</f>
        <v>352</v>
      </c>
      <c r="I52" s="57">
        <f ca="1">IF('FIRE1203 raw'!G52="N/A","N/A",IF('FIRE1203 raw'!G52="..","..",ROUND('FIRE1203 raw'!G52,0)))</f>
        <v>1808</v>
      </c>
      <c r="J52" s="4"/>
      <c r="K52" s="10"/>
      <c r="L52" s="10"/>
      <c r="N52" s="10"/>
      <c r="O52" s="10"/>
      <c r="Q52" s="12"/>
      <c r="R52" s="12"/>
      <c r="S52" s="12"/>
      <c r="T52" s="12"/>
      <c r="U52" s="12"/>
      <c r="W52" s="11"/>
      <c r="X52" s="11"/>
      <c r="Y52" s="11"/>
      <c r="Z52" s="11"/>
      <c r="AA52" s="11"/>
      <c r="AB52" s="11"/>
      <c r="AC52" s="11"/>
      <c r="AD52" s="11"/>
      <c r="AE52" s="11"/>
      <c r="AF52" s="11"/>
      <c r="AG52" s="11"/>
    </row>
    <row r="53" spans="1:33" s="5" customFormat="1" ht="15" customHeight="1" x14ac:dyDescent="0.35">
      <c r="A53" s="58" t="s">
        <v>41</v>
      </c>
      <c r="B53" s="57">
        <f ca="1">IF('FIRE1203 raw'!B53="N/A","N/A",IF('FIRE1203 raw'!B53="..","..",ROUND('FIRE1203 raw'!B53,0)))</f>
        <v>979</v>
      </c>
      <c r="C53" s="57">
        <f ca="1">IF('FIRE1203 raw'!C53="N/A","N/A",IF('FIRE1203 raw'!C53="..","..",ROUND('FIRE1203 raw'!C53,0)))</f>
        <v>3632</v>
      </c>
      <c r="D53" s="57"/>
      <c r="E53" s="57">
        <f ca="1">IF('FIRE1203 raw'!D53="N/A","N/A",IF('FIRE1203 raw'!D53="..","..",ROUND('FIRE1203 raw'!D53,0)))</f>
        <v>566</v>
      </c>
      <c r="F53" s="57">
        <f ca="1">IF('FIRE1203 raw'!E53="N/A","N/A",IF('FIRE1203 raw'!E53="..","..",ROUND('FIRE1203 raw'!E53,0)))</f>
        <v>2054</v>
      </c>
      <c r="G53" s="57"/>
      <c r="H53" s="57">
        <f ca="1">IF('FIRE1203 raw'!F53="N/A","N/A",IF('FIRE1203 raw'!F53="..","..",ROUND('FIRE1203 raw'!F53,0)))</f>
        <v>245</v>
      </c>
      <c r="I53" s="57">
        <f ca="1">IF('FIRE1203 raw'!G53="N/A","N/A",IF('FIRE1203 raw'!G53="..","..",ROUND('FIRE1203 raw'!G53,0)))</f>
        <v>680</v>
      </c>
      <c r="J53" s="4"/>
      <c r="K53" s="10"/>
      <c r="L53" s="10"/>
      <c r="N53" s="10"/>
      <c r="O53" s="10"/>
      <c r="Q53" s="12"/>
      <c r="R53" s="12"/>
      <c r="S53" s="12"/>
      <c r="T53" s="12"/>
      <c r="U53" s="12"/>
      <c r="W53" s="11"/>
      <c r="X53" s="11"/>
      <c r="Y53" s="11"/>
      <c r="Z53" s="11"/>
      <c r="AA53" s="11"/>
      <c r="AB53" s="11"/>
      <c r="AC53" s="11"/>
      <c r="AD53" s="11"/>
      <c r="AE53" s="11"/>
      <c r="AF53" s="11"/>
      <c r="AG53" s="11"/>
    </row>
    <row r="54" spans="1:33" s="5" customFormat="1" ht="15" customHeight="1" x14ac:dyDescent="0.35">
      <c r="A54" s="58" t="s">
        <v>45</v>
      </c>
      <c r="B54" s="57">
        <f ca="1">IF('FIRE1203 raw'!B54="N/A","N/A",IF('FIRE1203 raw'!B54="..","..",ROUND('FIRE1203 raw'!B54,0)))</f>
        <v>2312</v>
      </c>
      <c r="C54" s="57">
        <f ca="1">IF('FIRE1203 raw'!C54="N/A","N/A",IF('FIRE1203 raw'!C54="..","..",ROUND('FIRE1203 raw'!C54,0)))</f>
        <v>16794</v>
      </c>
      <c r="D54" s="57"/>
      <c r="E54" s="57">
        <f ca="1">IF('FIRE1203 raw'!D54="N/A","N/A",IF('FIRE1203 raw'!D54="..","..",ROUND('FIRE1203 raw'!D54,0)))</f>
        <v>321</v>
      </c>
      <c r="F54" s="57">
        <f ca="1">IF('FIRE1203 raw'!E54="N/A","N/A",IF('FIRE1203 raw'!E54="..","..",ROUND('FIRE1203 raw'!E54,0)))</f>
        <v>1985</v>
      </c>
      <c r="G54" s="57"/>
      <c r="H54" s="57">
        <f ca="1">IF('FIRE1203 raw'!F54="N/A","N/A",IF('FIRE1203 raw'!F54="..","..",ROUND('FIRE1203 raw'!F54,0)))</f>
        <v>1084</v>
      </c>
      <c r="I54" s="57">
        <f ca="1">IF('FIRE1203 raw'!G54="N/A","N/A",IF('FIRE1203 raw'!G54="..","..",ROUND('FIRE1203 raw'!G54,0)))</f>
        <v>14162</v>
      </c>
      <c r="J54" s="4"/>
      <c r="K54" s="10"/>
      <c r="L54" s="10"/>
      <c r="N54" s="10"/>
      <c r="O54" s="10"/>
      <c r="Q54" s="12"/>
      <c r="R54" s="12"/>
      <c r="S54" s="12"/>
      <c r="T54" s="12"/>
      <c r="U54" s="12"/>
      <c r="W54" s="11"/>
      <c r="X54" s="11"/>
      <c r="Y54" s="11"/>
      <c r="Z54" s="11"/>
      <c r="AA54" s="11"/>
      <c r="AB54" s="11"/>
      <c r="AC54" s="11"/>
      <c r="AD54" s="11"/>
      <c r="AE54" s="11"/>
      <c r="AF54" s="11"/>
      <c r="AG54" s="11"/>
    </row>
    <row r="55" spans="1:33" s="5" customFormat="1" ht="15" customHeight="1" x14ac:dyDescent="0.35">
      <c r="A55" s="58" t="s">
        <v>47</v>
      </c>
      <c r="B55" s="57">
        <f ca="1">IF('FIRE1203 raw'!B55="N/A","N/A",IF('FIRE1203 raw'!B55="..","..",ROUND('FIRE1203 raw'!B55,0)))</f>
        <v>2279</v>
      </c>
      <c r="C55" s="57">
        <f ca="1">IF('FIRE1203 raw'!C55="N/A","N/A",IF('FIRE1203 raw'!C55="..","..",ROUND('FIRE1203 raw'!C55,0)))</f>
        <v>19931</v>
      </c>
      <c r="D55" s="57"/>
      <c r="E55" s="57">
        <f ca="1">IF('FIRE1203 raw'!D55="N/A","N/A",IF('FIRE1203 raw'!D55="..","..",ROUND('FIRE1203 raw'!D55,0)))</f>
        <v>333</v>
      </c>
      <c r="F55" s="57">
        <f ca="1">IF('FIRE1203 raw'!E55="N/A","N/A",IF('FIRE1203 raw'!E55="..","..",ROUND('FIRE1203 raw'!E55,0)))</f>
        <v>444</v>
      </c>
      <c r="G55" s="57"/>
      <c r="H55" s="57">
        <f ca="1">IF('FIRE1203 raw'!F55="N/A","N/A",IF('FIRE1203 raw'!F55="..","..",ROUND('FIRE1203 raw'!F55,0)))</f>
        <v>148</v>
      </c>
      <c r="I55" s="57">
        <f ca="1">IF('FIRE1203 raw'!G55="N/A","N/A",IF('FIRE1203 raw'!G55="..","..",ROUND('FIRE1203 raw'!G55,0)))</f>
        <v>2430</v>
      </c>
      <c r="J55" s="4"/>
      <c r="K55" s="10"/>
      <c r="L55" s="10"/>
      <c r="N55" s="10"/>
      <c r="O55" s="10"/>
      <c r="Q55" s="12"/>
      <c r="R55" s="12"/>
      <c r="S55" s="12"/>
      <c r="T55" s="12"/>
      <c r="U55" s="12"/>
      <c r="W55" s="11"/>
      <c r="X55" s="11"/>
      <c r="Y55" s="11"/>
      <c r="Z55" s="11"/>
      <c r="AA55" s="11"/>
      <c r="AB55" s="11"/>
      <c r="AC55" s="11"/>
      <c r="AD55" s="11"/>
      <c r="AE55" s="11"/>
      <c r="AF55" s="11"/>
      <c r="AG55" s="11"/>
    </row>
    <row r="56" spans="1:33" s="5" customFormat="1" ht="15" customHeight="1" x14ac:dyDescent="0.35">
      <c r="A56" s="58" t="s">
        <v>49</v>
      </c>
      <c r="B56" s="57">
        <f ca="1">IF('FIRE1203 raw'!B56="N/A","N/A",IF('FIRE1203 raw'!B56="..","..",ROUND('FIRE1203 raw'!B56,0)))</f>
        <v>2390</v>
      </c>
      <c r="C56" s="57">
        <f ca="1">IF('FIRE1203 raw'!C56="N/A","N/A",IF('FIRE1203 raw'!C56="..","..",ROUND('FIRE1203 raw'!C56,0)))</f>
        <v>19259</v>
      </c>
      <c r="D56" s="57"/>
      <c r="E56" s="57">
        <f ca="1">IF('FIRE1203 raw'!D56="N/A","N/A",IF('FIRE1203 raw'!D56="..","..",ROUND('FIRE1203 raw'!D56,0)))</f>
        <v>614</v>
      </c>
      <c r="F56" s="57">
        <f ca="1">IF('FIRE1203 raw'!E56="N/A","N/A",IF('FIRE1203 raw'!E56="..","..",ROUND('FIRE1203 raw'!E56,0)))</f>
        <v>3639</v>
      </c>
      <c r="G56" s="57"/>
      <c r="H56" s="57">
        <f ca="1">IF('FIRE1203 raw'!F56="N/A","N/A",IF('FIRE1203 raw'!F56="..","..",ROUND('FIRE1203 raw'!F56,0)))</f>
        <v>455</v>
      </c>
      <c r="I56" s="57">
        <f ca="1">IF('FIRE1203 raw'!G56="N/A","N/A",IF('FIRE1203 raw'!G56="..","..",ROUND('FIRE1203 raw'!G56,0)))</f>
        <v>2801</v>
      </c>
      <c r="J56" s="4"/>
      <c r="K56" s="10"/>
      <c r="L56" s="10"/>
      <c r="M56" s="4"/>
      <c r="N56" s="10"/>
      <c r="O56" s="10"/>
      <c r="Q56" s="12"/>
      <c r="R56" s="12"/>
      <c r="S56" s="12"/>
      <c r="T56" s="12"/>
      <c r="U56" s="12"/>
      <c r="W56" s="11"/>
      <c r="X56" s="11"/>
      <c r="Y56" s="11"/>
      <c r="Z56" s="11"/>
      <c r="AA56" s="11"/>
      <c r="AB56" s="11"/>
      <c r="AC56" s="11"/>
      <c r="AD56" s="11"/>
      <c r="AE56" s="11"/>
      <c r="AF56" s="11"/>
      <c r="AG56" s="11"/>
    </row>
    <row r="57" spans="1:33" s="5" customFormat="1" ht="15" customHeight="1" thickBot="1" x14ac:dyDescent="0.4">
      <c r="A57" s="15" t="s">
        <v>21</v>
      </c>
      <c r="B57" s="59">
        <f ca="1">IF('FIRE1203 raw'!B57="N/A","N/A",IF('FIRE1203 raw'!B57="..","..",ROUND('FIRE1203 raw'!B57,0)))</f>
        <v>2047</v>
      </c>
      <c r="C57" s="59">
        <f ca="1">IF('FIRE1203 raw'!C57="N/A","N/A",IF('FIRE1203 raw'!C57="..","..",ROUND('FIRE1203 raw'!C57,0)))</f>
        <v>31846</v>
      </c>
      <c r="D57" s="59"/>
      <c r="E57" s="59">
        <f ca="1">IF('FIRE1203 raw'!D57="N/A","N/A",IF('FIRE1203 raw'!D57="..","..",ROUND('FIRE1203 raw'!D57,0)))</f>
        <v>762</v>
      </c>
      <c r="F57" s="59">
        <f ca="1">IF('FIRE1203 raw'!E57="N/A","N/A",IF('FIRE1203 raw'!E57="..","..",ROUND('FIRE1203 raw'!E57,0)))</f>
        <v>27106</v>
      </c>
      <c r="G57" s="59"/>
      <c r="H57" s="59">
        <f ca="1">IF('FIRE1203 raw'!F57="N/A","N/A",IF('FIRE1203 raw'!F57="..","..",ROUND('FIRE1203 raw'!F57,0)))</f>
        <v>1285</v>
      </c>
      <c r="I57" s="59">
        <f ca="1">IF('FIRE1203 raw'!G57="N/A","N/A",IF('FIRE1203 raw'!G57="..","..",ROUND('FIRE1203 raw'!G57,0)))</f>
        <v>4740</v>
      </c>
      <c r="J57" s="4"/>
      <c r="K57" s="10"/>
      <c r="L57" s="10"/>
      <c r="M57" s="4"/>
      <c r="N57" s="10"/>
      <c r="O57" s="10"/>
      <c r="Q57" s="12"/>
      <c r="R57" s="12"/>
      <c r="S57" s="12"/>
      <c r="T57" s="12"/>
      <c r="U57" s="12"/>
      <c r="W57" s="11"/>
      <c r="X57" s="11"/>
      <c r="Y57" s="11"/>
      <c r="Z57" s="11"/>
      <c r="AA57" s="11"/>
      <c r="AB57" s="11"/>
      <c r="AC57" s="11"/>
      <c r="AD57" s="11"/>
      <c r="AE57" s="11"/>
      <c r="AF57" s="11"/>
      <c r="AG57" s="11"/>
    </row>
    <row r="58" spans="1:33" ht="32.25" customHeight="1" x14ac:dyDescent="0.35">
      <c r="A58" s="127" t="s">
        <v>119</v>
      </c>
      <c r="B58" s="127"/>
      <c r="C58" s="127"/>
      <c r="D58" s="127"/>
      <c r="E58" s="127"/>
      <c r="F58" s="127"/>
      <c r="G58" s="127"/>
      <c r="H58" s="127"/>
      <c r="I58" s="127"/>
      <c r="K58" s="10"/>
      <c r="L58" s="10"/>
      <c r="N58" s="10"/>
      <c r="O58" s="10"/>
      <c r="P58" s="10"/>
      <c r="Q58" s="10"/>
      <c r="R58" s="10"/>
      <c r="S58" s="10"/>
      <c r="T58" s="10"/>
      <c r="U58" s="10"/>
    </row>
    <row r="59" spans="1:33" s="5" customFormat="1" ht="31.5" customHeight="1" x14ac:dyDescent="0.35">
      <c r="A59" s="127" t="s">
        <v>146</v>
      </c>
      <c r="B59" s="127"/>
      <c r="C59" s="127"/>
      <c r="D59" s="127"/>
      <c r="E59" s="127"/>
      <c r="F59" s="127"/>
      <c r="G59" s="127"/>
      <c r="H59" s="127"/>
      <c r="I59" s="127"/>
      <c r="J59" s="4"/>
      <c r="K59" s="10"/>
      <c r="L59" s="10"/>
      <c r="M59" s="4"/>
      <c r="N59" s="10"/>
      <c r="O59" s="10"/>
      <c r="P59" s="10"/>
      <c r="Q59" s="10"/>
      <c r="R59" s="10"/>
      <c r="S59" s="10"/>
      <c r="T59" s="10"/>
      <c r="U59" s="10"/>
    </row>
    <row r="60" spans="1:33" s="5" customFormat="1" ht="15" customHeight="1" x14ac:dyDescent="0.35">
      <c r="A60" s="132" t="s">
        <v>147</v>
      </c>
      <c r="B60" s="132"/>
      <c r="C60" s="132"/>
      <c r="D60" s="132"/>
      <c r="E60" s="132"/>
      <c r="F60" s="132"/>
      <c r="G60" s="132"/>
      <c r="H60" s="132"/>
      <c r="I60" s="132"/>
      <c r="J60" s="4"/>
      <c r="K60" s="10"/>
      <c r="L60" s="10"/>
      <c r="M60" s="4"/>
      <c r="N60" s="10"/>
      <c r="O60" s="10"/>
      <c r="P60" s="10"/>
      <c r="Q60" s="10"/>
      <c r="R60" s="10"/>
      <c r="S60" s="10"/>
      <c r="T60" s="10"/>
      <c r="U60" s="10"/>
    </row>
    <row r="61" spans="1:33" s="5" customFormat="1" ht="30" customHeight="1" x14ac:dyDescent="0.35">
      <c r="A61" s="119" t="s">
        <v>148</v>
      </c>
      <c r="B61" s="119"/>
      <c r="C61" s="119"/>
      <c r="D61" s="119"/>
      <c r="E61" s="119"/>
      <c r="F61" s="119"/>
      <c r="G61" s="119"/>
      <c r="H61" s="119"/>
      <c r="I61" s="119"/>
      <c r="J61" s="4"/>
      <c r="K61" s="10"/>
      <c r="L61" s="10"/>
      <c r="M61" s="4"/>
      <c r="N61" s="10"/>
      <c r="O61" s="10"/>
      <c r="P61" s="10"/>
      <c r="Q61" s="10"/>
      <c r="R61" s="10"/>
      <c r="S61" s="10"/>
      <c r="T61" s="10"/>
      <c r="U61" s="10"/>
    </row>
    <row r="62" spans="1:33" s="5" customFormat="1" ht="15" customHeight="1" x14ac:dyDescent="0.35">
      <c r="B62" s="4"/>
      <c r="C62" s="4"/>
      <c r="D62" s="4"/>
      <c r="E62" s="4"/>
      <c r="F62" s="4"/>
      <c r="G62" s="4"/>
      <c r="H62" s="4"/>
      <c r="I62" s="4"/>
      <c r="J62" s="4"/>
      <c r="K62" s="10"/>
      <c r="L62" s="10"/>
      <c r="M62" s="4"/>
      <c r="N62" s="10"/>
      <c r="O62" s="10"/>
      <c r="P62" s="10"/>
      <c r="Q62" s="10"/>
      <c r="R62" s="10"/>
      <c r="S62" s="10"/>
      <c r="T62" s="10"/>
      <c r="U62" s="10"/>
    </row>
    <row r="63" spans="1:33" s="5" customFormat="1" ht="15" customHeight="1" x14ac:dyDescent="0.35">
      <c r="A63" s="119" t="s">
        <v>89</v>
      </c>
      <c r="B63" s="119"/>
      <c r="C63" s="119"/>
      <c r="D63" s="119"/>
      <c r="E63" s="119"/>
      <c r="F63" s="119"/>
      <c r="G63" s="119"/>
      <c r="H63" s="119"/>
      <c r="I63" s="119"/>
      <c r="J63" s="4"/>
      <c r="K63" s="10"/>
      <c r="L63" s="10"/>
      <c r="M63" s="4"/>
      <c r="N63" s="10"/>
      <c r="O63" s="10"/>
      <c r="P63" s="10"/>
      <c r="Q63" s="10"/>
      <c r="R63" s="10"/>
      <c r="S63" s="10"/>
      <c r="T63" s="10"/>
      <c r="U63" s="10"/>
    </row>
    <row r="64" spans="1:33" s="5" customFormat="1" ht="15" customHeight="1" x14ac:dyDescent="0.35">
      <c r="A64" s="97"/>
      <c r="B64" s="103"/>
      <c r="C64" s="103"/>
      <c r="D64" s="103"/>
      <c r="E64" s="103"/>
      <c r="F64" s="103"/>
      <c r="G64" s="103"/>
      <c r="H64" s="103"/>
      <c r="I64" s="103"/>
      <c r="J64" s="4"/>
      <c r="K64" s="10"/>
      <c r="L64" s="10"/>
      <c r="M64" s="4"/>
      <c r="N64" s="10"/>
      <c r="O64" s="10"/>
      <c r="P64" s="10"/>
      <c r="Q64" s="10"/>
      <c r="R64" s="10"/>
      <c r="S64" s="10"/>
      <c r="T64" s="10"/>
      <c r="U64" s="10"/>
    </row>
    <row r="65" spans="1:25" s="5" customFormat="1" ht="15" customHeight="1" x14ac:dyDescent="0.35">
      <c r="A65" s="17" t="s">
        <v>116</v>
      </c>
      <c r="B65" s="4"/>
      <c r="C65" s="4"/>
      <c r="D65" s="4"/>
      <c r="E65" s="4"/>
      <c r="F65" s="4"/>
      <c r="G65" s="4"/>
      <c r="H65" s="4"/>
      <c r="I65" s="4"/>
      <c r="J65" s="4"/>
      <c r="K65" s="10"/>
      <c r="L65" s="10"/>
      <c r="M65" s="4"/>
      <c r="N65" s="10"/>
      <c r="O65" s="10"/>
      <c r="P65" s="10"/>
      <c r="Q65" s="10"/>
      <c r="R65" s="10"/>
      <c r="S65" s="10"/>
      <c r="T65" s="10"/>
      <c r="U65" s="10"/>
    </row>
    <row r="66" spans="1:25" s="5" customFormat="1" ht="30" customHeight="1" x14ac:dyDescent="0.35">
      <c r="A66" s="119" t="s">
        <v>154</v>
      </c>
      <c r="B66" s="119"/>
      <c r="C66" s="119"/>
      <c r="D66" s="119"/>
      <c r="E66" s="119"/>
      <c r="F66" s="119"/>
      <c r="G66" s="119"/>
      <c r="H66" s="119"/>
      <c r="I66" s="119"/>
      <c r="J66" s="2"/>
      <c r="K66" s="2"/>
      <c r="L66" s="2"/>
      <c r="M66" s="4"/>
      <c r="N66" s="10"/>
      <c r="O66" s="10"/>
      <c r="P66" s="10"/>
      <c r="Q66" s="10"/>
      <c r="R66" s="10"/>
      <c r="S66" s="10"/>
      <c r="T66" s="10"/>
      <c r="U66" s="10"/>
    </row>
    <row r="67" spans="1:25" s="5" customFormat="1" ht="30" customHeight="1" x14ac:dyDescent="0.35">
      <c r="A67" s="131" t="s">
        <v>149</v>
      </c>
      <c r="B67" s="131"/>
      <c r="C67" s="131"/>
      <c r="D67" s="131"/>
      <c r="E67" s="131"/>
      <c r="F67" s="131"/>
      <c r="G67" s="131"/>
      <c r="H67" s="131"/>
      <c r="I67" s="131"/>
      <c r="J67" s="100"/>
      <c r="K67" s="100"/>
      <c r="L67" s="100"/>
      <c r="M67" s="4"/>
      <c r="N67" s="10"/>
      <c r="O67" s="10"/>
      <c r="P67" s="10"/>
      <c r="Q67" s="10"/>
      <c r="R67" s="10"/>
      <c r="S67" s="10"/>
      <c r="T67" s="10"/>
      <c r="U67" s="10"/>
    </row>
    <row r="68" spans="1:25" s="5" customFormat="1" x14ac:dyDescent="0.35">
      <c r="A68" s="119" t="s">
        <v>144</v>
      </c>
      <c r="B68" s="119"/>
      <c r="C68" s="119"/>
      <c r="D68" s="119"/>
      <c r="E68" s="119"/>
      <c r="F68" s="119"/>
      <c r="G68" s="119"/>
      <c r="H68" s="119"/>
      <c r="I68" s="119"/>
      <c r="J68" s="98"/>
      <c r="K68" s="98"/>
      <c r="L68" s="98"/>
      <c r="M68" s="4"/>
      <c r="N68" s="10"/>
      <c r="O68" s="10"/>
      <c r="P68" s="10"/>
      <c r="Q68" s="10"/>
      <c r="R68" s="10"/>
      <c r="S68" s="10"/>
      <c r="T68" s="10"/>
      <c r="U68" s="10"/>
    </row>
    <row r="69" spans="1:25" s="5" customFormat="1" ht="30" customHeight="1" x14ac:dyDescent="0.35">
      <c r="A69" s="126" t="s">
        <v>141</v>
      </c>
      <c r="B69" s="126"/>
      <c r="C69" s="126"/>
      <c r="D69" s="126"/>
      <c r="E69" s="126"/>
      <c r="F69" s="126"/>
      <c r="G69" s="126"/>
      <c r="H69" s="126"/>
      <c r="I69" s="126"/>
      <c r="J69" s="2"/>
      <c r="K69" s="2"/>
      <c r="L69" s="2"/>
      <c r="M69" s="4"/>
      <c r="N69" s="10"/>
      <c r="O69" s="10"/>
      <c r="P69" s="10"/>
      <c r="Q69" s="10"/>
      <c r="R69" s="10"/>
      <c r="S69" s="10"/>
      <c r="T69" s="10"/>
      <c r="U69" s="10"/>
    </row>
    <row r="70" spans="1:25" s="5" customFormat="1" ht="45" customHeight="1" x14ac:dyDescent="0.35">
      <c r="A70" s="126" t="s">
        <v>142</v>
      </c>
      <c r="B70" s="126"/>
      <c r="C70" s="126"/>
      <c r="D70" s="126"/>
      <c r="E70" s="126"/>
      <c r="F70" s="126"/>
      <c r="G70" s="126"/>
      <c r="H70" s="126"/>
      <c r="I70" s="126"/>
      <c r="J70" s="2"/>
      <c r="K70" s="2"/>
      <c r="L70" s="2"/>
      <c r="M70" s="4"/>
      <c r="N70" s="10"/>
      <c r="O70" s="10"/>
      <c r="P70" s="10"/>
      <c r="Q70" s="10"/>
      <c r="R70" s="10"/>
      <c r="S70" s="10"/>
      <c r="T70" s="10"/>
      <c r="U70" s="10"/>
    </row>
    <row r="71" spans="1:25" s="5" customFormat="1" ht="15" customHeight="1" x14ac:dyDescent="0.35">
      <c r="A71" s="65"/>
      <c r="B71" s="65"/>
      <c r="C71" s="65"/>
      <c r="D71" s="65"/>
      <c r="E71" s="65"/>
      <c r="F71" s="65"/>
      <c r="G71" s="65"/>
      <c r="H71" s="65"/>
      <c r="I71" s="65"/>
      <c r="J71" s="65"/>
      <c r="K71" s="65"/>
      <c r="L71" s="65"/>
      <c r="M71" s="4"/>
      <c r="N71" s="10"/>
      <c r="O71" s="10"/>
      <c r="P71" s="10"/>
      <c r="Q71" s="10"/>
      <c r="R71" s="10"/>
      <c r="S71" s="10"/>
      <c r="T71" s="10"/>
      <c r="U71" s="10"/>
    </row>
    <row r="72" spans="1:25" s="5" customFormat="1" ht="15" customHeight="1" x14ac:dyDescent="0.35">
      <c r="A72" s="91" t="s">
        <v>118</v>
      </c>
      <c r="B72" s="65"/>
      <c r="C72" s="65"/>
      <c r="D72" s="65"/>
      <c r="E72" s="65"/>
      <c r="F72" s="65"/>
      <c r="G72" s="65"/>
      <c r="H72" s="65"/>
      <c r="I72" s="65"/>
      <c r="J72" s="65"/>
      <c r="K72" s="65"/>
      <c r="L72" s="65"/>
      <c r="M72" s="4"/>
      <c r="N72" s="10"/>
      <c r="O72" s="10"/>
      <c r="P72" s="10"/>
      <c r="Q72" s="10"/>
      <c r="R72" s="10"/>
      <c r="S72" s="10"/>
      <c r="T72" s="10"/>
      <c r="U72" s="10"/>
    </row>
    <row r="73" spans="1:25" s="5" customFormat="1" ht="15" customHeight="1" x14ac:dyDescent="0.35">
      <c r="A73" s="92" t="s">
        <v>143</v>
      </c>
      <c r="B73" s="4"/>
      <c r="C73" s="4"/>
      <c r="D73" s="4"/>
      <c r="E73" s="4"/>
      <c r="F73" s="4"/>
      <c r="G73" s="4"/>
      <c r="H73" s="4"/>
      <c r="I73" s="4"/>
      <c r="J73" s="4"/>
      <c r="K73" s="10"/>
      <c r="L73" s="10"/>
      <c r="M73" s="4"/>
      <c r="N73" s="10"/>
      <c r="O73" s="10"/>
      <c r="P73" s="10"/>
      <c r="Q73" s="10"/>
      <c r="R73" s="10"/>
      <c r="S73" s="10"/>
      <c r="T73" s="10"/>
      <c r="U73" s="10"/>
    </row>
    <row r="74" spans="1:25" s="5" customFormat="1" ht="15" customHeight="1" x14ac:dyDescent="0.35">
      <c r="A74" s="93"/>
      <c r="B74" s="93"/>
      <c r="C74" s="93"/>
      <c r="D74" s="93"/>
      <c r="E74" s="93"/>
      <c r="F74" s="93"/>
      <c r="G74" s="93"/>
      <c r="H74" s="93"/>
      <c r="I74" s="93"/>
      <c r="J74" s="93"/>
      <c r="K74" s="93"/>
      <c r="L74" s="93"/>
      <c r="M74" s="4"/>
      <c r="N74" s="4"/>
      <c r="O74" s="10"/>
      <c r="P74" s="10"/>
      <c r="Q74" s="4"/>
      <c r="R74" s="10"/>
      <c r="S74" s="10"/>
      <c r="T74" s="10"/>
      <c r="U74" s="10"/>
      <c r="V74" s="10"/>
      <c r="W74" s="10"/>
      <c r="X74" s="10"/>
      <c r="Y74" s="10"/>
    </row>
    <row r="75" spans="1:25" s="5" customFormat="1" ht="15" customHeight="1" x14ac:dyDescent="0.35">
      <c r="A75" s="91" t="s">
        <v>128</v>
      </c>
      <c r="B75" s="93"/>
      <c r="C75" s="93"/>
      <c r="D75" s="93"/>
      <c r="E75" s="93"/>
      <c r="F75" s="93"/>
      <c r="G75" s="93"/>
      <c r="H75" s="93"/>
      <c r="I75" s="93"/>
      <c r="J75" s="93"/>
      <c r="K75" s="93"/>
      <c r="L75" s="93"/>
      <c r="M75" s="4"/>
      <c r="N75" s="4"/>
      <c r="O75" s="10"/>
      <c r="P75" s="10"/>
      <c r="Q75" s="4"/>
      <c r="R75" s="10"/>
      <c r="S75" s="10"/>
      <c r="T75" s="10"/>
      <c r="U75" s="10"/>
      <c r="V75" s="10"/>
      <c r="W75" s="10"/>
      <c r="X75" s="10"/>
      <c r="Y75" s="10"/>
    </row>
    <row r="76" spans="1:25" s="5" customFormat="1" ht="15" customHeight="1" x14ac:dyDescent="0.35">
      <c r="A76" s="94" t="s">
        <v>155</v>
      </c>
      <c r="B76" s="93"/>
      <c r="C76" s="93"/>
      <c r="D76" s="93"/>
      <c r="E76" s="93"/>
      <c r="F76" s="93"/>
      <c r="G76" s="93"/>
      <c r="H76" s="93"/>
      <c r="I76" s="93"/>
      <c r="J76" s="93"/>
      <c r="K76" s="93"/>
      <c r="L76" s="93"/>
      <c r="M76" s="4"/>
      <c r="N76" s="4"/>
      <c r="O76" s="10"/>
      <c r="P76" s="10"/>
      <c r="Q76" s="4"/>
      <c r="R76" s="10"/>
      <c r="S76" s="10"/>
      <c r="T76" s="10"/>
      <c r="U76" s="10"/>
      <c r="V76" s="10"/>
      <c r="W76" s="10"/>
      <c r="X76" s="10"/>
      <c r="Y76" s="10"/>
    </row>
    <row r="77" spans="1:25" s="5" customFormat="1" ht="15" customHeight="1" x14ac:dyDescent="0.35">
      <c r="A77" s="32"/>
      <c r="B77" s="32"/>
      <c r="C77" s="32"/>
      <c r="D77" s="32"/>
      <c r="E77" s="32"/>
      <c r="F77" s="32"/>
      <c r="G77" s="32"/>
      <c r="H77" s="32"/>
      <c r="I77" s="32"/>
      <c r="J77" s="4"/>
      <c r="K77" s="10"/>
      <c r="L77" s="10"/>
      <c r="M77" s="4"/>
      <c r="N77" s="10"/>
      <c r="O77" s="10"/>
      <c r="P77" s="10"/>
      <c r="Q77" s="10"/>
      <c r="R77" s="10"/>
      <c r="S77" s="10"/>
      <c r="T77" s="10"/>
      <c r="U77" s="10"/>
    </row>
    <row r="78" spans="1:25" s="5" customFormat="1" ht="15" customHeight="1" x14ac:dyDescent="0.35">
      <c r="A78" s="4" t="s">
        <v>145</v>
      </c>
      <c r="B78" s="2"/>
      <c r="C78" s="2"/>
      <c r="D78" s="2"/>
      <c r="E78" s="2"/>
      <c r="F78" s="2"/>
      <c r="G78" s="2"/>
      <c r="H78" s="2"/>
      <c r="I78" s="2"/>
      <c r="M78" s="4"/>
    </row>
    <row r="79" spans="1:25" s="5" customFormat="1" ht="15" customHeight="1" x14ac:dyDescent="0.35">
      <c r="A79" s="18" t="s">
        <v>1</v>
      </c>
      <c r="B79" s="2"/>
      <c r="C79" s="2"/>
      <c r="D79" s="2"/>
      <c r="E79" s="2"/>
      <c r="F79" s="2"/>
      <c r="G79" s="2"/>
      <c r="H79" s="2"/>
      <c r="I79" s="2"/>
      <c r="M79" s="4"/>
    </row>
    <row r="80" spans="1:25" s="5" customFormat="1" ht="15" customHeight="1" x14ac:dyDescent="0.35">
      <c r="A80" s="18"/>
      <c r="B80" s="105"/>
      <c r="C80" s="105"/>
      <c r="D80" s="105"/>
      <c r="E80" s="105"/>
      <c r="F80" s="105"/>
      <c r="G80" s="105"/>
      <c r="H80" s="105"/>
      <c r="I80" s="105"/>
      <c r="M80" s="4"/>
    </row>
    <row r="81" spans="1:13" s="5" customFormat="1" ht="47" customHeight="1" x14ac:dyDescent="0.35">
      <c r="A81" s="130" t="s">
        <v>156</v>
      </c>
      <c r="B81" s="130"/>
      <c r="C81" s="130"/>
      <c r="D81" s="130"/>
      <c r="E81" s="130"/>
      <c r="F81" s="130"/>
      <c r="G81" s="130"/>
      <c r="H81" s="130"/>
      <c r="I81" s="130"/>
      <c r="M81" s="4"/>
    </row>
    <row r="82" spans="1:13" s="5" customFormat="1" ht="15" customHeight="1" x14ac:dyDescent="0.35">
      <c r="A82" s="18"/>
      <c r="B82" s="2"/>
      <c r="C82" s="2"/>
      <c r="D82" s="2"/>
      <c r="E82" s="2"/>
      <c r="F82" s="2"/>
      <c r="G82" s="2"/>
      <c r="H82" s="2"/>
      <c r="I82" s="2"/>
      <c r="M82" s="4"/>
    </row>
    <row r="83" spans="1:13" s="5" customFormat="1" x14ac:dyDescent="0.35">
      <c r="A83" s="119" t="s">
        <v>65</v>
      </c>
      <c r="B83" s="119"/>
      <c r="C83" s="119"/>
      <c r="D83" s="119"/>
      <c r="E83" s="119"/>
      <c r="F83" s="119"/>
      <c r="G83" s="119"/>
      <c r="H83" s="119"/>
      <c r="I83" s="119"/>
      <c r="M83" s="4"/>
    </row>
    <row r="85" spans="1:13" s="5" customFormat="1" x14ac:dyDescent="0.35">
      <c r="A85" s="4" t="s">
        <v>2</v>
      </c>
      <c r="B85" s="4"/>
      <c r="C85" s="4"/>
      <c r="D85" s="4"/>
      <c r="E85" s="4"/>
      <c r="F85" s="4"/>
      <c r="G85" s="128" t="s">
        <v>153</v>
      </c>
      <c r="H85" s="128"/>
      <c r="I85" s="128"/>
    </row>
    <row r="86" spans="1:13" s="5" customFormat="1" x14ac:dyDescent="0.35">
      <c r="A86" s="102" t="s">
        <v>152</v>
      </c>
      <c r="B86" s="4"/>
      <c r="C86" s="4"/>
      <c r="D86" s="4"/>
      <c r="E86" s="4"/>
      <c r="F86" s="4"/>
      <c r="G86" s="129" t="s">
        <v>157</v>
      </c>
      <c r="H86" s="129"/>
      <c r="I86" s="129"/>
    </row>
    <row r="93" spans="1:13" x14ac:dyDescent="0.35">
      <c r="K93" s="4" t="s">
        <v>122</v>
      </c>
      <c r="L93" s="5"/>
    </row>
    <row r="94" spans="1:13" x14ac:dyDescent="0.35">
      <c r="K94" s="4" t="s">
        <v>123</v>
      </c>
    </row>
    <row r="95" spans="1:13" x14ac:dyDescent="0.35">
      <c r="K95" s="4" t="s">
        <v>124</v>
      </c>
    </row>
    <row r="96" spans="1:13" x14ac:dyDescent="0.35">
      <c r="K96" s="4" t="s">
        <v>125</v>
      </c>
    </row>
    <row r="97" spans="11:11" x14ac:dyDescent="0.35">
      <c r="K97" s="4" t="s">
        <v>126</v>
      </c>
    </row>
    <row r="98" spans="11:11" x14ac:dyDescent="0.35">
      <c r="K98" s="4" t="s">
        <v>127</v>
      </c>
    </row>
    <row r="99" spans="11:11" x14ac:dyDescent="0.35">
      <c r="K99" s="4" t="s">
        <v>134</v>
      </c>
    </row>
    <row r="100" spans="11:11" x14ac:dyDescent="0.35">
      <c r="K100" s="4" t="s">
        <v>150</v>
      </c>
    </row>
  </sheetData>
  <mergeCells count="20">
    <mergeCell ref="G85:I85"/>
    <mergeCell ref="G86:I86"/>
    <mergeCell ref="A59:I59"/>
    <mergeCell ref="A81:I81"/>
    <mergeCell ref="A61:I61"/>
    <mergeCell ref="A68:I68"/>
    <mergeCell ref="A67:I67"/>
    <mergeCell ref="A60:I60"/>
    <mergeCell ref="A1:I1"/>
    <mergeCell ref="A4:F4"/>
    <mergeCell ref="B5:F5"/>
    <mergeCell ref="A63:I63"/>
    <mergeCell ref="A83:I83"/>
    <mergeCell ref="B6:C6"/>
    <mergeCell ref="E6:F6"/>
    <mergeCell ref="H6:I6"/>
    <mergeCell ref="A66:I66"/>
    <mergeCell ref="A69:I69"/>
    <mergeCell ref="A70:I70"/>
    <mergeCell ref="A58:I58"/>
  </mergeCells>
  <dataValidations count="1">
    <dataValidation type="list" allowBlank="1" showInputMessage="1" showErrorMessage="1" sqref="A4:F4" xr:uid="{00000000-0002-0000-0C00-000000000000}">
      <formula1>$K$93:$K$100</formula1>
    </dataValidation>
  </dataValidations>
  <hyperlinks>
    <hyperlink ref="A79" r:id="rId1" xr:uid="{00000000-0004-0000-0C00-000000000000}"/>
    <hyperlink ref="A86" r:id="rId2" xr:uid="{00000000-0004-0000-0C00-000001000000}"/>
    <hyperlink ref="G85" r:id="rId3" location="fire-prevention-and-protection-statistics:-latest-version" xr:uid="{00000000-0004-0000-0C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pageSetUpPr fitToPage="1"/>
  </sheetPr>
  <dimension ref="A1:H67"/>
  <sheetViews>
    <sheetView showGridLines="0" zoomScale="85" zoomScaleNormal="85" workbookViewId="0">
      <pane xSplit="2" ySplit="3" topLeftCell="C13" activePane="bottomRight" state="frozen"/>
      <selection activeCell="A65" sqref="A65:I65"/>
      <selection pane="topRight" activeCell="A65" sqref="A65:I65"/>
      <selection pane="bottomLeft" activeCell="A65" sqref="A65:I65"/>
      <selection pane="bottomRight" activeCell="C41" sqref="C41"/>
    </sheetView>
  </sheetViews>
  <sheetFormatPr defaultRowHeight="12.5" x14ac:dyDescent="0.35"/>
  <cols>
    <col min="1" max="1" width="9.54296875" style="66" hidden="1" customWidth="1"/>
    <col min="2" max="2" width="24.6328125" style="66" customWidth="1"/>
    <col min="3" max="3" width="21.36328125" style="66" customWidth="1"/>
    <col min="4" max="4" width="19.54296875" style="66" customWidth="1"/>
    <col min="5" max="5" width="17.6328125" style="66" customWidth="1"/>
    <col min="6" max="6" width="16" style="66" customWidth="1"/>
    <col min="7" max="7" width="17.6328125" style="66" customWidth="1"/>
    <col min="8" max="8" width="16" style="66" customWidth="1"/>
    <col min="9" max="255" width="9.08984375" style="66"/>
    <col min="256" max="256" width="0" style="66" hidden="1" customWidth="1"/>
    <col min="257" max="257" width="3.36328125" style="66" customWidth="1"/>
    <col min="258" max="258" width="24.6328125" style="66" customWidth="1"/>
    <col min="259" max="259" width="21.36328125" style="66" customWidth="1"/>
    <col min="260" max="260" width="19.54296875" style="66" customWidth="1"/>
    <col min="261" max="261" width="17.6328125" style="66" customWidth="1"/>
    <col min="262" max="262" width="16" style="66" customWidth="1"/>
    <col min="263" max="263" width="17.6328125" style="66" customWidth="1"/>
    <col min="264" max="264" width="16" style="66" customWidth="1"/>
    <col min="265" max="511" width="9.08984375" style="66"/>
    <col min="512" max="512" width="0" style="66" hidden="1" customWidth="1"/>
    <col min="513" max="513" width="3.36328125" style="66" customWidth="1"/>
    <col min="514" max="514" width="24.6328125" style="66" customWidth="1"/>
    <col min="515" max="515" width="21.36328125" style="66" customWidth="1"/>
    <col min="516" max="516" width="19.54296875" style="66" customWidth="1"/>
    <col min="517" max="517" width="17.6328125" style="66" customWidth="1"/>
    <col min="518" max="518" width="16" style="66" customWidth="1"/>
    <col min="519" max="519" width="17.6328125" style="66" customWidth="1"/>
    <col min="520" max="520" width="16" style="66" customWidth="1"/>
    <col min="521" max="767" width="9.08984375" style="66"/>
    <col min="768" max="768" width="0" style="66" hidden="1" customWidth="1"/>
    <col min="769" max="769" width="3.36328125" style="66" customWidth="1"/>
    <col min="770" max="770" width="24.6328125" style="66" customWidth="1"/>
    <col min="771" max="771" width="21.36328125" style="66" customWidth="1"/>
    <col min="772" max="772" width="19.54296875" style="66" customWidth="1"/>
    <col min="773" max="773" width="17.6328125" style="66" customWidth="1"/>
    <col min="774" max="774" width="16" style="66" customWidth="1"/>
    <col min="775" max="775" width="17.6328125" style="66" customWidth="1"/>
    <col min="776" max="776" width="16" style="66" customWidth="1"/>
    <col min="777" max="1023" width="9.08984375" style="66"/>
    <col min="1024" max="1024" width="0" style="66" hidden="1" customWidth="1"/>
    <col min="1025" max="1025" width="3.36328125" style="66" customWidth="1"/>
    <col min="1026" max="1026" width="24.6328125" style="66" customWidth="1"/>
    <col min="1027" max="1027" width="21.36328125" style="66" customWidth="1"/>
    <col min="1028" max="1028" width="19.54296875" style="66" customWidth="1"/>
    <col min="1029" max="1029" width="17.6328125" style="66" customWidth="1"/>
    <col min="1030" max="1030" width="16" style="66" customWidth="1"/>
    <col min="1031" max="1031" width="17.6328125" style="66" customWidth="1"/>
    <col min="1032" max="1032" width="16" style="66" customWidth="1"/>
    <col min="1033" max="1279" width="9.08984375" style="66"/>
    <col min="1280" max="1280" width="0" style="66" hidden="1" customWidth="1"/>
    <col min="1281" max="1281" width="3.36328125" style="66" customWidth="1"/>
    <col min="1282" max="1282" width="24.6328125" style="66" customWidth="1"/>
    <col min="1283" max="1283" width="21.36328125" style="66" customWidth="1"/>
    <col min="1284" max="1284" width="19.54296875" style="66" customWidth="1"/>
    <col min="1285" max="1285" width="17.6328125" style="66" customWidth="1"/>
    <col min="1286" max="1286" width="16" style="66" customWidth="1"/>
    <col min="1287" max="1287" width="17.6328125" style="66" customWidth="1"/>
    <col min="1288" max="1288" width="16" style="66" customWidth="1"/>
    <col min="1289" max="1535" width="9.08984375" style="66"/>
    <col min="1536" max="1536" width="0" style="66" hidden="1" customWidth="1"/>
    <col min="1537" max="1537" width="3.36328125" style="66" customWidth="1"/>
    <col min="1538" max="1538" width="24.6328125" style="66" customWidth="1"/>
    <col min="1539" max="1539" width="21.36328125" style="66" customWidth="1"/>
    <col min="1540" max="1540" width="19.54296875" style="66" customWidth="1"/>
    <col min="1541" max="1541" width="17.6328125" style="66" customWidth="1"/>
    <col min="1542" max="1542" width="16" style="66" customWidth="1"/>
    <col min="1543" max="1543" width="17.6328125" style="66" customWidth="1"/>
    <col min="1544" max="1544" width="16" style="66" customWidth="1"/>
    <col min="1545" max="1791" width="9.08984375" style="66"/>
    <col min="1792" max="1792" width="0" style="66" hidden="1" customWidth="1"/>
    <col min="1793" max="1793" width="3.36328125" style="66" customWidth="1"/>
    <col min="1794" max="1794" width="24.6328125" style="66" customWidth="1"/>
    <col min="1795" max="1795" width="21.36328125" style="66" customWidth="1"/>
    <col min="1796" max="1796" width="19.54296875" style="66" customWidth="1"/>
    <col min="1797" max="1797" width="17.6328125" style="66" customWidth="1"/>
    <col min="1798" max="1798" width="16" style="66" customWidth="1"/>
    <col min="1799" max="1799" width="17.6328125" style="66" customWidth="1"/>
    <col min="1800" max="1800" width="16" style="66" customWidth="1"/>
    <col min="1801" max="2047" width="9.08984375" style="66"/>
    <col min="2048" max="2048" width="0" style="66" hidden="1" customWidth="1"/>
    <col min="2049" max="2049" width="3.36328125" style="66" customWidth="1"/>
    <col min="2050" max="2050" width="24.6328125" style="66" customWidth="1"/>
    <col min="2051" max="2051" width="21.36328125" style="66" customWidth="1"/>
    <col min="2052" max="2052" width="19.54296875" style="66" customWidth="1"/>
    <col min="2053" max="2053" width="17.6328125" style="66" customWidth="1"/>
    <col min="2054" max="2054" width="16" style="66" customWidth="1"/>
    <col min="2055" max="2055" width="17.6328125" style="66" customWidth="1"/>
    <col min="2056" max="2056" width="16" style="66" customWidth="1"/>
    <col min="2057" max="2303" width="9.08984375" style="66"/>
    <col min="2304" max="2304" width="0" style="66" hidden="1" customWidth="1"/>
    <col min="2305" max="2305" width="3.36328125" style="66" customWidth="1"/>
    <col min="2306" max="2306" width="24.6328125" style="66" customWidth="1"/>
    <col min="2307" max="2307" width="21.36328125" style="66" customWidth="1"/>
    <col min="2308" max="2308" width="19.54296875" style="66" customWidth="1"/>
    <col min="2309" max="2309" width="17.6328125" style="66" customWidth="1"/>
    <col min="2310" max="2310" width="16" style="66" customWidth="1"/>
    <col min="2311" max="2311" width="17.6328125" style="66" customWidth="1"/>
    <col min="2312" max="2312" width="16" style="66" customWidth="1"/>
    <col min="2313" max="2559" width="9.08984375" style="66"/>
    <col min="2560" max="2560" width="0" style="66" hidden="1" customWidth="1"/>
    <col min="2561" max="2561" width="3.36328125" style="66" customWidth="1"/>
    <col min="2562" max="2562" width="24.6328125" style="66" customWidth="1"/>
    <col min="2563" max="2563" width="21.36328125" style="66" customWidth="1"/>
    <col min="2564" max="2564" width="19.54296875" style="66" customWidth="1"/>
    <col min="2565" max="2565" width="17.6328125" style="66" customWidth="1"/>
    <col min="2566" max="2566" width="16" style="66" customWidth="1"/>
    <col min="2567" max="2567" width="17.6328125" style="66" customWidth="1"/>
    <col min="2568" max="2568" width="16" style="66" customWidth="1"/>
    <col min="2569" max="2815" width="9.08984375" style="66"/>
    <col min="2816" max="2816" width="0" style="66" hidden="1" customWidth="1"/>
    <col min="2817" max="2817" width="3.36328125" style="66" customWidth="1"/>
    <col min="2818" max="2818" width="24.6328125" style="66" customWidth="1"/>
    <col min="2819" max="2819" width="21.36328125" style="66" customWidth="1"/>
    <col min="2820" max="2820" width="19.54296875" style="66" customWidth="1"/>
    <col min="2821" max="2821" width="17.6328125" style="66" customWidth="1"/>
    <col min="2822" max="2822" width="16" style="66" customWidth="1"/>
    <col min="2823" max="2823" width="17.6328125" style="66" customWidth="1"/>
    <col min="2824" max="2824" width="16" style="66" customWidth="1"/>
    <col min="2825" max="3071" width="9.08984375" style="66"/>
    <col min="3072" max="3072" width="0" style="66" hidden="1" customWidth="1"/>
    <col min="3073" max="3073" width="3.36328125" style="66" customWidth="1"/>
    <col min="3074" max="3074" width="24.6328125" style="66" customWidth="1"/>
    <col min="3075" max="3075" width="21.36328125" style="66" customWidth="1"/>
    <col min="3076" max="3076" width="19.54296875" style="66" customWidth="1"/>
    <col min="3077" max="3077" width="17.6328125" style="66" customWidth="1"/>
    <col min="3078" max="3078" width="16" style="66" customWidth="1"/>
    <col min="3079" max="3079" width="17.6328125" style="66" customWidth="1"/>
    <col min="3080" max="3080" width="16" style="66" customWidth="1"/>
    <col min="3081" max="3327" width="9.08984375" style="66"/>
    <col min="3328" max="3328" width="0" style="66" hidden="1" customWidth="1"/>
    <col min="3329" max="3329" width="3.36328125" style="66" customWidth="1"/>
    <col min="3330" max="3330" width="24.6328125" style="66" customWidth="1"/>
    <col min="3331" max="3331" width="21.36328125" style="66" customWidth="1"/>
    <col min="3332" max="3332" width="19.54296875" style="66" customWidth="1"/>
    <col min="3333" max="3333" width="17.6328125" style="66" customWidth="1"/>
    <col min="3334" max="3334" width="16" style="66" customWidth="1"/>
    <col min="3335" max="3335" width="17.6328125" style="66" customWidth="1"/>
    <col min="3336" max="3336" width="16" style="66" customWidth="1"/>
    <col min="3337" max="3583" width="9.08984375" style="66"/>
    <col min="3584" max="3584" width="0" style="66" hidden="1" customWidth="1"/>
    <col min="3585" max="3585" width="3.36328125" style="66" customWidth="1"/>
    <col min="3586" max="3586" width="24.6328125" style="66" customWidth="1"/>
    <col min="3587" max="3587" width="21.36328125" style="66" customWidth="1"/>
    <col min="3588" max="3588" width="19.54296875" style="66" customWidth="1"/>
    <col min="3589" max="3589" width="17.6328125" style="66" customWidth="1"/>
    <col min="3590" max="3590" width="16" style="66" customWidth="1"/>
    <col min="3591" max="3591" width="17.6328125" style="66" customWidth="1"/>
    <col min="3592" max="3592" width="16" style="66" customWidth="1"/>
    <col min="3593" max="3839" width="9.08984375" style="66"/>
    <col min="3840" max="3840" width="0" style="66" hidden="1" customWidth="1"/>
    <col min="3841" max="3841" width="3.36328125" style="66" customWidth="1"/>
    <col min="3842" max="3842" width="24.6328125" style="66" customWidth="1"/>
    <col min="3843" max="3843" width="21.36328125" style="66" customWidth="1"/>
    <col min="3844" max="3844" width="19.54296875" style="66" customWidth="1"/>
    <col min="3845" max="3845" width="17.6328125" style="66" customWidth="1"/>
    <col min="3846" max="3846" width="16" style="66" customWidth="1"/>
    <col min="3847" max="3847" width="17.6328125" style="66" customWidth="1"/>
    <col min="3848" max="3848" width="16" style="66" customWidth="1"/>
    <col min="3849" max="4095" width="9.08984375" style="66"/>
    <col min="4096" max="4096" width="0" style="66" hidden="1" customWidth="1"/>
    <col min="4097" max="4097" width="3.36328125" style="66" customWidth="1"/>
    <col min="4098" max="4098" width="24.6328125" style="66" customWidth="1"/>
    <col min="4099" max="4099" width="21.36328125" style="66" customWidth="1"/>
    <col min="4100" max="4100" width="19.54296875" style="66" customWidth="1"/>
    <col min="4101" max="4101" width="17.6328125" style="66" customWidth="1"/>
    <col min="4102" max="4102" width="16" style="66" customWidth="1"/>
    <col min="4103" max="4103" width="17.6328125" style="66" customWidth="1"/>
    <col min="4104" max="4104" width="16" style="66" customWidth="1"/>
    <col min="4105" max="4351" width="9.08984375" style="66"/>
    <col min="4352" max="4352" width="0" style="66" hidden="1" customWidth="1"/>
    <col min="4353" max="4353" width="3.36328125" style="66" customWidth="1"/>
    <col min="4354" max="4354" width="24.6328125" style="66" customWidth="1"/>
    <col min="4355" max="4355" width="21.36328125" style="66" customWidth="1"/>
    <col min="4356" max="4356" width="19.54296875" style="66" customWidth="1"/>
    <col min="4357" max="4357" width="17.6328125" style="66" customWidth="1"/>
    <col min="4358" max="4358" width="16" style="66" customWidth="1"/>
    <col min="4359" max="4359" width="17.6328125" style="66" customWidth="1"/>
    <col min="4360" max="4360" width="16" style="66" customWidth="1"/>
    <col min="4361" max="4607" width="9.08984375" style="66"/>
    <col min="4608" max="4608" width="0" style="66" hidden="1" customWidth="1"/>
    <col min="4609" max="4609" width="3.36328125" style="66" customWidth="1"/>
    <col min="4610" max="4610" width="24.6328125" style="66" customWidth="1"/>
    <col min="4611" max="4611" width="21.36328125" style="66" customWidth="1"/>
    <col min="4612" max="4612" width="19.54296875" style="66" customWidth="1"/>
    <col min="4613" max="4613" width="17.6328125" style="66" customWidth="1"/>
    <col min="4614" max="4614" width="16" style="66" customWidth="1"/>
    <col min="4615" max="4615" width="17.6328125" style="66" customWidth="1"/>
    <col min="4616" max="4616" width="16" style="66" customWidth="1"/>
    <col min="4617" max="4863" width="9.08984375" style="66"/>
    <col min="4864" max="4864" width="0" style="66" hidden="1" customWidth="1"/>
    <col min="4865" max="4865" width="3.36328125" style="66" customWidth="1"/>
    <col min="4866" max="4866" width="24.6328125" style="66" customWidth="1"/>
    <col min="4867" max="4867" width="21.36328125" style="66" customWidth="1"/>
    <col min="4868" max="4868" width="19.54296875" style="66" customWidth="1"/>
    <col min="4869" max="4869" width="17.6328125" style="66" customWidth="1"/>
    <col min="4870" max="4870" width="16" style="66" customWidth="1"/>
    <col min="4871" max="4871" width="17.6328125" style="66" customWidth="1"/>
    <col min="4872" max="4872" width="16" style="66" customWidth="1"/>
    <col min="4873" max="5119" width="9.08984375" style="66"/>
    <col min="5120" max="5120" width="0" style="66" hidden="1" customWidth="1"/>
    <col min="5121" max="5121" width="3.36328125" style="66" customWidth="1"/>
    <col min="5122" max="5122" width="24.6328125" style="66" customWidth="1"/>
    <col min="5123" max="5123" width="21.36328125" style="66" customWidth="1"/>
    <col min="5124" max="5124" width="19.54296875" style="66" customWidth="1"/>
    <col min="5125" max="5125" width="17.6328125" style="66" customWidth="1"/>
    <col min="5126" max="5126" width="16" style="66" customWidth="1"/>
    <col min="5127" max="5127" width="17.6328125" style="66" customWidth="1"/>
    <col min="5128" max="5128" width="16" style="66" customWidth="1"/>
    <col min="5129" max="5375" width="9.08984375" style="66"/>
    <col min="5376" max="5376" width="0" style="66" hidden="1" customWidth="1"/>
    <col min="5377" max="5377" width="3.36328125" style="66" customWidth="1"/>
    <col min="5378" max="5378" width="24.6328125" style="66" customWidth="1"/>
    <col min="5379" max="5379" width="21.36328125" style="66" customWidth="1"/>
    <col min="5380" max="5380" width="19.54296875" style="66" customWidth="1"/>
    <col min="5381" max="5381" width="17.6328125" style="66" customWidth="1"/>
    <col min="5382" max="5382" width="16" style="66" customWidth="1"/>
    <col min="5383" max="5383" width="17.6328125" style="66" customWidth="1"/>
    <col min="5384" max="5384" width="16" style="66" customWidth="1"/>
    <col min="5385" max="5631" width="9.08984375" style="66"/>
    <col min="5632" max="5632" width="0" style="66" hidden="1" customWidth="1"/>
    <col min="5633" max="5633" width="3.36328125" style="66" customWidth="1"/>
    <col min="5634" max="5634" width="24.6328125" style="66" customWidth="1"/>
    <col min="5635" max="5635" width="21.36328125" style="66" customWidth="1"/>
    <col min="5636" max="5636" width="19.54296875" style="66" customWidth="1"/>
    <col min="5637" max="5637" width="17.6328125" style="66" customWidth="1"/>
    <col min="5638" max="5638" width="16" style="66" customWidth="1"/>
    <col min="5639" max="5639" width="17.6328125" style="66" customWidth="1"/>
    <col min="5640" max="5640" width="16" style="66" customWidth="1"/>
    <col min="5641" max="5887" width="9.08984375" style="66"/>
    <col min="5888" max="5888" width="0" style="66" hidden="1" customWidth="1"/>
    <col min="5889" max="5889" width="3.36328125" style="66" customWidth="1"/>
    <col min="5890" max="5890" width="24.6328125" style="66" customWidth="1"/>
    <col min="5891" max="5891" width="21.36328125" style="66" customWidth="1"/>
    <col min="5892" max="5892" width="19.54296875" style="66" customWidth="1"/>
    <col min="5893" max="5893" width="17.6328125" style="66" customWidth="1"/>
    <col min="5894" max="5894" width="16" style="66" customWidth="1"/>
    <col min="5895" max="5895" width="17.6328125" style="66" customWidth="1"/>
    <col min="5896" max="5896" width="16" style="66" customWidth="1"/>
    <col min="5897" max="6143" width="9.08984375" style="66"/>
    <col min="6144" max="6144" width="0" style="66" hidden="1" customWidth="1"/>
    <col min="6145" max="6145" width="3.36328125" style="66" customWidth="1"/>
    <col min="6146" max="6146" width="24.6328125" style="66" customWidth="1"/>
    <col min="6147" max="6147" width="21.36328125" style="66" customWidth="1"/>
    <col min="6148" max="6148" width="19.54296875" style="66" customWidth="1"/>
    <col min="6149" max="6149" width="17.6328125" style="66" customWidth="1"/>
    <col min="6150" max="6150" width="16" style="66" customWidth="1"/>
    <col min="6151" max="6151" width="17.6328125" style="66" customWidth="1"/>
    <col min="6152" max="6152" width="16" style="66" customWidth="1"/>
    <col min="6153" max="6399" width="9.08984375" style="66"/>
    <col min="6400" max="6400" width="0" style="66" hidden="1" customWidth="1"/>
    <col min="6401" max="6401" width="3.36328125" style="66" customWidth="1"/>
    <col min="6402" max="6402" width="24.6328125" style="66" customWidth="1"/>
    <col min="6403" max="6403" width="21.36328125" style="66" customWidth="1"/>
    <col min="6404" max="6404" width="19.54296875" style="66" customWidth="1"/>
    <col min="6405" max="6405" width="17.6328125" style="66" customWidth="1"/>
    <col min="6406" max="6406" width="16" style="66" customWidth="1"/>
    <col min="6407" max="6407" width="17.6328125" style="66" customWidth="1"/>
    <col min="6408" max="6408" width="16" style="66" customWidth="1"/>
    <col min="6409" max="6655" width="9.08984375" style="66"/>
    <col min="6656" max="6656" width="0" style="66" hidden="1" customWidth="1"/>
    <col min="6657" max="6657" width="3.36328125" style="66" customWidth="1"/>
    <col min="6658" max="6658" width="24.6328125" style="66" customWidth="1"/>
    <col min="6659" max="6659" width="21.36328125" style="66" customWidth="1"/>
    <col min="6660" max="6660" width="19.54296875" style="66" customWidth="1"/>
    <col min="6661" max="6661" width="17.6328125" style="66" customWidth="1"/>
    <col min="6662" max="6662" width="16" style="66" customWidth="1"/>
    <col min="6663" max="6663" width="17.6328125" style="66" customWidth="1"/>
    <col min="6664" max="6664" width="16" style="66" customWidth="1"/>
    <col min="6665" max="6911" width="9.08984375" style="66"/>
    <col min="6912" max="6912" width="0" style="66" hidden="1" customWidth="1"/>
    <col min="6913" max="6913" width="3.36328125" style="66" customWidth="1"/>
    <col min="6914" max="6914" width="24.6328125" style="66" customWidth="1"/>
    <col min="6915" max="6915" width="21.36328125" style="66" customWidth="1"/>
    <col min="6916" max="6916" width="19.54296875" style="66" customWidth="1"/>
    <col min="6917" max="6917" width="17.6328125" style="66" customWidth="1"/>
    <col min="6918" max="6918" width="16" style="66" customWidth="1"/>
    <col min="6919" max="6919" width="17.6328125" style="66" customWidth="1"/>
    <col min="6920" max="6920" width="16" style="66" customWidth="1"/>
    <col min="6921" max="7167" width="9.08984375" style="66"/>
    <col min="7168" max="7168" width="0" style="66" hidden="1" customWidth="1"/>
    <col min="7169" max="7169" width="3.36328125" style="66" customWidth="1"/>
    <col min="7170" max="7170" width="24.6328125" style="66" customWidth="1"/>
    <col min="7171" max="7171" width="21.36328125" style="66" customWidth="1"/>
    <col min="7172" max="7172" width="19.54296875" style="66" customWidth="1"/>
    <col min="7173" max="7173" width="17.6328125" style="66" customWidth="1"/>
    <col min="7174" max="7174" width="16" style="66" customWidth="1"/>
    <col min="7175" max="7175" width="17.6328125" style="66" customWidth="1"/>
    <col min="7176" max="7176" width="16" style="66" customWidth="1"/>
    <col min="7177" max="7423" width="9.08984375" style="66"/>
    <col min="7424" max="7424" width="0" style="66" hidden="1" customWidth="1"/>
    <col min="7425" max="7425" width="3.36328125" style="66" customWidth="1"/>
    <col min="7426" max="7426" width="24.6328125" style="66" customWidth="1"/>
    <col min="7427" max="7427" width="21.36328125" style="66" customWidth="1"/>
    <col min="7428" max="7428" width="19.54296875" style="66" customWidth="1"/>
    <col min="7429" max="7429" width="17.6328125" style="66" customWidth="1"/>
    <col min="7430" max="7430" width="16" style="66" customWidth="1"/>
    <col min="7431" max="7431" width="17.6328125" style="66" customWidth="1"/>
    <col min="7432" max="7432" width="16" style="66" customWidth="1"/>
    <col min="7433" max="7679" width="9.08984375" style="66"/>
    <col min="7680" max="7680" width="0" style="66" hidden="1" customWidth="1"/>
    <col min="7681" max="7681" width="3.36328125" style="66" customWidth="1"/>
    <col min="7682" max="7682" width="24.6328125" style="66" customWidth="1"/>
    <col min="7683" max="7683" width="21.36328125" style="66" customWidth="1"/>
    <col min="7684" max="7684" width="19.54296875" style="66" customWidth="1"/>
    <col min="7685" max="7685" width="17.6328125" style="66" customWidth="1"/>
    <col min="7686" max="7686" width="16" style="66" customWidth="1"/>
    <col min="7687" max="7687" width="17.6328125" style="66" customWidth="1"/>
    <col min="7688" max="7688" width="16" style="66" customWidth="1"/>
    <col min="7689" max="7935" width="9.08984375" style="66"/>
    <col min="7936" max="7936" width="0" style="66" hidden="1" customWidth="1"/>
    <col min="7937" max="7937" width="3.36328125" style="66" customWidth="1"/>
    <col min="7938" max="7938" width="24.6328125" style="66" customWidth="1"/>
    <col min="7939" max="7939" width="21.36328125" style="66" customWidth="1"/>
    <col min="7940" max="7940" width="19.54296875" style="66" customWidth="1"/>
    <col min="7941" max="7941" width="17.6328125" style="66" customWidth="1"/>
    <col min="7942" max="7942" width="16" style="66" customWidth="1"/>
    <col min="7943" max="7943" width="17.6328125" style="66" customWidth="1"/>
    <col min="7944" max="7944" width="16" style="66" customWidth="1"/>
    <col min="7945" max="8191" width="9.08984375" style="66"/>
    <col min="8192" max="8192" width="0" style="66" hidden="1" customWidth="1"/>
    <col min="8193" max="8193" width="3.36328125" style="66" customWidth="1"/>
    <col min="8194" max="8194" width="24.6328125" style="66" customWidth="1"/>
    <col min="8195" max="8195" width="21.36328125" style="66" customWidth="1"/>
    <col min="8196" max="8196" width="19.54296875" style="66" customWidth="1"/>
    <col min="8197" max="8197" width="17.6328125" style="66" customWidth="1"/>
    <col min="8198" max="8198" width="16" style="66" customWidth="1"/>
    <col min="8199" max="8199" width="17.6328125" style="66" customWidth="1"/>
    <col min="8200" max="8200" width="16" style="66" customWidth="1"/>
    <col min="8201" max="8447" width="9.08984375" style="66"/>
    <col min="8448" max="8448" width="0" style="66" hidden="1" customWidth="1"/>
    <col min="8449" max="8449" width="3.36328125" style="66" customWidth="1"/>
    <col min="8450" max="8450" width="24.6328125" style="66" customWidth="1"/>
    <col min="8451" max="8451" width="21.36328125" style="66" customWidth="1"/>
    <col min="8452" max="8452" width="19.54296875" style="66" customWidth="1"/>
    <col min="8453" max="8453" width="17.6328125" style="66" customWidth="1"/>
    <col min="8454" max="8454" width="16" style="66" customWidth="1"/>
    <col min="8455" max="8455" width="17.6328125" style="66" customWidth="1"/>
    <col min="8456" max="8456" width="16" style="66" customWidth="1"/>
    <col min="8457" max="8703" width="9.08984375" style="66"/>
    <col min="8704" max="8704" width="0" style="66" hidden="1" customWidth="1"/>
    <col min="8705" max="8705" width="3.36328125" style="66" customWidth="1"/>
    <col min="8706" max="8706" width="24.6328125" style="66" customWidth="1"/>
    <col min="8707" max="8707" width="21.36328125" style="66" customWidth="1"/>
    <col min="8708" max="8708" width="19.54296875" style="66" customWidth="1"/>
    <col min="8709" max="8709" width="17.6328125" style="66" customWidth="1"/>
    <col min="8710" max="8710" width="16" style="66" customWidth="1"/>
    <col min="8711" max="8711" width="17.6328125" style="66" customWidth="1"/>
    <col min="8712" max="8712" width="16" style="66" customWidth="1"/>
    <col min="8713" max="8959" width="9.08984375" style="66"/>
    <col min="8960" max="8960" width="0" style="66" hidden="1" customWidth="1"/>
    <col min="8961" max="8961" width="3.36328125" style="66" customWidth="1"/>
    <col min="8962" max="8962" width="24.6328125" style="66" customWidth="1"/>
    <col min="8963" max="8963" width="21.36328125" style="66" customWidth="1"/>
    <col min="8964" max="8964" width="19.54296875" style="66" customWidth="1"/>
    <col min="8965" max="8965" width="17.6328125" style="66" customWidth="1"/>
    <col min="8966" max="8966" width="16" style="66" customWidth="1"/>
    <col min="8967" max="8967" width="17.6328125" style="66" customWidth="1"/>
    <col min="8968" max="8968" width="16" style="66" customWidth="1"/>
    <col min="8969" max="9215" width="9.08984375" style="66"/>
    <col min="9216" max="9216" width="0" style="66" hidden="1" customWidth="1"/>
    <col min="9217" max="9217" width="3.36328125" style="66" customWidth="1"/>
    <col min="9218" max="9218" width="24.6328125" style="66" customWidth="1"/>
    <col min="9219" max="9219" width="21.36328125" style="66" customWidth="1"/>
    <col min="9220" max="9220" width="19.54296875" style="66" customWidth="1"/>
    <col min="9221" max="9221" width="17.6328125" style="66" customWidth="1"/>
    <col min="9222" max="9222" width="16" style="66" customWidth="1"/>
    <col min="9223" max="9223" width="17.6328125" style="66" customWidth="1"/>
    <col min="9224" max="9224" width="16" style="66" customWidth="1"/>
    <col min="9225" max="9471" width="9.08984375" style="66"/>
    <col min="9472" max="9472" width="0" style="66" hidden="1" customWidth="1"/>
    <col min="9473" max="9473" width="3.36328125" style="66" customWidth="1"/>
    <col min="9474" max="9474" width="24.6328125" style="66" customWidth="1"/>
    <col min="9475" max="9475" width="21.36328125" style="66" customWidth="1"/>
    <col min="9476" max="9476" width="19.54296875" style="66" customWidth="1"/>
    <col min="9477" max="9477" width="17.6328125" style="66" customWidth="1"/>
    <col min="9478" max="9478" width="16" style="66" customWidth="1"/>
    <col min="9479" max="9479" width="17.6328125" style="66" customWidth="1"/>
    <col min="9480" max="9480" width="16" style="66" customWidth="1"/>
    <col min="9481" max="9727" width="9.08984375" style="66"/>
    <col min="9728" max="9728" width="0" style="66" hidden="1" customWidth="1"/>
    <col min="9729" max="9729" width="3.36328125" style="66" customWidth="1"/>
    <col min="9730" max="9730" width="24.6328125" style="66" customWidth="1"/>
    <col min="9731" max="9731" width="21.36328125" style="66" customWidth="1"/>
    <col min="9732" max="9732" width="19.54296875" style="66" customWidth="1"/>
    <col min="9733" max="9733" width="17.6328125" style="66" customWidth="1"/>
    <col min="9734" max="9734" width="16" style="66" customWidth="1"/>
    <col min="9735" max="9735" width="17.6328125" style="66" customWidth="1"/>
    <col min="9736" max="9736" width="16" style="66" customWidth="1"/>
    <col min="9737" max="9983" width="9.08984375" style="66"/>
    <col min="9984" max="9984" width="0" style="66" hidden="1" customWidth="1"/>
    <col min="9985" max="9985" width="3.36328125" style="66" customWidth="1"/>
    <col min="9986" max="9986" width="24.6328125" style="66" customWidth="1"/>
    <col min="9987" max="9987" width="21.36328125" style="66" customWidth="1"/>
    <col min="9988" max="9988" width="19.54296875" style="66" customWidth="1"/>
    <col min="9989" max="9989" width="17.6328125" style="66" customWidth="1"/>
    <col min="9990" max="9990" width="16" style="66" customWidth="1"/>
    <col min="9991" max="9991" width="17.6328125" style="66" customWidth="1"/>
    <col min="9992" max="9992" width="16" style="66" customWidth="1"/>
    <col min="9993" max="10239" width="9.08984375" style="66"/>
    <col min="10240" max="10240" width="0" style="66" hidden="1" customWidth="1"/>
    <col min="10241" max="10241" width="3.36328125" style="66" customWidth="1"/>
    <col min="10242" max="10242" width="24.6328125" style="66" customWidth="1"/>
    <col min="10243" max="10243" width="21.36328125" style="66" customWidth="1"/>
    <col min="10244" max="10244" width="19.54296875" style="66" customWidth="1"/>
    <col min="10245" max="10245" width="17.6328125" style="66" customWidth="1"/>
    <col min="10246" max="10246" width="16" style="66" customWidth="1"/>
    <col min="10247" max="10247" width="17.6328125" style="66" customWidth="1"/>
    <col min="10248" max="10248" width="16" style="66" customWidth="1"/>
    <col min="10249" max="10495" width="9.08984375" style="66"/>
    <col min="10496" max="10496" width="0" style="66" hidden="1" customWidth="1"/>
    <col min="10497" max="10497" width="3.36328125" style="66" customWidth="1"/>
    <col min="10498" max="10498" width="24.6328125" style="66" customWidth="1"/>
    <col min="10499" max="10499" width="21.36328125" style="66" customWidth="1"/>
    <col min="10500" max="10500" width="19.54296875" style="66" customWidth="1"/>
    <col min="10501" max="10501" width="17.6328125" style="66" customWidth="1"/>
    <col min="10502" max="10502" width="16" style="66" customWidth="1"/>
    <col min="10503" max="10503" width="17.6328125" style="66" customWidth="1"/>
    <col min="10504" max="10504" width="16" style="66" customWidth="1"/>
    <col min="10505" max="10751" width="9.08984375" style="66"/>
    <col min="10752" max="10752" width="0" style="66" hidden="1" customWidth="1"/>
    <col min="10753" max="10753" width="3.36328125" style="66" customWidth="1"/>
    <col min="10754" max="10754" width="24.6328125" style="66" customWidth="1"/>
    <col min="10755" max="10755" width="21.36328125" style="66" customWidth="1"/>
    <col min="10756" max="10756" width="19.54296875" style="66" customWidth="1"/>
    <col min="10757" max="10757" width="17.6328125" style="66" customWidth="1"/>
    <col min="10758" max="10758" width="16" style="66" customWidth="1"/>
    <col min="10759" max="10759" width="17.6328125" style="66" customWidth="1"/>
    <col min="10760" max="10760" width="16" style="66" customWidth="1"/>
    <col min="10761" max="11007" width="9.08984375" style="66"/>
    <col min="11008" max="11008" width="0" style="66" hidden="1" customWidth="1"/>
    <col min="11009" max="11009" width="3.36328125" style="66" customWidth="1"/>
    <col min="11010" max="11010" width="24.6328125" style="66" customWidth="1"/>
    <col min="11011" max="11011" width="21.36328125" style="66" customWidth="1"/>
    <col min="11012" max="11012" width="19.54296875" style="66" customWidth="1"/>
    <col min="11013" max="11013" width="17.6328125" style="66" customWidth="1"/>
    <col min="11014" max="11014" width="16" style="66" customWidth="1"/>
    <col min="11015" max="11015" width="17.6328125" style="66" customWidth="1"/>
    <col min="11016" max="11016" width="16" style="66" customWidth="1"/>
    <col min="11017" max="11263" width="9.08984375" style="66"/>
    <col min="11264" max="11264" width="0" style="66" hidden="1" customWidth="1"/>
    <col min="11265" max="11265" width="3.36328125" style="66" customWidth="1"/>
    <col min="11266" max="11266" width="24.6328125" style="66" customWidth="1"/>
    <col min="11267" max="11267" width="21.36328125" style="66" customWidth="1"/>
    <col min="11268" max="11268" width="19.54296875" style="66" customWidth="1"/>
    <col min="11269" max="11269" width="17.6328125" style="66" customWidth="1"/>
    <col min="11270" max="11270" width="16" style="66" customWidth="1"/>
    <col min="11271" max="11271" width="17.6328125" style="66" customWidth="1"/>
    <col min="11272" max="11272" width="16" style="66" customWidth="1"/>
    <col min="11273" max="11519" width="9.08984375" style="66"/>
    <col min="11520" max="11520" width="0" style="66" hidden="1" customWidth="1"/>
    <col min="11521" max="11521" width="3.36328125" style="66" customWidth="1"/>
    <col min="11522" max="11522" width="24.6328125" style="66" customWidth="1"/>
    <col min="11523" max="11523" width="21.36328125" style="66" customWidth="1"/>
    <col min="11524" max="11524" width="19.54296875" style="66" customWidth="1"/>
    <col min="11525" max="11525" width="17.6328125" style="66" customWidth="1"/>
    <col min="11526" max="11526" width="16" style="66" customWidth="1"/>
    <col min="11527" max="11527" width="17.6328125" style="66" customWidth="1"/>
    <col min="11528" max="11528" width="16" style="66" customWidth="1"/>
    <col min="11529" max="11775" width="9.08984375" style="66"/>
    <col min="11776" max="11776" width="0" style="66" hidden="1" customWidth="1"/>
    <col min="11777" max="11777" width="3.36328125" style="66" customWidth="1"/>
    <col min="11778" max="11778" width="24.6328125" style="66" customWidth="1"/>
    <col min="11779" max="11779" width="21.36328125" style="66" customWidth="1"/>
    <col min="11780" max="11780" width="19.54296875" style="66" customWidth="1"/>
    <col min="11781" max="11781" width="17.6328125" style="66" customWidth="1"/>
    <col min="11782" max="11782" width="16" style="66" customWidth="1"/>
    <col min="11783" max="11783" width="17.6328125" style="66" customWidth="1"/>
    <col min="11784" max="11784" width="16" style="66" customWidth="1"/>
    <col min="11785" max="12031" width="9.08984375" style="66"/>
    <col min="12032" max="12032" width="0" style="66" hidden="1" customWidth="1"/>
    <col min="12033" max="12033" width="3.36328125" style="66" customWidth="1"/>
    <col min="12034" max="12034" width="24.6328125" style="66" customWidth="1"/>
    <col min="12035" max="12035" width="21.36328125" style="66" customWidth="1"/>
    <col min="12036" max="12036" width="19.54296875" style="66" customWidth="1"/>
    <col min="12037" max="12037" width="17.6328125" style="66" customWidth="1"/>
    <col min="12038" max="12038" width="16" style="66" customWidth="1"/>
    <col min="12039" max="12039" width="17.6328125" style="66" customWidth="1"/>
    <col min="12040" max="12040" width="16" style="66" customWidth="1"/>
    <col min="12041" max="12287" width="9.08984375" style="66"/>
    <col min="12288" max="12288" width="0" style="66" hidden="1" customWidth="1"/>
    <col min="12289" max="12289" width="3.36328125" style="66" customWidth="1"/>
    <col min="12290" max="12290" width="24.6328125" style="66" customWidth="1"/>
    <col min="12291" max="12291" width="21.36328125" style="66" customWidth="1"/>
    <col min="12292" max="12292" width="19.54296875" style="66" customWidth="1"/>
    <col min="12293" max="12293" width="17.6328125" style="66" customWidth="1"/>
    <col min="12294" max="12294" width="16" style="66" customWidth="1"/>
    <col min="12295" max="12295" width="17.6328125" style="66" customWidth="1"/>
    <col min="12296" max="12296" width="16" style="66" customWidth="1"/>
    <col min="12297" max="12543" width="9.08984375" style="66"/>
    <col min="12544" max="12544" width="0" style="66" hidden="1" customWidth="1"/>
    <col min="12545" max="12545" width="3.36328125" style="66" customWidth="1"/>
    <col min="12546" max="12546" width="24.6328125" style="66" customWidth="1"/>
    <col min="12547" max="12547" width="21.36328125" style="66" customWidth="1"/>
    <col min="12548" max="12548" width="19.54296875" style="66" customWidth="1"/>
    <col min="12549" max="12549" width="17.6328125" style="66" customWidth="1"/>
    <col min="12550" max="12550" width="16" style="66" customWidth="1"/>
    <col min="12551" max="12551" width="17.6328125" style="66" customWidth="1"/>
    <col min="12552" max="12552" width="16" style="66" customWidth="1"/>
    <col min="12553" max="12799" width="9.08984375" style="66"/>
    <col min="12800" max="12800" width="0" style="66" hidden="1" customWidth="1"/>
    <col min="12801" max="12801" width="3.36328125" style="66" customWidth="1"/>
    <col min="12802" max="12802" width="24.6328125" style="66" customWidth="1"/>
    <col min="12803" max="12803" width="21.36328125" style="66" customWidth="1"/>
    <col min="12804" max="12804" width="19.54296875" style="66" customWidth="1"/>
    <col min="12805" max="12805" width="17.6328125" style="66" customWidth="1"/>
    <col min="12806" max="12806" width="16" style="66" customWidth="1"/>
    <col min="12807" max="12807" width="17.6328125" style="66" customWidth="1"/>
    <col min="12808" max="12808" width="16" style="66" customWidth="1"/>
    <col min="12809" max="13055" width="9.08984375" style="66"/>
    <col min="13056" max="13056" width="0" style="66" hidden="1" customWidth="1"/>
    <col min="13057" max="13057" width="3.36328125" style="66" customWidth="1"/>
    <col min="13058" max="13058" width="24.6328125" style="66" customWidth="1"/>
    <col min="13059" max="13059" width="21.36328125" style="66" customWidth="1"/>
    <col min="13060" max="13060" width="19.54296875" style="66" customWidth="1"/>
    <col min="13061" max="13061" width="17.6328125" style="66" customWidth="1"/>
    <col min="13062" max="13062" width="16" style="66" customWidth="1"/>
    <col min="13063" max="13063" width="17.6328125" style="66" customWidth="1"/>
    <col min="13064" max="13064" width="16" style="66" customWidth="1"/>
    <col min="13065" max="13311" width="9.08984375" style="66"/>
    <col min="13312" max="13312" width="0" style="66" hidden="1" customWidth="1"/>
    <col min="13313" max="13313" width="3.36328125" style="66" customWidth="1"/>
    <col min="13314" max="13314" width="24.6328125" style="66" customWidth="1"/>
    <col min="13315" max="13315" width="21.36328125" style="66" customWidth="1"/>
    <col min="13316" max="13316" width="19.54296875" style="66" customWidth="1"/>
    <col min="13317" max="13317" width="17.6328125" style="66" customWidth="1"/>
    <col min="13318" max="13318" width="16" style="66" customWidth="1"/>
    <col min="13319" max="13319" width="17.6328125" style="66" customWidth="1"/>
    <col min="13320" max="13320" width="16" style="66" customWidth="1"/>
    <col min="13321" max="13567" width="9.08984375" style="66"/>
    <col min="13568" max="13568" width="0" style="66" hidden="1" customWidth="1"/>
    <col min="13569" max="13569" width="3.36328125" style="66" customWidth="1"/>
    <col min="13570" max="13570" width="24.6328125" style="66" customWidth="1"/>
    <col min="13571" max="13571" width="21.36328125" style="66" customWidth="1"/>
    <col min="13572" max="13572" width="19.54296875" style="66" customWidth="1"/>
    <col min="13573" max="13573" width="17.6328125" style="66" customWidth="1"/>
    <col min="13574" max="13574" width="16" style="66" customWidth="1"/>
    <col min="13575" max="13575" width="17.6328125" style="66" customWidth="1"/>
    <col min="13576" max="13576" width="16" style="66" customWidth="1"/>
    <col min="13577" max="13823" width="9.08984375" style="66"/>
    <col min="13824" max="13824" width="0" style="66" hidden="1" customWidth="1"/>
    <col min="13825" max="13825" width="3.36328125" style="66" customWidth="1"/>
    <col min="13826" max="13826" width="24.6328125" style="66" customWidth="1"/>
    <col min="13827" max="13827" width="21.36328125" style="66" customWidth="1"/>
    <col min="13828" max="13828" width="19.54296875" style="66" customWidth="1"/>
    <col min="13829" max="13829" width="17.6328125" style="66" customWidth="1"/>
    <col min="13830" max="13830" width="16" style="66" customWidth="1"/>
    <col min="13831" max="13831" width="17.6328125" style="66" customWidth="1"/>
    <col min="13832" max="13832" width="16" style="66" customWidth="1"/>
    <col min="13833" max="14079" width="9.08984375" style="66"/>
    <col min="14080" max="14080" width="0" style="66" hidden="1" customWidth="1"/>
    <col min="14081" max="14081" width="3.36328125" style="66" customWidth="1"/>
    <col min="14082" max="14082" width="24.6328125" style="66" customWidth="1"/>
    <col min="14083" max="14083" width="21.36328125" style="66" customWidth="1"/>
    <col min="14084" max="14084" width="19.54296875" style="66" customWidth="1"/>
    <col min="14085" max="14085" width="17.6328125" style="66" customWidth="1"/>
    <col min="14086" max="14086" width="16" style="66" customWidth="1"/>
    <col min="14087" max="14087" width="17.6328125" style="66" customWidth="1"/>
    <col min="14088" max="14088" width="16" style="66" customWidth="1"/>
    <col min="14089" max="14335" width="9.08984375" style="66"/>
    <col min="14336" max="14336" width="0" style="66" hidden="1" customWidth="1"/>
    <col min="14337" max="14337" width="3.36328125" style="66" customWidth="1"/>
    <col min="14338" max="14338" width="24.6328125" style="66" customWidth="1"/>
    <col min="14339" max="14339" width="21.36328125" style="66" customWidth="1"/>
    <col min="14340" max="14340" width="19.54296875" style="66" customWidth="1"/>
    <col min="14341" max="14341" width="17.6328125" style="66" customWidth="1"/>
    <col min="14342" max="14342" width="16" style="66" customWidth="1"/>
    <col min="14343" max="14343" width="17.6328125" style="66" customWidth="1"/>
    <col min="14344" max="14344" width="16" style="66" customWidth="1"/>
    <col min="14345" max="14591" width="9.08984375" style="66"/>
    <col min="14592" max="14592" width="0" style="66" hidden="1" customWidth="1"/>
    <col min="14593" max="14593" width="3.36328125" style="66" customWidth="1"/>
    <col min="14594" max="14594" width="24.6328125" style="66" customWidth="1"/>
    <col min="14595" max="14595" width="21.36328125" style="66" customWidth="1"/>
    <col min="14596" max="14596" width="19.54296875" style="66" customWidth="1"/>
    <col min="14597" max="14597" width="17.6328125" style="66" customWidth="1"/>
    <col min="14598" max="14598" width="16" style="66" customWidth="1"/>
    <col min="14599" max="14599" width="17.6328125" style="66" customWidth="1"/>
    <col min="14600" max="14600" width="16" style="66" customWidth="1"/>
    <col min="14601" max="14847" width="9.08984375" style="66"/>
    <col min="14848" max="14848" width="0" style="66" hidden="1" customWidth="1"/>
    <col min="14849" max="14849" width="3.36328125" style="66" customWidth="1"/>
    <col min="14850" max="14850" width="24.6328125" style="66" customWidth="1"/>
    <col min="14851" max="14851" width="21.36328125" style="66" customWidth="1"/>
    <col min="14852" max="14852" width="19.54296875" style="66" customWidth="1"/>
    <col min="14853" max="14853" width="17.6328125" style="66" customWidth="1"/>
    <col min="14854" max="14854" width="16" style="66" customWidth="1"/>
    <col min="14855" max="14855" width="17.6328125" style="66" customWidth="1"/>
    <col min="14856" max="14856" width="16" style="66" customWidth="1"/>
    <col min="14857" max="15103" width="9.08984375" style="66"/>
    <col min="15104" max="15104" width="0" style="66" hidden="1" customWidth="1"/>
    <col min="15105" max="15105" width="3.36328125" style="66" customWidth="1"/>
    <col min="15106" max="15106" width="24.6328125" style="66" customWidth="1"/>
    <col min="15107" max="15107" width="21.36328125" style="66" customWidth="1"/>
    <col min="15108" max="15108" width="19.54296875" style="66" customWidth="1"/>
    <col min="15109" max="15109" width="17.6328125" style="66" customWidth="1"/>
    <col min="15110" max="15110" width="16" style="66" customWidth="1"/>
    <col min="15111" max="15111" width="17.6328125" style="66" customWidth="1"/>
    <col min="15112" max="15112" width="16" style="66" customWidth="1"/>
    <col min="15113" max="15359" width="9.08984375" style="66"/>
    <col min="15360" max="15360" width="0" style="66" hidden="1" customWidth="1"/>
    <col min="15361" max="15361" width="3.36328125" style="66" customWidth="1"/>
    <col min="15362" max="15362" width="24.6328125" style="66" customWidth="1"/>
    <col min="15363" max="15363" width="21.36328125" style="66" customWidth="1"/>
    <col min="15364" max="15364" width="19.54296875" style="66" customWidth="1"/>
    <col min="15365" max="15365" width="17.6328125" style="66" customWidth="1"/>
    <col min="15366" max="15366" width="16" style="66" customWidth="1"/>
    <col min="15367" max="15367" width="17.6328125" style="66" customWidth="1"/>
    <col min="15368" max="15368" width="16" style="66" customWidth="1"/>
    <col min="15369" max="15615" width="9.08984375" style="66"/>
    <col min="15616" max="15616" width="0" style="66" hidden="1" customWidth="1"/>
    <col min="15617" max="15617" width="3.36328125" style="66" customWidth="1"/>
    <col min="15618" max="15618" width="24.6328125" style="66" customWidth="1"/>
    <col min="15619" max="15619" width="21.36328125" style="66" customWidth="1"/>
    <col min="15620" max="15620" width="19.54296875" style="66" customWidth="1"/>
    <col min="15621" max="15621" width="17.6328125" style="66" customWidth="1"/>
    <col min="15622" max="15622" width="16" style="66" customWidth="1"/>
    <col min="15623" max="15623" width="17.6328125" style="66" customWidth="1"/>
    <col min="15624" max="15624" width="16" style="66" customWidth="1"/>
    <col min="15625" max="15871" width="9.08984375" style="66"/>
    <col min="15872" max="15872" width="0" style="66" hidden="1" customWidth="1"/>
    <col min="15873" max="15873" width="3.36328125" style="66" customWidth="1"/>
    <col min="15874" max="15874" width="24.6328125" style="66" customWidth="1"/>
    <col min="15875" max="15875" width="21.36328125" style="66" customWidth="1"/>
    <col min="15876" max="15876" width="19.54296875" style="66" customWidth="1"/>
    <col min="15877" max="15877" width="17.6328125" style="66" customWidth="1"/>
    <col min="15878" max="15878" width="16" style="66" customWidth="1"/>
    <col min="15879" max="15879" width="17.6328125" style="66" customWidth="1"/>
    <col min="15880" max="15880" width="16" style="66" customWidth="1"/>
    <col min="15881" max="16127" width="9.08984375" style="66"/>
    <col min="16128" max="16128" width="0" style="66" hidden="1" customWidth="1"/>
    <col min="16129" max="16129" width="3.36328125" style="66" customWidth="1"/>
    <col min="16130" max="16130" width="24.6328125" style="66" customWidth="1"/>
    <col min="16131" max="16131" width="21.36328125" style="66" customWidth="1"/>
    <col min="16132" max="16132" width="19.54296875" style="66" customWidth="1"/>
    <col min="16133" max="16133" width="17.6328125" style="66" customWidth="1"/>
    <col min="16134" max="16134" width="16" style="66" customWidth="1"/>
    <col min="16135" max="16135" width="17.6328125" style="66" customWidth="1"/>
    <col min="16136" max="16136" width="16" style="66" customWidth="1"/>
    <col min="16137" max="16384" width="9.08984375" style="66"/>
  </cols>
  <sheetData>
    <row r="1" spans="1:8" ht="33.75" customHeight="1" x14ac:dyDescent="0.35">
      <c r="B1" s="113" t="s">
        <v>100</v>
      </c>
      <c r="C1" s="107"/>
      <c r="D1" s="107"/>
      <c r="E1" s="107"/>
      <c r="F1" s="107"/>
      <c r="G1" s="107"/>
      <c r="H1" s="107"/>
    </row>
    <row r="2" spans="1:8" s="67" customFormat="1" ht="39.75" customHeight="1" x14ac:dyDescent="0.35">
      <c r="B2" s="68"/>
      <c r="C2" s="109" t="s">
        <v>67</v>
      </c>
      <c r="D2" s="109"/>
      <c r="E2" s="110" t="s">
        <v>68</v>
      </c>
      <c r="F2" s="110"/>
      <c r="G2" s="110" t="s">
        <v>69</v>
      </c>
      <c r="H2" s="110"/>
    </row>
    <row r="3" spans="1:8" ht="42.75" customHeight="1" x14ac:dyDescent="0.35">
      <c r="B3" s="69"/>
      <c r="C3" s="70" t="s">
        <v>70</v>
      </c>
      <c r="D3" s="70" t="s">
        <v>71</v>
      </c>
      <c r="E3" s="70" t="s">
        <v>70</v>
      </c>
      <c r="F3" s="70" t="s">
        <v>71</v>
      </c>
      <c r="G3" s="70" t="s">
        <v>70</v>
      </c>
      <c r="H3" s="70" t="s">
        <v>71</v>
      </c>
    </row>
    <row r="4" spans="1:8" ht="18" hidden="1" customHeight="1" x14ac:dyDescent="0.35">
      <c r="C4" s="71" t="s">
        <v>72</v>
      </c>
      <c r="D4" s="71" t="s">
        <v>72</v>
      </c>
      <c r="E4" s="71" t="s">
        <v>73</v>
      </c>
      <c r="F4" s="71" t="s">
        <v>73</v>
      </c>
      <c r="G4" s="71" t="s">
        <v>74</v>
      </c>
      <c r="H4" s="71" t="s">
        <v>74</v>
      </c>
    </row>
    <row r="5" spans="1:8" ht="15.75" hidden="1" customHeight="1" x14ac:dyDescent="0.35">
      <c r="C5" s="71" t="s">
        <v>75</v>
      </c>
      <c r="D5" s="71" t="s">
        <v>76</v>
      </c>
      <c r="E5" s="71" t="s">
        <v>75</v>
      </c>
      <c r="F5" s="71" t="s">
        <v>76</v>
      </c>
      <c r="G5" s="71" t="s">
        <v>75</v>
      </c>
      <c r="H5" s="71" t="s">
        <v>76</v>
      </c>
    </row>
    <row r="6" spans="1:8" ht="26.25" customHeight="1" x14ac:dyDescent="0.35">
      <c r="B6" s="72" t="s">
        <v>77</v>
      </c>
      <c r="C6" s="73">
        <v>139969</v>
      </c>
      <c r="D6" s="73">
        <v>648920.37700000009</v>
      </c>
      <c r="E6" s="73">
        <v>25644</v>
      </c>
      <c r="F6" s="73">
        <v>223223.45</v>
      </c>
      <c r="G6" s="73">
        <v>30714</v>
      </c>
      <c r="H6" s="73">
        <v>219037.12</v>
      </c>
    </row>
    <row r="7" spans="1:8" s="75" customFormat="1" ht="26.25" customHeight="1" x14ac:dyDescent="0.35">
      <c r="A7" s="26"/>
      <c r="B7" s="75" t="s">
        <v>52</v>
      </c>
      <c r="C7" s="76">
        <v>105511</v>
      </c>
      <c r="D7" s="76">
        <v>464612.37700000004</v>
      </c>
      <c r="E7" s="76">
        <v>14052</v>
      </c>
      <c r="F7" s="76">
        <v>133640.45000000001</v>
      </c>
      <c r="G7" s="76">
        <v>20244</v>
      </c>
      <c r="H7" s="76">
        <v>144667.12</v>
      </c>
    </row>
    <row r="8" spans="1:8" x14ac:dyDescent="0.35">
      <c r="A8" s="27">
        <v>51</v>
      </c>
      <c r="B8" s="66" t="s">
        <v>5</v>
      </c>
      <c r="C8" s="77">
        <v>852</v>
      </c>
      <c r="D8" s="77">
        <v>5644</v>
      </c>
      <c r="E8" s="77">
        <v>211</v>
      </c>
      <c r="F8" s="77">
        <v>1820</v>
      </c>
      <c r="G8" s="77">
        <v>219</v>
      </c>
      <c r="H8" s="77">
        <v>472</v>
      </c>
    </row>
    <row r="9" spans="1:8" ht="14.5" x14ac:dyDescent="0.35">
      <c r="A9" s="27">
        <v>52</v>
      </c>
      <c r="B9" s="66" t="s">
        <v>96</v>
      </c>
      <c r="C9" s="77">
        <v>430</v>
      </c>
      <c r="D9" s="77">
        <v>4728</v>
      </c>
      <c r="E9" s="77">
        <v>0</v>
      </c>
      <c r="F9" s="77">
        <v>0</v>
      </c>
      <c r="G9" s="77">
        <v>39</v>
      </c>
      <c r="H9" s="77">
        <v>1039</v>
      </c>
    </row>
    <row r="10" spans="1:8" x14ac:dyDescent="0.35">
      <c r="A10" s="27">
        <v>86</v>
      </c>
      <c r="B10" s="66" t="s">
        <v>7</v>
      </c>
      <c r="C10" s="77">
        <v>960</v>
      </c>
      <c r="D10" s="77">
        <v>7819</v>
      </c>
      <c r="E10" s="77">
        <v>43</v>
      </c>
      <c r="F10" s="77">
        <v>215</v>
      </c>
      <c r="G10" s="77">
        <v>426</v>
      </c>
      <c r="H10" s="77">
        <v>5839</v>
      </c>
    </row>
    <row r="11" spans="1:8" x14ac:dyDescent="0.35">
      <c r="A11" s="27">
        <v>53</v>
      </c>
      <c r="B11" s="66" t="s">
        <v>8</v>
      </c>
      <c r="C11" s="77">
        <v>1627</v>
      </c>
      <c r="D11" s="77">
        <v>8135</v>
      </c>
      <c r="E11" s="77">
        <v>59</v>
      </c>
      <c r="F11" s="77">
        <v>319</v>
      </c>
      <c r="G11" s="77">
        <v>45</v>
      </c>
      <c r="H11" s="77">
        <v>1157</v>
      </c>
    </row>
    <row r="12" spans="1:8" x14ac:dyDescent="0.35">
      <c r="A12" s="27">
        <v>54</v>
      </c>
      <c r="B12" s="66" t="s">
        <v>9</v>
      </c>
      <c r="C12" s="77">
        <v>2041</v>
      </c>
      <c r="D12" s="77">
        <v>7219.75</v>
      </c>
      <c r="E12" s="77">
        <v>65</v>
      </c>
      <c r="F12" s="77">
        <v>374.25</v>
      </c>
      <c r="G12" s="77">
        <v>281</v>
      </c>
      <c r="H12" s="77">
        <v>1549.75</v>
      </c>
    </row>
    <row r="13" spans="1:8" x14ac:dyDescent="0.35">
      <c r="A13" s="27">
        <v>55</v>
      </c>
      <c r="B13" s="66" t="s">
        <v>10</v>
      </c>
      <c r="C13" s="77">
        <v>253</v>
      </c>
      <c r="D13" s="77">
        <v>6608</v>
      </c>
      <c r="E13" s="77">
        <v>49</v>
      </c>
      <c r="F13" s="77">
        <v>49</v>
      </c>
      <c r="G13" s="77">
        <v>204</v>
      </c>
      <c r="H13" s="77">
        <v>6559</v>
      </c>
    </row>
    <row r="14" spans="1:8" x14ac:dyDescent="0.35">
      <c r="A14" s="27">
        <v>56</v>
      </c>
      <c r="B14" s="66" t="s">
        <v>11</v>
      </c>
      <c r="C14" s="77">
        <v>2011</v>
      </c>
      <c r="D14" s="77">
        <v>26007</v>
      </c>
      <c r="E14" s="77">
        <v>1271</v>
      </c>
      <c r="F14" s="77">
        <v>5399</v>
      </c>
      <c r="G14" s="77">
        <v>740</v>
      </c>
      <c r="H14" s="77">
        <v>20608</v>
      </c>
    </row>
    <row r="15" spans="1:8" x14ac:dyDescent="0.35">
      <c r="A15" s="27">
        <v>57</v>
      </c>
      <c r="B15" s="66" t="s">
        <v>12</v>
      </c>
      <c r="C15" s="77">
        <v>904</v>
      </c>
      <c r="D15" s="77">
        <v>7265</v>
      </c>
      <c r="E15" s="77">
        <v>357</v>
      </c>
      <c r="F15" s="77">
        <v>1235</v>
      </c>
      <c r="G15" s="77">
        <v>118</v>
      </c>
      <c r="H15" s="77">
        <v>4664</v>
      </c>
    </row>
    <row r="16" spans="1:8" x14ac:dyDescent="0.35">
      <c r="A16" s="27">
        <v>59</v>
      </c>
      <c r="B16" s="66" t="s">
        <v>13</v>
      </c>
      <c r="C16" s="77">
        <v>1158</v>
      </c>
      <c r="D16" s="77">
        <v>2553</v>
      </c>
      <c r="E16" s="77">
        <v>118</v>
      </c>
      <c r="F16" s="77">
        <v>401</v>
      </c>
      <c r="G16" s="77">
        <v>433</v>
      </c>
      <c r="H16" s="77">
        <v>755</v>
      </c>
    </row>
    <row r="17" spans="1:8" x14ac:dyDescent="0.35">
      <c r="A17" s="27">
        <v>60</v>
      </c>
      <c r="B17" s="66" t="s">
        <v>14</v>
      </c>
      <c r="C17" s="77">
        <v>14875</v>
      </c>
      <c r="D17" s="77">
        <v>13173</v>
      </c>
      <c r="E17" s="77">
        <v>351</v>
      </c>
      <c r="F17" s="77">
        <v>1814</v>
      </c>
      <c r="G17" s="77">
        <v>711</v>
      </c>
      <c r="H17" s="77">
        <v>4754</v>
      </c>
    </row>
    <row r="18" spans="1:8" x14ac:dyDescent="0.35">
      <c r="A18" s="27">
        <v>61</v>
      </c>
      <c r="B18" s="78" t="s">
        <v>53</v>
      </c>
      <c r="C18" s="77">
        <v>3918</v>
      </c>
      <c r="D18" s="77">
        <v>11004</v>
      </c>
      <c r="E18" s="77">
        <v>797</v>
      </c>
      <c r="F18" s="77">
        <v>2045</v>
      </c>
      <c r="G18" s="77">
        <v>1096</v>
      </c>
      <c r="H18" s="77">
        <v>2451</v>
      </c>
    </row>
    <row r="19" spans="1:8" x14ac:dyDescent="0.35">
      <c r="A19" s="27"/>
      <c r="B19" s="78" t="s">
        <v>131</v>
      </c>
      <c r="C19" s="77" t="s">
        <v>132</v>
      </c>
      <c r="D19" s="77" t="s">
        <v>132</v>
      </c>
      <c r="E19" s="77" t="s">
        <v>132</v>
      </c>
      <c r="F19" s="77" t="s">
        <v>132</v>
      </c>
      <c r="G19" s="77" t="s">
        <v>132</v>
      </c>
      <c r="H19" s="77" t="s">
        <v>132</v>
      </c>
    </row>
    <row r="20" spans="1:8" x14ac:dyDescent="0.35">
      <c r="A20" s="27">
        <v>62</v>
      </c>
      <c r="B20" s="66" t="s">
        <v>16</v>
      </c>
      <c r="C20" s="77">
        <v>9071</v>
      </c>
      <c r="D20" s="77">
        <v>16243</v>
      </c>
      <c r="E20" s="77">
        <v>546</v>
      </c>
      <c r="F20" s="77">
        <v>6539</v>
      </c>
      <c r="G20" s="77">
        <v>213</v>
      </c>
      <c r="H20" s="77">
        <v>1111</v>
      </c>
    </row>
    <row r="21" spans="1:8" x14ac:dyDescent="0.35">
      <c r="A21" s="27">
        <v>58</v>
      </c>
      <c r="B21" s="66" t="s">
        <v>17</v>
      </c>
      <c r="C21" s="77">
        <v>1987</v>
      </c>
      <c r="D21" s="77">
        <v>9500</v>
      </c>
      <c r="E21" s="77">
        <v>764</v>
      </c>
      <c r="F21" s="77">
        <v>4553</v>
      </c>
      <c r="G21" s="77">
        <v>591</v>
      </c>
      <c r="H21" s="77">
        <v>2620</v>
      </c>
    </row>
    <row r="22" spans="1:8" x14ac:dyDescent="0.35">
      <c r="A22" s="27">
        <v>63</v>
      </c>
      <c r="B22" s="66" t="s">
        <v>18</v>
      </c>
      <c r="C22" s="77">
        <v>3235</v>
      </c>
      <c r="D22" s="77">
        <v>15710</v>
      </c>
      <c r="E22" s="77">
        <v>158</v>
      </c>
      <c r="F22" s="77">
        <v>2078.5</v>
      </c>
      <c r="G22" s="77">
        <v>683</v>
      </c>
      <c r="H22" s="77">
        <v>4552.75</v>
      </c>
    </row>
    <row r="23" spans="1:8" x14ac:dyDescent="0.35">
      <c r="A23" s="27">
        <v>64</v>
      </c>
      <c r="B23" s="66" t="s">
        <v>19</v>
      </c>
      <c r="C23" s="77">
        <v>2843</v>
      </c>
      <c r="D23" s="77">
        <v>20365.05</v>
      </c>
      <c r="E23" s="77">
        <v>532</v>
      </c>
      <c r="F23" s="77">
        <v>7855.37</v>
      </c>
      <c r="G23" s="77">
        <v>1231</v>
      </c>
      <c r="H23" s="77">
        <v>5314.32</v>
      </c>
    </row>
    <row r="24" spans="1:8" x14ac:dyDescent="0.35">
      <c r="A24" s="27">
        <v>65</v>
      </c>
      <c r="B24" s="66" t="s">
        <v>20</v>
      </c>
      <c r="C24" s="77">
        <v>2630</v>
      </c>
      <c r="D24" s="77">
        <v>6550</v>
      </c>
      <c r="E24" s="77">
        <v>121</v>
      </c>
      <c r="F24" s="77">
        <v>1215</v>
      </c>
      <c r="G24" s="77">
        <v>674</v>
      </c>
      <c r="H24" s="77">
        <v>1928</v>
      </c>
    </row>
    <row r="25" spans="1:8" x14ac:dyDescent="0.35">
      <c r="A25" s="27">
        <v>67</v>
      </c>
      <c r="B25" s="66" t="s">
        <v>23</v>
      </c>
      <c r="C25" s="77">
        <v>3027</v>
      </c>
      <c r="D25" s="77">
        <v>46170</v>
      </c>
      <c r="E25" s="77">
        <v>454</v>
      </c>
      <c r="F25" s="77">
        <v>16623</v>
      </c>
      <c r="G25" s="77">
        <v>1424</v>
      </c>
      <c r="H25" s="77">
        <v>19162</v>
      </c>
    </row>
    <row r="26" spans="1:8" x14ac:dyDescent="0.35">
      <c r="A26" s="27">
        <v>68</v>
      </c>
      <c r="B26" s="66" t="s">
        <v>54</v>
      </c>
      <c r="C26" s="77">
        <v>6537</v>
      </c>
      <c r="D26" s="77">
        <v>10577</v>
      </c>
      <c r="E26" s="77">
        <v>36</v>
      </c>
      <c r="F26" s="77">
        <v>381</v>
      </c>
      <c r="G26" s="77">
        <v>366</v>
      </c>
      <c r="H26" s="77">
        <v>1498</v>
      </c>
    </row>
    <row r="27" spans="1:8" x14ac:dyDescent="0.35">
      <c r="A27" s="27">
        <v>69</v>
      </c>
      <c r="B27" s="66" t="s">
        <v>25</v>
      </c>
      <c r="C27" s="77">
        <v>3481</v>
      </c>
      <c r="D27" s="77">
        <v>19448</v>
      </c>
      <c r="E27" s="77">
        <v>1090</v>
      </c>
      <c r="F27" s="77">
        <v>3974</v>
      </c>
      <c r="G27" s="77">
        <v>2391</v>
      </c>
      <c r="H27" s="77">
        <v>15474</v>
      </c>
    </row>
    <row r="28" spans="1:8" x14ac:dyDescent="0.35">
      <c r="A28" s="27">
        <v>70</v>
      </c>
      <c r="B28" s="66" t="s">
        <v>26</v>
      </c>
      <c r="C28" s="77">
        <v>1668</v>
      </c>
      <c r="D28" s="77">
        <v>8685</v>
      </c>
      <c r="E28" s="77">
        <v>549</v>
      </c>
      <c r="F28" s="77">
        <v>5065</v>
      </c>
      <c r="G28" s="77">
        <v>461</v>
      </c>
      <c r="H28" s="77">
        <v>1526</v>
      </c>
    </row>
    <row r="29" spans="1:8" x14ac:dyDescent="0.35">
      <c r="A29" s="27">
        <v>71</v>
      </c>
      <c r="B29" s="66" t="s">
        <v>55</v>
      </c>
      <c r="C29" s="77">
        <v>110</v>
      </c>
      <c r="D29" s="77">
        <v>1059</v>
      </c>
      <c r="E29" s="77">
        <v>36</v>
      </c>
      <c r="F29" s="77">
        <v>300</v>
      </c>
      <c r="G29" s="77">
        <v>74</v>
      </c>
      <c r="H29" s="77">
        <v>759</v>
      </c>
    </row>
    <row r="30" spans="1:8" x14ac:dyDescent="0.35">
      <c r="A30" s="27">
        <v>73</v>
      </c>
      <c r="B30" s="66" t="s">
        <v>29</v>
      </c>
      <c r="C30" s="77">
        <v>2764</v>
      </c>
      <c r="D30" s="77">
        <v>25819</v>
      </c>
      <c r="E30" s="77">
        <v>1201</v>
      </c>
      <c r="F30" s="77">
        <v>3268</v>
      </c>
      <c r="G30" s="77">
        <v>79</v>
      </c>
      <c r="H30" s="77">
        <v>6696</v>
      </c>
    </row>
    <row r="31" spans="1:8" x14ac:dyDescent="0.35">
      <c r="A31" s="27">
        <v>74</v>
      </c>
      <c r="B31" s="66" t="s">
        <v>30</v>
      </c>
      <c r="C31" s="77">
        <v>7555</v>
      </c>
      <c r="D31" s="77">
        <v>24085</v>
      </c>
      <c r="E31" s="77">
        <v>1216</v>
      </c>
      <c r="F31" s="77">
        <v>4102</v>
      </c>
      <c r="G31" s="77">
        <v>1642</v>
      </c>
      <c r="H31" s="77">
        <v>4716</v>
      </c>
    </row>
    <row r="32" spans="1:8" x14ac:dyDescent="0.35">
      <c r="A32" s="27">
        <v>75</v>
      </c>
      <c r="B32" s="66" t="s">
        <v>31</v>
      </c>
      <c r="C32" s="77">
        <v>2284</v>
      </c>
      <c r="D32" s="77">
        <v>26404.967000000001</v>
      </c>
      <c r="E32" s="77">
        <v>1132</v>
      </c>
      <c r="F32" s="77">
        <v>18010</v>
      </c>
      <c r="G32" s="77">
        <v>1054</v>
      </c>
      <c r="H32" s="77">
        <v>4002</v>
      </c>
    </row>
    <row r="33" spans="1:8" ht="14.5" x14ac:dyDescent="0.35">
      <c r="A33" s="27">
        <v>76</v>
      </c>
      <c r="B33" s="66" t="s">
        <v>101</v>
      </c>
      <c r="C33" s="77">
        <v>383</v>
      </c>
      <c r="D33" s="77">
        <v>11153</v>
      </c>
      <c r="E33" s="77">
        <v>123</v>
      </c>
      <c r="F33" s="77">
        <v>4610</v>
      </c>
      <c r="G33" s="77">
        <v>260</v>
      </c>
      <c r="H33" s="77">
        <v>1733</v>
      </c>
    </row>
    <row r="34" spans="1:8" x14ac:dyDescent="0.35">
      <c r="A34" s="27">
        <v>79</v>
      </c>
      <c r="B34" s="66" t="s">
        <v>34</v>
      </c>
      <c r="C34" s="77">
        <v>693</v>
      </c>
      <c r="D34" s="77">
        <v>2183.9</v>
      </c>
      <c r="E34" s="77">
        <v>56</v>
      </c>
      <c r="F34" s="77">
        <v>216.8</v>
      </c>
      <c r="G34" s="77">
        <v>259</v>
      </c>
      <c r="H34" s="77">
        <v>1259.3</v>
      </c>
    </row>
    <row r="35" spans="1:8" x14ac:dyDescent="0.35">
      <c r="A35" s="27">
        <v>80</v>
      </c>
      <c r="B35" s="66" t="s">
        <v>35</v>
      </c>
      <c r="C35" s="77">
        <v>3070</v>
      </c>
      <c r="D35" s="77">
        <v>11882</v>
      </c>
      <c r="E35" s="77">
        <v>212</v>
      </c>
      <c r="F35" s="77">
        <v>3634</v>
      </c>
      <c r="G35" s="77">
        <v>241</v>
      </c>
      <c r="H35" s="77">
        <v>1202</v>
      </c>
    </row>
    <row r="36" spans="1:8" x14ac:dyDescent="0.35">
      <c r="A36" s="27">
        <v>81</v>
      </c>
      <c r="B36" s="66" t="s">
        <v>36</v>
      </c>
      <c r="C36" s="77">
        <v>309</v>
      </c>
      <c r="D36" s="77">
        <v>2670</v>
      </c>
      <c r="E36" s="77">
        <v>11</v>
      </c>
      <c r="F36" s="77">
        <v>2068</v>
      </c>
      <c r="G36" s="77">
        <v>196</v>
      </c>
      <c r="H36" s="77">
        <v>411</v>
      </c>
    </row>
    <row r="37" spans="1:8" x14ac:dyDescent="0.35">
      <c r="A37" s="27">
        <v>83</v>
      </c>
      <c r="B37" s="66" t="s">
        <v>37</v>
      </c>
      <c r="C37" s="77">
        <v>2670</v>
      </c>
      <c r="D37" s="77">
        <v>15988.25</v>
      </c>
      <c r="E37" s="77">
        <v>373</v>
      </c>
      <c r="F37" s="77">
        <v>11278</v>
      </c>
      <c r="G37" s="77">
        <v>183</v>
      </c>
      <c r="H37" s="77">
        <v>1225</v>
      </c>
    </row>
    <row r="38" spans="1:8" x14ac:dyDescent="0.35">
      <c r="A38" s="27">
        <v>84</v>
      </c>
      <c r="B38" s="66" t="s">
        <v>38</v>
      </c>
      <c r="C38" s="77">
        <v>3803</v>
      </c>
      <c r="D38" s="77">
        <v>33100</v>
      </c>
      <c r="E38" s="77">
        <v>462</v>
      </c>
      <c r="F38" s="77">
        <v>2459</v>
      </c>
      <c r="G38" s="77">
        <v>138</v>
      </c>
      <c r="H38" s="77">
        <v>5505</v>
      </c>
    </row>
    <row r="39" spans="1:8" x14ac:dyDescent="0.35">
      <c r="A39" s="27">
        <v>85</v>
      </c>
      <c r="B39" s="66" t="s">
        <v>39</v>
      </c>
      <c r="C39" s="77">
        <v>1320</v>
      </c>
      <c r="D39" s="77">
        <v>14905</v>
      </c>
      <c r="E39" s="77">
        <v>270</v>
      </c>
      <c r="F39" s="77">
        <v>9331.4</v>
      </c>
      <c r="G39" s="77">
        <v>999</v>
      </c>
      <c r="H39" s="77">
        <v>5392</v>
      </c>
    </row>
    <row r="40" spans="1:8" x14ac:dyDescent="0.35">
      <c r="A40" s="27">
        <v>87</v>
      </c>
      <c r="B40" s="66" t="s">
        <v>40</v>
      </c>
      <c r="C40" s="77">
        <v>746</v>
      </c>
      <c r="D40" s="77">
        <v>4764</v>
      </c>
      <c r="E40" s="77">
        <v>47</v>
      </c>
      <c r="F40" s="77">
        <v>149</v>
      </c>
      <c r="G40" s="77">
        <v>4</v>
      </c>
      <c r="H40" s="77">
        <v>23</v>
      </c>
    </row>
    <row r="41" spans="1:8" x14ac:dyDescent="0.35">
      <c r="A41" s="27">
        <v>90</v>
      </c>
      <c r="B41" s="66" t="s">
        <v>42</v>
      </c>
      <c r="C41" s="77">
        <v>5095</v>
      </c>
      <c r="D41" s="77">
        <v>1547</v>
      </c>
      <c r="E41" s="77">
        <v>145</v>
      </c>
      <c r="F41" s="77">
        <v>52</v>
      </c>
      <c r="G41" s="77">
        <v>415</v>
      </c>
      <c r="H41" s="77">
        <v>110</v>
      </c>
    </row>
    <row r="42" spans="1:8" x14ac:dyDescent="0.35">
      <c r="A42" s="27">
        <v>91</v>
      </c>
      <c r="B42" s="66" t="s">
        <v>43</v>
      </c>
      <c r="C42" s="77">
        <v>463</v>
      </c>
      <c r="D42" s="77">
        <v>3503.46</v>
      </c>
      <c r="E42" s="77">
        <v>48</v>
      </c>
      <c r="F42" s="77">
        <v>484.13</v>
      </c>
      <c r="G42" s="77">
        <v>212</v>
      </c>
      <c r="H42" s="77">
        <v>1271</v>
      </c>
    </row>
    <row r="43" spans="1:8" x14ac:dyDescent="0.35">
      <c r="A43" s="27">
        <v>92</v>
      </c>
      <c r="B43" s="66" t="s">
        <v>44</v>
      </c>
      <c r="C43" s="77">
        <v>838</v>
      </c>
      <c r="D43" s="77">
        <v>9100</v>
      </c>
      <c r="E43" s="77">
        <v>533</v>
      </c>
      <c r="F43" s="77">
        <v>7000</v>
      </c>
      <c r="G43" s="77">
        <v>305</v>
      </c>
      <c r="H43" s="77">
        <v>2100</v>
      </c>
    </row>
    <row r="44" spans="1:8" x14ac:dyDescent="0.35">
      <c r="A44" s="27">
        <v>94</v>
      </c>
      <c r="B44" s="66" t="s">
        <v>46</v>
      </c>
      <c r="C44" s="77">
        <v>723</v>
      </c>
      <c r="D44" s="77">
        <v>2942</v>
      </c>
      <c r="E44" s="77">
        <v>302</v>
      </c>
      <c r="F44" s="77">
        <v>1319</v>
      </c>
      <c r="G44" s="77">
        <v>420</v>
      </c>
      <c r="H44" s="77">
        <v>1623</v>
      </c>
    </row>
    <row r="45" spans="1:8" x14ac:dyDescent="0.35">
      <c r="A45" s="27">
        <v>96</v>
      </c>
      <c r="B45" s="66" t="s">
        <v>48</v>
      </c>
      <c r="C45" s="77">
        <v>8318</v>
      </c>
      <c r="D45" s="77">
        <v>18460</v>
      </c>
      <c r="E45" s="77">
        <v>305</v>
      </c>
      <c r="F45" s="77">
        <v>3382</v>
      </c>
      <c r="G45" s="77">
        <v>954</v>
      </c>
      <c r="H45" s="77">
        <v>2812</v>
      </c>
    </row>
    <row r="46" spans="1:8" x14ac:dyDescent="0.35">
      <c r="A46" s="27">
        <v>98</v>
      </c>
      <c r="B46" s="66" t="s">
        <v>50</v>
      </c>
      <c r="C46" s="77">
        <v>840</v>
      </c>
      <c r="D46" s="77">
        <v>1557</v>
      </c>
      <c r="E46" s="77">
        <v>1</v>
      </c>
      <c r="F46" s="90" t="s">
        <v>117</v>
      </c>
      <c r="G46" s="77">
        <v>461</v>
      </c>
      <c r="H46" s="77">
        <v>790</v>
      </c>
    </row>
    <row r="47" spans="1:8" x14ac:dyDescent="0.35">
      <c r="A47" s="27">
        <v>72</v>
      </c>
      <c r="B47" s="66" t="s">
        <v>28</v>
      </c>
      <c r="C47" s="77">
        <v>19</v>
      </c>
      <c r="D47" s="77">
        <v>85</v>
      </c>
      <c r="E47" s="77">
        <v>8</v>
      </c>
      <c r="F47" s="77">
        <v>22</v>
      </c>
      <c r="G47" s="77">
        <v>2</v>
      </c>
      <c r="H47" s="77">
        <v>4</v>
      </c>
    </row>
    <row r="48" spans="1:8" s="75" customFormat="1" ht="26.25" customHeight="1" x14ac:dyDescent="0.35">
      <c r="B48" s="75" t="s">
        <v>56</v>
      </c>
      <c r="C48" s="81">
        <v>34458</v>
      </c>
      <c r="D48" s="81">
        <v>184308</v>
      </c>
      <c r="E48" s="81">
        <v>11592</v>
      </c>
      <c r="F48" s="81">
        <v>89583</v>
      </c>
      <c r="G48" s="81">
        <v>10470</v>
      </c>
      <c r="H48" s="81">
        <v>74370</v>
      </c>
    </row>
    <row r="49" spans="1:8" x14ac:dyDescent="0.35">
      <c r="A49" s="27">
        <v>66</v>
      </c>
      <c r="B49" s="66" t="s">
        <v>22</v>
      </c>
      <c r="C49" s="77">
        <v>2462</v>
      </c>
      <c r="D49" s="77">
        <v>13157</v>
      </c>
      <c r="E49" s="77">
        <v>547</v>
      </c>
      <c r="F49" s="77">
        <v>2197</v>
      </c>
      <c r="G49" s="77">
        <v>1638</v>
      </c>
      <c r="H49" s="77">
        <v>10960</v>
      </c>
    </row>
    <row r="50" spans="1:8" ht="14.5" x14ac:dyDescent="0.35">
      <c r="A50" s="27">
        <v>78</v>
      </c>
      <c r="B50" s="67" t="s">
        <v>97</v>
      </c>
      <c r="C50" s="77">
        <v>9949</v>
      </c>
      <c r="D50" s="77">
        <v>44362</v>
      </c>
      <c r="E50" s="77">
        <v>3271</v>
      </c>
      <c r="F50" s="77">
        <v>15190</v>
      </c>
      <c r="G50" s="90" t="s">
        <v>117</v>
      </c>
      <c r="H50" s="77">
        <v>16485</v>
      </c>
    </row>
    <row r="51" spans="1:8" x14ac:dyDescent="0.35">
      <c r="A51" s="27">
        <v>89</v>
      </c>
      <c r="B51" s="66" t="s">
        <v>41</v>
      </c>
      <c r="C51" s="77">
        <v>4786</v>
      </c>
      <c r="D51" s="77">
        <v>11297</v>
      </c>
      <c r="E51" s="77">
        <v>2005</v>
      </c>
      <c r="F51" s="77">
        <v>5644</v>
      </c>
      <c r="G51" s="77">
        <v>1691</v>
      </c>
      <c r="H51" s="77">
        <v>3877</v>
      </c>
    </row>
    <row r="52" spans="1:8" x14ac:dyDescent="0.35">
      <c r="A52" s="27">
        <v>93</v>
      </c>
      <c r="B52" s="66" t="s">
        <v>57</v>
      </c>
      <c r="C52" s="77">
        <v>2131</v>
      </c>
      <c r="D52" s="77">
        <v>16419</v>
      </c>
      <c r="E52" s="77">
        <v>511</v>
      </c>
      <c r="F52" s="77">
        <v>3820</v>
      </c>
      <c r="G52" s="77">
        <v>1214</v>
      </c>
      <c r="H52" s="77">
        <v>12307</v>
      </c>
    </row>
    <row r="53" spans="1:8" x14ac:dyDescent="0.35">
      <c r="A53" s="27">
        <v>95</v>
      </c>
      <c r="B53" s="66" t="s">
        <v>47</v>
      </c>
      <c r="C53" s="77">
        <v>7134</v>
      </c>
      <c r="D53" s="77">
        <v>75257</v>
      </c>
      <c r="E53" s="77">
        <v>2260</v>
      </c>
      <c r="F53" s="77">
        <v>47181</v>
      </c>
      <c r="G53" s="77">
        <v>4874</v>
      </c>
      <c r="H53" s="77">
        <v>28076</v>
      </c>
    </row>
    <row r="54" spans="1:8" x14ac:dyDescent="0.35">
      <c r="A54" s="27">
        <v>97</v>
      </c>
      <c r="B54" s="66" t="s">
        <v>49</v>
      </c>
      <c r="C54" s="77">
        <v>7996</v>
      </c>
      <c r="D54" s="77">
        <v>23816</v>
      </c>
      <c r="E54" s="77">
        <v>2998</v>
      </c>
      <c r="F54" s="77">
        <v>15551</v>
      </c>
      <c r="G54" s="77">
        <v>1053</v>
      </c>
      <c r="H54" s="77">
        <v>2665</v>
      </c>
    </row>
    <row r="55" spans="1:8" x14ac:dyDescent="0.35">
      <c r="A55" s="27">
        <v>77</v>
      </c>
      <c r="B55" s="69" t="s">
        <v>21</v>
      </c>
      <c r="C55" s="90" t="s">
        <v>117</v>
      </c>
      <c r="D55" s="90" t="s">
        <v>117</v>
      </c>
      <c r="E55" s="90" t="s">
        <v>117</v>
      </c>
      <c r="F55" s="90" t="s">
        <v>117</v>
      </c>
      <c r="G55" s="90" t="s">
        <v>117</v>
      </c>
      <c r="H55" s="90" t="s">
        <v>117</v>
      </c>
    </row>
    <row r="57" spans="1:8" ht="27.75" customHeight="1" x14ac:dyDescent="0.35">
      <c r="B57" s="111" t="s">
        <v>80</v>
      </c>
      <c r="C57" s="112"/>
      <c r="D57" s="112"/>
      <c r="E57" s="112"/>
      <c r="F57" s="112"/>
      <c r="G57" s="112"/>
      <c r="H57" s="112"/>
    </row>
    <row r="58" spans="1:8" ht="27.75" customHeight="1" x14ac:dyDescent="0.35">
      <c r="B58" s="111" t="s">
        <v>81</v>
      </c>
      <c r="C58" s="112"/>
      <c r="D58" s="112"/>
      <c r="E58" s="112"/>
      <c r="F58" s="112"/>
      <c r="G58" s="112"/>
      <c r="H58" s="112"/>
    </row>
    <row r="59" spans="1:8" ht="13.5" customHeight="1" x14ac:dyDescent="0.35">
      <c r="B59" s="67" t="s">
        <v>82</v>
      </c>
      <c r="C59" s="86"/>
      <c r="D59" s="86"/>
      <c r="E59" s="86"/>
      <c r="F59" s="86"/>
      <c r="G59" s="86"/>
      <c r="H59" s="86"/>
    </row>
    <row r="60" spans="1:8" ht="13.5" customHeight="1" x14ac:dyDescent="0.35">
      <c r="B60" s="67" t="s">
        <v>99</v>
      </c>
      <c r="C60" s="86"/>
      <c r="D60" s="86"/>
      <c r="E60" s="86"/>
      <c r="F60" s="86"/>
      <c r="G60" s="86"/>
      <c r="H60" s="86"/>
    </row>
    <row r="61" spans="1:8" ht="13.5" customHeight="1" x14ac:dyDescent="0.35">
      <c r="B61" s="67" t="s">
        <v>102</v>
      </c>
      <c r="C61" s="86"/>
      <c r="D61" s="86"/>
      <c r="E61" s="86"/>
      <c r="F61" s="86"/>
      <c r="G61" s="86"/>
      <c r="H61" s="86"/>
    </row>
    <row r="62" spans="1:8" ht="13.5" customHeight="1" x14ac:dyDescent="0.35">
      <c r="B62" s="67" t="s">
        <v>103</v>
      </c>
      <c r="C62" s="86"/>
      <c r="D62" s="86"/>
      <c r="E62" s="86"/>
      <c r="F62" s="86"/>
      <c r="G62" s="86"/>
      <c r="H62" s="86"/>
    </row>
    <row r="63" spans="1:8" x14ac:dyDescent="0.35">
      <c r="B63" s="67"/>
      <c r="C63" s="67"/>
      <c r="D63" s="67"/>
      <c r="E63" s="67"/>
      <c r="F63" s="67"/>
      <c r="G63" s="67"/>
      <c r="H63" s="67"/>
    </row>
    <row r="65" spans="2:2" x14ac:dyDescent="0.35">
      <c r="B65" s="66" t="s">
        <v>86</v>
      </c>
    </row>
    <row r="67" spans="2:2" x14ac:dyDescent="0.35">
      <c r="B67" s="84"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pageSetUpPr fitToPage="1"/>
  </sheetPr>
  <dimension ref="A1:S66"/>
  <sheetViews>
    <sheetView showGridLines="0" zoomScale="85" zoomScaleNormal="85" workbookViewId="0">
      <pane xSplit="2" ySplit="3" topLeftCell="C13" activePane="bottomRight" state="frozen"/>
      <selection activeCell="A65" sqref="A65:I65"/>
      <selection pane="topRight" activeCell="A65" sqref="A65:I65"/>
      <selection pane="bottomLeft" activeCell="A65" sqref="A65:I65"/>
      <selection pane="bottomRight" activeCell="C20" sqref="C20"/>
    </sheetView>
  </sheetViews>
  <sheetFormatPr defaultColWidth="0" defaultRowHeight="12.5" x14ac:dyDescent="0.35"/>
  <cols>
    <col min="1" max="1" width="9.54296875" style="66" hidden="1" customWidth="1"/>
    <col min="2" max="2" width="24.6328125" style="66" customWidth="1"/>
    <col min="3" max="3" width="21.36328125" style="66" customWidth="1"/>
    <col min="4" max="4" width="19.54296875" style="66" customWidth="1"/>
    <col min="5" max="5" width="17.6328125" style="66" customWidth="1"/>
    <col min="6" max="6" width="16" style="66" customWidth="1"/>
    <col min="7" max="7" width="17.6328125" style="66" customWidth="1"/>
    <col min="8" max="8" width="16" style="66" customWidth="1"/>
    <col min="9" max="9" width="9.08984375" style="66" customWidth="1"/>
    <col min="10" max="10" width="11" style="66" hidden="1" customWidth="1"/>
    <col min="11" max="11" width="0" style="66" hidden="1" customWidth="1"/>
    <col min="12" max="12" width="11.08984375" style="66" hidden="1" customWidth="1"/>
    <col min="13" max="256" width="0" style="66" hidden="1"/>
    <col min="257" max="257" width="0" style="66" hidden="1" customWidth="1"/>
    <col min="258" max="258" width="24.6328125" style="66" customWidth="1"/>
    <col min="259" max="259" width="21.36328125" style="66" customWidth="1"/>
    <col min="260" max="260" width="19.54296875" style="66" customWidth="1"/>
    <col min="261" max="261" width="17.6328125" style="66" customWidth="1"/>
    <col min="262" max="262" width="16" style="66" customWidth="1"/>
    <col min="263" max="263" width="17.6328125" style="66" customWidth="1"/>
    <col min="264" max="264" width="16" style="66" customWidth="1"/>
    <col min="265" max="265" width="9.08984375" style="66" customWidth="1"/>
    <col min="266" max="268" width="0" style="66" hidden="1" customWidth="1"/>
    <col min="269" max="512" width="0" style="66" hidden="1"/>
    <col min="513" max="513" width="0" style="66" hidden="1" customWidth="1"/>
    <col min="514" max="514" width="24.6328125" style="66" customWidth="1"/>
    <col min="515" max="515" width="21.36328125" style="66" customWidth="1"/>
    <col min="516" max="516" width="19.54296875" style="66" customWidth="1"/>
    <col min="517" max="517" width="17.6328125" style="66" customWidth="1"/>
    <col min="518" max="518" width="16" style="66" customWidth="1"/>
    <col min="519" max="519" width="17.6328125" style="66" customWidth="1"/>
    <col min="520" max="520" width="16" style="66" customWidth="1"/>
    <col min="521" max="521" width="9.08984375" style="66" customWidth="1"/>
    <col min="522" max="524" width="0" style="66" hidden="1" customWidth="1"/>
    <col min="525" max="768" width="0" style="66" hidden="1"/>
    <col min="769" max="769" width="0" style="66" hidden="1" customWidth="1"/>
    <col min="770" max="770" width="24.6328125" style="66" customWidth="1"/>
    <col min="771" max="771" width="21.36328125" style="66" customWidth="1"/>
    <col min="772" max="772" width="19.54296875" style="66" customWidth="1"/>
    <col min="773" max="773" width="17.6328125" style="66" customWidth="1"/>
    <col min="774" max="774" width="16" style="66" customWidth="1"/>
    <col min="775" max="775" width="17.6328125" style="66" customWidth="1"/>
    <col min="776" max="776" width="16" style="66" customWidth="1"/>
    <col min="777" max="777" width="9.08984375" style="66" customWidth="1"/>
    <col min="778" max="780" width="0" style="66" hidden="1" customWidth="1"/>
    <col min="781" max="1024" width="0" style="66" hidden="1"/>
    <col min="1025" max="1025" width="0" style="66" hidden="1" customWidth="1"/>
    <col min="1026" max="1026" width="24.6328125" style="66" customWidth="1"/>
    <col min="1027" max="1027" width="21.36328125" style="66" customWidth="1"/>
    <col min="1028" max="1028" width="19.54296875" style="66" customWidth="1"/>
    <col min="1029" max="1029" width="17.6328125" style="66" customWidth="1"/>
    <col min="1030" max="1030" width="16" style="66" customWidth="1"/>
    <col min="1031" max="1031" width="17.6328125" style="66" customWidth="1"/>
    <col min="1032" max="1032" width="16" style="66" customWidth="1"/>
    <col min="1033" max="1033" width="9.08984375" style="66" customWidth="1"/>
    <col min="1034" max="1036" width="0" style="66" hidden="1" customWidth="1"/>
    <col min="1037" max="1280" width="0" style="66" hidden="1"/>
    <col min="1281" max="1281" width="0" style="66" hidden="1" customWidth="1"/>
    <col min="1282" max="1282" width="24.6328125" style="66" customWidth="1"/>
    <col min="1283" max="1283" width="21.36328125" style="66" customWidth="1"/>
    <col min="1284" max="1284" width="19.54296875" style="66" customWidth="1"/>
    <col min="1285" max="1285" width="17.6328125" style="66" customWidth="1"/>
    <col min="1286" max="1286" width="16" style="66" customWidth="1"/>
    <col min="1287" max="1287" width="17.6328125" style="66" customWidth="1"/>
    <col min="1288" max="1288" width="16" style="66" customWidth="1"/>
    <col min="1289" max="1289" width="9.08984375" style="66" customWidth="1"/>
    <col min="1290" max="1292" width="0" style="66" hidden="1" customWidth="1"/>
    <col min="1293" max="1536" width="0" style="66" hidden="1"/>
    <col min="1537" max="1537" width="0" style="66" hidden="1" customWidth="1"/>
    <col min="1538" max="1538" width="24.6328125" style="66" customWidth="1"/>
    <col min="1539" max="1539" width="21.36328125" style="66" customWidth="1"/>
    <col min="1540" max="1540" width="19.54296875" style="66" customWidth="1"/>
    <col min="1541" max="1541" width="17.6328125" style="66" customWidth="1"/>
    <col min="1542" max="1542" width="16" style="66" customWidth="1"/>
    <col min="1543" max="1543" width="17.6328125" style="66" customWidth="1"/>
    <col min="1544" max="1544" width="16" style="66" customWidth="1"/>
    <col min="1545" max="1545" width="9.08984375" style="66" customWidth="1"/>
    <col min="1546" max="1548" width="0" style="66" hidden="1" customWidth="1"/>
    <col min="1549" max="1792" width="0" style="66" hidden="1"/>
    <col min="1793" max="1793" width="0" style="66" hidden="1" customWidth="1"/>
    <col min="1794" max="1794" width="24.6328125" style="66" customWidth="1"/>
    <col min="1795" max="1795" width="21.36328125" style="66" customWidth="1"/>
    <col min="1796" max="1796" width="19.54296875" style="66" customWidth="1"/>
    <col min="1797" max="1797" width="17.6328125" style="66" customWidth="1"/>
    <col min="1798" max="1798" width="16" style="66" customWidth="1"/>
    <col min="1799" max="1799" width="17.6328125" style="66" customWidth="1"/>
    <col min="1800" max="1800" width="16" style="66" customWidth="1"/>
    <col min="1801" max="1801" width="9.08984375" style="66" customWidth="1"/>
    <col min="1802" max="1804" width="0" style="66" hidden="1" customWidth="1"/>
    <col min="1805" max="2048" width="0" style="66" hidden="1"/>
    <col min="2049" max="2049" width="0" style="66" hidden="1" customWidth="1"/>
    <col min="2050" max="2050" width="24.6328125" style="66" customWidth="1"/>
    <col min="2051" max="2051" width="21.36328125" style="66" customWidth="1"/>
    <col min="2052" max="2052" width="19.54296875" style="66" customWidth="1"/>
    <col min="2053" max="2053" width="17.6328125" style="66" customWidth="1"/>
    <col min="2054" max="2054" width="16" style="66" customWidth="1"/>
    <col min="2055" max="2055" width="17.6328125" style="66" customWidth="1"/>
    <col min="2056" max="2056" width="16" style="66" customWidth="1"/>
    <col min="2057" max="2057" width="9.08984375" style="66" customWidth="1"/>
    <col min="2058" max="2060" width="0" style="66" hidden="1" customWidth="1"/>
    <col min="2061" max="2304" width="0" style="66" hidden="1"/>
    <col min="2305" max="2305" width="0" style="66" hidden="1" customWidth="1"/>
    <col min="2306" max="2306" width="24.6328125" style="66" customWidth="1"/>
    <col min="2307" max="2307" width="21.36328125" style="66" customWidth="1"/>
    <col min="2308" max="2308" width="19.54296875" style="66" customWidth="1"/>
    <col min="2309" max="2309" width="17.6328125" style="66" customWidth="1"/>
    <col min="2310" max="2310" width="16" style="66" customWidth="1"/>
    <col min="2311" max="2311" width="17.6328125" style="66" customWidth="1"/>
    <col min="2312" max="2312" width="16" style="66" customWidth="1"/>
    <col min="2313" max="2313" width="9.08984375" style="66" customWidth="1"/>
    <col min="2314" max="2316" width="0" style="66" hidden="1" customWidth="1"/>
    <col min="2317" max="2560" width="0" style="66" hidden="1"/>
    <col min="2561" max="2561" width="0" style="66" hidden="1" customWidth="1"/>
    <col min="2562" max="2562" width="24.6328125" style="66" customWidth="1"/>
    <col min="2563" max="2563" width="21.36328125" style="66" customWidth="1"/>
    <col min="2564" max="2564" width="19.54296875" style="66" customWidth="1"/>
    <col min="2565" max="2565" width="17.6328125" style="66" customWidth="1"/>
    <col min="2566" max="2566" width="16" style="66" customWidth="1"/>
    <col min="2567" max="2567" width="17.6328125" style="66" customWidth="1"/>
    <col min="2568" max="2568" width="16" style="66" customWidth="1"/>
    <col min="2569" max="2569" width="9.08984375" style="66" customWidth="1"/>
    <col min="2570" max="2572" width="0" style="66" hidden="1" customWidth="1"/>
    <col min="2573" max="2816" width="0" style="66" hidden="1"/>
    <col min="2817" max="2817" width="0" style="66" hidden="1" customWidth="1"/>
    <col min="2818" max="2818" width="24.6328125" style="66" customWidth="1"/>
    <col min="2819" max="2819" width="21.36328125" style="66" customWidth="1"/>
    <col min="2820" max="2820" width="19.54296875" style="66" customWidth="1"/>
    <col min="2821" max="2821" width="17.6328125" style="66" customWidth="1"/>
    <col min="2822" max="2822" width="16" style="66" customWidth="1"/>
    <col min="2823" max="2823" width="17.6328125" style="66" customWidth="1"/>
    <col min="2824" max="2824" width="16" style="66" customWidth="1"/>
    <col min="2825" max="2825" width="9.08984375" style="66" customWidth="1"/>
    <col min="2826" max="2828" width="0" style="66" hidden="1" customWidth="1"/>
    <col min="2829" max="3072" width="0" style="66" hidden="1"/>
    <col min="3073" max="3073" width="0" style="66" hidden="1" customWidth="1"/>
    <col min="3074" max="3074" width="24.6328125" style="66" customWidth="1"/>
    <col min="3075" max="3075" width="21.36328125" style="66" customWidth="1"/>
    <col min="3076" max="3076" width="19.54296875" style="66" customWidth="1"/>
    <col min="3077" max="3077" width="17.6328125" style="66" customWidth="1"/>
    <col min="3078" max="3078" width="16" style="66" customWidth="1"/>
    <col min="3079" max="3079" width="17.6328125" style="66" customWidth="1"/>
    <col min="3080" max="3080" width="16" style="66" customWidth="1"/>
    <col min="3081" max="3081" width="9.08984375" style="66" customWidth="1"/>
    <col min="3082" max="3084" width="0" style="66" hidden="1" customWidth="1"/>
    <col min="3085" max="3328" width="0" style="66" hidden="1"/>
    <col min="3329" max="3329" width="0" style="66" hidden="1" customWidth="1"/>
    <col min="3330" max="3330" width="24.6328125" style="66" customWidth="1"/>
    <col min="3331" max="3331" width="21.36328125" style="66" customWidth="1"/>
    <col min="3332" max="3332" width="19.54296875" style="66" customWidth="1"/>
    <col min="3333" max="3333" width="17.6328125" style="66" customWidth="1"/>
    <col min="3334" max="3334" width="16" style="66" customWidth="1"/>
    <col min="3335" max="3335" width="17.6328125" style="66" customWidth="1"/>
    <col min="3336" max="3336" width="16" style="66" customWidth="1"/>
    <col min="3337" max="3337" width="9.08984375" style="66" customWidth="1"/>
    <col min="3338" max="3340" width="0" style="66" hidden="1" customWidth="1"/>
    <col min="3341" max="3584" width="0" style="66" hidden="1"/>
    <col min="3585" max="3585" width="0" style="66" hidden="1" customWidth="1"/>
    <col min="3586" max="3586" width="24.6328125" style="66" customWidth="1"/>
    <col min="3587" max="3587" width="21.36328125" style="66" customWidth="1"/>
    <col min="3588" max="3588" width="19.54296875" style="66" customWidth="1"/>
    <col min="3589" max="3589" width="17.6328125" style="66" customWidth="1"/>
    <col min="3590" max="3590" width="16" style="66" customWidth="1"/>
    <col min="3591" max="3591" width="17.6328125" style="66" customWidth="1"/>
    <col min="3592" max="3592" width="16" style="66" customWidth="1"/>
    <col min="3593" max="3593" width="9.08984375" style="66" customWidth="1"/>
    <col min="3594" max="3596" width="0" style="66" hidden="1" customWidth="1"/>
    <col min="3597" max="3840" width="0" style="66" hidden="1"/>
    <col min="3841" max="3841" width="0" style="66" hidden="1" customWidth="1"/>
    <col min="3842" max="3842" width="24.6328125" style="66" customWidth="1"/>
    <col min="3843" max="3843" width="21.36328125" style="66" customWidth="1"/>
    <col min="3844" max="3844" width="19.54296875" style="66" customWidth="1"/>
    <col min="3845" max="3845" width="17.6328125" style="66" customWidth="1"/>
    <col min="3846" max="3846" width="16" style="66" customWidth="1"/>
    <col min="3847" max="3847" width="17.6328125" style="66" customWidth="1"/>
    <col min="3848" max="3848" width="16" style="66" customWidth="1"/>
    <col min="3849" max="3849" width="9.08984375" style="66" customWidth="1"/>
    <col min="3850" max="3852" width="0" style="66" hidden="1" customWidth="1"/>
    <col min="3853" max="4096" width="0" style="66" hidden="1"/>
    <col min="4097" max="4097" width="0" style="66" hidden="1" customWidth="1"/>
    <col min="4098" max="4098" width="24.6328125" style="66" customWidth="1"/>
    <col min="4099" max="4099" width="21.36328125" style="66" customWidth="1"/>
    <col min="4100" max="4100" width="19.54296875" style="66" customWidth="1"/>
    <col min="4101" max="4101" width="17.6328125" style="66" customWidth="1"/>
    <col min="4102" max="4102" width="16" style="66" customWidth="1"/>
    <col min="4103" max="4103" width="17.6328125" style="66" customWidth="1"/>
    <col min="4104" max="4104" width="16" style="66" customWidth="1"/>
    <col min="4105" max="4105" width="9.08984375" style="66" customWidth="1"/>
    <col min="4106" max="4108" width="0" style="66" hidden="1" customWidth="1"/>
    <col min="4109" max="4352" width="0" style="66" hidden="1"/>
    <col min="4353" max="4353" width="0" style="66" hidden="1" customWidth="1"/>
    <col min="4354" max="4354" width="24.6328125" style="66" customWidth="1"/>
    <col min="4355" max="4355" width="21.36328125" style="66" customWidth="1"/>
    <col min="4356" max="4356" width="19.54296875" style="66" customWidth="1"/>
    <col min="4357" max="4357" width="17.6328125" style="66" customWidth="1"/>
    <col min="4358" max="4358" width="16" style="66" customWidth="1"/>
    <col min="4359" max="4359" width="17.6328125" style="66" customWidth="1"/>
    <col min="4360" max="4360" width="16" style="66" customWidth="1"/>
    <col min="4361" max="4361" width="9.08984375" style="66" customWidth="1"/>
    <col min="4362" max="4364" width="0" style="66" hidden="1" customWidth="1"/>
    <col min="4365" max="4608" width="0" style="66" hidden="1"/>
    <col min="4609" max="4609" width="0" style="66" hidden="1" customWidth="1"/>
    <col min="4610" max="4610" width="24.6328125" style="66" customWidth="1"/>
    <col min="4611" max="4611" width="21.36328125" style="66" customWidth="1"/>
    <col min="4612" max="4612" width="19.54296875" style="66" customWidth="1"/>
    <col min="4613" max="4613" width="17.6328125" style="66" customWidth="1"/>
    <col min="4614" max="4614" width="16" style="66" customWidth="1"/>
    <col min="4615" max="4615" width="17.6328125" style="66" customWidth="1"/>
    <col min="4616" max="4616" width="16" style="66" customWidth="1"/>
    <col min="4617" max="4617" width="9.08984375" style="66" customWidth="1"/>
    <col min="4618" max="4620" width="0" style="66" hidden="1" customWidth="1"/>
    <col min="4621" max="4864" width="0" style="66" hidden="1"/>
    <col min="4865" max="4865" width="0" style="66" hidden="1" customWidth="1"/>
    <col min="4866" max="4866" width="24.6328125" style="66" customWidth="1"/>
    <col min="4867" max="4867" width="21.36328125" style="66" customWidth="1"/>
    <col min="4868" max="4868" width="19.54296875" style="66" customWidth="1"/>
    <col min="4869" max="4869" width="17.6328125" style="66" customWidth="1"/>
    <col min="4870" max="4870" width="16" style="66" customWidth="1"/>
    <col min="4871" max="4871" width="17.6328125" style="66" customWidth="1"/>
    <col min="4872" max="4872" width="16" style="66" customWidth="1"/>
    <col min="4873" max="4873" width="9.08984375" style="66" customWidth="1"/>
    <col min="4874" max="4876" width="0" style="66" hidden="1" customWidth="1"/>
    <col min="4877" max="5120" width="0" style="66" hidden="1"/>
    <col min="5121" max="5121" width="0" style="66" hidden="1" customWidth="1"/>
    <col min="5122" max="5122" width="24.6328125" style="66" customWidth="1"/>
    <col min="5123" max="5123" width="21.36328125" style="66" customWidth="1"/>
    <col min="5124" max="5124" width="19.54296875" style="66" customWidth="1"/>
    <col min="5125" max="5125" width="17.6328125" style="66" customWidth="1"/>
    <col min="5126" max="5126" width="16" style="66" customWidth="1"/>
    <col min="5127" max="5127" width="17.6328125" style="66" customWidth="1"/>
    <col min="5128" max="5128" width="16" style="66" customWidth="1"/>
    <col min="5129" max="5129" width="9.08984375" style="66" customWidth="1"/>
    <col min="5130" max="5132" width="0" style="66" hidden="1" customWidth="1"/>
    <col min="5133" max="5376" width="0" style="66" hidden="1"/>
    <col min="5377" max="5377" width="0" style="66" hidden="1" customWidth="1"/>
    <col min="5378" max="5378" width="24.6328125" style="66" customWidth="1"/>
    <col min="5379" max="5379" width="21.36328125" style="66" customWidth="1"/>
    <col min="5380" max="5380" width="19.54296875" style="66" customWidth="1"/>
    <col min="5381" max="5381" width="17.6328125" style="66" customWidth="1"/>
    <col min="5382" max="5382" width="16" style="66" customWidth="1"/>
    <col min="5383" max="5383" width="17.6328125" style="66" customWidth="1"/>
    <col min="5384" max="5384" width="16" style="66" customWidth="1"/>
    <col min="5385" max="5385" width="9.08984375" style="66" customWidth="1"/>
    <col min="5386" max="5388" width="0" style="66" hidden="1" customWidth="1"/>
    <col min="5389" max="5632" width="0" style="66" hidden="1"/>
    <col min="5633" max="5633" width="0" style="66" hidden="1" customWidth="1"/>
    <col min="5634" max="5634" width="24.6328125" style="66" customWidth="1"/>
    <col min="5635" max="5635" width="21.36328125" style="66" customWidth="1"/>
    <col min="5636" max="5636" width="19.54296875" style="66" customWidth="1"/>
    <col min="5637" max="5637" width="17.6328125" style="66" customWidth="1"/>
    <col min="5638" max="5638" width="16" style="66" customWidth="1"/>
    <col min="5639" max="5639" width="17.6328125" style="66" customWidth="1"/>
    <col min="5640" max="5640" width="16" style="66" customWidth="1"/>
    <col min="5641" max="5641" width="9.08984375" style="66" customWidth="1"/>
    <col min="5642" max="5644" width="0" style="66" hidden="1" customWidth="1"/>
    <col min="5645" max="5888" width="0" style="66" hidden="1"/>
    <col min="5889" max="5889" width="0" style="66" hidden="1" customWidth="1"/>
    <col min="5890" max="5890" width="24.6328125" style="66" customWidth="1"/>
    <col min="5891" max="5891" width="21.36328125" style="66" customWidth="1"/>
    <col min="5892" max="5892" width="19.54296875" style="66" customWidth="1"/>
    <col min="5893" max="5893" width="17.6328125" style="66" customWidth="1"/>
    <col min="5894" max="5894" width="16" style="66" customWidth="1"/>
    <col min="5895" max="5895" width="17.6328125" style="66" customWidth="1"/>
    <col min="5896" max="5896" width="16" style="66" customWidth="1"/>
    <col min="5897" max="5897" width="9.08984375" style="66" customWidth="1"/>
    <col min="5898" max="5900" width="0" style="66" hidden="1" customWidth="1"/>
    <col min="5901" max="6144" width="0" style="66" hidden="1"/>
    <col min="6145" max="6145" width="0" style="66" hidden="1" customWidth="1"/>
    <col min="6146" max="6146" width="24.6328125" style="66" customWidth="1"/>
    <col min="6147" max="6147" width="21.36328125" style="66" customWidth="1"/>
    <col min="6148" max="6148" width="19.54296875" style="66" customWidth="1"/>
    <col min="6149" max="6149" width="17.6328125" style="66" customWidth="1"/>
    <col min="6150" max="6150" width="16" style="66" customWidth="1"/>
    <col min="6151" max="6151" width="17.6328125" style="66" customWidth="1"/>
    <col min="6152" max="6152" width="16" style="66" customWidth="1"/>
    <col min="6153" max="6153" width="9.08984375" style="66" customWidth="1"/>
    <col min="6154" max="6156" width="0" style="66" hidden="1" customWidth="1"/>
    <col min="6157" max="6400" width="0" style="66" hidden="1"/>
    <col min="6401" max="6401" width="0" style="66" hidden="1" customWidth="1"/>
    <col min="6402" max="6402" width="24.6328125" style="66" customWidth="1"/>
    <col min="6403" max="6403" width="21.36328125" style="66" customWidth="1"/>
    <col min="6404" max="6404" width="19.54296875" style="66" customWidth="1"/>
    <col min="6405" max="6405" width="17.6328125" style="66" customWidth="1"/>
    <col min="6406" max="6406" width="16" style="66" customWidth="1"/>
    <col min="6407" max="6407" width="17.6328125" style="66" customWidth="1"/>
    <col min="6408" max="6408" width="16" style="66" customWidth="1"/>
    <col min="6409" max="6409" width="9.08984375" style="66" customWidth="1"/>
    <col min="6410" max="6412" width="0" style="66" hidden="1" customWidth="1"/>
    <col min="6413" max="6656" width="0" style="66" hidden="1"/>
    <col min="6657" max="6657" width="0" style="66" hidden="1" customWidth="1"/>
    <col min="6658" max="6658" width="24.6328125" style="66" customWidth="1"/>
    <col min="6659" max="6659" width="21.36328125" style="66" customWidth="1"/>
    <col min="6660" max="6660" width="19.54296875" style="66" customWidth="1"/>
    <col min="6661" max="6661" width="17.6328125" style="66" customWidth="1"/>
    <col min="6662" max="6662" width="16" style="66" customWidth="1"/>
    <col min="6663" max="6663" width="17.6328125" style="66" customWidth="1"/>
    <col min="6664" max="6664" width="16" style="66" customWidth="1"/>
    <col min="6665" max="6665" width="9.08984375" style="66" customWidth="1"/>
    <col min="6666" max="6668" width="0" style="66" hidden="1" customWidth="1"/>
    <col min="6669" max="6912" width="0" style="66" hidden="1"/>
    <col min="6913" max="6913" width="0" style="66" hidden="1" customWidth="1"/>
    <col min="6914" max="6914" width="24.6328125" style="66" customWidth="1"/>
    <col min="6915" max="6915" width="21.36328125" style="66" customWidth="1"/>
    <col min="6916" max="6916" width="19.54296875" style="66" customWidth="1"/>
    <col min="6917" max="6917" width="17.6328125" style="66" customWidth="1"/>
    <col min="6918" max="6918" width="16" style="66" customWidth="1"/>
    <col min="6919" max="6919" width="17.6328125" style="66" customWidth="1"/>
    <col min="6920" max="6920" width="16" style="66" customWidth="1"/>
    <col min="6921" max="6921" width="9.08984375" style="66" customWidth="1"/>
    <col min="6922" max="6924" width="0" style="66" hidden="1" customWidth="1"/>
    <col min="6925" max="7168" width="0" style="66" hidden="1"/>
    <col min="7169" max="7169" width="0" style="66" hidden="1" customWidth="1"/>
    <col min="7170" max="7170" width="24.6328125" style="66" customWidth="1"/>
    <col min="7171" max="7171" width="21.36328125" style="66" customWidth="1"/>
    <col min="7172" max="7172" width="19.54296875" style="66" customWidth="1"/>
    <col min="7173" max="7173" width="17.6328125" style="66" customWidth="1"/>
    <col min="7174" max="7174" width="16" style="66" customWidth="1"/>
    <col min="7175" max="7175" width="17.6328125" style="66" customWidth="1"/>
    <col min="7176" max="7176" width="16" style="66" customWidth="1"/>
    <col min="7177" max="7177" width="9.08984375" style="66" customWidth="1"/>
    <col min="7178" max="7180" width="0" style="66" hidden="1" customWidth="1"/>
    <col min="7181" max="7424" width="0" style="66" hidden="1"/>
    <col min="7425" max="7425" width="0" style="66" hidden="1" customWidth="1"/>
    <col min="7426" max="7426" width="24.6328125" style="66" customWidth="1"/>
    <col min="7427" max="7427" width="21.36328125" style="66" customWidth="1"/>
    <col min="7428" max="7428" width="19.54296875" style="66" customWidth="1"/>
    <col min="7429" max="7429" width="17.6328125" style="66" customWidth="1"/>
    <col min="7430" max="7430" width="16" style="66" customWidth="1"/>
    <col min="7431" max="7431" width="17.6328125" style="66" customWidth="1"/>
    <col min="7432" max="7432" width="16" style="66" customWidth="1"/>
    <col min="7433" max="7433" width="9.08984375" style="66" customWidth="1"/>
    <col min="7434" max="7436" width="0" style="66" hidden="1" customWidth="1"/>
    <col min="7437" max="7680" width="0" style="66" hidden="1"/>
    <col min="7681" max="7681" width="0" style="66" hidden="1" customWidth="1"/>
    <col min="7682" max="7682" width="24.6328125" style="66" customWidth="1"/>
    <col min="7683" max="7683" width="21.36328125" style="66" customWidth="1"/>
    <col min="7684" max="7684" width="19.54296875" style="66" customWidth="1"/>
    <col min="7685" max="7685" width="17.6328125" style="66" customWidth="1"/>
    <col min="7686" max="7686" width="16" style="66" customWidth="1"/>
    <col min="7687" max="7687" width="17.6328125" style="66" customWidth="1"/>
    <col min="7688" max="7688" width="16" style="66" customWidth="1"/>
    <col min="7689" max="7689" width="9.08984375" style="66" customWidth="1"/>
    <col min="7690" max="7692" width="0" style="66" hidden="1" customWidth="1"/>
    <col min="7693" max="7936" width="0" style="66" hidden="1"/>
    <col min="7937" max="7937" width="0" style="66" hidden="1" customWidth="1"/>
    <col min="7938" max="7938" width="24.6328125" style="66" customWidth="1"/>
    <col min="7939" max="7939" width="21.36328125" style="66" customWidth="1"/>
    <col min="7940" max="7940" width="19.54296875" style="66" customWidth="1"/>
    <col min="7941" max="7941" width="17.6328125" style="66" customWidth="1"/>
    <col min="7942" max="7942" width="16" style="66" customWidth="1"/>
    <col min="7943" max="7943" width="17.6328125" style="66" customWidth="1"/>
    <col min="7944" max="7944" width="16" style="66" customWidth="1"/>
    <col min="7945" max="7945" width="9.08984375" style="66" customWidth="1"/>
    <col min="7946" max="7948" width="0" style="66" hidden="1" customWidth="1"/>
    <col min="7949" max="8192" width="0" style="66" hidden="1"/>
    <col min="8193" max="8193" width="0" style="66" hidden="1" customWidth="1"/>
    <col min="8194" max="8194" width="24.6328125" style="66" customWidth="1"/>
    <col min="8195" max="8195" width="21.36328125" style="66" customWidth="1"/>
    <col min="8196" max="8196" width="19.54296875" style="66" customWidth="1"/>
    <col min="8197" max="8197" width="17.6328125" style="66" customWidth="1"/>
    <col min="8198" max="8198" width="16" style="66" customWidth="1"/>
    <col min="8199" max="8199" width="17.6328125" style="66" customWidth="1"/>
    <col min="8200" max="8200" width="16" style="66" customWidth="1"/>
    <col min="8201" max="8201" width="9.08984375" style="66" customWidth="1"/>
    <col min="8202" max="8204" width="0" style="66" hidden="1" customWidth="1"/>
    <col min="8205" max="8448" width="0" style="66" hidden="1"/>
    <col min="8449" max="8449" width="0" style="66" hidden="1" customWidth="1"/>
    <col min="8450" max="8450" width="24.6328125" style="66" customWidth="1"/>
    <col min="8451" max="8451" width="21.36328125" style="66" customWidth="1"/>
    <col min="8452" max="8452" width="19.54296875" style="66" customWidth="1"/>
    <col min="8453" max="8453" width="17.6328125" style="66" customWidth="1"/>
    <col min="8454" max="8454" width="16" style="66" customWidth="1"/>
    <col min="8455" max="8455" width="17.6328125" style="66" customWidth="1"/>
    <col min="8456" max="8456" width="16" style="66" customWidth="1"/>
    <col min="8457" max="8457" width="9.08984375" style="66" customWidth="1"/>
    <col min="8458" max="8460" width="0" style="66" hidden="1" customWidth="1"/>
    <col min="8461" max="8704" width="0" style="66" hidden="1"/>
    <col min="8705" max="8705" width="0" style="66" hidden="1" customWidth="1"/>
    <col min="8706" max="8706" width="24.6328125" style="66" customWidth="1"/>
    <col min="8707" max="8707" width="21.36328125" style="66" customWidth="1"/>
    <col min="8708" max="8708" width="19.54296875" style="66" customWidth="1"/>
    <col min="8709" max="8709" width="17.6328125" style="66" customWidth="1"/>
    <col min="8710" max="8710" width="16" style="66" customWidth="1"/>
    <col min="8711" max="8711" width="17.6328125" style="66" customWidth="1"/>
    <col min="8712" max="8712" width="16" style="66" customWidth="1"/>
    <col min="8713" max="8713" width="9.08984375" style="66" customWidth="1"/>
    <col min="8714" max="8716" width="0" style="66" hidden="1" customWidth="1"/>
    <col min="8717" max="8960" width="0" style="66" hidden="1"/>
    <col min="8961" max="8961" width="0" style="66" hidden="1" customWidth="1"/>
    <col min="8962" max="8962" width="24.6328125" style="66" customWidth="1"/>
    <col min="8963" max="8963" width="21.36328125" style="66" customWidth="1"/>
    <col min="8964" max="8964" width="19.54296875" style="66" customWidth="1"/>
    <col min="8965" max="8965" width="17.6328125" style="66" customWidth="1"/>
    <col min="8966" max="8966" width="16" style="66" customWidth="1"/>
    <col min="8967" max="8967" width="17.6328125" style="66" customWidth="1"/>
    <col min="8968" max="8968" width="16" style="66" customWidth="1"/>
    <col min="8969" max="8969" width="9.08984375" style="66" customWidth="1"/>
    <col min="8970" max="8972" width="0" style="66" hidden="1" customWidth="1"/>
    <col min="8973" max="9216" width="0" style="66" hidden="1"/>
    <col min="9217" max="9217" width="0" style="66" hidden="1" customWidth="1"/>
    <col min="9218" max="9218" width="24.6328125" style="66" customWidth="1"/>
    <col min="9219" max="9219" width="21.36328125" style="66" customWidth="1"/>
    <col min="9220" max="9220" width="19.54296875" style="66" customWidth="1"/>
    <col min="9221" max="9221" width="17.6328125" style="66" customWidth="1"/>
    <col min="9222" max="9222" width="16" style="66" customWidth="1"/>
    <col min="9223" max="9223" width="17.6328125" style="66" customWidth="1"/>
    <col min="9224" max="9224" width="16" style="66" customWidth="1"/>
    <col min="9225" max="9225" width="9.08984375" style="66" customWidth="1"/>
    <col min="9226" max="9228" width="0" style="66" hidden="1" customWidth="1"/>
    <col min="9229" max="9472" width="0" style="66" hidden="1"/>
    <col min="9473" max="9473" width="0" style="66" hidden="1" customWidth="1"/>
    <col min="9474" max="9474" width="24.6328125" style="66" customWidth="1"/>
    <col min="9475" max="9475" width="21.36328125" style="66" customWidth="1"/>
    <col min="9476" max="9476" width="19.54296875" style="66" customWidth="1"/>
    <col min="9477" max="9477" width="17.6328125" style="66" customWidth="1"/>
    <col min="9478" max="9478" width="16" style="66" customWidth="1"/>
    <col min="9479" max="9479" width="17.6328125" style="66" customWidth="1"/>
    <col min="9480" max="9480" width="16" style="66" customWidth="1"/>
    <col min="9481" max="9481" width="9.08984375" style="66" customWidth="1"/>
    <col min="9482" max="9484" width="0" style="66" hidden="1" customWidth="1"/>
    <col min="9485" max="9728" width="0" style="66" hidden="1"/>
    <col min="9729" max="9729" width="0" style="66" hidden="1" customWidth="1"/>
    <col min="9730" max="9730" width="24.6328125" style="66" customWidth="1"/>
    <col min="9731" max="9731" width="21.36328125" style="66" customWidth="1"/>
    <col min="9732" max="9732" width="19.54296875" style="66" customWidth="1"/>
    <col min="9733" max="9733" width="17.6328125" style="66" customWidth="1"/>
    <col min="9734" max="9734" width="16" style="66" customWidth="1"/>
    <col min="9735" max="9735" width="17.6328125" style="66" customWidth="1"/>
    <col min="9736" max="9736" width="16" style="66" customWidth="1"/>
    <col min="9737" max="9737" width="9.08984375" style="66" customWidth="1"/>
    <col min="9738" max="9740" width="0" style="66" hidden="1" customWidth="1"/>
    <col min="9741" max="9984" width="0" style="66" hidden="1"/>
    <col min="9985" max="9985" width="0" style="66" hidden="1" customWidth="1"/>
    <col min="9986" max="9986" width="24.6328125" style="66" customWidth="1"/>
    <col min="9987" max="9987" width="21.36328125" style="66" customWidth="1"/>
    <col min="9988" max="9988" width="19.54296875" style="66" customWidth="1"/>
    <col min="9989" max="9989" width="17.6328125" style="66" customWidth="1"/>
    <col min="9990" max="9990" width="16" style="66" customWidth="1"/>
    <col min="9991" max="9991" width="17.6328125" style="66" customWidth="1"/>
    <col min="9992" max="9992" width="16" style="66" customWidth="1"/>
    <col min="9993" max="9993" width="9.08984375" style="66" customWidth="1"/>
    <col min="9994" max="9996" width="0" style="66" hidden="1" customWidth="1"/>
    <col min="9997" max="10240" width="0" style="66" hidden="1"/>
    <col min="10241" max="10241" width="0" style="66" hidden="1" customWidth="1"/>
    <col min="10242" max="10242" width="24.6328125" style="66" customWidth="1"/>
    <col min="10243" max="10243" width="21.36328125" style="66" customWidth="1"/>
    <col min="10244" max="10244" width="19.54296875" style="66" customWidth="1"/>
    <col min="10245" max="10245" width="17.6328125" style="66" customWidth="1"/>
    <col min="10246" max="10246" width="16" style="66" customWidth="1"/>
    <col min="10247" max="10247" width="17.6328125" style="66" customWidth="1"/>
    <col min="10248" max="10248" width="16" style="66" customWidth="1"/>
    <col min="10249" max="10249" width="9.08984375" style="66" customWidth="1"/>
    <col min="10250" max="10252" width="0" style="66" hidden="1" customWidth="1"/>
    <col min="10253" max="10496" width="0" style="66" hidden="1"/>
    <col min="10497" max="10497" width="0" style="66" hidden="1" customWidth="1"/>
    <col min="10498" max="10498" width="24.6328125" style="66" customWidth="1"/>
    <col min="10499" max="10499" width="21.36328125" style="66" customWidth="1"/>
    <col min="10500" max="10500" width="19.54296875" style="66" customWidth="1"/>
    <col min="10501" max="10501" width="17.6328125" style="66" customWidth="1"/>
    <col min="10502" max="10502" width="16" style="66" customWidth="1"/>
    <col min="10503" max="10503" width="17.6328125" style="66" customWidth="1"/>
    <col min="10504" max="10504" width="16" style="66" customWidth="1"/>
    <col min="10505" max="10505" width="9.08984375" style="66" customWidth="1"/>
    <col min="10506" max="10508" width="0" style="66" hidden="1" customWidth="1"/>
    <col min="10509" max="10752" width="0" style="66" hidden="1"/>
    <col min="10753" max="10753" width="0" style="66" hidden="1" customWidth="1"/>
    <col min="10754" max="10754" width="24.6328125" style="66" customWidth="1"/>
    <col min="10755" max="10755" width="21.36328125" style="66" customWidth="1"/>
    <col min="10756" max="10756" width="19.54296875" style="66" customWidth="1"/>
    <col min="10757" max="10757" width="17.6328125" style="66" customWidth="1"/>
    <col min="10758" max="10758" width="16" style="66" customWidth="1"/>
    <col min="10759" max="10759" width="17.6328125" style="66" customWidth="1"/>
    <col min="10760" max="10760" width="16" style="66" customWidth="1"/>
    <col min="10761" max="10761" width="9.08984375" style="66" customWidth="1"/>
    <col min="10762" max="10764" width="0" style="66" hidden="1" customWidth="1"/>
    <col min="10765" max="11008" width="0" style="66" hidden="1"/>
    <col min="11009" max="11009" width="0" style="66" hidden="1" customWidth="1"/>
    <col min="11010" max="11010" width="24.6328125" style="66" customWidth="1"/>
    <col min="11011" max="11011" width="21.36328125" style="66" customWidth="1"/>
    <col min="11012" max="11012" width="19.54296875" style="66" customWidth="1"/>
    <col min="11013" max="11013" width="17.6328125" style="66" customWidth="1"/>
    <col min="11014" max="11014" width="16" style="66" customWidth="1"/>
    <col min="11015" max="11015" width="17.6328125" style="66" customWidth="1"/>
    <col min="11016" max="11016" width="16" style="66" customWidth="1"/>
    <col min="11017" max="11017" width="9.08984375" style="66" customWidth="1"/>
    <col min="11018" max="11020" width="0" style="66" hidden="1" customWidth="1"/>
    <col min="11021" max="11264" width="0" style="66" hidden="1"/>
    <col min="11265" max="11265" width="0" style="66" hidden="1" customWidth="1"/>
    <col min="11266" max="11266" width="24.6328125" style="66" customWidth="1"/>
    <col min="11267" max="11267" width="21.36328125" style="66" customWidth="1"/>
    <col min="11268" max="11268" width="19.54296875" style="66" customWidth="1"/>
    <col min="11269" max="11269" width="17.6328125" style="66" customWidth="1"/>
    <col min="11270" max="11270" width="16" style="66" customWidth="1"/>
    <col min="11271" max="11271" width="17.6328125" style="66" customWidth="1"/>
    <col min="11272" max="11272" width="16" style="66" customWidth="1"/>
    <col min="11273" max="11273" width="9.08984375" style="66" customWidth="1"/>
    <col min="11274" max="11276" width="0" style="66" hidden="1" customWidth="1"/>
    <col min="11277" max="11520" width="0" style="66" hidden="1"/>
    <col min="11521" max="11521" width="0" style="66" hidden="1" customWidth="1"/>
    <col min="11522" max="11522" width="24.6328125" style="66" customWidth="1"/>
    <col min="11523" max="11523" width="21.36328125" style="66" customWidth="1"/>
    <col min="11524" max="11524" width="19.54296875" style="66" customWidth="1"/>
    <col min="11525" max="11525" width="17.6328125" style="66" customWidth="1"/>
    <col min="11526" max="11526" width="16" style="66" customWidth="1"/>
    <col min="11527" max="11527" width="17.6328125" style="66" customWidth="1"/>
    <col min="11528" max="11528" width="16" style="66" customWidth="1"/>
    <col min="11529" max="11529" width="9.08984375" style="66" customWidth="1"/>
    <col min="11530" max="11532" width="0" style="66" hidden="1" customWidth="1"/>
    <col min="11533" max="11776" width="0" style="66" hidden="1"/>
    <col min="11777" max="11777" width="0" style="66" hidden="1" customWidth="1"/>
    <col min="11778" max="11778" width="24.6328125" style="66" customWidth="1"/>
    <col min="11779" max="11779" width="21.36328125" style="66" customWidth="1"/>
    <col min="11780" max="11780" width="19.54296875" style="66" customWidth="1"/>
    <col min="11781" max="11781" width="17.6328125" style="66" customWidth="1"/>
    <col min="11782" max="11782" width="16" style="66" customWidth="1"/>
    <col min="11783" max="11783" width="17.6328125" style="66" customWidth="1"/>
    <col min="11784" max="11784" width="16" style="66" customWidth="1"/>
    <col min="11785" max="11785" width="9.08984375" style="66" customWidth="1"/>
    <col min="11786" max="11788" width="0" style="66" hidden="1" customWidth="1"/>
    <col min="11789" max="12032" width="0" style="66" hidden="1"/>
    <col min="12033" max="12033" width="0" style="66" hidden="1" customWidth="1"/>
    <col min="12034" max="12034" width="24.6328125" style="66" customWidth="1"/>
    <col min="12035" max="12035" width="21.36328125" style="66" customWidth="1"/>
    <col min="12036" max="12036" width="19.54296875" style="66" customWidth="1"/>
    <col min="12037" max="12037" width="17.6328125" style="66" customWidth="1"/>
    <col min="12038" max="12038" width="16" style="66" customWidth="1"/>
    <col min="12039" max="12039" width="17.6328125" style="66" customWidth="1"/>
    <col min="12040" max="12040" width="16" style="66" customWidth="1"/>
    <col min="12041" max="12041" width="9.08984375" style="66" customWidth="1"/>
    <col min="12042" max="12044" width="0" style="66" hidden="1" customWidth="1"/>
    <col min="12045" max="12288" width="0" style="66" hidden="1"/>
    <col min="12289" max="12289" width="0" style="66" hidden="1" customWidth="1"/>
    <col min="12290" max="12290" width="24.6328125" style="66" customWidth="1"/>
    <col min="12291" max="12291" width="21.36328125" style="66" customWidth="1"/>
    <col min="12292" max="12292" width="19.54296875" style="66" customWidth="1"/>
    <col min="12293" max="12293" width="17.6328125" style="66" customWidth="1"/>
    <col min="12294" max="12294" width="16" style="66" customWidth="1"/>
    <col min="12295" max="12295" width="17.6328125" style="66" customWidth="1"/>
    <col min="12296" max="12296" width="16" style="66" customWidth="1"/>
    <col min="12297" max="12297" width="9.08984375" style="66" customWidth="1"/>
    <col min="12298" max="12300" width="0" style="66" hidden="1" customWidth="1"/>
    <col min="12301" max="12544" width="0" style="66" hidden="1"/>
    <col min="12545" max="12545" width="0" style="66" hidden="1" customWidth="1"/>
    <col min="12546" max="12546" width="24.6328125" style="66" customWidth="1"/>
    <col min="12547" max="12547" width="21.36328125" style="66" customWidth="1"/>
    <col min="12548" max="12548" width="19.54296875" style="66" customWidth="1"/>
    <col min="12549" max="12549" width="17.6328125" style="66" customWidth="1"/>
    <col min="12550" max="12550" width="16" style="66" customWidth="1"/>
    <col min="12551" max="12551" width="17.6328125" style="66" customWidth="1"/>
    <col min="12552" max="12552" width="16" style="66" customWidth="1"/>
    <col min="12553" max="12553" width="9.08984375" style="66" customWidth="1"/>
    <col min="12554" max="12556" width="0" style="66" hidden="1" customWidth="1"/>
    <col min="12557" max="12800" width="0" style="66" hidden="1"/>
    <col min="12801" max="12801" width="0" style="66" hidden="1" customWidth="1"/>
    <col min="12802" max="12802" width="24.6328125" style="66" customWidth="1"/>
    <col min="12803" max="12803" width="21.36328125" style="66" customWidth="1"/>
    <col min="12804" max="12804" width="19.54296875" style="66" customWidth="1"/>
    <col min="12805" max="12805" width="17.6328125" style="66" customWidth="1"/>
    <col min="12806" max="12806" width="16" style="66" customWidth="1"/>
    <col min="12807" max="12807" width="17.6328125" style="66" customWidth="1"/>
    <col min="12808" max="12808" width="16" style="66" customWidth="1"/>
    <col min="12809" max="12809" width="9.08984375" style="66" customWidth="1"/>
    <col min="12810" max="12812" width="0" style="66" hidden="1" customWidth="1"/>
    <col min="12813" max="13056" width="0" style="66" hidden="1"/>
    <col min="13057" max="13057" width="0" style="66" hidden="1" customWidth="1"/>
    <col min="13058" max="13058" width="24.6328125" style="66" customWidth="1"/>
    <col min="13059" max="13059" width="21.36328125" style="66" customWidth="1"/>
    <col min="13060" max="13060" width="19.54296875" style="66" customWidth="1"/>
    <col min="13061" max="13061" width="17.6328125" style="66" customWidth="1"/>
    <col min="13062" max="13062" width="16" style="66" customWidth="1"/>
    <col min="13063" max="13063" width="17.6328125" style="66" customWidth="1"/>
    <col min="13064" max="13064" width="16" style="66" customWidth="1"/>
    <col min="13065" max="13065" width="9.08984375" style="66" customWidth="1"/>
    <col min="13066" max="13068" width="0" style="66" hidden="1" customWidth="1"/>
    <col min="13069" max="13312" width="0" style="66" hidden="1"/>
    <col min="13313" max="13313" width="0" style="66" hidden="1" customWidth="1"/>
    <col min="13314" max="13314" width="24.6328125" style="66" customWidth="1"/>
    <col min="13315" max="13315" width="21.36328125" style="66" customWidth="1"/>
    <col min="13316" max="13316" width="19.54296875" style="66" customWidth="1"/>
    <col min="13317" max="13317" width="17.6328125" style="66" customWidth="1"/>
    <col min="13318" max="13318" width="16" style="66" customWidth="1"/>
    <col min="13319" max="13319" width="17.6328125" style="66" customWidth="1"/>
    <col min="13320" max="13320" width="16" style="66" customWidth="1"/>
    <col min="13321" max="13321" width="9.08984375" style="66" customWidth="1"/>
    <col min="13322" max="13324" width="0" style="66" hidden="1" customWidth="1"/>
    <col min="13325" max="13568" width="0" style="66" hidden="1"/>
    <col min="13569" max="13569" width="0" style="66" hidden="1" customWidth="1"/>
    <col min="13570" max="13570" width="24.6328125" style="66" customWidth="1"/>
    <col min="13571" max="13571" width="21.36328125" style="66" customWidth="1"/>
    <col min="13572" max="13572" width="19.54296875" style="66" customWidth="1"/>
    <col min="13573" max="13573" width="17.6328125" style="66" customWidth="1"/>
    <col min="13574" max="13574" width="16" style="66" customWidth="1"/>
    <col min="13575" max="13575" width="17.6328125" style="66" customWidth="1"/>
    <col min="13576" max="13576" width="16" style="66" customWidth="1"/>
    <col min="13577" max="13577" width="9.08984375" style="66" customWidth="1"/>
    <col min="13578" max="13580" width="0" style="66" hidden="1" customWidth="1"/>
    <col min="13581" max="13824" width="0" style="66" hidden="1"/>
    <col min="13825" max="13825" width="0" style="66" hidden="1" customWidth="1"/>
    <col min="13826" max="13826" width="24.6328125" style="66" customWidth="1"/>
    <col min="13827" max="13827" width="21.36328125" style="66" customWidth="1"/>
    <col min="13828" max="13828" width="19.54296875" style="66" customWidth="1"/>
    <col min="13829" max="13829" width="17.6328125" style="66" customWidth="1"/>
    <col min="13830" max="13830" width="16" style="66" customWidth="1"/>
    <col min="13831" max="13831" width="17.6328125" style="66" customWidth="1"/>
    <col min="13832" max="13832" width="16" style="66" customWidth="1"/>
    <col min="13833" max="13833" width="9.08984375" style="66" customWidth="1"/>
    <col min="13834" max="13836" width="0" style="66" hidden="1" customWidth="1"/>
    <col min="13837" max="14080" width="0" style="66" hidden="1"/>
    <col min="14081" max="14081" width="0" style="66" hidden="1" customWidth="1"/>
    <col min="14082" max="14082" width="24.6328125" style="66" customWidth="1"/>
    <col min="14083" max="14083" width="21.36328125" style="66" customWidth="1"/>
    <col min="14084" max="14084" width="19.54296875" style="66" customWidth="1"/>
    <col min="14085" max="14085" width="17.6328125" style="66" customWidth="1"/>
    <col min="14086" max="14086" width="16" style="66" customWidth="1"/>
    <col min="14087" max="14087" width="17.6328125" style="66" customWidth="1"/>
    <col min="14088" max="14088" width="16" style="66" customWidth="1"/>
    <col min="14089" max="14089" width="9.08984375" style="66" customWidth="1"/>
    <col min="14090" max="14092" width="0" style="66" hidden="1" customWidth="1"/>
    <col min="14093" max="14336" width="0" style="66" hidden="1"/>
    <col min="14337" max="14337" width="0" style="66" hidden="1" customWidth="1"/>
    <col min="14338" max="14338" width="24.6328125" style="66" customWidth="1"/>
    <col min="14339" max="14339" width="21.36328125" style="66" customWidth="1"/>
    <col min="14340" max="14340" width="19.54296875" style="66" customWidth="1"/>
    <col min="14341" max="14341" width="17.6328125" style="66" customWidth="1"/>
    <col min="14342" max="14342" width="16" style="66" customWidth="1"/>
    <col min="14343" max="14343" width="17.6328125" style="66" customWidth="1"/>
    <col min="14344" max="14344" width="16" style="66" customWidth="1"/>
    <col min="14345" max="14345" width="9.08984375" style="66" customWidth="1"/>
    <col min="14346" max="14348" width="0" style="66" hidden="1" customWidth="1"/>
    <col min="14349" max="14592" width="0" style="66" hidden="1"/>
    <col min="14593" max="14593" width="0" style="66" hidden="1" customWidth="1"/>
    <col min="14594" max="14594" width="24.6328125" style="66" customWidth="1"/>
    <col min="14595" max="14595" width="21.36328125" style="66" customWidth="1"/>
    <col min="14596" max="14596" width="19.54296875" style="66" customWidth="1"/>
    <col min="14597" max="14597" width="17.6328125" style="66" customWidth="1"/>
    <col min="14598" max="14598" width="16" style="66" customWidth="1"/>
    <col min="14599" max="14599" width="17.6328125" style="66" customWidth="1"/>
    <col min="14600" max="14600" width="16" style="66" customWidth="1"/>
    <col min="14601" max="14601" width="9.08984375" style="66" customWidth="1"/>
    <col min="14602" max="14604" width="0" style="66" hidden="1" customWidth="1"/>
    <col min="14605" max="14848" width="0" style="66" hidden="1"/>
    <col min="14849" max="14849" width="0" style="66" hidden="1" customWidth="1"/>
    <col min="14850" max="14850" width="24.6328125" style="66" customWidth="1"/>
    <col min="14851" max="14851" width="21.36328125" style="66" customWidth="1"/>
    <col min="14852" max="14852" width="19.54296875" style="66" customWidth="1"/>
    <col min="14853" max="14853" width="17.6328125" style="66" customWidth="1"/>
    <col min="14854" max="14854" width="16" style="66" customWidth="1"/>
    <col min="14855" max="14855" width="17.6328125" style="66" customWidth="1"/>
    <col min="14856" max="14856" width="16" style="66" customWidth="1"/>
    <col min="14857" max="14857" width="9.08984375" style="66" customWidth="1"/>
    <col min="14858" max="14860" width="0" style="66" hidden="1" customWidth="1"/>
    <col min="14861" max="15104" width="0" style="66" hidden="1"/>
    <col min="15105" max="15105" width="0" style="66" hidden="1" customWidth="1"/>
    <col min="15106" max="15106" width="24.6328125" style="66" customWidth="1"/>
    <col min="15107" max="15107" width="21.36328125" style="66" customWidth="1"/>
    <col min="15108" max="15108" width="19.54296875" style="66" customWidth="1"/>
    <col min="15109" max="15109" width="17.6328125" style="66" customWidth="1"/>
    <col min="15110" max="15110" width="16" style="66" customWidth="1"/>
    <col min="15111" max="15111" width="17.6328125" style="66" customWidth="1"/>
    <col min="15112" max="15112" width="16" style="66" customWidth="1"/>
    <col min="15113" max="15113" width="9.08984375" style="66" customWidth="1"/>
    <col min="15114" max="15116" width="0" style="66" hidden="1" customWidth="1"/>
    <col min="15117" max="15360" width="0" style="66" hidden="1"/>
    <col min="15361" max="15361" width="0" style="66" hidden="1" customWidth="1"/>
    <col min="15362" max="15362" width="24.6328125" style="66" customWidth="1"/>
    <col min="15363" max="15363" width="21.36328125" style="66" customWidth="1"/>
    <col min="15364" max="15364" width="19.54296875" style="66" customWidth="1"/>
    <col min="15365" max="15365" width="17.6328125" style="66" customWidth="1"/>
    <col min="15366" max="15366" width="16" style="66" customWidth="1"/>
    <col min="15367" max="15367" width="17.6328125" style="66" customWidth="1"/>
    <col min="15368" max="15368" width="16" style="66" customWidth="1"/>
    <col min="15369" max="15369" width="9.08984375" style="66" customWidth="1"/>
    <col min="15370" max="15372" width="0" style="66" hidden="1" customWidth="1"/>
    <col min="15373" max="15616" width="0" style="66" hidden="1"/>
    <col min="15617" max="15617" width="0" style="66" hidden="1" customWidth="1"/>
    <col min="15618" max="15618" width="24.6328125" style="66" customWidth="1"/>
    <col min="15619" max="15619" width="21.36328125" style="66" customWidth="1"/>
    <col min="15620" max="15620" width="19.54296875" style="66" customWidth="1"/>
    <col min="15621" max="15621" width="17.6328125" style="66" customWidth="1"/>
    <col min="15622" max="15622" width="16" style="66" customWidth="1"/>
    <col min="15623" max="15623" width="17.6328125" style="66" customWidth="1"/>
    <col min="15624" max="15624" width="16" style="66" customWidth="1"/>
    <col min="15625" max="15625" width="9.08984375" style="66" customWidth="1"/>
    <col min="15626" max="15628" width="0" style="66" hidden="1" customWidth="1"/>
    <col min="15629" max="15872" width="0" style="66" hidden="1"/>
    <col min="15873" max="15873" width="0" style="66" hidden="1" customWidth="1"/>
    <col min="15874" max="15874" width="24.6328125" style="66" customWidth="1"/>
    <col min="15875" max="15875" width="21.36328125" style="66" customWidth="1"/>
    <col min="15876" max="15876" width="19.54296875" style="66" customWidth="1"/>
    <col min="15877" max="15877" width="17.6328125" style="66" customWidth="1"/>
    <col min="15878" max="15878" width="16" style="66" customWidth="1"/>
    <col min="15879" max="15879" width="17.6328125" style="66" customWidth="1"/>
    <col min="15880" max="15880" width="16" style="66" customWidth="1"/>
    <col min="15881" max="15881" width="9.08984375" style="66" customWidth="1"/>
    <col min="15882" max="15884" width="0" style="66" hidden="1" customWidth="1"/>
    <col min="15885" max="16128" width="0" style="66" hidden="1"/>
    <col min="16129" max="16129" width="0" style="66" hidden="1" customWidth="1"/>
    <col min="16130" max="16130" width="24.6328125" style="66" customWidth="1"/>
    <col min="16131" max="16131" width="21.36328125" style="66" customWidth="1"/>
    <col min="16132" max="16132" width="19.54296875" style="66" customWidth="1"/>
    <col min="16133" max="16133" width="17.6328125" style="66" customWidth="1"/>
    <col min="16134" max="16134" width="16" style="66" customWidth="1"/>
    <col min="16135" max="16135" width="17.6328125" style="66" customWidth="1"/>
    <col min="16136" max="16136" width="16" style="66" customWidth="1"/>
    <col min="16137" max="16137" width="9.08984375" style="66" customWidth="1"/>
    <col min="16138" max="16140" width="0" style="66" hidden="1" customWidth="1"/>
    <col min="16141" max="16384" width="0" style="66" hidden="1"/>
  </cols>
  <sheetData>
    <row r="1" spans="1:19" ht="33.75" customHeight="1" x14ac:dyDescent="0.35">
      <c r="B1" s="113" t="s">
        <v>95</v>
      </c>
      <c r="C1" s="107"/>
      <c r="D1" s="107"/>
      <c r="E1" s="107"/>
      <c r="F1" s="107"/>
      <c r="G1" s="107"/>
      <c r="H1" s="107"/>
    </row>
    <row r="2" spans="1:19" s="67" customFormat="1" ht="59.25" customHeight="1" x14ac:dyDescent="0.35">
      <c r="B2" s="68"/>
      <c r="C2" s="109" t="s">
        <v>67</v>
      </c>
      <c r="D2" s="109"/>
      <c r="E2" s="110" t="s">
        <v>68</v>
      </c>
      <c r="F2" s="110"/>
      <c r="G2" s="110" t="s">
        <v>69</v>
      </c>
      <c r="H2" s="110"/>
      <c r="J2" s="109"/>
      <c r="K2" s="109"/>
      <c r="L2" s="110"/>
      <c r="M2" s="110"/>
      <c r="N2" s="110"/>
      <c r="O2" s="110"/>
    </row>
    <row r="3" spans="1:19" ht="42.75" customHeight="1" x14ac:dyDescent="0.35">
      <c r="B3" s="69"/>
      <c r="C3" s="70" t="s">
        <v>70</v>
      </c>
      <c r="D3" s="70" t="s">
        <v>71</v>
      </c>
      <c r="E3" s="70" t="s">
        <v>70</v>
      </c>
      <c r="F3" s="70" t="s">
        <v>71</v>
      </c>
      <c r="G3" s="70" t="s">
        <v>70</v>
      </c>
      <c r="H3" s="70" t="s">
        <v>71</v>
      </c>
      <c r="J3" s="70"/>
      <c r="K3" s="70"/>
      <c r="L3" s="70"/>
      <c r="M3" s="70"/>
      <c r="N3" s="70"/>
      <c r="O3" s="70"/>
    </row>
    <row r="4" spans="1:19" ht="18" hidden="1" customHeight="1" x14ac:dyDescent="0.35">
      <c r="C4" s="71" t="s">
        <v>72</v>
      </c>
      <c r="D4" s="71" t="s">
        <v>72</v>
      </c>
      <c r="E4" s="71" t="s">
        <v>73</v>
      </c>
      <c r="F4" s="71" t="s">
        <v>73</v>
      </c>
      <c r="G4" s="71" t="s">
        <v>74</v>
      </c>
      <c r="H4" s="71" t="s">
        <v>74</v>
      </c>
    </row>
    <row r="5" spans="1:19" ht="15.75" hidden="1" customHeight="1" x14ac:dyDescent="0.35">
      <c r="C5" s="71" t="s">
        <v>75</v>
      </c>
      <c r="D5" s="71" t="s">
        <v>76</v>
      </c>
      <c r="E5" s="71" t="s">
        <v>75</v>
      </c>
      <c r="F5" s="71" t="s">
        <v>76</v>
      </c>
      <c r="G5" s="71" t="s">
        <v>75</v>
      </c>
      <c r="H5" s="71" t="s">
        <v>76</v>
      </c>
    </row>
    <row r="6" spans="1:19" ht="26.25" customHeight="1" x14ac:dyDescent="0.35">
      <c r="B6" s="72" t="s">
        <v>77</v>
      </c>
      <c r="C6" s="73">
        <v>164064</v>
      </c>
      <c r="D6" s="73">
        <v>708253.42333333334</v>
      </c>
      <c r="E6" s="73">
        <v>24280</v>
      </c>
      <c r="F6" s="73">
        <v>254261.23</v>
      </c>
      <c r="G6" s="73">
        <v>33874</v>
      </c>
      <c r="H6" s="73">
        <v>182158.55</v>
      </c>
      <c r="J6" s="85"/>
      <c r="K6" s="85"/>
      <c r="L6" s="85"/>
      <c r="M6" s="85"/>
      <c r="N6" s="85"/>
      <c r="O6" s="85"/>
      <c r="P6" s="85"/>
      <c r="Q6" s="85"/>
      <c r="R6" s="85"/>
      <c r="S6" s="85"/>
    </row>
    <row r="7" spans="1:19" s="75" customFormat="1" ht="26.25" customHeight="1" x14ac:dyDescent="0.35">
      <c r="A7" s="26"/>
      <c r="B7" s="75" t="s">
        <v>52</v>
      </c>
      <c r="C7" s="76">
        <v>117733</v>
      </c>
      <c r="D7" s="76">
        <v>478031.7533333333</v>
      </c>
      <c r="E7" s="76">
        <v>14733</v>
      </c>
      <c r="F7" s="76">
        <v>136971.38</v>
      </c>
      <c r="G7" s="76">
        <v>18299</v>
      </c>
      <c r="H7" s="76">
        <v>121060.97</v>
      </c>
      <c r="J7" s="85"/>
      <c r="K7" s="85"/>
      <c r="L7" s="85"/>
      <c r="M7" s="85"/>
      <c r="N7" s="85"/>
      <c r="O7" s="85"/>
      <c r="P7" s="85"/>
      <c r="Q7" s="85"/>
      <c r="R7" s="85"/>
      <c r="S7" s="85"/>
    </row>
    <row r="8" spans="1:19" x14ac:dyDescent="0.35">
      <c r="A8" s="27">
        <v>51</v>
      </c>
      <c r="B8" s="66" t="s">
        <v>5</v>
      </c>
      <c r="C8" s="77">
        <v>794</v>
      </c>
      <c r="D8" s="77">
        <v>2650.74</v>
      </c>
      <c r="E8" s="77">
        <v>164</v>
      </c>
      <c r="F8" s="77">
        <v>820</v>
      </c>
      <c r="G8" s="77">
        <v>171</v>
      </c>
      <c r="H8" s="77">
        <v>299.08</v>
      </c>
      <c r="J8" s="85"/>
      <c r="K8" s="85"/>
      <c r="L8" s="85"/>
      <c r="M8" s="85"/>
      <c r="N8" s="85"/>
      <c r="O8" s="85"/>
      <c r="P8" s="85"/>
      <c r="Q8" s="85"/>
      <c r="R8" s="85"/>
      <c r="S8" s="85"/>
    </row>
    <row r="9" spans="1:19" ht="14.5" x14ac:dyDescent="0.35">
      <c r="A9" s="27">
        <v>52</v>
      </c>
      <c r="B9" s="66" t="s">
        <v>96</v>
      </c>
      <c r="C9" s="77">
        <v>489</v>
      </c>
      <c r="D9" s="77">
        <v>4961</v>
      </c>
      <c r="E9" s="77">
        <v>0</v>
      </c>
      <c r="F9" s="77">
        <v>0</v>
      </c>
      <c r="G9" s="77">
        <v>328</v>
      </c>
      <c r="H9" s="77">
        <v>2990</v>
      </c>
      <c r="J9" s="85"/>
      <c r="K9" s="85"/>
      <c r="L9" s="85"/>
      <c r="M9" s="85"/>
      <c r="N9" s="85"/>
      <c r="O9" s="85"/>
      <c r="P9" s="85"/>
      <c r="Q9" s="85"/>
      <c r="R9" s="85"/>
      <c r="S9" s="85"/>
    </row>
    <row r="10" spans="1:19" x14ac:dyDescent="0.35">
      <c r="A10" s="27">
        <v>86</v>
      </c>
      <c r="B10" s="66" t="s">
        <v>7</v>
      </c>
      <c r="C10" s="77">
        <v>1048</v>
      </c>
      <c r="D10" s="77">
        <v>11304</v>
      </c>
      <c r="E10" s="77">
        <v>68</v>
      </c>
      <c r="F10" s="77">
        <v>356</v>
      </c>
      <c r="G10" s="77">
        <v>760</v>
      </c>
      <c r="H10" s="77">
        <v>7451</v>
      </c>
      <c r="J10" s="85"/>
      <c r="K10" s="85"/>
      <c r="L10" s="85"/>
      <c r="M10" s="85"/>
      <c r="N10" s="85"/>
      <c r="O10" s="85"/>
      <c r="P10" s="85"/>
      <c r="Q10" s="85"/>
      <c r="R10" s="85"/>
      <c r="S10" s="85"/>
    </row>
    <row r="11" spans="1:19" x14ac:dyDescent="0.35">
      <c r="A11" s="27">
        <v>53</v>
      </c>
      <c r="B11" s="66" t="s">
        <v>8</v>
      </c>
      <c r="C11" s="77">
        <v>407</v>
      </c>
      <c r="D11" s="77">
        <v>3411</v>
      </c>
      <c r="E11" s="77">
        <v>282</v>
      </c>
      <c r="F11" s="90" t="s">
        <v>117</v>
      </c>
      <c r="G11" s="77">
        <v>125</v>
      </c>
      <c r="H11" s="77">
        <v>427</v>
      </c>
      <c r="J11" s="85"/>
      <c r="K11" s="85"/>
      <c r="L11" s="85"/>
      <c r="M11" s="85"/>
      <c r="N11" s="85"/>
      <c r="O11" s="85"/>
      <c r="P11" s="85"/>
      <c r="Q11" s="85"/>
      <c r="R11" s="85"/>
      <c r="S11" s="85"/>
    </row>
    <row r="12" spans="1:19" x14ac:dyDescent="0.35">
      <c r="A12" s="27">
        <v>54</v>
      </c>
      <c r="B12" s="66" t="s">
        <v>9</v>
      </c>
      <c r="C12" s="77">
        <v>1962</v>
      </c>
      <c r="D12" s="77">
        <v>4676.5</v>
      </c>
      <c r="E12" s="77">
        <v>12</v>
      </c>
      <c r="F12" s="77">
        <v>46.25</v>
      </c>
      <c r="G12" s="77">
        <v>347</v>
      </c>
      <c r="H12" s="77">
        <v>1174.75</v>
      </c>
      <c r="J12" s="85"/>
      <c r="K12" s="85"/>
      <c r="L12" s="85"/>
      <c r="M12" s="85"/>
      <c r="N12" s="85"/>
      <c r="O12" s="85"/>
      <c r="P12" s="85"/>
      <c r="Q12" s="85"/>
      <c r="R12" s="85"/>
      <c r="S12" s="85"/>
    </row>
    <row r="13" spans="1:19" x14ac:dyDescent="0.35">
      <c r="A13" s="27">
        <v>55</v>
      </c>
      <c r="B13" s="66" t="s">
        <v>10</v>
      </c>
      <c r="C13" s="77">
        <v>1307</v>
      </c>
      <c r="D13" s="77">
        <v>17372</v>
      </c>
      <c r="E13" s="77">
        <v>61</v>
      </c>
      <c r="F13" s="77">
        <v>61</v>
      </c>
      <c r="G13" s="77">
        <v>1246</v>
      </c>
      <c r="H13" s="77">
        <v>17311</v>
      </c>
      <c r="J13" s="85"/>
      <c r="K13" s="85"/>
      <c r="L13" s="85"/>
      <c r="M13" s="85"/>
      <c r="N13" s="85"/>
      <c r="O13" s="85"/>
      <c r="P13" s="85"/>
      <c r="Q13" s="85"/>
      <c r="R13" s="85"/>
      <c r="S13" s="85"/>
    </row>
    <row r="14" spans="1:19" x14ac:dyDescent="0.35">
      <c r="A14" s="27">
        <v>56</v>
      </c>
      <c r="B14" s="66" t="s">
        <v>11</v>
      </c>
      <c r="C14" s="77">
        <v>2079</v>
      </c>
      <c r="D14" s="77">
        <v>19392.5</v>
      </c>
      <c r="E14" s="77">
        <v>1316</v>
      </c>
      <c r="F14" s="90" t="s">
        <v>117</v>
      </c>
      <c r="G14" s="77">
        <v>763</v>
      </c>
      <c r="H14" s="77">
        <v>4383.5</v>
      </c>
      <c r="J14" s="85"/>
      <c r="K14" s="85"/>
      <c r="L14" s="85"/>
      <c r="M14" s="85"/>
      <c r="N14" s="85"/>
      <c r="O14" s="85"/>
      <c r="P14" s="85"/>
      <c r="Q14" s="85"/>
      <c r="R14" s="85"/>
      <c r="S14" s="85"/>
    </row>
    <row r="15" spans="1:19" x14ac:dyDescent="0.35">
      <c r="A15" s="27">
        <v>57</v>
      </c>
      <c r="B15" s="66" t="s">
        <v>12</v>
      </c>
      <c r="C15" s="77">
        <v>698</v>
      </c>
      <c r="D15" s="77">
        <v>6220</v>
      </c>
      <c r="E15" s="77">
        <v>93</v>
      </c>
      <c r="F15" s="77">
        <v>1003.5</v>
      </c>
      <c r="G15" s="77">
        <v>89</v>
      </c>
      <c r="H15" s="77">
        <v>3321</v>
      </c>
      <c r="J15" s="85"/>
      <c r="K15" s="85"/>
      <c r="L15" s="85"/>
      <c r="M15" s="85"/>
      <c r="N15" s="85"/>
      <c r="O15" s="85"/>
      <c r="P15" s="85"/>
      <c r="Q15" s="85"/>
      <c r="R15" s="85"/>
      <c r="S15" s="85"/>
    </row>
    <row r="16" spans="1:19" x14ac:dyDescent="0.35">
      <c r="A16" s="27">
        <v>59</v>
      </c>
      <c r="B16" s="66" t="s">
        <v>13</v>
      </c>
      <c r="C16" s="77">
        <v>2334</v>
      </c>
      <c r="D16" s="77">
        <v>2334</v>
      </c>
      <c r="E16" s="77">
        <v>931</v>
      </c>
      <c r="F16" s="90" t="s">
        <v>117</v>
      </c>
      <c r="G16" s="77">
        <v>344</v>
      </c>
      <c r="H16" s="90" t="s">
        <v>117</v>
      </c>
      <c r="J16" s="85"/>
      <c r="K16" s="85"/>
      <c r="L16" s="85"/>
      <c r="M16" s="85"/>
      <c r="N16" s="85"/>
      <c r="O16" s="85"/>
      <c r="P16" s="85"/>
      <c r="Q16" s="85"/>
      <c r="R16" s="85"/>
      <c r="S16" s="85"/>
    </row>
    <row r="17" spans="1:19" x14ac:dyDescent="0.35">
      <c r="A17" s="27">
        <v>60</v>
      </c>
      <c r="B17" s="66" t="s">
        <v>14</v>
      </c>
      <c r="C17" s="77">
        <v>31558</v>
      </c>
      <c r="D17" s="77">
        <v>7848</v>
      </c>
      <c r="E17" s="77">
        <v>577</v>
      </c>
      <c r="F17" s="77">
        <v>3528</v>
      </c>
      <c r="G17" s="77">
        <v>173</v>
      </c>
      <c r="H17" s="77">
        <v>1449</v>
      </c>
      <c r="J17" s="85"/>
      <c r="K17" s="85"/>
      <c r="L17" s="85"/>
      <c r="M17" s="85"/>
      <c r="N17" s="85"/>
      <c r="O17" s="85"/>
      <c r="P17" s="85"/>
      <c r="Q17" s="85"/>
      <c r="R17" s="85"/>
      <c r="S17" s="85"/>
    </row>
    <row r="18" spans="1:19" x14ac:dyDescent="0.35">
      <c r="A18" s="27">
        <v>61</v>
      </c>
      <c r="B18" s="78" t="s">
        <v>53</v>
      </c>
      <c r="C18" s="77">
        <v>3037</v>
      </c>
      <c r="D18" s="77">
        <v>11147</v>
      </c>
      <c r="E18" s="77">
        <v>309</v>
      </c>
      <c r="F18" s="77">
        <v>2403</v>
      </c>
      <c r="G18" s="77">
        <v>1090</v>
      </c>
      <c r="H18" s="77">
        <v>2421</v>
      </c>
      <c r="J18" s="85"/>
      <c r="K18" s="85"/>
      <c r="L18" s="85"/>
      <c r="M18" s="85"/>
      <c r="N18" s="85"/>
      <c r="O18" s="85"/>
      <c r="P18" s="85"/>
      <c r="Q18" s="85"/>
      <c r="R18" s="85"/>
      <c r="S18" s="85"/>
    </row>
    <row r="19" spans="1:19" x14ac:dyDescent="0.35">
      <c r="A19" s="27"/>
      <c r="B19" s="78" t="s">
        <v>131</v>
      </c>
      <c r="C19" s="77" t="s">
        <v>132</v>
      </c>
      <c r="D19" s="77" t="s">
        <v>132</v>
      </c>
      <c r="E19" s="77" t="s">
        <v>132</v>
      </c>
      <c r="F19" s="77" t="s">
        <v>132</v>
      </c>
      <c r="G19" s="77" t="s">
        <v>132</v>
      </c>
      <c r="H19" s="77" t="s">
        <v>132</v>
      </c>
      <c r="J19" s="85"/>
      <c r="K19" s="85"/>
      <c r="L19" s="85"/>
      <c r="M19" s="85"/>
      <c r="N19" s="85"/>
      <c r="O19" s="85"/>
      <c r="P19" s="85"/>
      <c r="Q19" s="85"/>
      <c r="R19" s="85"/>
      <c r="S19" s="85"/>
    </row>
    <row r="20" spans="1:19" x14ac:dyDescent="0.35">
      <c r="A20" s="27">
        <v>62</v>
      </c>
      <c r="B20" s="66" t="s">
        <v>16</v>
      </c>
      <c r="C20" s="77">
        <v>6656</v>
      </c>
      <c r="D20" s="77">
        <v>13088</v>
      </c>
      <c r="E20" s="77">
        <v>242</v>
      </c>
      <c r="F20" s="77">
        <v>5148</v>
      </c>
      <c r="G20" s="77">
        <v>236</v>
      </c>
      <c r="H20" s="77">
        <v>1354</v>
      </c>
      <c r="J20" s="85"/>
      <c r="K20" s="85"/>
      <c r="L20" s="85"/>
      <c r="M20" s="85"/>
      <c r="N20" s="85"/>
      <c r="O20" s="85"/>
      <c r="P20" s="85"/>
      <c r="Q20" s="85"/>
      <c r="R20" s="85"/>
      <c r="S20" s="85"/>
    </row>
    <row r="21" spans="1:19" x14ac:dyDescent="0.35">
      <c r="A21" s="27">
        <v>58</v>
      </c>
      <c r="B21" s="66" t="s">
        <v>17</v>
      </c>
      <c r="C21" s="77">
        <v>1510</v>
      </c>
      <c r="D21" s="77">
        <v>7767</v>
      </c>
      <c r="E21" s="77">
        <v>417</v>
      </c>
      <c r="F21" s="77">
        <v>3021</v>
      </c>
      <c r="G21" s="77">
        <v>557</v>
      </c>
      <c r="H21" s="77">
        <v>2697</v>
      </c>
      <c r="J21" s="85"/>
      <c r="K21" s="85"/>
      <c r="L21" s="85"/>
      <c r="M21" s="85"/>
      <c r="N21" s="85"/>
      <c r="O21" s="85"/>
      <c r="P21" s="85"/>
      <c r="Q21" s="85"/>
      <c r="R21" s="85"/>
      <c r="S21" s="85"/>
    </row>
    <row r="22" spans="1:19" x14ac:dyDescent="0.35">
      <c r="A22" s="27">
        <v>63</v>
      </c>
      <c r="B22" s="66" t="s">
        <v>18</v>
      </c>
      <c r="C22" s="77">
        <v>2539</v>
      </c>
      <c r="D22" s="77">
        <v>13764.5</v>
      </c>
      <c r="E22" s="77">
        <v>135</v>
      </c>
      <c r="F22" s="77">
        <v>2214.5</v>
      </c>
      <c r="G22" s="77">
        <v>218</v>
      </c>
      <c r="H22" s="77">
        <v>2401</v>
      </c>
      <c r="J22" s="85"/>
      <c r="K22" s="85"/>
      <c r="L22" s="85"/>
      <c r="M22" s="85"/>
      <c r="N22" s="85"/>
      <c r="O22" s="85"/>
      <c r="P22" s="85"/>
      <c r="Q22" s="85"/>
      <c r="R22" s="85"/>
      <c r="S22" s="85"/>
    </row>
    <row r="23" spans="1:19" x14ac:dyDescent="0.35">
      <c r="A23" s="27">
        <v>64</v>
      </c>
      <c r="B23" s="66" t="s">
        <v>19</v>
      </c>
      <c r="C23" s="77">
        <v>1868</v>
      </c>
      <c r="D23" s="77">
        <v>16851.849999999999</v>
      </c>
      <c r="E23" s="77">
        <v>184</v>
      </c>
      <c r="F23" s="77">
        <v>6856</v>
      </c>
      <c r="G23" s="77">
        <v>1202</v>
      </c>
      <c r="H23" s="77">
        <v>4795.7</v>
      </c>
      <c r="J23" s="85"/>
      <c r="K23" s="85"/>
      <c r="L23" s="85"/>
      <c r="M23" s="85"/>
      <c r="N23" s="85"/>
      <c r="O23" s="85"/>
      <c r="P23" s="85"/>
      <c r="Q23" s="85"/>
      <c r="R23" s="85"/>
      <c r="S23" s="85"/>
    </row>
    <row r="24" spans="1:19" x14ac:dyDescent="0.35">
      <c r="A24" s="27">
        <v>65</v>
      </c>
      <c r="B24" s="66" t="s">
        <v>20</v>
      </c>
      <c r="C24" s="77">
        <v>2169</v>
      </c>
      <c r="D24" s="77">
        <v>5910</v>
      </c>
      <c r="E24" s="77">
        <v>52</v>
      </c>
      <c r="F24" s="77">
        <v>644</v>
      </c>
      <c r="G24" s="77">
        <v>478</v>
      </c>
      <c r="H24" s="77">
        <v>2376</v>
      </c>
      <c r="J24" s="85"/>
      <c r="K24" s="85"/>
      <c r="L24" s="85"/>
      <c r="M24" s="85"/>
      <c r="N24" s="85"/>
      <c r="O24" s="85"/>
      <c r="P24" s="85"/>
      <c r="Q24" s="85"/>
      <c r="R24" s="85"/>
      <c r="S24" s="85"/>
    </row>
    <row r="25" spans="1:19" x14ac:dyDescent="0.35">
      <c r="A25" s="27">
        <v>67</v>
      </c>
      <c r="B25" s="66" t="s">
        <v>23</v>
      </c>
      <c r="C25" s="77">
        <v>1724</v>
      </c>
      <c r="D25" s="77">
        <v>29478</v>
      </c>
      <c r="E25" s="77">
        <v>462</v>
      </c>
      <c r="F25" s="77">
        <v>13961</v>
      </c>
      <c r="G25" s="77">
        <v>1262</v>
      </c>
      <c r="H25" s="77">
        <v>15517</v>
      </c>
      <c r="J25" s="85"/>
      <c r="K25" s="85"/>
      <c r="L25" s="85"/>
      <c r="M25" s="85"/>
      <c r="N25" s="85"/>
      <c r="O25" s="85"/>
      <c r="P25" s="85"/>
      <c r="Q25" s="85"/>
      <c r="R25" s="85"/>
      <c r="S25" s="85"/>
    </row>
    <row r="26" spans="1:19" x14ac:dyDescent="0.35">
      <c r="A26" s="27">
        <v>68</v>
      </c>
      <c r="B26" s="66" t="s">
        <v>54</v>
      </c>
      <c r="C26" s="77">
        <v>5098</v>
      </c>
      <c r="D26" s="77">
        <v>9011</v>
      </c>
      <c r="E26" s="77">
        <v>35</v>
      </c>
      <c r="F26" s="77">
        <v>50</v>
      </c>
      <c r="G26" s="77">
        <v>247</v>
      </c>
      <c r="H26" s="77">
        <v>1738</v>
      </c>
      <c r="J26" s="85"/>
      <c r="K26" s="85"/>
      <c r="L26" s="85"/>
      <c r="M26" s="85"/>
      <c r="N26" s="85"/>
      <c r="O26" s="85"/>
      <c r="P26" s="85"/>
      <c r="Q26" s="85"/>
      <c r="R26" s="85"/>
      <c r="S26" s="85"/>
    </row>
    <row r="27" spans="1:19" x14ac:dyDescent="0.35">
      <c r="A27" s="27">
        <v>69</v>
      </c>
      <c r="B27" s="66" t="s">
        <v>25</v>
      </c>
      <c r="C27" s="77">
        <v>2549</v>
      </c>
      <c r="D27" s="77">
        <v>45863</v>
      </c>
      <c r="E27" s="77">
        <v>871</v>
      </c>
      <c r="F27" s="90" t="s">
        <v>117</v>
      </c>
      <c r="G27" s="90" t="s">
        <v>117</v>
      </c>
      <c r="H27" s="90" t="s">
        <v>117</v>
      </c>
      <c r="J27" s="85"/>
      <c r="K27" s="85"/>
      <c r="L27" s="85"/>
      <c r="M27" s="85"/>
      <c r="N27" s="85"/>
      <c r="O27" s="85"/>
      <c r="P27" s="85"/>
      <c r="Q27" s="85"/>
      <c r="R27" s="85"/>
      <c r="S27" s="85"/>
    </row>
    <row r="28" spans="1:19" x14ac:dyDescent="0.35">
      <c r="A28" s="27">
        <v>70</v>
      </c>
      <c r="B28" s="66" t="s">
        <v>26</v>
      </c>
      <c r="C28" s="77">
        <v>372</v>
      </c>
      <c r="D28" s="77">
        <v>2608</v>
      </c>
      <c r="E28" s="77">
        <v>171</v>
      </c>
      <c r="F28" s="77">
        <v>2224</v>
      </c>
      <c r="G28" s="77">
        <v>152</v>
      </c>
      <c r="H28" s="77">
        <v>275</v>
      </c>
      <c r="J28" s="85"/>
      <c r="K28" s="85"/>
      <c r="L28" s="85"/>
      <c r="M28" s="85"/>
      <c r="N28" s="85"/>
      <c r="O28" s="85"/>
      <c r="P28" s="85"/>
      <c r="Q28" s="85"/>
      <c r="R28" s="85"/>
      <c r="S28" s="85"/>
    </row>
    <row r="29" spans="1:19" x14ac:dyDescent="0.35">
      <c r="A29" s="27">
        <v>71</v>
      </c>
      <c r="B29" s="66" t="s">
        <v>55</v>
      </c>
      <c r="C29" s="77">
        <v>263</v>
      </c>
      <c r="D29" s="77">
        <v>1432</v>
      </c>
      <c r="E29" s="77">
        <v>100</v>
      </c>
      <c r="F29" s="77">
        <v>284</v>
      </c>
      <c r="G29" s="77">
        <v>163</v>
      </c>
      <c r="H29" s="77">
        <v>1148</v>
      </c>
      <c r="J29" s="85"/>
      <c r="K29" s="85"/>
      <c r="L29" s="85"/>
      <c r="M29" s="85"/>
      <c r="N29" s="85"/>
      <c r="O29" s="85"/>
      <c r="P29" s="85"/>
      <c r="Q29" s="85"/>
      <c r="R29" s="85"/>
      <c r="S29" s="85"/>
    </row>
    <row r="30" spans="1:19" x14ac:dyDescent="0.35">
      <c r="A30" s="27">
        <v>73</v>
      </c>
      <c r="B30" s="66" t="s">
        <v>29</v>
      </c>
      <c r="C30" s="77">
        <v>4395</v>
      </c>
      <c r="D30" s="77">
        <v>26905</v>
      </c>
      <c r="E30" s="77">
        <v>776</v>
      </c>
      <c r="F30" s="77">
        <v>980</v>
      </c>
      <c r="G30" s="77">
        <v>309</v>
      </c>
      <c r="H30" s="77">
        <v>3082</v>
      </c>
      <c r="J30" s="85"/>
      <c r="K30" s="85"/>
      <c r="L30" s="85"/>
      <c r="M30" s="85"/>
      <c r="N30" s="85"/>
      <c r="O30" s="85"/>
      <c r="P30" s="85"/>
      <c r="Q30" s="85"/>
      <c r="R30" s="85"/>
      <c r="S30" s="85"/>
    </row>
    <row r="31" spans="1:19" x14ac:dyDescent="0.35">
      <c r="A31" s="27">
        <v>74</v>
      </c>
      <c r="B31" s="66" t="s">
        <v>30</v>
      </c>
      <c r="C31" s="77">
        <v>6392</v>
      </c>
      <c r="D31" s="77">
        <v>18951</v>
      </c>
      <c r="E31" s="77">
        <v>839</v>
      </c>
      <c r="F31" s="77">
        <v>2361</v>
      </c>
      <c r="G31" s="77">
        <v>1572</v>
      </c>
      <c r="H31" s="77">
        <v>4115</v>
      </c>
      <c r="J31" s="85"/>
      <c r="K31" s="85"/>
      <c r="L31" s="85"/>
      <c r="M31" s="85"/>
      <c r="N31" s="85"/>
      <c r="O31" s="85"/>
      <c r="P31" s="85"/>
      <c r="Q31" s="85"/>
      <c r="R31" s="85"/>
      <c r="S31" s="85"/>
    </row>
    <row r="32" spans="1:19" x14ac:dyDescent="0.35">
      <c r="A32" s="27">
        <v>75</v>
      </c>
      <c r="B32" s="66" t="s">
        <v>31</v>
      </c>
      <c r="C32" s="77">
        <v>2577</v>
      </c>
      <c r="D32" s="77">
        <v>29720</v>
      </c>
      <c r="E32" s="77">
        <v>1258</v>
      </c>
      <c r="F32" s="77">
        <v>21443</v>
      </c>
      <c r="G32" s="77">
        <v>807</v>
      </c>
      <c r="H32" s="77">
        <v>4437</v>
      </c>
      <c r="J32" s="85"/>
      <c r="K32" s="85"/>
      <c r="L32" s="85"/>
      <c r="M32" s="85"/>
      <c r="N32" s="85"/>
      <c r="O32" s="85"/>
      <c r="P32" s="85"/>
      <c r="Q32" s="85"/>
      <c r="R32" s="85"/>
      <c r="S32" s="85"/>
    </row>
    <row r="33" spans="1:19" x14ac:dyDescent="0.35">
      <c r="A33" s="27">
        <v>76</v>
      </c>
      <c r="B33" s="66" t="s">
        <v>32</v>
      </c>
      <c r="C33" s="77">
        <v>1598</v>
      </c>
      <c r="D33" s="77">
        <v>24373</v>
      </c>
      <c r="E33" s="77">
        <v>1187</v>
      </c>
      <c r="F33" s="77">
        <v>18524</v>
      </c>
      <c r="G33" s="77">
        <v>137</v>
      </c>
      <c r="H33" s="77">
        <v>493</v>
      </c>
      <c r="J33" s="85"/>
      <c r="K33" s="85"/>
      <c r="L33" s="85"/>
      <c r="M33" s="85"/>
      <c r="N33" s="85"/>
      <c r="O33" s="85"/>
      <c r="P33" s="85"/>
      <c r="Q33" s="85"/>
      <c r="R33" s="85"/>
      <c r="S33" s="85"/>
    </row>
    <row r="34" spans="1:19" x14ac:dyDescent="0.35">
      <c r="A34" s="27">
        <v>79</v>
      </c>
      <c r="B34" s="66" t="s">
        <v>34</v>
      </c>
      <c r="C34" s="77">
        <v>482</v>
      </c>
      <c r="D34" s="77">
        <v>1009</v>
      </c>
      <c r="E34" s="77">
        <v>69</v>
      </c>
      <c r="F34" s="77">
        <v>117</v>
      </c>
      <c r="G34" s="77">
        <v>33</v>
      </c>
      <c r="H34" s="77">
        <v>94.42</v>
      </c>
      <c r="J34" s="85"/>
      <c r="K34" s="85"/>
      <c r="L34" s="85"/>
      <c r="M34" s="85"/>
      <c r="N34" s="85"/>
      <c r="O34" s="85"/>
      <c r="P34" s="85"/>
      <c r="Q34" s="85"/>
      <c r="R34" s="85"/>
      <c r="S34" s="85"/>
    </row>
    <row r="35" spans="1:19" x14ac:dyDescent="0.35">
      <c r="A35" s="27">
        <v>80</v>
      </c>
      <c r="B35" s="66" t="s">
        <v>35</v>
      </c>
      <c r="C35" s="77">
        <v>2053</v>
      </c>
      <c r="D35" s="77">
        <v>9544</v>
      </c>
      <c r="E35" s="77">
        <v>224</v>
      </c>
      <c r="F35" s="77">
        <v>3760</v>
      </c>
      <c r="G35" s="77">
        <v>141</v>
      </c>
      <c r="H35" s="77">
        <v>720</v>
      </c>
      <c r="J35" s="85"/>
      <c r="K35" s="85"/>
      <c r="L35" s="85"/>
      <c r="M35" s="85"/>
      <c r="N35" s="85"/>
      <c r="O35" s="85"/>
      <c r="P35" s="85"/>
      <c r="Q35" s="85"/>
      <c r="R35" s="85"/>
      <c r="S35" s="85"/>
    </row>
    <row r="36" spans="1:19" x14ac:dyDescent="0.35">
      <c r="A36" s="27">
        <v>81</v>
      </c>
      <c r="B36" s="66" t="s">
        <v>36</v>
      </c>
      <c r="C36" s="77">
        <v>596</v>
      </c>
      <c r="D36" s="77">
        <v>5315</v>
      </c>
      <c r="E36" s="77">
        <v>119</v>
      </c>
      <c r="F36" s="77">
        <v>3538</v>
      </c>
      <c r="G36" s="77">
        <v>309</v>
      </c>
      <c r="H36" s="77">
        <v>1277</v>
      </c>
      <c r="J36" s="85"/>
      <c r="K36" s="85"/>
      <c r="L36" s="85"/>
      <c r="M36" s="85"/>
      <c r="N36" s="85"/>
      <c r="O36" s="85"/>
      <c r="P36" s="85"/>
      <c r="Q36" s="85"/>
      <c r="R36" s="85"/>
      <c r="S36" s="85"/>
    </row>
    <row r="37" spans="1:19" x14ac:dyDescent="0.35">
      <c r="A37" s="27">
        <v>83</v>
      </c>
      <c r="B37" s="66" t="s">
        <v>37</v>
      </c>
      <c r="C37" s="77">
        <v>5169</v>
      </c>
      <c r="D37" s="77">
        <v>19535</v>
      </c>
      <c r="E37" s="77">
        <v>1154</v>
      </c>
      <c r="F37" s="77">
        <v>13850</v>
      </c>
      <c r="G37" s="77">
        <v>157</v>
      </c>
      <c r="H37" s="77">
        <v>869</v>
      </c>
      <c r="J37" s="85"/>
      <c r="K37" s="85"/>
      <c r="L37" s="85"/>
      <c r="M37" s="85"/>
      <c r="N37" s="85"/>
      <c r="O37" s="85"/>
      <c r="P37" s="85"/>
      <c r="Q37" s="85"/>
      <c r="R37" s="85"/>
      <c r="S37" s="85"/>
    </row>
    <row r="38" spans="1:19" x14ac:dyDescent="0.35">
      <c r="A38" s="27">
        <v>84</v>
      </c>
      <c r="B38" s="66" t="s">
        <v>38</v>
      </c>
      <c r="C38" s="77">
        <v>3331</v>
      </c>
      <c r="D38" s="77">
        <v>23077.783333333333</v>
      </c>
      <c r="E38" s="77">
        <v>287</v>
      </c>
      <c r="F38" s="77">
        <v>1455.05</v>
      </c>
      <c r="G38" s="77">
        <v>648</v>
      </c>
      <c r="H38" s="77">
        <v>8189.05</v>
      </c>
      <c r="J38" s="85"/>
      <c r="K38" s="85"/>
      <c r="L38" s="85"/>
      <c r="M38" s="85"/>
      <c r="N38" s="85"/>
      <c r="O38" s="85"/>
      <c r="P38" s="85"/>
      <c r="Q38" s="85"/>
      <c r="R38" s="85"/>
      <c r="S38" s="85"/>
    </row>
    <row r="39" spans="1:19" x14ac:dyDescent="0.35">
      <c r="A39" s="27">
        <v>85</v>
      </c>
      <c r="B39" s="66" t="s">
        <v>39</v>
      </c>
      <c r="C39" s="77">
        <v>1860</v>
      </c>
      <c r="D39" s="77">
        <v>17922</v>
      </c>
      <c r="E39" s="77">
        <v>1451</v>
      </c>
      <c r="F39" s="77">
        <v>15590</v>
      </c>
      <c r="G39" s="77">
        <v>409</v>
      </c>
      <c r="H39" s="77">
        <v>2332</v>
      </c>
      <c r="J39" s="85"/>
      <c r="K39" s="85"/>
      <c r="L39" s="85"/>
      <c r="M39" s="85"/>
      <c r="N39" s="85"/>
      <c r="O39" s="85"/>
      <c r="P39" s="85"/>
      <c r="Q39" s="85"/>
      <c r="R39" s="85"/>
      <c r="S39" s="85"/>
    </row>
    <row r="40" spans="1:19" x14ac:dyDescent="0.35">
      <c r="A40" s="27">
        <v>87</v>
      </c>
      <c r="B40" s="66" t="s">
        <v>40</v>
      </c>
      <c r="C40" s="77">
        <v>1180</v>
      </c>
      <c r="D40" s="77">
        <v>3286</v>
      </c>
      <c r="E40" s="77">
        <v>38</v>
      </c>
      <c r="F40" s="77">
        <v>114</v>
      </c>
      <c r="G40" s="77">
        <v>124</v>
      </c>
      <c r="H40" s="77">
        <v>518</v>
      </c>
      <c r="J40" s="85"/>
      <c r="K40" s="85"/>
      <c r="L40" s="85"/>
      <c r="M40" s="85"/>
      <c r="N40" s="85"/>
      <c r="O40" s="85"/>
      <c r="P40" s="85"/>
      <c r="Q40" s="85"/>
      <c r="R40" s="85"/>
      <c r="S40" s="85"/>
    </row>
    <row r="41" spans="1:19" x14ac:dyDescent="0.35">
      <c r="A41" s="27">
        <v>90</v>
      </c>
      <c r="B41" s="66" t="s">
        <v>42</v>
      </c>
      <c r="C41" s="77">
        <v>7039</v>
      </c>
      <c r="D41" s="77">
        <v>18493</v>
      </c>
      <c r="E41" s="90" t="s">
        <v>117</v>
      </c>
      <c r="F41" s="90" t="s">
        <v>117</v>
      </c>
      <c r="G41" s="77">
        <v>2154</v>
      </c>
      <c r="H41" s="77">
        <v>7072</v>
      </c>
      <c r="J41" s="85"/>
      <c r="K41" s="85"/>
      <c r="L41" s="85"/>
      <c r="M41" s="85"/>
      <c r="N41" s="85"/>
      <c r="O41" s="85"/>
      <c r="P41" s="85"/>
      <c r="Q41" s="85"/>
      <c r="R41" s="85"/>
      <c r="S41" s="85"/>
    </row>
    <row r="42" spans="1:19" x14ac:dyDescent="0.35">
      <c r="A42" s="27">
        <v>91</v>
      </c>
      <c r="B42" s="66" t="s">
        <v>43</v>
      </c>
      <c r="C42" s="77">
        <v>402</v>
      </c>
      <c r="D42" s="77">
        <v>3544.88</v>
      </c>
      <c r="E42" s="77">
        <v>59</v>
      </c>
      <c r="F42" s="77">
        <v>548.08000000000004</v>
      </c>
      <c r="G42" s="77">
        <v>165</v>
      </c>
      <c r="H42" s="77">
        <v>1746.22</v>
      </c>
      <c r="J42" s="85"/>
      <c r="K42" s="85"/>
      <c r="L42" s="85"/>
      <c r="M42" s="85"/>
      <c r="N42" s="85"/>
      <c r="O42" s="85"/>
      <c r="P42" s="85"/>
      <c r="Q42" s="85"/>
      <c r="R42" s="85"/>
      <c r="S42" s="85"/>
    </row>
    <row r="43" spans="1:19" x14ac:dyDescent="0.35">
      <c r="A43" s="27">
        <v>92</v>
      </c>
      <c r="B43" s="66" t="s">
        <v>44</v>
      </c>
      <c r="C43" s="77">
        <v>362</v>
      </c>
      <c r="D43" s="77">
        <v>5971</v>
      </c>
      <c r="E43" s="77">
        <v>221</v>
      </c>
      <c r="F43" s="77">
        <v>4403</v>
      </c>
      <c r="G43" s="77">
        <v>141</v>
      </c>
      <c r="H43" s="77">
        <v>1568</v>
      </c>
      <c r="J43" s="85"/>
      <c r="K43" s="85"/>
      <c r="L43" s="85"/>
      <c r="M43" s="85"/>
      <c r="N43" s="85"/>
      <c r="O43" s="85"/>
      <c r="P43" s="85"/>
      <c r="Q43" s="85"/>
      <c r="R43" s="85"/>
      <c r="S43" s="85"/>
    </row>
    <row r="44" spans="1:19" x14ac:dyDescent="0.35">
      <c r="A44" s="27">
        <v>94</v>
      </c>
      <c r="B44" s="66" t="s">
        <v>46</v>
      </c>
      <c r="C44" s="77">
        <v>721</v>
      </c>
      <c r="D44" s="77">
        <v>13228</v>
      </c>
      <c r="E44" s="77">
        <v>375</v>
      </c>
      <c r="F44" s="77">
        <v>3910</v>
      </c>
      <c r="G44" s="77">
        <v>346</v>
      </c>
      <c r="H44" s="77">
        <v>9318</v>
      </c>
      <c r="J44" s="85"/>
      <c r="K44" s="85"/>
      <c r="L44" s="85"/>
      <c r="M44" s="85"/>
      <c r="N44" s="85"/>
      <c r="O44" s="85"/>
      <c r="P44" s="85"/>
      <c r="Q44" s="85"/>
      <c r="R44" s="85"/>
      <c r="S44" s="85"/>
    </row>
    <row r="45" spans="1:19" x14ac:dyDescent="0.35">
      <c r="A45" s="27">
        <v>96</v>
      </c>
      <c r="B45" s="66" t="s">
        <v>48</v>
      </c>
      <c r="C45" s="77">
        <v>8243</v>
      </c>
      <c r="D45" s="77">
        <v>18209</v>
      </c>
      <c r="E45" s="77">
        <v>148</v>
      </c>
      <c r="F45" s="77">
        <v>3489</v>
      </c>
      <c r="G45" s="77">
        <v>474</v>
      </c>
      <c r="H45" s="77">
        <v>837</v>
      </c>
      <c r="J45" s="85"/>
      <c r="K45" s="85"/>
      <c r="L45" s="85"/>
      <c r="M45" s="85"/>
      <c r="N45" s="85"/>
      <c r="O45" s="85"/>
      <c r="P45" s="85"/>
      <c r="Q45" s="85"/>
      <c r="R45" s="85"/>
      <c r="S45" s="85"/>
    </row>
    <row r="46" spans="1:19" x14ac:dyDescent="0.35">
      <c r="A46" s="27">
        <v>98</v>
      </c>
      <c r="B46" s="66" t="s">
        <v>50</v>
      </c>
      <c r="C46" s="77">
        <v>860</v>
      </c>
      <c r="D46" s="77">
        <v>1738</v>
      </c>
      <c r="E46" s="77">
        <v>37</v>
      </c>
      <c r="F46" s="77">
        <v>161</v>
      </c>
      <c r="G46" s="77">
        <v>419</v>
      </c>
      <c r="H46" s="77">
        <v>852.25</v>
      </c>
      <c r="J46" s="85"/>
      <c r="K46" s="85"/>
      <c r="L46" s="85"/>
      <c r="M46" s="85"/>
      <c r="N46" s="85"/>
      <c r="O46" s="85"/>
      <c r="P46" s="85"/>
      <c r="Q46" s="85"/>
      <c r="R46" s="85"/>
      <c r="S46" s="85"/>
    </row>
    <row r="47" spans="1:19" x14ac:dyDescent="0.35">
      <c r="A47" s="27">
        <v>72</v>
      </c>
      <c r="B47" s="66" t="s">
        <v>28</v>
      </c>
      <c r="C47" s="77">
        <v>12</v>
      </c>
      <c r="D47" s="77">
        <v>120</v>
      </c>
      <c r="E47" s="77">
        <v>9</v>
      </c>
      <c r="F47" s="77">
        <v>108</v>
      </c>
      <c r="G47" s="77">
        <v>3</v>
      </c>
      <c r="H47" s="77">
        <v>12</v>
      </c>
      <c r="J47" s="85"/>
      <c r="K47" s="85"/>
      <c r="L47" s="85"/>
      <c r="M47" s="85"/>
      <c r="N47" s="85"/>
      <c r="O47" s="85"/>
      <c r="P47" s="85"/>
      <c r="Q47" s="85"/>
      <c r="R47" s="85"/>
      <c r="S47" s="85"/>
    </row>
    <row r="48" spans="1:19" s="75" customFormat="1" ht="26.25" customHeight="1" x14ac:dyDescent="0.35">
      <c r="B48" s="75" t="s">
        <v>56</v>
      </c>
      <c r="C48" s="81">
        <v>46331</v>
      </c>
      <c r="D48" s="81">
        <v>230221.67</v>
      </c>
      <c r="E48" s="81">
        <v>9547</v>
      </c>
      <c r="F48" s="81">
        <v>117289.85</v>
      </c>
      <c r="G48" s="81">
        <v>15575</v>
      </c>
      <c r="H48" s="81">
        <v>61097.58</v>
      </c>
      <c r="J48" s="85"/>
      <c r="K48" s="85"/>
      <c r="L48" s="85"/>
      <c r="M48" s="85"/>
      <c r="N48" s="85"/>
      <c r="O48" s="85"/>
      <c r="P48" s="85"/>
      <c r="Q48" s="85"/>
      <c r="R48" s="85"/>
      <c r="S48" s="85"/>
    </row>
    <row r="49" spans="1:19" x14ac:dyDescent="0.35">
      <c r="A49" s="27">
        <v>66</v>
      </c>
      <c r="B49" s="66" t="s">
        <v>22</v>
      </c>
      <c r="C49" s="77">
        <v>9711</v>
      </c>
      <c r="D49" s="77">
        <v>25251</v>
      </c>
      <c r="E49" s="77">
        <v>238</v>
      </c>
      <c r="F49" s="77">
        <v>714</v>
      </c>
      <c r="G49" s="77">
        <v>1865</v>
      </c>
      <c r="H49" s="77">
        <v>24495</v>
      </c>
      <c r="J49" s="85"/>
      <c r="K49" s="85"/>
      <c r="L49" s="85"/>
      <c r="M49" s="85"/>
      <c r="N49" s="85"/>
      <c r="O49" s="85"/>
      <c r="P49" s="85"/>
      <c r="Q49" s="85"/>
      <c r="R49" s="85"/>
      <c r="S49" s="85"/>
    </row>
    <row r="50" spans="1:19" ht="14.5" x14ac:dyDescent="0.35">
      <c r="A50" s="27">
        <v>78</v>
      </c>
      <c r="B50" s="67" t="s">
        <v>97</v>
      </c>
      <c r="C50" s="77">
        <v>11590</v>
      </c>
      <c r="D50" s="77">
        <v>49944</v>
      </c>
      <c r="E50" s="77">
        <v>2168</v>
      </c>
      <c r="F50" s="77">
        <v>20308</v>
      </c>
      <c r="G50" s="90" t="s">
        <v>117</v>
      </c>
      <c r="H50" s="77">
        <v>11538</v>
      </c>
      <c r="J50" s="85"/>
      <c r="K50" s="85"/>
      <c r="L50" s="85"/>
      <c r="M50" s="85"/>
      <c r="N50" s="85"/>
      <c r="O50" s="85"/>
      <c r="P50" s="85"/>
      <c r="Q50" s="85"/>
      <c r="R50" s="85"/>
      <c r="S50" s="85"/>
    </row>
    <row r="51" spans="1:19" x14ac:dyDescent="0.35">
      <c r="A51" s="27">
        <v>89</v>
      </c>
      <c r="B51" s="66" t="s">
        <v>41</v>
      </c>
      <c r="C51" s="77">
        <v>1671</v>
      </c>
      <c r="D51" s="77">
        <v>6039.67</v>
      </c>
      <c r="E51" s="77">
        <v>674</v>
      </c>
      <c r="F51" s="77">
        <v>2011.85</v>
      </c>
      <c r="G51" s="77">
        <v>610</v>
      </c>
      <c r="H51" s="77">
        <v>3400.58</v>
      </c>
      <c r="J51" s="85"/>
      <c r="K51" s="85"/>
      <c r="L51" s="85"/>
      <c r="M51" s="85"/>
      <c r="N51" s="85"/>
      <c r="O51" s="85"/>
      <c r="P51" s="85"/>
      <c r="Q51" s="85"/>
      <c r="R51" s="85"/>
      <c r="S51" s="85"/>
    </row>
    <row r="52" spans="1:19" x14ac:dyDescent="0.35">
      <c r="A52" s="27">
        <v>93</v>
      </c>
      <c r="B52" s="66" t="s">
        <v>57</v>
      </c>
      <c r="C52" s="77">
        <v>2718</v>
      </c>
      <c r="D52" s="77">
        <v>15589</v>
      </c>
      <c r="E52" s="77">
        <v>390</v>
      </c>
      <c r="F52" s="77">
        <v>4219</v>
      </c>
      <c r="G52" s="77">
        <v>1260</v>
      </c>
      <c r="H52" s="77">
        <v>10603</v>
      </c>
      <c r="J52" s="85"/>
      <c r="K52" s="85"/>
      <c r="L52" s="85"/>
      <c r="M52" s="85"/>
      <c r="N52" s="85"/>
      <c r="O52" s="85"/>
      <c r="P52" s="85"/>
      <c r="Q52" s="85"/>
      <c r="R52" s="85"/>
      <c r="S52" s="85"/>
    </row>
    <row r="53" spans="1:19" x14ac:dyDescent="0.35">
      <c r="A53" s="27">
        <v>95</v>
      </c>
      <c r="B53" s="66" t="s">
        <v>47</v>
      </c>
      <c r="C53" s="77">
        <v>8582</v>
      </c>
      <c r="D53" s="77">
        <v>90111</v>
      </c>
      <c r="E53" s="77">
        <v>2954</v>
      </c>
      <c r="F53" s="77">
        <v>61443</v>
      </c>
      <c r="G53" s="77">
        <v>6802</v>
      </c>
      <c r="H53" s="77">
        <v>3877</v>
      </c>
      <c r="J53" s="85"/>
      <c r="K53" s="85"/>
      <c r="L53" s="85"/>
      <c r="M53" s="85"/>
      <c r="N53" s="85"/>
      <c r="O53" s="85"/>
      <c r="P53" s="85"/>
      <c r="Q53" s="85"/>
      <c r="R53" s="85"/>
      <c r="S53" s="85"/>
    </row>
    <row r="54" spans="1:19" x14ac:dyDescent="0.35">
      <c r="A54" s="27">
        <v>97</v>
      </c>
      <c r="B54" s="66" t="s">
        <v>49</v>
      </c>
      <c r="C54" s="77">
        <v>7209</v>
      </c>
      <c r="D54" s="77">
        <v>23255</v>
      </c>
      <c r="E54" s="77">
        <v>2440</v>
      </c>
      <c r="F54" s="77">
        <v>13424</v>
      </c>
      <c r="G54" s="77">
        <v>871</v>
      </c>
      <c r="H54" s="77">
        <v>2322</v>
      </c>
      <c r="J54" s="85"/>
      <c r="K54" s="85"/>
      <c r="L54" s="85"/>
      <c r="M54" s="85"/>
      <c r="N54" s="85"/>
      <c r="O54" s="85"/>
      <c r="P54" s="85"/>
      <c r="Q54" s="85"/>
      <c r="R54" s="85"/>
      <c r="S54" s="85"/>
    </row>
    <row r="55" spans="1:19" ht="14.5" x14ac:dyDescent="0.35">
      <c r="A55" s="27">
        <v>77</v>
      </c>
      <c r="B55" s="69" t="s">
        <v>98</v>
      </c>
      <c r="C55" s="82">
        <v>4850</v>
      </c>
      <c r="D55" s="82">
        <v>20032</v>
      </c>
      <c r="E55" s="82">
        <v>683</v>
      </c>
      <c r="F55" s="82">
        <v>15170</v>
      </c>
      <c r="G55" s="82">
        <v>4167</v>
      </c>
      <c r="H55" s="82">
        <v>4862</v>
      </c>
      <c r="J55" s="85"/>
      <c r="K55" s="85"/>
      <c r="L55" s="85"/>
      <c r="M55" s="85"/>
      <c r="N55" s="85"/>
      <c r="O55" s="85"/>
      <c r="P55" s="85"/>
      <c r="Q55" s="85"/>
      <c r="R55" s="85"/>
      <c r="S55" s="85"/>
    </row>
    <row r="57" spans="1:19" ht="27.75" customHeight="1" x14ac:dyDescent="0.35">
      <c r="B57" s="111" t="s">
        <v>80</v>
      </c>
      <c r="C57" s="112"/>
      <c r="D57" s="112"/>
      <c r="E57" s="112"/>
      <c r="F57" s="112"/>
      <c r="G57" s="112"/>
      <c r="H57" s="112"/>
    </row>
    <row r="58" spans="1:19" ht="27.75" customHeight="1" x14ac:dyDescent="0.35">
      <c r="B58" s="111" t="s">
        <v>81</v>
      </c>
      <c r="C58" s="112"/>
      <c r="D58" s="112"/>
      <c r="E58" s="112"/>
      <c r="F58" s="112"/>
      <c r="G58" s="112"/>
      <c r="H58" s="112"/>
    </row>
    <row r="59" spans="1:19" ht="13.5" customHeight="1" x14ac:dyDescent="0.35">
      <c r="B59" s="67" t="s">
        <v>82</v>
      </c>
      <c r="C59" s="86"/>
      <c r="D59" s="86"/>
      <c r="E59" s="86"/>
      <c r="F59" s="86"/>
      <c r="G59" s="86"/>
      <c r="H59" s="86"/>
    </row>
    <row r="60" spans="1:19" ht="13.5" customHeight="1" x14ac:dyDescent="0.35">
      <c r="B60" s="67" t="s">
        <v>99</v>
      </c>
      <c r="C60" s="86"/>
      <c r="D60" s="86"/>
      <c r="E60" s="86"/>
      <c r="F60" s="86"/>
      <c r="G60" s="86"/>
      <c r="H60" s="86"/>
    </row>
    <row r="62" spans="1:19" x14ac:dyDescent="0.35">
      <c r="B62" s="84" t="s">
        <v>87</v>
      </c>
    </row>
    <row r="65" spans="3:5" ht="15.5" x14ac:dyDescent="0.35">
      <c r="C65" s="87"/>
      <c r="D65" s="88"/>
      <c r="E65" s="88"/>
    </row>
    <row r="66" spans="3:5" ht="15.5" x14ac:dyDescent="0.35">
      <c r="C66" s="87"/>
      <c r="D66" s="88"/>
      <c r="E66" s="88"/>
    </row>
  </sheetData>
  <mergeCells count="9">
    <mergeCell ref="N2:O2"/>
    <mergeCell ref="B57:H57"/>
    <mergeCell ref="B58:H58"/>
    <mergeCell ref="B1:H1"/>
    <mergeCell ref="C2:D2"/>
    <mergeCell ref="E2:F2"/>
    <mergeCell ref="G2:H2"/>
    <mergeCell ref="J2:K2"/>
    <mergeCell ref="L2:M2"/>
  </mergeCells>
  <conditionalFormatting sqref="J6:S55">
    <cfRule type="cellIs" dxfId="1" priority="1" stopIfTrue="1" operator="lessThan">
      <formula>-0.5</formula>
    </cfRule>
    <cfRule type="cellIs" dxfId="0" priority="2" stopIfTrue="1" operator="greaterThan">
      <formula>0.5</formula>
    </cfRule>
  </conditionalFormatting>
  <pageMargins left="0.75" right="0.75"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pageSetUpPr fitToPage="1"/>
  </sheetPr>
  <dimension ref="A1:P68"/>
  <sheetViews>
    <sheetView showGridLines="0" zoomScale="85" zoomScaleNormal="85" workbookViewId="0">
      <pane xSplit="2" ySplit="3" topLeftCell="C16" activePane="bottomRight" state="frozen"/>
      <selection activeCell="A65" sqref="A65:I65"/>
      <selection pane="topRight" activeCell="A65" sqref="A65:I65"/>
      <selection pane="bottomLeft" activeCell="A65" sqref="A65:I65"/>
      <selection pane="bottomRight" activeCell="C41" sqref="C41"/>
    </sheetView>
  </sheetViews>
  <sheetFormatPr defaultRowHeight="12.5" x14ac:dyDescent="0.35"/>
  <cols>
    <col min="1" max="1" width="9.54296875" style="66" hidden="1" customWidth="1"/>
    <col min="2" max="2" width="24.6328125" style="66" customWidth="1"/>
    <col min="3" max="3" width="21.36328125" style="66" customWidth="1"/>
    <col min="4" max="4" width="19.54296875" style="66" customWidth="1"/>
    <col min="5" max="5" width="17.6328125" style="66" customWidth="1"/>
    <col min="6" max="6" width="16" style="66" customWidth="1"/>
    <col min="7" max="7" width="17.6328125" style="66" customWidth="1"/>
    <col min="8" max="8" width="16" style="66" customWidth="1"/>
    <col min="9" max="256" width="9.08984375" style="66"/>
    <col min="257" max="257" width="0" style="66" hidden="1" customWidth="1"/>
    <col min="258" max="258" width="24.6328125" style="66" customWidth="1"/>
    <col min="259" max="259" width="21.36328125" style="66" customWidth="1"/>
    <col min="260" max="260" width="19.54296875" style="66" customWidth="1"/>
    <col min="261" max="261" width="17.6328125" style="66" customWidth="1"/>
    <col min="262" max="262" width="16" style="66" customWidth="1"/>
    <col min="263" max="263" width="17.6328125" style="66" customWidth="1"/>
    <col min="264" max="264" width="16" style="66" customWidth="1"/>
    <col min="265" max="512" width="9.08984375" style="66"/>
    <col min="513" max="513" width="0" style="66" hidden="1" customWidth="1"/>
    <col min="514" max="514" width="24.6328125" style="66" customWidth="1"/>
    <col min="515" max="515" width="21.36328125" style="66" customWidth="1"/>
    <col min="516" max="516" width="19.54296875" style="66" customWidth="1"/>
    <col min="517" max="517" width="17.6328125" style="66" customWidth="1"/>
    <col min="518" max="518" width="16" style="66" customWidth="1"/>
    <col min="519" max="519" width="17.6328125" style="66" customWidth="1"/>
    <col min="520" max="520" width="16" style="66" customWidth="1"/>
    <col min="521" max="768" width="9.08984375" style="66"/>
    <col min="769" max="769" width="0" style="66" hidden="1" customWidth="1"/>
    <col min="770" max="770" width="24.6328125" style="66" customWidth="1"/>
    <col min="771" max="771" width="21.36328125" style="66" customWidth="1"/>
    <col min="772" max="772" width="19.54296875" style="66" customWidth="1"/>
    <col min="773" max="773" width="17.6328125" style="66" customWidth="1"/>
    <col min="774" max="774" width="16" style="66" customWidth="1"/>
    <col min="775" max="775" width="17.6328125" style="66" customWidth="1"/>
    <col min="776" max="776" width="16" style="66" customWidth="1"/>
    <col min="777" max="1024" width="9.08984375" style="66"/>
    <col min="1025" max="1025" width="0" style="66" hidden="1" customWidth="1"/>
    <col min="1026" max="1026" width="24.6328125" style="66" customWidth="1"/>
    <col min="1027" max="1027" width="21.36328125" style="66" customWidth="1"/>
    <col min="1028" max="1028" width="19.54296875" style="66" customWidth="1"/>
    <col min="1029" max="1029" width="17.6328125" style="66" customWidth="1"/>
    <col min="1030" max="1030" width="16" style="66" customWidth="1"/>
    <col min="1031" max="1031" width="17.6328125" style="66" customWidth="1"/>
    <col min="1032" max="1032" width="16" style="66" customWidth="1"/>
    <col min="1033" max="1280" width="9.08984375" style="66"/>
    <col min="1281" max="1281" width="0" style="66" hidden="1" customWidth="1"/>
    <col min="1282" max="1282" width="24.6328125" style="66" customWidth="1"/>
    <col min="1283" max="1283" width="21.36328125" style="66" customWidth="1"/>
    <col min="1284" max="1284" width="19.54296875" style="66" customWidth="1"/>
    <col min="1285" max="1285" width="17.6328125" style="66" customWidth="1"/>
    <col min="1286" max="1286" width="16" style="66" customWidth="1"/>
    <col min="1287" max="1287" width="17.6328125" style="66" customWidth="1"/>
    <col min="1288" max="1288" width="16" style="66" customWidth="1"/>
    <col min="1289" max="1536" width="9.08984375" style="66"/>
    <col min="1537" max="1537" width="0" style="66" hidden="1" customWidth="1"/>
    <col min="1538" max="1538" width="24.6328125" style="66" customWidth="1"/>
    <col min="1539" max="1539" width="21.36328125" style="66" customWidth="1"/>
    <col min="1540" max="1540" width="19.54296875" style="66" customWidth="1"/>
    <col min="1541" max="1541" width="17.6328125" style="66" customWidth="1"/>
    <col min="1542" max="1542" width="16" style="66" customWidth="1"/>
    <col min="1543" max="1543" width="17.6328125" style="66" customWidth="1"/>
    <col min="1544" max="1544" width="16" style="66" customWidth="1"/>
    <col min="1545" max="1792" width="9.08984375" style="66"/>
    <col min="1793" max="1793" width="0" style="66" hidden="1" customWidth="1"/>
    <col min="1794" max="1794" width="24.6328125" style="66" customWidth="1"/>
    <col min="1795" max="1795" width="21.36328125" style="66" customWidth="1"/>
    <col min="1796" max="1796" width="19.54296875" style="66" customWidth="1"/>
    <col min="1797" max="1797" width="17.6328125" style="66" customWidth="1"/>
    <col min="1798" max="1798" width="16" style="66" customWidth="1"/>
    <col min="1799" max="1799" width="17.6328125" style="66" customWidth="1"/>
    <col min="1800" max="1800" width="16" style="66" customWidth="1"/>
    <col min="1801" max="2048" width="9.08984375" style="66"/>
    <col min="2049" max="2049" width="0" style="66" hidden="1" customWidth="1"/>
    <col min="2050" max="2050" width="24.6328125" style="66" customWidth="1"/>
    <col min="2051" max="2051" width="21.36328125" style="66" customWidth="1"/>
    <col min="2052" max="2052" width="19.54296875" style="66" customWidth="1"/>
    <col min="2053" max="2053" width="17.6328125" style="66" customWidth="1"/>
    <col min="2054" max="2054" width="16" style="66" customWidth="1"/>
    <col min="2055" max="2055" width="17.6328125" style="66" customWidth="1"/>
    <col min="2056" max="2056" width="16" style="66" customWidth="1"/>
    <col min="2057" max="2304" width="9.08984375" style="66"/>
    <col min="2305" max="2305" width="0" style="66" hidden="1" customWidth="1"/>
    <col min="2306" max="2306" width="24.6328125" style="66" customWidth="1"/>
    <col min="2307" max="2307" width="21.36328125" style="66" customWidth="1"/>
    <col min="2308" max="2308" width="19.54296875" style="66" customWidth="1"/>
    <col min="2309" max="2309" width="17.6328125" style="66" customWidth="1"/>
    <col min="2310" max="2310" width="16" style="66" customWidth="1"/>
    <col min="2311" max="2311" width="17.6328125" style="66" customWidth="1"/>
    <col min="2312" max="2312" width="16" style="66" customWidth="1"/>
    <col min="2313" max="2560" width="9.08984375" style="66"/>
    <col min="2561" max="2561" width="0" style="66" hidden="1" customWidth="1"/>
    <col min="2562" max="2562" width="24.6328125" style="66" customWidth="1"/>
    <col min="2563" max="2563" width="21.36328125" style="66" customWidth="1"/>
    <col min="2564" max="2564" width="19.54296875" style="66" customWidth="1"/>
    <col min="2565" max="2565" width="17.6328125" style="66" customWidth="1"/>
    <col min="2566" max="2566" width="16" style="66" customWidth="1"/>
    <col min="2567" max="2567" width="17.6328125" style="66" customWidth="1"/>
    <col min="2568" max="2568" width="16" style="66" customWidth="1"/>
    <col min="2569" max="2816" width="9.08984375" style="66"/>
    <col min="2817" max="2817" width="0" style="66" hidden="1" customWidth="1"/>
    <col min="2818" max="2818" width="24.6328125" style="66" customWidth="1"/>
    <col min="2819" max="2819" width="21.36328125" style="66" customWidth="1"/>
    <col min="2820" max="2820" width="19.54296875" style="66" customWidth="1"/>
    <col min="2821" max="2821" width="17.6328125" style="66" customWidth="1"/>
    <col min="2822" max="2822" width="16" style="66" customWidth="1"/>
    <col min="2823" max="2823" width="17.6328125" style="66" customWidth="1"/>
    <col min="2824" max="2824" width="16" style="66" customWidth="1"/>
    <col min="2825" max="3072" width="9.08984375" style="66"/>
    <col min="3073" max="3073" width="0" style="66" hidden="1" customWidth="1"/>
    <col min="3074" max="3074" width="24.6328125" style="66" customWidth="1"/>
    <col min="3075" max="3075" width="21.36328125" style="66" customWidth="1"/>
    <col min="3076" max="3076" width="19.54296875" style="66" customWidth="1"/>
    <col min="3077" max="3077" width="17.6328125" style="66" customWidth="1"/>
    <col min="3078" max="3078" width="16" style="66" customWidth="1"/>
    <col min="3079" max="3079" width="17.6328125" style="66" customWidth="1"/>
    <col min="3080" max="3080" width="16" style="66" customWidth="1"/>
    <col min="3081" max="3328" width="9.08984375" style="66"/>
    <col min="3329" max="3329" width="0" style="66" hidden="1" customWidth="1"/>
    <col min="3330" max="3330" width="24.6328125" style="66" customWidth="1"/>
    <col min="3331" max="3331" width="21.36328125" style="66" customWidth="1"/>
    <col min="3332" max="3332" width="19.54296875" style="66" customWidth="1"/>
    <col min="3333" max="3333" width="17.6328125" style="66" customWidth="1"/>
    <col min="3334" max="3334" width="16" style="66" customWidth="1"/>
    <col min="3335" max="3335" width="17.6328125" style="66" customWidth="1"/>
    <col min="3336" max="3336" width="16" style="66" customWidth="1"/>
    <col min="3337" max="3584" width="9.08984375" style="66"/>
    <col min="3585" max="3585" width="0" style="66" hidden="1" customWidth="1"/>
    <col min="3586" max="3586" width="24.6328125" style="66" customWidth="1"/>
    <col min="3587" max="3587" width="21.36328125" style="66" customWidth="1"/>
    <col min="3588" max="3588" width="19.54296875" style="66" customWidth="1"/>
    <col min="3589" max="3589" width="17.6328125" style="66" customWidth="1"/>
    <col min="3590" max="3590" width="16" style="66" customWidth="1"/>
    <col min="3591" max="3591" width="17.6328125" style="66" customWidth="1"/>
    <col min="3592" max="3592" width="16" style="66" customWidth="1"/>
    <col min="3593" max="3840" width="9.08984375" style="66"/>
    <col min="3841" max="3841" width="0" style="66" hidden="1" customWidth="1"/>
    <col min="3842" max="3842" width="24.6328125" style="66" customWidth="1"/>
    <col min="3843" max="3843" width="21.36328125" style="66" customWidth="1"/>
    <col min="3844" max="3844" width="19.54296875" style="66" customWidth="1"/>
    <col min="3845" max="3845" width="17.6328125" style="66" customWidth="1"/>
    <col min="3846" max="3846" width="16" style="66" customWidth="1"/>
    <col min="3847" max="3847" width="17.6328125" style="66" customWidth="1"/>
    <col min="3848" max="3848" width="16" style="66" customWidth="1"/>
    <col min="3849" max="4096" width="9.08984375" style="66"/>
    <col min="4097" max="4097" width="0" style="66" hidden="1" customWidth="1"/>
    <col min="4098" max="4098" width="24.6328125" style="66" customWidth="1"/>
    <col min="4099" max="4099" width="21.36328125" style="66" customWidth="1"/>
    <col min="4100" max="4100" width="19.54296875" style="66" customWidth="1"/>
    <col min="4101" max="4101" width="17.6328125" style="66" customWidth="1"/>
    <col min="4102" max="4102" width="16" style="66" customWidth="1"/>
    <col min="4103" max="4103" width="17.6328125" style="66" customWidth="1"/>
    <col min="4104" max="4104" width="16" style="66" customWidth="1"/>
    <col min="4105" max="4352" width="9.08984375" style="66"/>
    <col min="4353" max="4353" width="0" style="66" hidden="1" customWidth="1"/>
    <col min="4354" max="4354" width="24.6328125" style="66" customWidth="1"/>
    <col min="4355" max="4355" width="21.36328125" style="66" customWidth="1"/>
    <col min="4356" max="4356" width="19.54296875" style="66" customWidth="1"/>
    <col min="4357" max="4357" width="17.6328125" style="66" customWidth="1"/>
    <col min="4358" max="4358" width="16" style="66" customWidth="1"/>
    <col min="4359" max="4359" width="17.6328125" style="66" customWidth="1"/>
    <col min="4360" max="4360" width="16" style="66" customWidth="1"/>
    <col min="4361" max="4608" width="9.08984375" style="66"/>
    <col min="4609" max="4609" width="0" style="66" hidden="1" customWidth="1"/>
    <col min="4610" max="4610" width="24.6328125" style="66" customWidth="1"/>
    <col min="4611" max="4611" width="21.36328125" style="66" customWidth="1"/>
    <col min="4612" max="4612" width="19.54296875" style="66" customWidth="1"/>
    <col min="4613" max="4613" width="17.6328125" style="66" customWidth="1"/>
    <col min="4614" max="4614" width="16" style="66" customWidth="1"/>
    <col min="4615" max="4615" width="17.6328125" style="66" customWidth="1"/>
    <col min="4616" max="4616" width="16" style="66" customWidth="1"/>
    <col min="4617" max="4864" width="9.08984375" style="66"/>
    <col min="4865" max="4865" width="0" style="66" hidden="1" customWidth="1"/>
    <col min="4866" max="4866" width="24.6328125" style="66" customWidth="1"/>
    <col min="4867" max="4867" width="21.36328125" style="66" customWidth="1"/>
    <col min="4868" max="4868" width="19.54296875" style="66" customWidth="1"/>
    <col min="4869" max="4869" width="17.6328125" style="66" customWidth="1"/>
    <col min="4870" max="4870" width="16" style="66" customWidth="1"/>
    <col min="4871" max="4871" width="17.6328125" style="66" customWidth="1"/>
    <col min="4872" max="4872" width="16" style="66" customWidth="1"/>
    <col min="4873" max="5120" width="9.08984375" style="66"/>
    <col min="5121" max="5121" width="0" style="66" hidden="1" customWidth="1"/>
    <col min="5122" max="5122" width="24.6328125" style="66" customWidth="1"/>
    <col min="5123" max="5123" width="21.36328125" style="66" customWidth="1"/>
    <col min="5124" max="5124" width="19.54296875" style="66" customWidth="1"/>
    <col min="5125" max="5125" width="17.6328125" style="66" customWidth="1"/>
    <col min="5126" max="5126" width="16" style="66" customWidth="1"/>
    <col min="5127" max="5127" width="17.6328125" style="66" customWidth="1"/>
    <col min="5128" max="5128" width="16" style="66" customWidth="1"/>
    <col min="5129" max="5376" width="9.08984375" style="66"/>
    <col min="5377" max="5377" width="0" style="66" hidden="1" customWidth="1"/>
    <col min="5378" max="5378" width="24.6328125" style="66" customWidth="1"/>
    <col min="5379" max="5379" width="21.36328125" style="66" customWidth="1"/>
    <col min="5380" max="5380" width="19.54296875" style="66" customWidth="1"/>
    <col min="5381" max="5381" width="17.6328125" style="66" customWidth="1"/>
    <col min="5382" max="5382" width="16" style="66" customWidth="1"/>
    <col min="5383" max="5383" width="17.6328125" style="66" customWidth="1"/>
    <col min="5384" max="5384" width="16" style="66" customWidth="1"/>
    <col min="5385" max="5632" width="9.08984375" style="66"/>
    <col min="5633" max="5633" width="0" style="66" hidden="1" customWidth="1"/>
    <col min="5634" max="5634" width="24.6328125" style="66" customWidth="1"/>
    <col min="5635" max="5635" width="21.36328125" style="66" customWidth="1"/>
    <col min="5636" max="5636" width="19.54296875" style="66" customWidth="1"/>
    <col min="5637" max="5637" width="17.6328125" style="66" customWidth="1"/>
    <col min="5638" max="5638" width="16" style="66" customWidth="1"/>
    <col min="5639" max="5639" width="17.6328125" style="66" customWidth="1"/>
    <col min="5640" max="5640" width="16" style="66" customWidth="1"/>
    <col min="5641" max="5888" width="9.08984375" style="66"/>
    <col min="5889" max="5889" width="0" style="66" hidden="1" customWidth="1"/>
    <col min="5890" max="5890" width="24.6328125" style="66" customWidth="1"/>
    <col min="5891" max="5891" width="21.36328125" style="66" customWidth="1"/>
    <col min="5892" max="5892" width="19.54296875" style="66" customWidth="1"/>
    <col min="5893" max="5893" width="17.6328125" style="66" customWidth="1"/>
    <col min="5894" max="5894" width="16" style="66" customWidth="1"/>
    <col min="5895" max="5895" width="17.6328125" style="66" customWidth="1"/>
    <col min="5896" max="5896" width="16" style="66" customWidth="1"/>
    <col min="5897" max="6144" width="9.08984375" style="66"/>
    <col min="6145" max="6145" width="0" style="66" hidden="1" customWidth="1"/>
    <col min="6146" max="6146" width="24.6328125" style="66" customWidth="1"/>
    <col min="6147" max="6147" width="21.36328125" style="66" customWidth="1"/>
    <col min="6148" max="6148" width="19.54296875" style="66" customWidth="1"/>
    <col min="6149" max="6149" width="17.6328125" style="66" customWidth="1"/>
    <col min="6150" max="6150" width="16" style="66" customWidth="1"/>
    <col min="6151" max="6151" width="17.6328125" style="66" customWidth="1"/>
    <col min="6152" max="6152" width="16" style="66" customWidth="1"/>
    <col min="6153" max="6400" width="9.08984375" style="66"/>
    <col min="6401" max="6401" width="0" style="66" hidden="1" customWidth="1"/>
    <col min="6402" max="6402" width="24.6328125" style="66" customWidth="1"/>
    <col min="6403" max="6403" width="21.36328125" style="66" customWidth="1"/>
    <col min="6404" max="6404" width="19.54296875" style="66" customWidth="1"/>
    <col min="6405" max="6405" width="17.6328125" style="66" customWidth="1"/>
    <col min="6406" max="6406" width="16" style="66" customWidth="1"/>
    <col min="6407" max="6407" width="17.6328125" style="66" customWidth="1"/>
    <col min="6408" max="6408" width="16" style="66" customWidth="1"/>
    <col min="6409" max="6656" width="9.08984375" style="66"/>
    <col min="6657" max="6657" width="0" style="66" hidden="1" customWidth="1"/>
    <col min="6658" max="6658" width="24.6328125" style="66" customWidth="1"/>
    <col min="6659" max="6659" width="21.36328125" style="66" customWidth="1"/>
    <col min="6660" max="6660" width="19.54296875" style="66" customWidth="1"/>
    <col min="6661" max="6661" width="17.6328125" style="66" customWidth="1"/>
    <col min="6662" max="6662" width="16" style="66" customWidth="1"/>
    <col min="6663" max="6663" width="17.6328125" style="66" customWidth="1"/>
    <col min="6664" max="6664" width="16" style="66" customWidth="1"/>
    <col min="6665" max="6912" width="9.08984375" style="66"/>
    <col min="6913" max="6913" width="0" style="66" hidden="1" customWidth="1"/>
    <col min="6914" max="6914" width="24.6328125" style="66" customWidth="1"/>
    <col min="6915" max="6915" width="21.36328125" style="66" customWidth="1"/>
    <col min="6916" max="6916" width="19.54296875" style="66" customWidth="1"/>
    <col min="6917" max="6917" width="17.6328125" style="66" customWidth="1"/>
    <col min="6918" max="6918" width="16" style="66" customWidth="1"/>
    <col min="6919" max="6919" width="17.6328125" style="66" customWidth="1"/>
    <col min="6920" max="6920" width="16" style="66" customWidth="1"/>
    <col min="6921" max="7168" width="9.08984375" style="66"/>
    <col min="7169" max="7169" width="0" style="66" hidden="1" customWidth="1"/>
    <col min="7170" max="7170" width="24.6328125" style="66" customWidth="1"/>
    <col min="7171" max="7171" width="21.36328125" style="66" customWidth="1"/>
    <col min="7172" max="7172" width="19.54296875" style="66" customWidth="1"/>
    <col min="7173" max="7173" width="17.6328125" style="66" customWidth="1"/>
    <col min="7174" max="7174" width="16" style="66" customWidth="1"/>
    <col min="7175" max="7175" width="17.6328125" style="66" customWidth="1"/>
    <col min="7176" max="7176" width="16" style="66" customWidth="1"/>
    <col min="7177" max="7424" width="9.08984375" style="66"/>
    <col min="7425" max="7425" width="0" style="66" hidden="1" customWidth="1"/>
    <col min="7426" max="7426" width="24.6328125" style="66" customWidth="1"/>
    <col min="7427" max="7427" width="21.36328125" style="66" customWidth="1"/>
    <col min="7428" max="7428" width="19.54296875" style="66" customWidth="1"/>
    <col min="7429" max="7429" width="17.6328125" style="66" customWidth="1"/>
    <col min="7430" max="7430" width="16" style="66" customWidth="1"/>
    <col min="7431" max="7431" width="17.6328125" style="66" customWidth="1"/>
    <col min="7432" max="7432" width="16" style="66" customWidth="1"/>
    <col min="7433" max="7680" width="9.08984375" style="66"/>
    <col min="7681" max="7681" width="0" style="66" hidden="1" customWidth="1"/>
    <col min="7682" max="7682" width="24.6328125" style="66" customWidth="1"/>
    <col min="7683" max="7683" width="21.36328125" style="66" customWidth="1"/>
    <col min="7684" max="7684" width="19.54296875" style="66" customWidth="1"/>
    <col min="7685" max="7685" width="17.6328125" style="66" customWidth="1"/>
    <col min="7686" max="7686" width="16" style="66" customWidth="1"/>
    <col min="7687" max="7687" width="17.6328125" style="66" customWidth="1"/>
    <col min="7688" max="7688" width="16" style="66" customWidth="1"/>
    <col min="7689" max="7936" width="9.08984375" style="66"/>
    <col min="7937" max="7937" width="0" style="66" hidden="1" customWidth="1"/>
    <col min="7938" max="7938" width="24.6328125" style="66" customWidth="1"/>
    <col min="7939" max="7939" width="21.36328125" style="66" customWidth="1"/>
    <col min="7940" max="7940" width="19.54296875" style="66" customWidth="1"/>
    <col min="7941" max="7941" width="17.6328125" style="66" customWidth="1"/>
    <col min="7942" max="7942" width="16" style="66" customWidth="1"/>
    <col min="7943" max="7943" width="17.6328125" style="66" customWidth="1"/>
    <col min="7944" max="7944" width="16" style="66" customWidth="1"/>
    <col min="7945" max="8192" width="9.08984375" style="66"/>
    <col min="8193" max="8193" width="0" style="66" hidden="1" customWidth="1"/>
    <col min="8194" max="8194" width="24.6328125" style="66" customWidth="1"/>
    <col min="8195" max="8195" width="21.36328125" style="66" customWidth="1"/>
    <col min="8196" max="8196" width="19.54296875" style="66" customWidth="1"/>
    <col min="8197" max="8197" width="17.6328125" style="66" customWidth="1"/>
    <col min="8198" max="8198" width="16" style="66" customWidth="1"/>
    <col min="8199" max="8199" width="17.6328125" style="66" customWidth="1"/>
    <col min="8200" max="8200" width="16" style="66" customWidth="1"/>
    <col min="8201" max="8448" width="9.08984375" style="66"/>
    <col min="8449" max="8449" width="0" style="66" hidden="1" customWidth="1"/>
    <col min="8450" max="8450" width="24.6328125" style="66" customWidth="1"/>
    <col min="8451" max="8451" width="21.36328125" style="66" customWidth="1"/>
    <col min="8452" max="8452" width="19.54296875" style="66" customWidth="1"/>
    <col min="8453" max="8453" width="17.6328125" style="66" customWidth="1"/>
    <col min="8454" max="8454" width="16" style="66" customWidth="1"/>
    <col min="8455" max="8455" width="17.6328125" style="66" customWidth="1"/>
    <col min="8456" max="8456" width="16" style="66" customWidth="1"/>
    <col min="8457" max="8704" width="9.08984375" style="66"/>
    <col min="8705" max="8705" width="0" style="66" hidden="1" customWidth="1"/>
    <col min="8706" max="8706" width="24.6328125" style="66" customWidth="1"/>
    <col min="8707" max="8707" width="21.36328125" style="66" customWidth="1"/>
    <col min="8708" max="8708" width="19.54296875" style="66" customWidth="1"/>
    <col min="8709" max="8709" width="17.6328125" style="66" customWidth="1"/>
    <col min="8710" max="8710" width="16" style="66" customWidth="1"/>
    <col min="8711" max="8711" width="17.6328125" style="66" customWidth="1"/>
    <col min="8712" max="8712" width="16" style="66" customWidth="1"/>
    <col min="8713" max="8960" width="9.08984375" style="66"/>
    <col min="8961" max="8961" width="0" style="66" hidden="1" customWidth="1"/>
    <col min="8962" max="8962" width="24.6328125" style="66" customWidth="1"/>
    <col min="8963" max="8963" width="21.36328125" style="66" customWidth="1"/>
    <col min="8964" max="8964" width="19.54296875" style="66" customWidth="1"/>
    <col min="8965" max="8965" width="17.6328125" style="66" customWidth="1"/>
    <col min="8966" max="8966" width="16" style="66" customWidth="1"/>
    <col min="8967" max="8967" width="17.6328125" style="66" customWidth="1"/>
    <col min="8968" max="8968" width="16" style="66" customWidth="1"/>
    <col min="8969" max="9216" width="9.08984375" style="66"/>
    <col min="9217" max="9217" width="0" style="66" hidden="1" customWidth="1"/>
    <col min="9218" max="9218" width="24.6328125" style="66" customWidth="1"/>
    <col min="9219" max="9219" width="21.36328125" style="66" customWidth="1"/>
    <col min="9220" max="9220" width="19.54296875" style="66" customWidth="1"/>
    <col min="9221" max="9221" width="17.6328125" style="66" customWidth="1"/>
    <col min="9222" max="9222" width="16" style="66" customWidth="1"/>
    <col min="9223" max="9223" width="17.6328125" style="66" customWidth="1"/>
    <col min="9224" max="9224" width="16" style="66" customWidth="1"/>
    <col min="9225" max="9472" width="9.08984375" style="66"/>
    <col min="9473" max="9473" width="0" style="66" hidden="1" customWidth="1"/>
    <col min="9474" max="9474" width="24.6328125" style="66" customWidth="1"/>
    <col min="9475" max="9475" width="21.36328125" style="66" customWidth="1"/>
    <col min="9476" max="9476" width="19.54296875" style="66" customWidth="1"/>
    <col min="9477" max="9477" width="17.6328125" style="66" customWidth="1"/>
    <col min="9478" max="9478" width="16" style="66" customWidth="1"/>
    <col min="9479" max="9479" width="17.6328125" style="66" customWidth="1"/>
    <col min="9480" max="9480" width="16" style="66" customWidth="1"/>
    <col min="9481" max="9728" width="9.08984375" style="66"/>
    <col min="9729" max="9729" width="0" style="66" hidden="1" customWidth="1"/>
    <col min="9730" max="9730" width="24.6328125" style="66" customWidth="1"/>
    <col min="9731" max="9731" width="21.36328125" style="66" customWidth="1"/>
    <col min="9732" max="9732" width="19.54296875" style="66" customWidth="1"/>
    <col min="9733" max="9733" width="17.6328125" style="66" customWidth="1"/>
    <col min="9734" max="9734" width="16" style="66" customWidth="1"/>
    <col min="9735" max="9735" width="17.6328125" style="66" customWidth="1"/>
    <col min="9736" max="9736" width="16" style="66" customWidth="1"/>
    <col min="9737" max="9984" width="9.08984375" style="66"/>
    <col min="9985" max="9985" width="0" style="66" hidden="1" customWidth="1"/>
    <col min="9986" max="9986" width="24.6328125" style="66" customWidth="1"/>
    <col min="9987" max="9987" width="21.36328125" style="66" customWidth="1"/>
    <col min="9988" max="9988" width="19.54296875" style="66" customWidth="1"/>
    <col min="9989" max="9989" width="17.6328125" style="66" customWidth="1"/>
    <col min="9990" max="9990" width="16" style="66" customWidth="1"/>
    <col min="9991" max="9991" width="17.6328125" style="66" customWidth="1"/>
    <col min="9992" max="9992" width="16" style="66" customWidth="1"/>
    <col min="9993" max="10240" width="9.08984375" style="66"/>
    <col min="10241" max="10241" width="0" style="66" hidden="1" customWidth="1"/>
    <col min="10242" max="10242" width="24.6328125" style="66" customWidth="1"/>
    <col min="10243" max="10243" width="21.36328125" style="66" customWidth="1"/>
    <col min="10244" max="10244" width="19.54296875" style="66" customWidth="1"/>
    <col min="10245" max="10245" width="17.6328125" style="66" customWidth="1"/>
    <col min="10246" max="10246" width="16" style="66" customWidth="1"/>
    <col min="10247" max="10247" width="17.6328125" style="66" customWidth="1"/>
    <col min="10248" max="10248" width="16" style="66" customWidth="1"/>
    <col min="10249" max="10496" width="9.08984375" style="66"/>
    <col min="10497" max="10497" width="0" style="66" hidden="1" customWidth="1"/>
    <col min="10498" max="10498" width="24.6328125" style="66" customWidth="1"/>
    <col min="10499" max="10499" width="21.36328125" style="66" customWidth="1"/>
    <col min="10500" max="10500" width="19.54296875" style="66" customWidth="1"/>
    <col min="10501" max="10501" width="17.6328125" style="66" customWidth="1"/>
    <col min="10502" max="10502" width="16" style="66" customWidth="1"/>
    <col min="10503" max="10503" width="17.6328125" style="66" customWidth="1"/>
    <col min="10504" max="10504" width="16" style="66" customWidth="1"/>
    <col min="10505" max="10752" width="9.08984375" style="66"/>
    <col min="10753" max="10753" width="0" style="66" hidden="1" customWidth="1"/>
    <col min="10754" max="10754" width="24.6328125" style="66" customWidth="1"/>
    <col min="10755" max="10755" width="21.36328125" style="66" customWidth="1"/>
    <col min="10756" max="10756" width="19.54296875" style="66" customWidth="1"/>
    <col min="10757" max="10757" width="17.6328125" style="66" customWidth="1"/>
    <col min="10758" max="10758" width="16" style="66" customWidth="1"/>
    <col min="10759" max="10759" width="17.6328125" style="66" customWidth="1"/>
    <col min="10760" max="10760" width="16" style="66" customWidth="1"/>
    <col min="10761" max="11008" width="9.08984375" style="66"/>
    <col min="11009" max="11009" width="0" style="66" hidden="1" customWidth="1"/>
    <col min="11010" max="11010" width="24.6328125" style="66" customWidth="1"/>
    <col min="11011" max="11011" width="21.36328125" style="66" customWidth="1"/>
    <col min="11012" max="11012" width="19.54296875" style="66" customWidth="1"/>
    <col min="11013" max="11013" width="17.6328125" style="66" customWidth="1"/>
    <col min="11014" max="11014" width="16" style="66" customWidth="1"/>
    <col min="11015" max="11015" width="17.6328125" style="66" customWidth="1"/>
    <col min="11016" max="11016" width="16" style="66" customWidth="1"/>
    <col min="11017" max="11264" width="9.08984375" style="66"/>
    <col min="11265" max="11265" width="0" style="66" hidden="1" customWidth="1"/>
    <col min="11266" max="11266" width="24.6328125" style="66" customWidth="1"/>
    <col min="11267" max="11267" width="21.36328125" style="66" customWidth="1"/>
    <col min="11268" max="11268" width="19.54296875" style="66" customWidth="1"/>
    <col min="11269" max="11269" width="17.6328125" style="66" customWidth="1"/>
    <col min="11270" max="11270" width="16" style="66" customWidth="1"/>
    <col min="11271" max="11271" width="17.6328125" style="66" customWidth="1"/>
    <col min="11272" max="11272" width="16" style="66" customWidth="1"/>
    <col min="11273" max="11520" width="9.08984375" style="66"/>
    <col min="11521" max="11521" width="0" style="66" hidden="1" customWidth="1"/>
    <col min="11522" max="11522" width="24.6328125" style="66" customWidth="1"/>
    <col min="11523" max="11523" width="21.36328125" style="66" customWidth="1"/>
    <col min="11524" max="11524" width="19.54296875" style="66" customWidth="1"/>
    <col min="11525" max="11525" width="17.6328125" style="66" customWidth="1"/>
    <col min="11526" max="11526" width="16" style="66" customWidth="1"/>
    <col min="11527" max="11527" width="17.6328125" style="66" customWidth="1"/>
    <col min="11528" max="11528" width="16" style="66" customWidth="1"/>
    <col min="11529" max="11776" width="9.08984375" style="66"/>
    <col min="11777" max="11777" width="0" style="66" hidden="1" customWidth="1"/>
    <col min="11778" max="11778" width="24.6328125" style="66" customWidth="1"/>
    <col min="11779" max="11779" width="21.36328125" style="66" customWidth="1"/>
    <col min="11780" max="11780" width="19.54296875" style="66" customWidth="1"/>
    <col min="11781" max="11781" width="17.6328125" style="66" customWidth="1"/>
    <col min="11782" max="11782" width="16" style="66" customWidth="1"/>
    <col min="11783" max="11783" width="17.6328125" style="66" customWidth="1"/>
    <col min="11784" max="11784" width="16" style="66" customWidth="1"/>
    <col min="11785" max="12032" width="9.08984375" style="66"/>
    <col min="12033" max="12033" width="0" style="66" hidden="1" customWidth="1"/>
    <col min="12034" max="12034" width="24.6328125" style="66" customWidth="1"/>
    <col min="12035" max="12035" width="21.36328125" style="66" customWidth="1"/>
    <col min="12036" max="12036" width="19.54296875" style="66" customWidth="1"/>
    <col min="12037" max="12037" width="17.6328125" style="66" customWidth="1"/>
    <col min="12038" max="12038" width="16" style="66" customWidth="1"/>
    <col min="12039" max="12039" width="17.6328125" style="66" customWidth="1"/>
    <col min="12040" max="12040" width="16" style="66" customWidth="1"/>
    <col min="12041" max="12288" width="9.08984375" style="66"/>
    <col min="12289" max="12289" width="0" style="66" hidden="1" customWidth="1"/>
    <col min="12290" max="12290" width="24.6328125" style="66" customWidth="1"/>
    <col min="12291" max="12291" width="21.36328125" style="66" customWidth="1"/>
    <col min="12292" max="12292" width="19.54296875" style="66" customWidth="1"/>
    <col min="12293" max="12293" width="17.6328125" style="66" customWidth="1"/>
    <col min="12294" max="12294" width="16" style="66" customWidth="1"/>
    <col min="12295" max="12295" width="17.6328125" style="66" customWidth="1"/>
    <col min="12296" max="12296" width="16" style="66" customWidth="1"/>
    <col min="12297" max="12544" width="9.08984375" style="66"/>
    <col min="12545" max="12545" width="0" style="66" hidden="1" customWidth="1"/>
    <col min="12546" max="12546" width="24.6328125" style="66" customWidth="1"/>
    <col min="12547" max="12547" width="21.36328125" style="66" customWidth="1"/>
    <col min="12548" max="12548" width="19.54296875" style="66" customWidth="1"/>
    <col min="12549" max="12549" width="17.6328125" style="66" customWidth="1"/>
    <col min="12550" max="12550" width="16" style="66" customWidth="1"/>
    <col min="12551" max="12551" width="17.6328125" style="66" customWidth="1"/>
    <col min="12552" max="12552" width="16" style="66" customWidth="1"/>
    <col min="12553" max="12800" width="9.08984375" style="66"/>
    <col min="12801" max="12801" width="0" style="66" hidden="1" customWidth="1"/>
    <col min="12802" max="12802" width="24.6328125" style="66" customWidth="1"/>
    <col min="12803" max="12803" width="21.36328125" style="66" customWidth="1"/>
    <col min="12804" max="12804" width="19.54296875" style="66" customWidth="1"/>
    <col min="12805" max="12805" width="17.6328125" style="66" customWidth="1"/>
    <col min="12806" max="12806" width="16" style="66" customWidth="1"/>
    <col min="12807" max="12807" width="17.6328125" style="66" customWidth="1"/>
    <col min="12808" max="12808" width="16" style="66" customWidth="1"/>
    <col min="12809" max="13056" width="9.08984375" style="66"/>
    <col min="13057" max="13057" width="0" style="66" hidden="1" customWidth="1"/>
    <col min="13058" max="13058" width="24.6328125" style="66" customWidth="1"/>
    <col min="13059" max="13059" width="21.36328125" style="66" customWidth="1"/>
    <col min="13060" max="13060" width="19.54296875" style="66" customWidth="1"/>
    <col min="13061" max="13061" width="17.6328125" style="66" customWidth="1"/>
    <col min="13062" max="13062" width="16" style="66" customWidth="1"/>
    <col min="13063" max="13063" width="17.6328125" style="66" customWidth="1"/>
    <col min="13064" max="13064" width="16" style="66" customWidth="1"/>
    <col min="13065" max="13312" width="9.08984375" style="66"/>
    <col min="13313" max="13313" width="0" style="66" hidden="1" customWidth="1"/>
    <col min="13314" max="13314" width="24.6328125" style="66" customWidth="1"/>
    <col min="13315" max="13315" width="21.36328125" style="66" customWidth="1"/>
    <col min="13316" max="13316" width="19.54296875" style="66" customWidth="1"/>
    <col min="13317" max="13317" width="17.6328125" style="66" customWidth="1"/>
    <col min="13318" max="13318" width="16" style="66" customWidth="1"/>
    <col min="13319" max="13319" width="17.6328125" style="66" customWidth="1"/>
    <col min="13320" max="13320" width="16" style="66" customWidth="1"/>
    <col min="13321" max="13568" width="9.08984375" style="66"/>
    <col min="13569" max="13569" width="0" style="66" hidden="1" customWidth="1"/>
    <col min="13570" max="13570" width="24.6328125" style="66" customWidth="1"/>
    <col min="13571" max="13571" width="21.36328125" style="66" customWidth="1"/>
    <col min="13572" max="13572" width="19.54296875" style="66" customWidth="1"/>
    <col min="13573" max="13573" width="17.6328125" style="66" customWidth="1"/>
    <col min="13574" max="13574" width="16" style="66" customWidth="1"/>
    <col min="13575" max="13575" width="17.6328125" style="66" customWidth="1"/>
    <col min="13576" max="13576" width="16" style="66" customWidth="1"/>
    <col min="13577" max="13824" width="9.08984375" style="66"/>
    <col min="13825" max="13825" width="0" style="66" hidden="1" customWidth="1"/>
    <col min="13826" max="13826" width="24.6328125" style="66" customWidth="1"/>
    <col min="13827" max="13827" width="21.36328125" style="66" customWidth="1"/>
    <col min="13828" max="13828" width="19.54296875" style="66" customWidth="1"/>
    <col min="13829" max="13829" width="17.6328125" style="66" customWidth="1"/>
    <col min="13830" max="13830" width="16" style="66" customWidth="1"/>
    <col min="13831" max="13831" width="17.6328125" style="66" customWidth="1"/>
    <col min="13832" max="13832" width="16" style="66" customWidth="1"/>
    <col min="13833" max="14080" width="9.08984375" style="66"/>
    <col min="14081" max="14081" width="0" style="66" hidden="1" customWidth="1"/>
    <col min="14082" max="14082" width="24.6328125" style="66" customWidth="1"/>
    <col min="14083" max="14083" width="21.36328125" style="66" customWidth="1"/>
    <col min="14084" max="14084" width="19.54296875" style="66" customWidth="1"/>
    <col min="14085" max="14085" width="17.6328125" style="66" customWidth="1"/>
    <col min="14086" max="14086" width="16" style="66" customWidth="1"/>
    <col min="14087" max="14087" width="17.6328125" style="66" customWidth="1"/>
    <col min="14088" max="14088" width="16" style="66" customWidth="1"/>
    <col min="14089" max="14336" width="9.08984375" style="66"/>
    <col min="14337" max="14337" width="0" style="66" hidden="1" customWidth="1"/>
    <col min="14338" max="14338" width="24.6328125" style="66" customWidth="1"/>
    <col min="14339" max="14339" width="21.36328125" style="66" customWidth="1"/>
    <col min="14340" max="14340" width="19.54296875" style="66" customWidth="1"/>
    <col min="14341" max="14341" width="17.6328125" style="66" customWidth="1"/>
    <col min="14342" max="14342" width="16" style="66" customWidth="1"/>
    <col min="14343" max="14343" width="17.6328125" style="66" customWidth="1"/>
    <col min="14344" max="14344" width="16" style="66" customWidth="1"/>
    <col min="14345" max="14592" width="9.08984375" style="66"/>
    <col min="14593" max="14593" width="0" style="66" hidden="1" customWidth="1"/>
    <col min="14594" max="14594" width="24.6328125" style="66" customWidth="1"/>
    <col min="14595" max="14595" width="21.36328125" style="66" customWidth="1"/>
    <col min="14596" max="14596" width="19.54296875" style="66" customWidth="1"/>
    <col min="14597" max="14597" width="17.6328125" style="66" customWidth="1"/>
    <col min="14598" max="14598" width="16" style="66" customWidth="1"/>
    <col min="14599" max="14599" width="17.6328125" style="66" customWidth="1"/>
    <col min="14600" max="14600" width="16" style="66" customWidth="1"/>
    <col min="14601" max="14848" width="9.08984375" style="66"/>
    <col min="14849" max="14849" width="0" style="66" hidden="1" customWidth="1"/>
    <col min="14850" max="14850" width="24.6328125" style="66" customWidth="1"/>
    <col min="14851" max="14851" width="21.36328125" style="66" customWidth="1"/>
    <col min="14852" max="14852" width="19.54296875" style="66" customWidth="1"/>
    <col min="14853" max="14853" width="17.6328125" style="66" customWidth="1"/>
    <col min="14854" max="14854" width="16" style="66" customWidth="1"/>
    <col min="14855" max="14855" width="17.6328125" style="66" customWidth="1"/>
    <col min="14856" max="14856" width="16" style="66" customWidth="1"/>
    <col min="14857" max="15104" width="9.08984375" style="66"/>
    <col min="15105" max="15105" width="0" style="66" hidden="1" customWidth="1"/>
    <col min="15106" max="15106" width="24.6328125" style="66" customWidth="1"/>
    <col min="15107" max="15107" width="21.36328125" style="66" customWidth="1"/>
    <col min="15108" max="15108" width="19.54296875" style="66" customWidth="1"/>
    <col min="15109" max="15109" width="17.6328125" style="66" customWidth="1"/>
    <col min="15110" max="15110" width="16" style="66" customWidth="1"/>
    <col min="15111" max="15111" width="17.6328125" style="66" customWidth="1"/>
    <col min="15112" max="15112" width="16" style="66" customWidth="1"/>
    <col min="15113" max="15360" width="9.08984375" style="66"/>
    <col min="15361" max="15361" width="0" style="66" hidden="1" customWidth="1"/>
    <col min="15362" max="15362" width="24.6328125" style="66" customWidth="1"/>
    <col min="15363" max="15363" width="21.36328125" style="66" customWidth="1"/>
    <col min="15364" max="15364" width="19.54296875" style="66" customWidth="1"/>
    <col min="15365" max="15365" width="17.6328125" style="66" customWidth="1"/>
    <col min="15366" max="15366" width="16" style="66" customWidth="1"/>
    <col min="15367" max="15367" width="17.6328125" style="66" customWidth="1"/>
    <col min="15368" max="15368" width="16" style="66" customWidth="1"/>
    <col min="15369" max="15616" width="9.08984375" style="66"/>
    <col min="15617" max="15617" width="0" style="66" hidden="1" customWidth="1"/>
    <col min="15618" max="15618" width="24.6328125" style="66" customWidth="1"/>
    <col min="15619" max="15619" width="21.36328125" style="66" customWidth="1"/>
    <col min="15620" max="15620" width="19.54296875" style="66" customWidth="1"/>
    <col min="15621" max="15621" width="17.6328125" style="66" customWidth="1"/>
    <col min="15622" max="15622" width="16" style="66" customWidth="1"/>
    <col min="15623" max="15623" width="17.6328125" style="66" customWidth="1"/>
    <col min="15624" max="15624" width="16" style="66" customWidth="1"/>
    <col min="15625" max="15872" width="9.08984375" style="66"/>
    <col min="15873" max="15873" width="0" style="66" hidden="1" customWidth="1"/>
    <col min="15874" max="15874" width="24.6328125" style="66" customWidth="1"/>
    <col min="15875" max="15875" width="21.36328125" style="66" customWidth="1"/>
    <col min="15876" max="15876" width="19.54296875" style="66" customWidth="1"/>
    <col min="15877" max="15877" width="17.6328125" style="66" customWidth="1"/>
    <col min="15878" max="15878" width="16" style="66" customWidth="1"/>
    <col min="15879" max="15879" width="17.6328125" style="66" customWidth="1"/>
    <col min="15880" max="15880" width="16" style="66" customWidth="1"/>
    <col min="15881" max="16128" width="9.08984375" style="66"/>
    <col min="16129" max="16129" width="0" style="66" hidden="1" customWidth="1"/>
    <col min="16130" max="16130" width="24.6328125" style="66" customWidth="1"/>
    <col min="16131" max="16131" width="21.36328125" style="66" customWidth="1"/>
    <col min="16132" max="16132" width="19.54296875" style="66" customWidth="1"/>
    <col min="16133" max="16133" width="17.6328125" style="66" customWidth="1"/>
    <col min="16134" max="16134" width="16" style="66" customWidth="1"/>
    <col min="16135" max="16135" width="17.6328125" style="66" customWidth="1"/>
    <col min="16136" max="16136" width="16" style="66" customWidth="1"/>
    <col min="16137" max="16384" width="9.08984375" style="66"/>
  </cols>
  <sheetData>
    <row r="1" spans="1:16" ht="33.75" customHeight="1" x14ac:dyDescent="0.35">
      <c r="B1" s="115" t="s">
        <v>93</v>
      </c>
      <c r="C1" s="116"/>
      <c r="D1" s="116"/>
      <c r="E1" s="116"/>
      <c r="F1" s="116"/>
      <c r="G1" s="116"/>
      <c r="H1" s="117"/>
    </row>
    <row r="2" spans="1:16" s="67" customFormat="1" ht="39.75" customHeight="1" x14ac:dyDescent="0.35">
      <c r="B2" s="68"/>
      <c r="C2" s="109" t="s">
        <v>67</v>
      </c>
      <c r="D2" s="109"/>
      <c r="E2" s="110" t="s">
        <v>68</v>
      </c>
      <c r="F2" s="110"/>
      <c r="G2" s="110" t="s">
        <v>69</v>
      </c>
      <c r="H2" s="110"/>
    </row>
    <row r="3" spans="1:16" ht="42.75" customHeight="1" x14ac:dyDescent="0.35">
      <c r="B3" s="69"/>
      <c r="C3" s="70" t="s">
        <v>70</v>
      </c>
      <c r="D3" s="70" t="s">
        <v>71</v>
      </c>
      <c r="E3" s="70" t="s">
        <v>70</v>
      </c>
      <c r="F3" s="70" t="s">
        <v>71</v>
      </c>
      <c r="G3" s="70" t="s">
        <v>70</v>
      </c>
      <c r="H3" s="70" t="s">
        <v>71</v>
      </c>
    </row>
    <row r="4" spans="1:16" ht="18" hidden="1" customHeight="1" x14ac:dyDescent="0.35">
      <c r="C4" s="71" t="s">
        <v>72</v>
      </c>
      <c r="D4" s="71" t="s">
        <v>72</v>
      </c>
      <c r="E4" s="71" t="s">
        <v>73</v>
      </c>
      <c r="F4" s="71" t="s">
        <v>73</v>
      </c>
      <c r="G4" s="71" t="s">
        <v>74</v>
      </c>
      <c r="H4" s="71" t="s">
        <v>74</v>
      </c>
    </row>
    <row r="5" spans="1:16" ht="15.75" hidden="1" customHeight="1" x14ac:dyDescent="0.35">
      <c r="C5" s="71" t="s">
        <v>75</v>
      </c>
      <c r="D5" s="71" t="s">
        <v>76</v>
      </c>
      <c r="E5" s="71" t="s">
        <v>75</v>
      </c>
      <c r="F5" s="71" t="s">
        <v>76</v>
      </c>
      <c r="G5" s="71" t="s">
        <v>75</v>
      </c>
      <c r="H5" s="71" t="s">
        <v>76</v>
      </c>
    </row>
    <row r="6" spans="1:16" ht="26.25" customHeight="1" x14ac:dyDescent="0.35">
      <c r="B6" s="72" t="s">
        <v>77</v>
      </c>
      <c r="C6" s="73">
        <v>149739</v>
      </c>
      <c r="D6" s="73">
        <v>647563.3833333333</v>
      </c>
      <c r="E6" s="73">
        <v>24285.5</v>
      </c>
      <c r="F6" s="73">
        <v>257186.18333333335</v>
      </c>
      <c r="G6" s="73">
        <v>23971</v>
      </c>
      <c r="H6" s="73">
        <v>140190.4266666667</v>
      </c>
      <c r="J6" s="74"/>
      <c r="K6" s="74"/>
      <c r="L6" s="74"/>
      <c r="M6" s="74"/>
      <c r="N6" s="74"/>
      <c r="O6" s="74"/>
      <c r="P6" s="74"/>
    </row>
    <row r="7" spans="1:16" s="75" customFormat="1" ht="26.25" customHeight="1" x14ac:dyDescent="0.35">
      <c r="A7" s="26"/>
      <c r="B7" s="75" t="s">
        <v>52</v>
      </c>
      <c r="C7" s="76">
        <v>116898</v>
      </c>
      <c r="D7" s="76">
        <v>432378.38333333336</v>
      </c>
      <c r="E7" s="76">
        <v>10991.5</v>
      </c>
      <c r="F7" s="76">
        <v>134726.18333333335</v>
      </c>
      <c r="G7" s="76">
        <v>16256</v>
      </c>
      <c r="H7" s="76">
        <v>81408.426666666681</v>
      </c>
      <c r="J7" s="74"/>
      <c r="K7" s="74"/>
      <c r="L7" s="74"/>
      <c r="M7" s="74"/>
      <c r="N7" s="74"/>
      <c r="O7" s="74"/>
    </row>
    <row r="8" spans="1:16" x14ac:dyDescent="0.35">
      <c r="A8" s="27">
        <v>51</v>
      </c>
      <c r="B8" s="66" t="s">
        <v>5</v>
      </c>
      <c r="C8" s="77">
        <v>2899</v>
      </c>
      <c r="D8" s="77">
        <v>1979.5</v>
      </c>
      <c r="E8" s="77">
        <v>132</v>
      </c>
      <c r="F8" s="77">
        <v>660</v>
      </c>
      <c r="G8" s="77">
        <v>207</v>
      </c>
      <c r="H8" s="77">
        <v>355.25</v>
      </c>
      <c r="J8" s="74"/>
      <c r="K8" s="74"/>
      <c r="L8" s="74"/>
      <c r="M8" s="74"/>
      <c r="N8" s="74"/>
      <c r="O8" s="74"/>
    </row>
    <row r="9" spans="1:16" x14ac:dyDescent="0.35">
      <c r="A9" s="27">
        <v>52</v>
      </c>
      <c r="B9" s="66" t="s">
        <v>6</v>
      </c>
      <c r="C9" s="77">
        <v>840</v>
      </c>
      <c r="D9" s="77">
        <v>5279</v>
      </c>
      <c r="E9" s="90" t="s">
        <v>117</v>
      </c>
      <c r="F9" s="90" t="s">
        <v>117</v>
      </c>
      <c r="G9" s="90" t="s">
        <v>117</v>
      </c>
      <c r="H9" s="90" t="s">
        <v>117</v>
      </c>
      <c r="J9" s="74"/>
      <c r="K9" s="74"/>
      <c r="L9" s="74"/>
      <c r="M9" s="74"/>
      <c r="N9" s="74"/>
      <c r="O9" s="74"/>
    </row>
    <row r="10" spans="1:16" x14ac:dyDescent="0.35">
      <c r="A10" s="27">
        <v>86</v>
      </c>
      <c r="B10" s="66" t="s">
        <v>7</v>
      </c>
      <c r="C10" s="77">
        <v>1524</v>
      </c>
      <c r="D10" s="77">
        <v>7917</v>
      </c>
      <c r="E10" s="77">
        <v>318</v>
      </c>
      <c r="F10" s="77">
        <v>0</v>
      </c>
      <c r="G10" s="77">
        <v>1206</v>
      </c>
      <c r="H10" s="77">
        <v>6290</v>
      </c>
      <c r="J10" s="74"/>
      <c r="K10" s="74"/>
      <c r="L10" s="74"/>
      <c r="M10" s="74"/>
      <c r="N10" s="74"/>
      <c r="O10" s="74"/>
    </row>
    <row r="11" spans="1:16" x14ac:dyDescent="0.35">
      <c r="A11" s="27">
        <v>53</v>
      </c>
      <c r="B11" s="66" t="s">
        <v>8</v>
      </c>
      <c r="C11" s="77">
        <v>833</v>
      </c>
      <c r="D11" s="77">
        <v>5186</v>
      </c>
      <c r="E11" s="77">
        <v>57</v>
      </c>
      <c r="F11" s="77">
        <v>340</v>
      </c>
      <c r="G11" s="77">
        <v>208</v>
      </c>
      <c r="H11" s="77">
        <v>1043</v>
      </c>
      <c r="J11" s="74"/>
      <c r="K11" s="74"/>
      <c r="L11" s="74"/>
      <c r="M11" s="74"/>
      <c r="N11" s="74"/>
      <c r="O11" s="74"/>
    </row>
    <row r="12" spans="1:16" x14ac:dyDescent="0.35">
      <c r="A12" s="27">
        <v>54</v>
      </c>
      <c r="B12" s="66" t="s">
        <v>9</v>
      </c>
      <c r="C12" s="77">
        <v>1688</v>
      </c>
      <c r="D12" s="77">
        <v>3519</v>
      </c>
      <c r="E12" s="77">
        <v>21</v>
      </c>
      <c r="F12" s="77">
        <v>95</v>
      </c>
      <c r="G12" s="90" t="s">
        <v>117</v>
      </c>
      <c r="H12" s="90" t="s">
        <v>117</v>
      </c>
      <c r="J12" s="74"/>
      <c r="K12" s="74"/>
      <c r="L12" s="74"/>
      <c r="M12" s="74"/>
      <c r="N12" s="74"/>
      <c r="O12" s="74"/>
    </row>
    <row r="13" spans="1:16" x14ac:dyDescent="0.35">
      <c r="A13" s="27">
        <v>55</v>
      </c>
      <c r="B13" s="66" t="s">
        <v>10</v>
      </c>
      <c r="C13" s="77">
        <v>1281</v>
      </c>
      <c r="D13" s="77">
        <v>30219</v>
      </c>
      <c r="E13" s="77">
        <v>84</v>
      </c>
      <c r="F13" s="77">
        <v>18296</v>
      </c>
      <c r="G13" s="77">
        <v>587</v>
      </c>
      <c r="H13" s="77">
        <v>2274</v>
      </c>
      <c r="J13" s="74"/>
      <c r="K13" s="74"/>
      <c r="L13" s="74"/>
      <c r="M13" s="74"/>
      <c r="N13" s="74"/>
      <c r="O13" s="74"/>
    </row>
    <row r="14" spans="1:16" x14ac:dyDescent="0.35">
      <c r="A14" s="27">
        <v>56</v>
      </c>
      <c r="B14" s="66" t="s">
        <v>11</v>
      </c>
      <c r="C14" s="77">
        <v>1755</v>
      </c>
      <c r="D14" s="77">
        <v>10520</v>
      </c>
      <c r="E14" s="77">
        <v>1755</v>
      </c>
      <c r="F14" s="77">
        <v>8667</v>
      </c>
      <c r="G14" s="90" t="s">
        <v>117</v>
      </c>
      <c r="H14" s="90" t="s">
        <v>117</v>
      </c>
      <c r="J14" s="74"/>
      <c r="K14" s="74"/>
      <c r="L14" s="74"/>
      <c r="M14" s="74"/>
      <c r="N14" s="74"/>
      <c r="O14" s="74"/>
    </row>
    <row r="15" spans="1:16" x14ac:dyDescent="0.35">
      <c r="A15" s="27">
        <v>57</v>
      </c>
      <c r="B15" s="66" t="s">
        <v>12</v>
      </c>
      <c r="C15" s="77">
        <v>471</v>
      </c>
      <c r="D15" s="77">
        <v>8349</v>
      </c>
      <c r="E15" s="77">
        <v>35</v>
      </c>
      <c r="F15" s="90" t="s">
        <v>117</v>
      </c>
      <c r="G15" s="77">
        <v>436</v>
      </c>
      <c r="H15" s="77">
        <v>2117</v>
      </c>
      <c r="J15" s="74"/>
      <c r="K15" s="74"/>
      <c r="L15" s="74"/>
      <c r="M15" s="74"/>
      <c r="N15" s="74"/>
      <c r="O15" s="74"/>
    </row>
    <row r="16" spans="1:16" x14ac:dyDescent="0.35">
      <c r="A16" s="27">
        <v>59</v>
      </c>
      <c r="B16" s="66" t="s">
        <v>13</v>
      </c>
      <c r="C16" s="77">
        <v>2491</v>
      </c>
      <c r="D16" s="77">
        <v>4897</v>
      </c>
      <c r="E16" s="90" t="s">
        <v>117</v>
      </c>
      <c r="F16" s="90" t="s">
        <v>117</v>
      </c>
      <c r="G16" s="90" t="s">
        <v>117</v>
      </c>
      <c r="H16" s="90" t="s">
        <v>117</v>
      </c>
      <c r="J16" s="74"/>
      <c r="K16" s="74"/>
      <c r="L16" s="74"/>
      <c r="M16" s="74"/>
      <c r="N16" s="74"/>
      <c r="O16" s="74"/>
    </row>
    <row r="17" spans="1:15" x14ac:dyDescent="0.35">
      <c r="A17" s="27">
        <v>60</v>
      </c>
      <c r="B17" s="66" t="s">
        <v>14</v>
      </c>
      <c r="C17" s="77">
        <v>37597</v>
      </c>
      <c r="D17" s="77">
        <v>3479</v>
      </c>
      <c r="E17" s="77">
        <v>0</v>
      </c>
      <c r="F17" s="77">
        <v>2823</v>
      </c>
      <c r="G17" s="90" t="s">
        <v>117</v>
      </c>
      <c r="H17" s="90" t="s">
        <v>117</v>
      </c>
      <c r="J17" s="74"/>
      <c r="K17" s="74"/>
      <c r="L17" s="74"/>
      <c r="M17" s="74"/>
      <c r="N17" s="74"/>
      <c r="O17" s="74"/>
    </row>
    <row r="18" spans="1:15" x14ac:dyDescent="0.35">
      <c r="A18" s="27">
        <v>61</v>
      </c>
      <c r="B18" s="78" t="s">
        <v>53</v>
      </c>
      <c r="C18" s="77">
        <v>3394</v>
      </c>
      <c r="D18" s="77">
        <v>10785</v>
      </c>
      <c r="E18" s="77">
        <v>305</v>
      </c>
      <c r="F18" s="77">
        <v>959</v>
      </c>
      <c r="G18" s="77">
        <v>1611</v>
      </c>
      <c r="H18" s="77">
        <v>3603</v>
      </c>
      <c r="J18" s="74"/>
      <c r="K18" s="74"/>
      <c r="L18" s="74"/>
      <c r="M18" s="74"/>
      <c r="N18" s="74"/>
      <c r="O18" s="74"/>
    </row>
    <row r="19" spans="1:15" x14ac:dyDescent="0.35">
      <c r="A19" s="27"/>
      <c r="B19" s="78" t="s">
        <v>131</v>
      </c>
      <c r="C19" s="77" t="s">
        <v>132</v>
      </c>
      <c r="D19" s="77" t="s">
        <v>132</v>
      </c>
      <c r="E19" s="77" t="s">
        <v>132</v>
      </c>
      <c r="F19" s="77" t="s">
        <v>132</v>
      </c>
      <c r="G19" s="77" t="s">
        <v>132</v>
      </c>
      <c r="H19" s="77" t="s">
        <v>132</v>
      </c>
      <c r="J19" s="74"/>
      <c r="K19" s="74"/>
      <c r="L19" s="74"/>
      <c r="M19" s="74"/>
      <c r="N19" s="74"/>
      <c r="O19" s="74"/>
    </row>
    <row r="20" spans="1:15" x14ac:dyDescent="0.35">
      <c r="A20" s="27">
        <v>62</v>
      </c>
      <c r="B20" s="66" t="s">
        <v>16</v>
      </c>
      <c r="C20" s="77">
        <v>998</v>
      </c>
      <c r="D20" s="77">
        <v>13448</v>
      </c>
      <c r="E20" s="77">
        <v>94</v>
      </c>
      <c r="F20" s="77">
        <v>9758</v>
      </c>
      <c r="G20" s="77">
        <v>152</v>
      </c>
      <c r="H20" s="77">
        <v>548</v>
      </c>
      <c r="J20" s="74"/>
      <c r="K20" s="74"/>
      <c r="L20" s="74"/>
      <c r="M20" s="74"/>
      <c r="N20" s="74"/>
      <c r="O20" s="74"/>
    </row>
    <row r="21" spans="1:15" x14ac:dyDescent="0.35">
      <c r="A21" s="27">
        <v>58</v>
      </c>
      <c r="B21" s="66" t="s">
        <v>17</v>
      </c>
      <c r="C21" s="77">
        <v>443</v>
      </c>
      <c r="D21" s="77">
        <v>1593</v>
      </c>
      <c r="E21" s="77">
        <v>101</v>
      </c>
      <c r="F21" s="77">
        <v>419.25</v>
      </c>
      <c r="G21" s="77">
        <v>214</v>
      </c>
      <c r="H21" s="77">
        <v>841</v>
      </c>
      <c r="J21" s="74"/>
      <c r="K21" s="74"/>
      <c r="L21" s="74"/>
      <c r="M21" s="74"/>
      <c r="N21" s="74"/>
      <c r="O21" s="74"/>
    </row>
    <row r="22" spans="1:15" x14ac:dyDescent="0.35">
      <c r="A22" s="27">
        <v>63</v>
      </c>
      <c r="B22" s="66" t="s">
        <v>18</v>
      </c>
      <c r="C22" s="77">
        <v>1627</v>
      </c>
      <c r="D22" s="77">
        <v>10548.7</v>
      </c>
      <c r="E22" s="77">
        <v>68</v>
      </c>
      <c r="F22" s="77">
        <v>751</v>
      </c>
      <c r="G22" s="77">
        <v>172</v>
      </c>
      <c r="H22" s="77">
        <v>2090.1999999999998</v>
      </c>
      <c r="J22" s="74"/>
      <c r="K22" s="74"/>
      <c r="L22" s="74"/>
      <c r="M22" s="74"/>
      <c r="N22" s="74"/>
      <c r="O22" s="74"/>
    </row>
    <row r="23" spans="1:15" x14ac:dyDescent="0.35">
      <c r="A23" s="27">
        <v>64</v>
      </c>
      <c r="B23" s="66" t="s">
        <v>19</v>
      </c>
      <c r="C23" s="77">
        <v>1973</v>
      </c>
      <c r="D23" s="77">
        <v>15299</v>
      </c>
      <c r="E23" s="77">
        <v>128</v>
      </c>
      <c r="F23" s="77">
        <v>5247</v>
      </c>
      <c r="G23" s="77">
        <v>1308</v>
      </c>
      <c r="H23" s="77">
        <v>5122</v>
      </c>
      <c r="J23" s="74"/>
      <c r="K23" s="74"/>
      <c r="L23" s="74"/>
      <c r="M23" s="74"/>
      <c r="N23" s="74"/>
      <c r="O23" s="74"/>
    </row>
    <row r="24" spans="1:15" x14ac:dyDescent="0.35">
      <c r="A24" s="27">
        <v>65</v>
      </c>
      <c r="B24" s="66" t="s">
        <v>20</v>
      </c>
      <c r="C24" s="77">
        <v>1239</v>
      </c>
      <c r="D24" s="77">
        <v>5025</v>
      </c>
      <c r="E24" s="77">
        <v>17</v>
      </c>
      <c r="F24" s="77">
        <v>29.5</v>
      </c>
      <c r="G24" s="77">
        <v>557</v>
      </c>
      <c r="H24" s="77">
        <v>3122</v>
      </c>
      <c r="J24" s="74"/>
      <c r="K24" s="74"/>
      <c r="L24" s="74"/>
      <c r="M24" s="74"/>
      <c r="N24" s="74"/>
      <c r="O24" s="74"/>
    </row>
    <row r="25" spans="1:15" x14ac:dyDescent="0.35">
      <c r="A25" s="27">
        <v>67</v>
      </c>
      <c r="B25" s="66" t="s">
        <v>23</v>
      </c>
      <c r="C25" s="77">
        <v>2491</v>
      </c>
      <c r="D25" s="77">
        <v>22268</v>
      </c>
      <c r="E25" s="77">
        <v>865</v>
      </c>
      <c r="F25" s="77">
        <v>6818</v>
      </c>
      <c r="G25" s="77">
        <v>730</v>
      </c>
      <c r="H25" s="77">
        <v>8584</v>
      </c>
      <c r="J25" s="74"/>
      <c r="K25" s="74"/>
      <c r="L25" s="74"/>
      <c r="M25" s="74"/>
      <c r="N25" s="74"/>
      <c r="O25" s="74"/>
    </row>
    <row r="26" spans="1:15" x14ac:dyDescent="0.35">
      <c r="A26" s="27">
        <v>68</v>
      </c>
      <c r="B26" s="66" t="s">
        <v>54</v>
      </c>
      <c r="C26" s="77">
        <v>4256</v>
      </c>
      <c r="D26" s="77">
        <v>8727</v>
      </c>
      <c r="E26" s="77">
        <v>64</v>
      </c>
      <c r="F26" s="77">
        <v>324</v>
      </c>
      <c r="G26" s="77">
        <v>115</v>
      </c>
      <c r="H26" s="77">
        <v>475</v>
      </c>
      <c r="J26" s="74"/>
      <c r="K26" s="74"/>
      <c r="L26" s="74"/>
      <c r="M26" s="74"/>
      <c r="N26" s="74"/>
      <c r="O26" s="74"/>
    </row>
    <row r="27" spans="1:15" x14ac:dyDescent="0.35">
      <c r="A27" s="27">
        <v>69</v>
      </c>
      <c r="B27" s="66" t="s">
        <v>25</v>
      </c>
      <c r="C27" s="77">
        <v>5209</v>
      </c>
      <c r="D27" s="77">
        <v>45048</v>
      </c>
      <c r="E27" s="90" t="s">
        <v>117</v>
      </c>
      <c r="F27" s="90" t="s">
        <v>117</v>
      </c>
      <c r="G27" s="90" t="s">
        <v>117</v>
      </c>
      <c r="H27" s="90" t="s">
        <v>117</v>
      </c>
      <c r="J27" s="74"/>
      <c r="K27" s="74"/>
      <c r="L27" s="74"/>
      <c r="M27" s="74"/>
      <c r="N27" s="74"/>
      <c r="O27" s="74"/>
    </row>
    <row r="28" spans="1:15" x14ac:dyDescent="0.35">
      <c r="A28" s="27">
        <v>70</v>
      </c>
      <c r="B28" s="66" t="s">
        <v>26</v>
      </c>
      <c r="C28" s="77">
        <v>823</v>
      </c>
      <c r="D28" s="77">
        <v>3870</v>
      </c>
      <c r="E28" s="77">
        <v>202</v>
      </c>
      <c r="F28" s="77">
        <v>1849</v>
      </c>
      <c r="G28" s="77">
        <v>198</v>
      </c>
      <c r="H28" s="77">
        <v>555</v>
      </c>
      <c r="J28" s="74"/>
      <c r="K28" s="74"/>
      <c r="L28" s="74"/>
      <c r="M28" s="74"/>
      <c r="N28" s="74"/>
      <c r="O28" s="74"/>
    </row>
    <row r="29" spans="1:15" x14ac:dyDescent="0.35">
      <c r="A29" s="27">
        <v>71</v>
      </c>
      <c r="B29" s="66" t="s">
        <v>55</v>
      </c>
      <c r="C29" s="77">
        <v>123</v>
      </c>
      <c r="D29" s="77">
        <v>1083.5</v>
      </c>
      <c r="E29" s="77">
        <v>37</v>
      </c>
      <c r="F29" s="77">
        <v>915</v>
      </c>
      <c r="G29" s="77">
        <v>17</v>
      </c>
      <c r="H29" s="77">
        <v>30</v>
      </c>
      <c r="J29" s="74"/>
      <c r="K29" s="74"/>
      <c r="L29" s="74"/>
      <c r="M29" s="74"/>
      <c r="N29" s="74"/>
      <c r="O29" s="74"/>
    </row>
    <row r="30" spans="1:15" x14ac:dyDescent="0.35">
      <c r="A30" s="27">
        <v>73</v>
      </c>
      <c r="B30" s="66" t="s">
        <v>29</v>
      </c>
      <c r="C30" s="77">
        <v>4978</v>
      </c>
      <c r="D30" s="77">
        <v>26015</v>
      </c>
      <c r="E30" s="77">
        <v>788</v>
      </c>
      <c r="F30" s="77">
        <v>1415</v>
      </c>
      <c r="G30" s="77">
        <v>264</v>
      </c>
      <c r="H30" s="77">
        <v>2480</v>
      </c>
      <c r="J30" s="74"/>
      <c r="K30" s="74"/>
      <c r="L30" s="74"/>
      <c r="M30" s="74"/>
      <c r="N30" s="74"/>
      <c r="O30" s="74"/>
    </row>
    <row r="31" spans="1:15" x14ac:dyDescent="0.35">
      <c r="A31" s="27">
        <v>74</v>
      </c>
      <c r="B31" s="66" t="s">
        <v>30</v>
      </c>
      <c r="C31" s="77">
        <v>7139</v>
      </c>
      <c r="D31" s="77">
        <v>19207</v>
      </c>
      <c r="E31" s="77">
        <v>807</v>
      </c>
      <c r="F31" s="77">
        <v>2090</v>
      </c>
      <c r="G31" s="77">
        <v>1483</v>
      </c>
      <c r="H31" s="77">
        <v>4355</v>
      </c>
      <c r="J31" s="74"/>
      <c r="K31" s="74"/>
      <c r="L31" s="74"/>
      <c r="M31" s="74"/>
      <c r="N31" s="74"/>
      <c r="O31" s="74"/>
    </row>
    <row r="32" spans="1:15" x14ac:dyDescent="0.35">
      <c r="A32" s="27">
        <v>75</v>
      </c>
      <c r="B32" s="66" t="s">
        <v>31</v>
      </c>
      <c r="C32" s="77">
        <v>2433</v>
      </c>
      <c r="D32" s="77">
        <v>28696</v>
      </c>
      <c r="E32" s="77">
        <v>1125</v>
      </c>
      <c r="F32" s="77">
        <v>19452</v>
      </c>
      <c r="G32" s="77">
        <v>709</v>
      </c>
      <c r="H32" s="77">
        <v>4406</v>
      </c>
      <c r="J32" s="74"/>
      <c r="K32" s="74"/>
      <c r="L32" s="74"/>
      <c r="M32" s="74"/>
      <c r="N32" s="74"/>
      <c r="O32" s="74"/>
    </row>
    <row r="33" spans="1:15" x14ac:dyDescent="0.35">
      <c r="A33" s="27">
        <v>76</v>
      </c>
      <c r="B33" s="66" t="s">
        <v>32</v>
      </c>
      <c r="C33" s="77">
        <v>1350</v>
      </c>
      <c r="D33" s="77">
        <v>13716</v>
      </c>
      <c r="E33" s="77">
        <v>1203</v>
      </c>
      <c r="F33" s="77">
        <v>13203</v>
      </c>
      <c r="G33" s="77">
        <v>147</v>
      </c>
      <c r="H33" s="77">
        <v>513</v>
      </c>
      <c r="J33" s="74"/>
      <c r="K33" s="74"/>
      <c r="L33" s="74"/>
      <c r="M33" s="74"/>
      <c r="N33" s="74"/>
      <c r="O33" s="74"/>
    </row>
    <row r="34" spans="1:15" x14ac:dyDescent="0.35">
      <c r="A34" s="27">
        <v>79</v>
      </c>
      <c r="B34" s="66" t="s">
        <v>34</v>
      </c>
      <c r="C34" s="77">
        <v>433</v>
      </c>
      <c r="D34" s="77">
        <v>1605.2</v>
      </c>
      <c r="E34" s="77">
        <v>52</v>
      </c>
      <c r="F34" s="77">
        <v>90.5</v>
      </c>
      <c r="G34" s="77">
        <v>15</v>
      </c>
      <c r="H34" s="77">
        <v>33.4</v>
      </c>
      <c r="J34" s="74"/>
      <c r="K34" s="74"/>
      <c r="L34" s="74"/>
      <c r="M34" s="74"/>
      <c r="N34" s="74"/>
      <c r="O34" s="74"/>
    </row>
    <row r="35" spans="1:15" x14ac:dyDescent="0.35">
      <c r="A35" s="27">
        <v>80</v>
      </c>
      <c r="B35" s="66" t="s">
        <v>35</v>
      </c>
      <c r="C35" s="77">
        <v>2171</v>
      </c>
      <c r="D35" s="77">
        <v>8129</v>
      </c>
      <c r="E35" s="77">
        <v>330</v>
      </c>
      <c r="F35" s="77">
        <v>2707</v>
      </c>
      <c r="G35" s="77">
        <v>205</v>
      </c>
      <c r="H35" s="77">
        <v>701</v>
      </c>
      <c r="J35" s="74"/>
      <c r="K35" s="74"/>
      <c r="L35" s="74"/>
      <c r="M35" s="74"/>
      <c r="N35" s="74"/>
      <c r="O35" s="74"/>
    </row>
    <row r="36" spans="1:15" x14ac:dyDescent="0.35">
      <c r="A36" s="27">
        <v>81</v>
      </c>
      <c r="B36" s="66" t="s">
        <v>36</v>
      </c>
      <c r="C36" s="77">
        <v>1182</v>
      </c>
      <c r="D36" s="77">
        <v>7938</v>
      </c>
      <c r="E36" s="77">
        <v>107</v>
      </c>
      <c r="F36" s="77">
        <v>2741.1</v>
      </c>
      <c r="G36" s="77">
        <v>95</v>
      </c>
      <c r="H36" s="77">
        <v>498.16</v>
      </c>
      <c r="J36" s="74"/>
      <c r="K36" s="74"/>
      <c r="L36" s="74"/>
      <c r="M36" s="74"/>
      <c r="N36" s="74"/>
      <c r="O36" s="74"/>
    </row>
    <row r="37" spans="1:15" x14ac:dyDescent="0.35">
      <c r="A37" s="27">
        <v>83</v>
      </c>
      <c r="B37" s="66" t="s">
        <v>37</v>
      </c>
      <c r="C37" s="77">
        <v>4455</v>
      </c>
      <c r="D37" s="77">
        <v>23378</v>
      </c>
      <c r="E37" s="77">
        <v>1101</v>
      </c>
      <c r="F37" s="77">
        <v>19315</v>
      </c>
      <c r="G37" s="77">
        <v>191</v>
      </c>
      <c r="H37" s="77">
        <v>1030</v>
      </c>
      <c r="J37" s="74"/>
      <c r="K37" s="74"/>
      <c r="L37" s="74"/>
      <c r="M37" s="74"/>
      <c r="N37" s="74"/>
      <c r="O37" s="74"/>
    </row>
    <row r="38" spans="1:15" x14ac:dyDescent="0.35">
      <c r="A38" s="27">
        <v>84</v>
      </c>
      <c r="B38" s="66" t="s">
        <v>38</v>
      </c>
      <c r="C38" s="77">
        <v>4932</v>
      </c>
      <c r="D38" s="77">
        <v>22351</v>
      </c>
      <c r="E38" s="77">
        <v>335</v>
      </c>
      <c r="F38" s="77">
        <v>2063</v>
      </c>
      <c r="G38" s="77">
        <v>467</v>
      </c>
      <c r="H38" s="77">
        <v>4904</v>
      </c>
      <c r="J38" s="74"/>
      <c r="K38" s="74"/>
      <c r="L38" s="74"/>
      <c r="M38" s="74"/>
      <c r="N38" s="74"/>
      <c r="O38" s="74"/>
    </row>
    <row r="39" spans="1:15" x14ac:dyDescent="0.35">
      <c r="A39" s="27">
        <v>85</v>
      </c>
      <c r="B39" s="66" t="s">
        <v>39</v>
      </c>
      <c r="C39" s="77">
        <v>2503</v>
      </c>
      <c r="D39" s="77">
        <v>16568</v>
      </c>
      <c r="E39" s="77">
        <v>98</v>
      </c>
      <c r="F39" s="77">
        <v>1889</v>
      </c>
      <c r="G39" s="77">
        <v>547</v>
      </c>
      <c r="H39" s="77">
        <v>8413</v>
      </c>
      <c r="J39" s="74"/>
      <c r="K39" s="74"/>
      <c r="L39" s="74"/>
      <c r="M39" s="74"/>
      <c r="N39" s="74"/>
      <c r="O39" s="74"/>
    </row>
    <row r="40" spans="1:15" x14ac:dyDescent="0.35">
      <c r="A40" s="27">
        <v>87</v>
      </c>
      <c r="B40" s="66" t="s">
        <v>40</v>
      </c>
      <c r="C40" s="77">
        <v>886</v>
      </c>
      <c r="D40" s="77">
        <v>3486</v>
      </c>
      <c r="E40" s="77">
        <v>38</v>
      </c>
      <c r="F40" s="77">
        <v>228</v>
      </c>
      <c r="G40" s="77">
        <v>193</v>
      </c>
      <c r="H40" s="77">
        <v>579</v>
      </c>
      <c r="J40" s="74"/>
      <c r="K40" s="74"/>
      <c r="L40" s="74"/>
      <c r="M40" s="74"/>
      <c r="N40" s="74"/>
      <c r="O40" s="74"/>
    </row>
    <row r="41" spans="1:15" ht="14.5" x14ac:dyDescent="0.35">
      <c r="A41" s="27">
        <v>90</v>
      </c>
      <c r="B41" s="79" t="s">
        <v>78</v>
      </c>
      <c r="C41" s="80">
        <v>7039</v>
      </c>
      <c r="D41" s="80">
        <v>18493</v>
      </c>
      <c r="E41" s="90" t="s">
        <v>117</v>
      </c>
      <c r="F41" s="90" t="s">
        <v>117</v>
      </c>
      <c r="G41" s="80">
        <v>2154</v>
      </c>
      <c r="H41" s="80">
        <v>7072</v>
      </c>
      <c r="J41" s="74"/>
      <c r="K41" s="74"/>
      <c r="L41" s="74"/>
      <c r="M41" s="74"/>
      <c r="N41" s="74"/>
      <c r="O41" s="74"/>
    </row>
    <row r="42" spans="1:15" x14ac:dyDescent="0.35">
      <c r="A42" s="27">
        <v>91</v>
      </c>
      <c r="B42" s="66" t="s">
        <v>43</v>
      </c>
      <c r="C42" s="77">
        <v>344</v>
      </c>
      <c r="D42" s="77">
        <v>3433.4833333333299</v>
      </c>
      <c r="E42" s="77">
        <v>30</v>
      </c>
      <c r="F42" s="77">
        <v>522.08333333333303</v>
      </c>
      <c r="G42" s="77">
        <v>146</v>
      </c>
      <c r="H42" s="77">
        <v>1858.4166666666699</v>
      </c>
      <c r="J42" s="74"/>
      <c r="K42" s="74"/>
      <c r="L42" s="74"/>
      <c r="M42" s="74"/>
      <c r="N42" s="74"/>
      <c r="O42" s="74"/>
    </row>
    <row r="43" spans="1:15" x14ac:dyDescent="0.35">
      <c r="A43" s="27">
        <v>92</v>
      </c>
      <c r="B43" s="66" t="s">
        <v>44</v>
      </c>
      <c r="C43" s="77">
        <v>396</v>
      </c>
      <c r="D43" s="77">
        <v>7670</v>
      </c>
      <c r="E43" s="77">
        <v>262</v>
      </c>
      <c r="F43" s="77">
        <v>5054</v>
      </c>
      <c r="G43" s="77">
        <v>134</v>
      </c>
      <c r="H43" s="77">
        <v>2616</v>
      </c>
      <c r="J43" s="74"/>
      <c r="K43" s="74"/>
      <c r="L43" s="74"/>
      <c r="M43" s="74"/>
      <c r="N43" s="74"/>
      <c r="O43" s="74"/>
    </row>
    <row r="44" spans="1:15" x14ac:dyDescent="0.35">
      <c r="A44" s="27">
        <v>94</v>
      </c>
      <c r="B44" s="66" t="s">
        <v>46</v>
      </c>
      <c r="C44" s="77">
        <v>836</v>
      </c>
      <c r="D44" s="77">
        <v>5508</v>
      </c>
      <c r="E44" s="77">
        <v>259</v>
      </c>
      <c r="F44" s="77">
        <v>3132</v>
      </c>
      <c r="G44" s="77">
        <v>577</v>
      </c>
      <c r="H44" s="77">
        <v>2376</v>
      </c>
      <c r="J44" s="74"/>
      <c r="K44" s="74"/>
      <c r="L44" s="74"/>
      <c r="M44" s="74"/>
      <c r="N44" s="74"/>
      <c r="O44" s="74"/>
    </row>
    <row r="45" spans="1:15" ht="14.5" x14ac:dyDescent="0.35">
      <c r="A45" s="27">
        <v>96</v>
      </c>
      <c r="B45" s="79" t="s">
        <v>79</v>
      </c>
      <c r="C45" s="80">
        <v>1054</v>
      </c>
      <c r="D45" s="80">
        <v>5353</v>
      </c>
      <c r="E45" s="80">
        <v>125.5</v>
      </c>
      <c r="F45" s="80">
        <v>2729.75</v>
      </c>
      <c r="G45" s="80">
        <v>447</v>
      </c>
      <c r="H45" s="80">
        <v>876</v>
      </c>
      <c r="J45" s="74"/>
      <c r="K45" s="74"/>
      <c r="L45" s="74"/>
      <c r="M45" s="74"/>
      <c r="N45" s="74"/>
      <c r="O45" s="74"/>
    </row>
    <row r="46" spans="1:15" x14ac:dyDescent="0.35">
      <c r="A46" s="27">
        <v>98</v>
      </c>
      <c r="B46" s="66" t="s">
        <v>50</v>
      </c>
      <c r="C46" s="77">
        <v>800</v>
      </c>
      <c r="D46" s="77">
        <v>1716</v>
      </c>
      <c r="E46" s="77">
        <v>48</v>
      </c>
      <c r="F46" s="77">
        <v>144</v>
      </c>
      <c r="G46" s="77">
        <v>752</v>
      </c>
      <c r="H46" s="77">
        <v>1572</v>
      </c>
      <c r="J46" s="74"/>
      <c r="K46" s="74"/>
      <c r="L46" s="74"/>
      <c r="M46" s="74"/>
      <c r="N46" s="74"/>
      <c r="O46" s="74"/>
    </row>
    <row r="47" spans="1:15" x14ac:dyDescent="0.35">
      <c r="A47" s="27">
        <v>72</v>
      </c>
      <c r="B47" s="66" t="s">
        <v>28</v>
      </c>
      <c r="C47" s="77">
        <v>12</v>
      </c>
      <c r="D47" s="77">
        <v>76</v>
      </c>
      <c r="E47" s="90" t="s">
        <v>117</v>
      </c>
      <c r="F47" s="90" t="s">
        <v>117</v>
      </c>
      <c r="G47" s="77">
        <v>12</v>
      </c>
      <c r="H47" s="77">
        <v>76</v>
      </c>
      <c r="J47" s="74"/>
      <c r="K47" s="74"/>
      <c r="L47" s="74"/>
      <c r="M47" s="74"/>
      <c r="N47" s="74"/>
      <c r="O47" s="74"/>
    </row>
    <row r="48" spans="1:15" s="75" customFormat="1" ht="26.25" customHeight="1" x14ac:dyDescent="0.35">
      <c r="B48" s="75" t="s">
        <v>56</v>
      </c>
      <c r="C48" s="81">
        <v>32841</v>
      </c>
      <c r="D48" s="81">
        <v>215185</v>
      </c>
      <c r="E48" s="81">
        <v>13294</v>
      </c>
      <c r="F48" s="81">
        <v>122460</v>
      </c>
      <c r="G48" s="81">
        <v>7715</v>
      </c>
      <c r="H48" s="81">
        <v>58782</v>
      </c>
      <c r="J48" s="74"/>
      <c r="K48" s="74"/>
      <c r="L48" s="74"/>
      <c r="M48" s="74"/>
      <c r="N48" s="74"/>
      <c r="O48" s="74"/>
    </row>
    <row r="49" spans="1:15" x14ac:dyDescent="0.35">
      <c r="A49" s="27">
        <v>66</v>
      </c>
      <c r="B49" s="66" t="s">
        <v>22</v>
      </c>
      <c r="C49" s="77">
        <v>1573</v>
      </c>
      <c r="D49" s="77">
        <v>16611</v>
      </c>
      <c r="E49" s="77">
        <v>1111</v>
      </c>
      <c r="F49" s="77">
        <v>14046</v>
      </c>
      <c r="G49" s="90" t="s">
        <v>117</v>
      </c>
      <c r="H49" s="90" t="s">
        <v>117</v>
      </c>
      <c r="J49" s="74"/>
      <c r="K49" s="74"/>
      <c r="L49" s="74"/>
      <c r="M49" s="74"/>
      <c r="N49" s="74"/>
      <c r="O49" s="74"/>
    </row>
    <row r="50" spans="1:15" x14ac:dyDescent="0.35">
      <c r="A50" s="27">
        <v>78</v>
      </c>
      <c r="B50" s="66" t="s">
        <v>33</v>
      </c>
      <c r="C50" s="77">
        <v>11913</v>
      </c>
      <c r="D50" s="77">
        <v>42031</v>
      </c>
      <c r="E50" s="77">
        <v>2590</v>
      </c>
      <c r="F50" s="77">
        <v>17152</v>
      </c>
      <c r="G50" s="90" t="s">
        <v>117</v>
      </c>
      <c r="H50" s="90" t="s">
        <v>117</v>
      </c>
      <c r="J50" s="74"/>
      <c r="K50" s="74"/>
      <c r="L50" s="74"/>
      <c r="M50" s="74"/>
      <c r="N50" s="74"/>
      <c r="O50" s="74"/>
    </row>
    <row r="51" spans="1:15" x14ac:dyDescent="0.35">
      <c r="A51" s="27">
        <v>89</v>
      </c>
      <c r="B51" s="66" t="s">
        <v>41</v>
      </c>
      <c r="C51" s="77">
        <v>672</v>
      </c>
      <c r="D51" s="77">
        <v>5644</v>
      </c>
      <c r="E51" s="77">
        <v>120</v>
      </c>
      <c r="F51" s="77">
        <v>894</v>
      </c>
      <c r="G51" s="77">
        <v>380</v>
      </c>
      <c r="H51" s="77">
        <v>4110</v>
      </c>
      <c r="J51" s="74"/>
      <c r="K51" s="74"/>
      <c r="L51" s="74"/>
      <c r="M51" s="74"/>
      <c r="N51" s="74"/>
      <c r="O51" s="74"/>
    </row>
    <row r="52" spans="1:15" x14ac:dyDescent="0.35">
      <c r="A52" s="27">
        <v>93</v>
      </c>
      <c r="B52" s="66" t="s">
        <v>57</v>
      </c>
      <c r="C52" s="77">
        <v>2948</v>
      </c>
      <c r="D52" s="77">
        <v>28664</v>
      </c>
      <c r="E52" s="77">
        <v>647</v>
      </c>
      <c r="F52" s="77">
        <v>5812</v>
      </c>
      <c r="G52" s="77">
        <v>1745</v>
      </c>
      <c r="H52" s="77">
        <v>22804</v>
      </c>
      <c r="J52" s="74"/>
      <c r="K52" s="74"/>
      <c r="L52" s="74"/>
      <c r="M52" s="74"/>
      <c r="N52" s="74"/>
      <c r="O52" s="74"/>
    </row>
    <row r="53" spans="1:15" x14ac:dyDescent="0.35">
      <c r="A53" s="27">
        <v>95</v>
      </c>
      <c r="B53" s="66" t="s">
        <v>47</v>
      </c>
      <c r="C53" s="77">
        <v>7723</v>
      </c>
      <c r="D53" s="77">
        <v>81099</v>
      </c>
      <c r="E53" s="77">
        <v>5097</v>
      </c>
      <c r="F53" s="77">
        <v>53525</v>
      </c>
      <c r="G53" s="77">
        <v>2626</v>
      </c>
      <c r="H53" s="77">
        <v>27574</v>
      </c>
      <c r="J53" s="74"/>
      <c r="K53" s="74"/>
      <c r="L53" s="74"/>
      <c r="M53" s="74"/>
      <c r="N53" s="74"/>
      <c r="O53" s="74"/>
    </row>
    <row r="54" spans="1:15" x14ac:dyDescent="0.35">
      <c r="A54" s="27">
        <v>97</v>
      </c>
      <c r="B54" s="66" t="s">
        <v>49</v>
      </c>
      <c r="C54" s="77">
        <v>4670</v>
      </c>
      <c r="D54" s="77">
        <v>21298</v>
      </c>
      <c r="E54" s="77">
        <v>2965</v>
      </c>
      <c r="F54" s="77">
        <v>14201</v>
      </c>
      <c r="G54" s="77">
        <v>386</v>
      </c>
      <c r="H54" s="77">
        <v>1286</v>
      </c>
      <c r="J54" s="74"/>
      <c r="K54" s="74"/>
      <c r="L54" s="74"/>
      <c r="M54" s="74"/>
      <c r="N54" s="74"/>
      <c r="O54" s="74"/>
    </row>
    <row r="55" spans="1:15" x14ac:dyDescent="0.35">
      <c r="A55" s="27">
        <v>77</v>
      </c>
      <c r="B55" s="69" t="s">
        <v>21</v>
      </c>
      <c r="C55" s="82">
        <v>3342</v>
      </c>
      <c r="D55" s="82">
        <v>19838</v>
      </c>
      <c r="E55" s="82">
        <v>764</v>
      </c>
      <c r="F55" s="82">
        <v>16830</v>
      </c>
      <c r="G55" s="82">
        <v>2578</v>
      </c>
      <c r="H55" s="82">
        <v>3008</v>
      </c>
      <c r="J55" s="74"/>
      <c r="K55" s="74"/>
      <c r="L55" s="74"/>
      <c r="M55" s="74"/>
      <c r="N55" s="74"/>
      <c r="O55" s="74"/>
    </row>
    <row r="57" spans="1:15" ht="27.75" customHeight="1" x14ac:dyDescent="0.35">
      <c r="B57" s="114" t="s">
        <v>80</v>
      </c>
      <c r="C57" s="107"/>
      <c r="D57" s="107"/>
      <c r="E57" s="107"/>
      <c r="F57" s="107"/>
      <c r="G57" s="107"/>
      <c r="H57" s="107"/>
    </row>
    <row r="58" spans="1:15" ht="27.75" customHeight="1" x14ac:dyDescent="0.35">
      <c r="B58" s="114" t="s">
        <v>81</v>
      </c>
      <c r="C58" s="107"/>
      <c r="D58" s="107"/>
      <c r="E58" s="107"/>
      <c r="F58" s="107"/>
      <c r="G58" s="107"/>
      <c r="H58" s="107"/>
    </row>
    <row r="59" spans="1:15" ht="13.5" customHeight="1" x14ac:dyDescent="0.35">
      <c r="B59" s="66" t="s">
        <v>82</v>
      </c>
      <c r="C59" s="63"/>
      <c r="D59" s="63"/>
      <c r="E59" s="63"/>
      <c r="F59" s="63"/>
      <c r="G59" s="63"/>
      <c r="H59" s="63"/>
    </row>
    <row r="60" spans="1:15" ht="13.5" customHeight="1" x14ac:dyDescent="0.35">
      <c r="B60" s="83" t="s">
        <v>83</v>
      </c>
      <c r="C60" s="63"/>
      <c r="D60" s="63"/>
      <c r="E60" s="63"/>
      <c r="F60" s="63"/>
      <c r="G60" s="63"/>
      <c r="H60" s="63"/>
    </row>
    <row r="61" spans="1:15" x14ac:dyDescent="0.35">
      <c r="B61" s="83" t="s">
        <v>94</v>
      </c>
    </row>
    <row r="66" spans="2:2" x14ac:dyDescent="0.35">
      <c r="B66" s="66" t="s">
        <v>86</v>
      </c>
    </row>
    <row r="68" spans="2:2" x14ac:dyDescent="0.35">
      <c r="B68" s="84" t="s">
        <v>87</v>
      </c>
    </row>
  </sheetData>
  <mergeCells count="6">
    <mergeCell ref="B58:H58"/>
    <mergeCell ref="B1:H1"/>
    <mergeCell ref="C2:D2"/>
    <mergeCell ref="E2:F2"/>
    <mergeCell ref="G2:H2"/>
    <mergeCell ref="B57:H57"/>
  </mergeCells>
  <pageMargins left="0.75" right="0.75" top="1" bottom="1" header="0.5" footer="0.5"/>
  <pageSetup paperSize="9" scale="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P68"/>
  <sheetViews>
    <sheetView showGridLines="0" zoomScale="85" zoomScaleNormal="85" workbookViewId="0">
      <pane xSplit="2" ySplit="3" topLeftCell="C25" activePane="bottomRight" state="frozen"/>
      <selection activeCell="G50" sqref="G50"/>
      <selection pane="topRight" activeCell="G50" sqref="G50"/>
      <selection pane="bottomLeft" activeCell="G50" sqref="G50"/>
      <selection pane="bottomRight" activeCell="G50" sqref="G50"/>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9.0898437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9.0898437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9.0898437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9.0898437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9.0898437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9.0898437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9.0898437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9.0898437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9.0898437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9.0898437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9.0898437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9.0898437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9.0898437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9.0898437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9.0898437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9.0898437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9.0898437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9.0898437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9.0898437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9.0898437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9.0898437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9.0898437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9.0898437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9.0898437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9.0898437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9.0898437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9.0898437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9.0898437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9.0898437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9.0898437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9.0898437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9.0898437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9.0898437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9.0898437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9.0898437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9.0898437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9.0898437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9.0898437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9.0898437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9.0898437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9.0898437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9.0898437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9.0898437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9.0898437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9.0898437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9.0898437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9.0898437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9.0898437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9.0898437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9.0898437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9.0898437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9.0898437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9.0898437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9.0898437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9.0898437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9.0898437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9.0898437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9.0898437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9.0898437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9.0898437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9.0898437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9.0898437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9.0898437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9.08984375" style="34"/>
  </cols>
  <sheetData>
    <row r="1" spans="1:16" ht="33.75" customHeight="1" x14ac:dyDescent="0.35">
      <c r="B1" s="118" t="s">
        <v>66</v>
      </c>
      <c r="C1" s="116"/>
      <c r="D1" s="116"/>
      <c r="E1" s="116"/>
      <c r="F1" s="116"/>
      <c r="G1" s="116"/>
      <c r="H1" s="117"/>
    </row>
    <row r="2" spans="1:16" s="35" customFormat="1" ht="39.75" customHeight="1" x14ac:dyDescent="0.35">
      <c r="B2" s="36"/>
      <c r="C2" s="109" t="s">
        <v>67</v>
      </c>
      <c r="D2" s="109"/>
      <c r="E2" s="110" t="s">
        <v>68</v>
      </c>
      <c r="F2" s="110"/>
      <c r="G2" s="110" t="s">
        <v>69</v>
      </c>
      <c r="H2" s="110"/>
    </row>
    <row r="3" spans="1:16" ht="42.75" customHeight="1" x14ac:dyDescent="0.35">
      <c r="B3" s="37"/>
      <c r="C3" s="38" t="s">
        <v>70</v>
      </c>
      <c r="D3" s="38" t="s">
        <v>71</v>
      </c>
      <c r="E3" s="38" t="s">
        <v>70</v>
      </c>
      <c r="F3" s="38" t="s">
        <v>71</v>
      </c>
      <c r="G3" s="38" t="s">
        <v>70</v>
      </c>
      <c r="H3" s="38" t="s">
        <v>71</v>
      </c>
    </row>
    <row r="4" spans="1:16" ht="18" hidden="1" customHeight="1" x14ac:dyDescent="0.35">
      <c r="C4" s="39" t="s">
        <v>72</v>
      </c>
      <c r="D4" s="39" t="s">
        <v>72</v>
      </c>
      <c r="E4" s="39" t="s">
        <v>73</v>
      </c>
      <c r="F4" s="39" t="s">
        <v>73</v>
      </c>
      <c r="G4" s="39" t="s">
        <v>74</v>
      </c>
      <c r="H4" s="39" t="s">
        <v>74</v>
      </c>
    </row>
    <row r="5" spans="1:16" ht="15.75" hidden="1" customHeight="1" x14ac:dyDescent="0.35">
      <c r="C5" s="39" t="s">
        <v>75</v>
      </c>
      <c r="D5" s="39" t="s">
        <v>76</v>
      </c>
      <c r="E5" s="39" t="s">
        <v>75</v>
      </c>
      <c r="F5" s="39" t="s">
        <v>76</v>
      </c>
      <c r="G5" s="39" t="s">
        <v>75</v>
      </c>
      <c r="H5" s="39" t="s">
        <v>76</v>
      </c>
    </row>
    <row r="6" spans="1:16" ht="26.25" customHeight="1" x14ac:dyDescent="0.35">
      <c r="B6" s="40" t="s">
        <v>77</v>
      </c>
      <c r="C6" s="41">
        <v>165227</v>
      </c>
      <c r="D6" s="41">
        <v>627540.82999999996</v>
      </c>
      <c r="E6" s="41">
        <v>35040</v>
      </c>
      <c r="F6" s="41">
        <v>291450.87</v>
      </c>
      <c r="G6" s="41">
        <v>30549</v>
      </c>
      <c r="H6" s="41">
        <v>160880.52000000002</v>
      </c>
      <c r="J6" s="42"/>
      <c r="K6" s="42"/>
      <c r="L6" s="42"/>
      <c r="M6" s="42"/>
      <c r="N6" s="42"/>
      <c r="O6" s="42"/>
      <c r="P6" s="42"/>
    </row>
    <row r="7" spans="1:16" s="43" customFormat="1" ht="26.25" customHeight="1" x14ac:dyDescent="0.35">
      <c r="A7" s="26"/>
      <c r="B7" s="43" t="s">
        <v>52</v>
      </c>
      <c r="C7" s="44">
        <v>133375</v>
      </c>
      <c r="D7" s="44">
        <v>428857.83999999997</v>
      </c>
      <c r="E7" s="44">
        <v>15518</v>
      </c>
      <c r="F7" s="44">
        <v>156879.25</v>
      </c>
      <c r="G7" s="44">
        <v>20256</v>
      </c>
      <c r="H7" s="44">
        <v>108696.52</v>
      </c>
      <c r="J7" s="42"/>
      <c r="K7" s="42"/>
      <c r="L7" s="45"/>
      <c r="M7" s="42"/>
      <c r="N7" s="42"/>
      <c r="O7" s="42"/>
    </row>
    <row r="8" spans="1:16" x14ac:dyDescent="0.35">
      <c r="A8" s="27">
        <v>51</v>
      </c>
      <c r="B8" s="34" t="s">
        <v>5</v>
      </c>
      <c r="C8" s="46">
        <v>2999</v>
      </c>
      <c r="D8" s="46">
        <v>1454</v>
      </c>
      <c r="E8" s="46">
        <v>194</v>
      </c>
      <c r="F8" s="46">
        <v>424</v>
      </c>
      <c r="G8" s="46">
        <v>206</v>
      </c>
      <c r="H8" s="46">
        <v>306</v>
      </c>
      <c r="J8" s="42"/>
      <c r="K8" s="42"/>
      <c r="L8" s="42"/>
      <c r="M8" s="42"/>
      <c r="N8" s="42"/>
      <c r="O8" s="42"/>
    </row>
    <row r="9" spans="1:16" x14ac:dyDescent="0.35">
      <c r="A9" s="27">
        <v>52</v>
      </c>
      <c r="B9" s="34" t="s">
        <v>6</v>
      </c>
      <c r="C9" s="46">
        <v>1033</v>
      </c>
      <c r="D9" s="46">
        <v>6872</v>
      </c>
      <c r="E9" s="46">
        <v>28</v>
      </c>
      <c r="F9" s="46">
        <v>1025</v>
      </c>
      <c r="G9" s="46">
        <v>222</v>
      </c>
      <c r="H9" s="46">
        <v>1912</v>
      </c>
      <c r="J9" s="42"/>
      <c r="K9" s="42"/>
      <c r="L9" s="42"/>
      <c r="M9" s="42"/>
      <c r="N9" s="42"/>
      <c r="O9" s="42"/>
    </row>
    <row r="10" spans="1:16" x14ac:dyDescent="0.35">
      <c r="A10" s="27">
        <v>86</v>
      </c>
      <c r="B10" s="34" t="s">
        <v>7</v>
      </c>
      <c r="C10" s="46">
        <v>1308</v>
      </c>
      <c r="D10" s="46">
        <v>7290</v>
      </c>
      <c r="E10" s="46">
        <v>333</v>
      </c>
      <c r="F10" s="46">
        <v>884</v>
      </c>
      <c r="G10" s="46">
        <v>761</v>
      </c>
      <c r="H10" s="46">
        <v>4226</v>
      </c>
      <c r="J10" s="42"/>
      <c r="K10" s="42"/>
      <c r="L10" s="42"/>
      <c r="M10" s="42"/>
      <c r="N10" s="42"/>
      <c r="O10" s="42"/>
    </row>
    <row r="11" spans="1:16" x14ac:dyDescent="0.35">
      <c r="A11" s="27">
        <v>53</v>
      </c>
      <c r="B11" s="34" t="s">
        <v>8</v>
      </c>
      <c r="C11" s="46">
        <v>844</v>
      </c>
      <c r="D11" s="46">
        <v>5227</v>
      </c>
      <c r="E11" s="46">
        <v>75</v>
      </c>
      <c r="F11" s="46">
        <v>291</v>
      </c>
      <c r="G11" s="46">
        <v>475</v>
      </c>
      <c r="H11" s="46">
        <v>965</v>
      </c>
      <c r="J11" s="42"/>
      <c r="K11" s="42"/>
      <c r="L11" s="42"/>
      <c r="M11" s="42"/>
      <c r="N11" s="42"/>
      <c r="O11" s="42"/>
    </row>
    <row r="12" spans="1:16" x14ac:dyDescent="0.35">
      <c r="A12" s="27">
        <v>54</v>
      </c>
      <c r="B12" s="34" t="s">
        <v>9</v>
      </c>
      <c r="C12" s="46">
        <v>1126</v>
      </c>
      <c r="D12" s="46">
        <v>2577</v>
      </c>
      <c r="E12" s="46">
        <v>14</v>
      </c>
      <c r="F12" s="46">
        <v>50</v>
      </c>
      <c r="G12" s="46">
        <v>319</v>
      </c>
      <c r="H12" s="46">
        <v>1120</v>
      </c>
      <c r="J12" s="42"/>
      <c r="K12" s="42"/>
      <c r="L12" s="42"/>
      <c r="M12" s="42"/>
      <c r="N12" s="42"/>
      <c r="O12" s="42"/>
    </row>
    <row r="13" spans="1:16" x14ac:dyDescent="0.35">
      <c r="A13" s="27">
        <v>55</v>
      </c>
      <c r="B13" s="34" t="s">
        <v>10</v>
      </c>
      <c r="C13" s="46">
        <v>1556</v>
      </c>
      <c r="D13" s="46">
        <v>33845</v>
      </c>
      <c r="E13" s="46">
        <v>154</v>
      </c>
      <c r="F13" s="46">
        <v>18885.5</v>
      </c>
      <c r="G13" s="46">
        <v>611</v>
      </c>
      <c r="H13" s="46">
        <v>3112</v>
      </c>
      <c r="J13" s="42"/>
      <c r="K13" s="42"/>
      <c r="L13" s="42"/>
      <c r="M13" s="42"/>
      <c r="N13" s="42"/>
      <c r="O13" s="42"/>
    </row>
    <row r="14" spans="1:16" x14ac:dyDescent="0.35">
      <c r="A14" s="27">
        <v>56</v>
      </c>
      <c r="B14" s="34" t="s">
        <v>11</v>
      </c>
      <c r="C14" s="46">
        <v>1044</v>
      </c>
      <c r="D14" s="46">
        <v>18148</v>
      </c>
      <c r="E14" s="46">
        <v>492</v>
      </c>
      <c r="F14" s="46">
        <v>6225</v>
      </c>
      <c r="G14" s="46">
        <v>552</v>
      </c>
      <c r="H14" s="46">
        <v>11923</v>
      </c>
      <c r="J14" s="42"/>
      <c r="K14" s="42"/>
      <c r="L14" s="42"/>
      <c r="M14" s="42"/>
      <c r="N14" s="42"/>
      <c r="O14" s="42"/>
    </row>
    <row r="15" spans="1:16" x14ac:dyDescent="0.35">
      <c r="A15" s="27">
        <v>57</v>
      </c>
      <c r="B15" s="34" t="s">
        <v>12</v>
      </c>
      <c r="C15" s="46">
        <v>489</v>
      </c>
      <c r="D15" s="46">
        <v>7609</v>
      </c>
      <c r="E15" s="46">
        <v>39</v>
      </c>
      <c r="F15" s="46">
        <v>6077</v>
      </c>
      <c r="G15" s="46">
        <v>28</v>
      </c>
      <c r="H15" s="46">
        <v>191</v>
      </c>
      <c r="J15" s="42"/>
      <c r="K15" s="42"/>
      <c r="L15" s="42"/>
      <c r="M15" s="42"/>
      <c r="N15" s="42"/>
      <c r="O15" s="42"/>
    </row>
    <row r="16" spans="1:16" x14ac:dyDescent="0.35">
      <c r="A16" s="27">
        <v>59</v>
      </c>
      <c r="B16" s="34" t="s">
        <v>13</v>
      </c>
      <c r="C16" s="46">
        <v>5215</v>
      </c>
      <c r="D16" s="46">
        <v>10197</v>
      </c>
      <c r="E16" s="46">
        <v>2285</v>
      </c>
      <c r="F16" s="46">
        <v>3921</v>
      </c>
      <c r="G16" s="46">
        <v>2930</v>
      </c>
      <c r="H16" s="46">
        <v>6276</v>
      </c>
      <c r="J16" s="42"/>
      <c r="K16" s="42"/>
      <c r="L16" s="42"/>
      <c r="M16" s="42"/>
      <c r="N16" s="42"/>
      <c r="O16" s="42"/>
    </row>
    <row r="17" spans="1:15" x14ac:dyDescent="0.35">
      <c r="A17" s="27">
        <v>60</v>
      </c>
      <c r="B17" s="34" t="s">
        <v>14</v>
      </c>
      <c r="C17" s="46">
        <v>27419</v>
      </c>
      <c r="D17" s="46">
        <v>5193.75</v>
      </c>
      <c r="E17" s="46">
        <v>272</v>
      </c>
      <c r="F17" s="46">
        <v>1391.5</v>
      </c>
      <c r="G17" s="46">
        <v>234</v>
      </c>
      <c r="H17" s="46">
        <v>825</v>
      </c>
      <c r="J17" s="42"/>
      <c r="K17" s="42"/>
      <c r="L17" s="42"/>
      <c r="M17" s="42"/>
      <c r="N17" s="42"/>
      <c r="O17" s="42"/>
    </row>
    <row r="18" spans="1:15" x14ac:dyDescent="0.35">
      <c r="A18" s="27">
        <v>61</v>
      </c>
      <c r="B18" s="47" t="s">
        <v>53</v>
      </c>
      <c r="C18" s="46">
        <v>3682</v>
      </c>
      <c r="D18" s="46">
        <v>11394</v>
      </c>
      <c r="E18" s="46">
        <v>249</v>
      </c>
      <c r="F18" s="46">
        <v>874</v>
      </c>
      <c r="G18" s="46">
        <v>1755</v>
      </c>
      <c r="H18" s="46">
        <v>4167</v>
      </c>
      <c r="J18" s="42"/>
      <c r="K18" s="42"/>
      <c r="L18" s="42"/>
      <c r="M18" s="42"/>
      <c r="N18" s="42"/>
      <c r="O18" s="42"/>
    </row>
    <row r="19" spans="1:15" x14ac:dyDescent="0.35">
      <c r="A19" s="27"/>
      <c r="B19" s="47" t="s">
        <v>131</v>
      </c>
      <c r="C19" s="46" t="s">
        <v>132</v>
      </c>
      <c r="D19" s="46" t="s">
        <v>132</v>
      </c>
      <c r="E19" s="46" t="s">
        <v>132</v>
      </c>
      <c r="F19" s="46" t="s">
        <v>132</v>
      </c>
      <c r="G19" s="46" t="s">
        <v>132</v>
      </c>
      <c r="H19" s="46" t="s">
        <v>132</v>
      </c>
      <c r="J19" s="42"/>
      <c r="K19" s="42"/>
      <c r="L19" s="42"/>
      <c r="M19" s="42"/>
      <c r="N19" s="42"/>
      <c r="O19" s="42"/>
    </row>
    <row r="20" spans="1:15" x14ac:dyDescent="0.35">
      <c r="A20" s="27">
        <v>62</v>
      </c>
      <c r="B20" s="34" t="s">
        <v>16</v>
      </c>
      <c r="C20" s="46">
        <v>797</v>
      </c>
      <c r="D20" s="46">
        <v>11300</v>
      </c>
      <c r="E20" s="46">
        <v>120</v>
      </c>
      <c r="F20" s="46">
        <v>6995</v>
      </c>
      <c r="G20" s="46">
        <v>185</v>
      </c>
      <c r="H20" s="46">
        <v>921</v>
      </c>
      <c r="J20" s="42"/>
      <c r="K20" s="42"/>
      <c r="L20" s="42"/>
      <c r="M20" s="42"/>
      <c r="N20" s="42"/>
      <c r="O20" s="42"/>
    </row>
    <row r="21" spans="1:15" x14ac:dyDescent="0.35">
      <c r="A21" s="27">
        <v>58</v>
      </c>
      <c r="B21" s="34" t="s">
        <v>17</v>
      </c>
      <c r="C21" s="46">
        <v>433</v>
      </c>
      <c r="D21" s="46">
        <v>1381</v>
      </c>
      <c r="E21" s="46">
        <v>45</v>
      </c>
      <c r="F21" s="46">
        <v>136</v>
      </c>
      <c r="G21" s="46">
        <v>278</v>
      </c>
      <c r="H21" s="46">
        <v>1015</v>
      </c>
      <c r="J21" s="42"/>
      <c r="K21" s="42"/>
      <c r="L21" s="42"/>
      <c r="M21" s="42"/>
      <c r="N21" s="42"/>
      <c r="O21" s="42"/>
    </row>
    <row r="22" spans="1:15" x14ac:dyDescent="0.35">
      <c r="A22" s="27">
        <v>63</v>
      </c>
      <c r="B22" s="34" t="s">
        <v>18</v>
      </c>
      <c r="C22" s="46">
        <v>1391</v>
      </c>
      <c r="D22" s="46">
        <v>8235.1</v>
      </c>
      <c r="E22" s="46">
        <v>81</v>
      </c>
      <c r="F22" s="46">
        <v>877</v>
      </c>
      <c r="G22" s="46">
        <v>70</v>
      </c>
      <c r="H22" s="46">
        <v>643.5</v>
      </c>
      <c r="J22" s="42"/>
      <c r="K22" s="42"/>
      <c r="L22" s="42"/>
      <c r="M22" s="42"/>
      <c r="N22" s="42"/>
      <c r="O22" s="42"/>
    </row>
    <row r="23" spans="1:15" x14ac:dyDescent="0.35">
      <c r="A23" s="27">
        <v>64</v>
      </c>
      <c r="B23" s="34" t="s">
        <v>19</v>
      </c>
      <c r="C23" s="46">
        <v>17115</v>
      </c>
      <c r="D23" s="46">
        <v>18409</v>
      </c>
      <c r="E23" s="46">
        <v>449</v>
      </c>
      <c r="F23" s="46">
        <v>9871</v>
      </c>
      <c r="G23" s="46">
        <v>1464</v>
      </c>
      <c r="H23" s="46">
        <v>5877</v>
      </c>
      <c r="J23" s="42"/>
      <c r="K23" s="42"/>
      <c r="L23" s="42"/>
      <c r="M23" s="42"/>
      <c r="N23" s="42"/>
      <c r="O23" s="42"/>
    </row>
    <row r="24" spans="1:15" x14ac:dyDescent="0.35">
      <c r="A24" s="27">
        <v>65</v>
      </c>
      <c r="B24" s="34" t="s">
        <v>20</v>
      </c>
      <c r="C24" s="46">
        <v>1206</v>
      </c>
      <c r="D24" s="46">
        <v>5187</v>
      </c>
      <c r="E24" s="46">
        <v>13</v>
      </c>
      <c r="F24" s="46">
        <v>28</v>
      </c>
      <c r="G24" s="48">
        <v>557</v>
      </c>
      <c r="H24" s="48">
        <v>3122</v>
      </c>
      <c r="J24" s="42"/>
      <c r="K24" s="42"/>
      <c r="L24" s="42"/>
      <c r="M24" s="42"/>
      <c r="N24" s="42"/>
      <c r="O24" s="42"/>
    </row>
    <row r="25" spans="1:15" x14ac:dyDescent="0.35">
      <c r="A25" s="27">
        <v>67</v>
      </c>
      <c r="B25" s="34" t="s">
        <v>23</v>
      </c>
      <c r="C25" s="46">
        <v>7192</v>
      </c>
      <c r="D25" s="46">
        <v>17682.75</v>
      </c>
      <c r="E25" s="46">
        <v>736</v>
      </c>
      <c r="F25" s="46">
        <v>4449</v>
      </c>
      <c r="G25" s="46">
        <v>637</v>
      </c>
      <c r="H25" s="46">
        <v>7877</v>
      </c>
      <c r="J25" s="42"/>
      <c r="K25" s="42"/>
      <c r="L25" s="42"/>
      <c r="M25" s="42"/>
      <c r="N25" s="42"/>
      <c r="O25" s="42"/>
    </row>
    <row r="26" spans="1:15" x14ac:dyDescent="0.35">
      <c r="A26" s="27">
        <v>68</v>
      </c>
      <c r="B26" s="34" t="s">
        <v>54</v>
      </c>
      <c r="C26" s="46">
        <v>132</v>
      </c>
      <c r="D26" s="46">
        <v>583</v>
      </c>
      <c r="E26" s="46">
        <v>70</v>
      </c>
      <c r="F26" s="46">
        <v>295</v>
      </c>
      <c r="G26" s="46">
        <v>62</v>
      </c>
      <c r="H26" s="46">
        <v>287</v>
      </c>
      <c r="J26" s="42"/>
      <c r="K26" s="42"/>
      <c r="L26" s="42"/>
      <c r="M26" s="42"/>
      <c r="N26" s="42"/>
      <c r="O26" s="42"/>
    </row>
    <row r="27" spans="1:15" x14ac:dyDescent="0.35">
      <c r="A27" s="27">
        <v>69</v>
      </c>
      <c r="B27" s="34" t="s">
        <v>25</v>
      </c>
      <c r="C27" s="46">
        <v>7868</v>
      </c>
      <c r="D27" s="46">
        <v>41692</v>
      </c>
      <c r="E27" s="46">
        <v>1075</v>
      </c>
      <c r="F27" s="46">
        <v>4300</v>
      </c>
      <c r="G27" s="46">
        <v>455</v>
      </c>
      <c r="H27" s="46">
        <v>12040</v>
      </c>
      <c r="J27" s="42"/>
      <c r="K27" s="42"/>
      <c r="L27" s="42"/>
      <c r="M27" s="42"/>
      <c r="N27" s="42"/>
      <c r="O27" s="42"/>
    </row>
    <row r="28" spans="1:15" x14ac:dyDescent="0.35">
      <c r="A28" s="27">
        <v>70</v>
      </c>
      <c r="B28" s="34" t="s">
        <v>26</v>
      </c>
      <c r="C28" s="46">
        <v>855</v>
      </c>
      <c r="D28" s="46">
        <v>3022.35</v>
      </c>
      <c r="E28" s="46">
        <v>252</v>
      </c>
      <c r="F28" s="46">
        <v>1238.5</v>
      </c>
      <c r="G28" s="46">
        <v>192</v>
      </c>
      <c r="H28" s="46">
        <v>499.35</v>
      </c>
      <c r="J28" s="42"/>
      <c r="K28" s="42"/>
      <c r="L28" s="42"/>
      <c r="M28" s="42"/>
      <c r="N28" s="42"/>
      <c r="O28" s="42"/>
    </row>
    <row r="29" spans="1:15" x14ac:dyDescent="0.35">
      <c r="A29" s="27">
        <v>71</v>
      </c>
      <c r="B29" s="34" t="s">
        <v>55</v>
      </c>
      <c r="C29" s="46">
        <v>118</v>
      </c>
      <c r="D29" s="46">
        <v>1050</v>
      </c>
      <c r="E29" s="46">
        <v>30</v>
      </c>
      <c r="F29" s="48">
        <v>306</v>
      </c>
      <c r="G29" s="46">
        <v>15</v>
      </c>
      <c r="H29" s="46">
        <v>25</v>
      </c>
      <c r="J29" s="42"/>
      <c r="K29" s="42"/>
      <c r="L29" s="42"/>
      <c r="M29" s="42"/>
      <c r="N29" s="42"/>
      <c r="O29" s="42"/>
    </row>
    <row r="30" spans="1:15" x14ac:dyDescent="0.35">
      <c r="A30" s="27">
        <v>73</v>
      </c>
      <c r="B30" s="34" t="s">
        <v>29</v>
      </c>
      <c r="C30" s="46">
        <v>3693</v>
      </c>
      <c r="D30" s="46">
        <v>19576</v>
      </c>
      <c r="E30" s="46">
        <v>523</v>
      </c>
      <c r="F30" s="46">
        <v>811</v>
      </c>
      <c r="G30" s="46">
        <v>179</v>
      </c>
      <c r="H30" s="46">
        <v>1585</v>
      </c>
      <c r="J30" s="42"/>
      <c r="K30" s="42"/>
      <c r="L30" s="42"/>
      <c r="M30" s="42"/>
      <c r="N30" s="42"/>
      <c r="O30" s="42"/>
    </row>
    <row r="31" spans="1:15" x14ac:dyDescent="0.35">
      <c r="A31" s="27">
        <v>74</v>
      </c>
      <c r="B31" s="34" t="s">
        <v>30</v>
      </c>
      <c r="C31" s="46">
        <v>7038</v>
      </c>
      <c r="D31" s="46">
        <v>19556</v>
      </c>
      <c r="E31" s="46">
        <v>1056</v>
      </c>
      <c r="F31" s="46">
        <v>3303</v>
      </c>
      <c r="G31" s="46">
        <v>1312</v>
      </c>
      <c r="H31" s="46">
        <v>3955</v>
      </c>
      <c r="J31" s="42"/>
      <c r="K31" s="42"/>
      <c r="L31" s="42"/>
      <c r="M31" s="42"/>
      <c r="N31" s="42"/>
      <c r="O31" s="42"/>
    </row>
    <row r="32" spans="1:15" x14ac:dyDescent="0.35">
      <c r="A32" s="27">
        <v>75</v>
      </c>
      <c r="B32" s="34" t="s">
        <v>31</v>
      </c>
      <c r="C32" s="46">
        <v>1563</v>
      </c>
      <c r="D32" s="46">
        <v>12208</v>
      </c>
      <c r="E32" s="46">
        <v>165</v>
      </c>
      <c r="F32" s="46">
        <v>952.5</v>
      </c>
      <c r="G32" s="46">
        <v>750</v>
      </c>
      <c r="H32" s="46">
        <v>5299</v>
      </c>
      <c r="J32" s="42"/>
      <c r="K32" s="42"/>
      <c r="L32" s="42"/>
      <c r="M32" s="42"/>
      <c r="N32" s="42"/>
      <c r="O32" s="42"/>
    </row>
    <row r="33" spans="1:15" x14ac:dyDescent="0.35">
      <c r="A33" s="27">
        <v>76</v>
      </c>
      <c r="B33" s="34" t="s">
        <v>32</v>
      </c>
      <c r="C33" s="46">
        <v>1129</v>
      </c>
      <c r="D33" s="46">
        <v>12864</v>
      </c>
      <c r="E33" s="46">
        <v>1012</v>
      </c>
      <c r="F33" s="46">
        <v>12162</v>
      </c>
      <c r="G33" s="46">
        <v>117</v>
      </c>
      <c r="H33" s="46">
        <v>702</v>
      </c>
      <c r="J33" s="42"/>
      <c r="K33" s="42"/>
      <c r="L33" s="42"/>
      <c r="M33" s="42"/>
      <c r="N33" s="42"/>
      <c r="O33" s="42"/>
    </row>
    <row r="34" spans="1:15" x14ac:dyDescent="0.35">
      <c r="A34" s="27">
        <v>79</v>
      </c>
      <c r="B34" s="34" t="s">
        <v>34</v>
      </c>
      <c r="C34" s="46">
        <v>342</v>
      </c>
      <c r="D34" s="46">
        <v>768.32</v>
      </c>
      <c r="E34" s="46">
        <v>122</v>
      </c>
      <c r="F34" s="46">
        <v>66</v>
      </c>
      <c r="G34" s="46">
        <v>129</v>
      </c>
      <c r="H34" s="46">
        <v>381</v>
      </c>
      <c r="J34" s="42"/>
      <c r="K34" s="42"/>
      <c r="L34" s="42"/>
      <c r="M34" s="42"/>
      <c r="N34" s="42"/>
      <c r="O34" s="42"/>
    </row>
    <row r="35" spans="1:15" x14ac:dyDescent="0.35">
      <c r="A35" s="27">
        <v>80</v>
      </c>
      <c r="B35" s="34" t="s">
        <v>35</v>
      </c>
      <c r="C35" s="46">
        <v>1855</v>
      </c>
      <c r="D35" s="46">
        <v>6542</v>
      </c>
      <c r="E35" s="46">
        <v>227</v>
      </c>
      <c r="F35" s="46">
        <v>1577</v>
      </c>
      <c r="G35" s="46">
        <v>200</v>
      </c>
      <c r="H35" s="46">
        <v>725</v>
      </c>
      <c r="J35" s="42"/>
      <c r="K35" s="42"/>
      <c r="L35" s="42"/>
      <c r="M35" s="42"/>
      <c r="N35" s="42"/>
      <c r="O35" s="42"/>
    </row>
    <row r="36" spans="1:15" x14ac:dyDescent="0.35">
      <c r="A36" s="27">
        <v>81</v>
      </c>
      <c r="B36" s="34" t="s">
        <v>36</v>
      </c>
      <c r="C36" s="46">
        <v>1008</v>
      </c>
      <c r="D36" s="46">
        <v>5854.1</v>
      </c>
      <c r="E36" s="46">
        <v>149</v>
      </c>
      <c r="F36" s="46">
        <v>2197</v>
      </c>
      <c r="G36" s="46">
        <v>293</v>
      </c>
      <c r="H36" s="46">
        <v>980</v>
      </c>
      <c r="J36" s="42"/>
      <c r="K36" s="42"/>
      <c r="L36" s="42"/>
      <c r="M36" s="42"/>
      <c r="N36" s="42"/>
      <c r="O36" s="42"/>
    </row>
    <row r="37" spans="1:15" x14ac:dyDescent="0.35">
      <c r="A37" s="27">
        <v>83</v>
      </c>
      <c r="B37" s="34" t="s">
        <v>37</v>
      </c>
      <c r="C37" s="46">
        <v>2968</v>
      </c>
      <c r="D37" s="46">
        <v>10056.75</v>
      </c>
      <c r="E37" s="46">
        <v>545</v>
      </c>
      <c r="F37" s="46">
        <v>6758.25</v>
      </c>
      <c r="G37" s="46">
        <v>199</v>
      </c>
      <c r="H37" s="46">
        <v>907</v>
      </c>
      <c r="J37" s="42"/>
      <c r="K37" s="42"/>
      <c r="L37" s="42"/>
      <c r="M37" s="42"/>
      <c r="N37" s="42"/>
      <c r="O37" s="42"/>
    </row>
    <row r="38" spans="1:15" x14ac:dyDescent="0.35">
      <c r="A38" s="27">
        <v>84</v>
      </c>
      <c r="B38" s="34" t="s">
        <v>38</v>
      </c>
      <c r="C38" s="46">
        <v>7471</v>
      </c>
      <c r="D38" s="46">
        <v>19026</v>
      </c>
      <c r="E38" s="46">
        <v>263</v>
      </c>
      <c r="F38" s="46">
        <v>1507</v>
      </c>
      <c r="G38" s="46">
        <v>424</v>
      </c>
      <c r="H38" s="46">
        <v>4008</v>
      </c>
      <c r="J38" s="42"/>
      <c r="K38" s="42"/>
      <c r="L38" s="42"/>
      <c r="M38" s="42"/>
      <c r="N38" s="42"/>
      <c r="O38" s="42"/>
    </row>
    <row r="39" spans="1:15" x14ac:dyDescent="0.35">
      <c r="A39" s="27">
        <v>85</v>
      </c>
      <c r="B39" s="34" t="s">
        <v>39</v>
      </c>
      <c r="C39" s="46">
        <v>10425</v>
      </c>
      <c r="D39" s="46">
        <v>54488</v>
      </c>
      <c r="E39" s="46">
        <v>2224</v>
      </c>
      <c r="F39" s="46">
        <v>38364</v>
      </c>
      <c r="G39" s="46">
        <v>1537</v>
      </c>
      <c r="H39" s="46">
        <v>6542</v>
      </c>
      <c r="J39" s="42"/>
      <c r="K39" s="42"/>
      <c r="L39" s="42"/>
      <c r="M39" s="42"/>
      <c r="N39" s="42"/>
      <c r="O39" s="42"/>
    </row>
    <row r="40" spans="1:15" x14ac:dyDescent="0.35">
      <c r="A40" s="27">
        <v>87</v>
      </c>
      <c r="B40" s="34" t="s">
        <v>40</v>
      </c>
      <c r="C40" s="46">
        <v>690</v>
      </c>
      <c r="D40" s="46">
        <v>3526</v>
      </c>
      <c r="E40" s="46">
        <v>30</v>
      </c>
      <c r="F40" s="46">
        <v>180</v>
      </c>
      <c r="G40" s="46">
        <v>214</v>
      </c>
      <c r="H40" s="46">
        <v>696</v>
      </c>
      <c r="J40" s="42"/>
      <c r="K40" s="42"/>
      <c r="L40" s="42"/>
      <c r="M40" s="42"/>
      <c r="N40" s="42"/>
      <c r="O40" s="42"/>
    </row>
    <row r="41" spans="1:15" ht="14.5" x14ac:dyDescent="0.35">
      <c r="A41" s="27">
        <v>90</v>
      </c>
      <c r="B41" s="49" t="s">
        <v>78</v>
      </c>
      <c r="C41" s="48">
        <v>7039</v>
      </c>
      <c r="D41" s="48">
        <v>18493</v>
      </c>
      <c r="E41" s="48">
        <v>818</v>
      </c>
      <c r="F41" s="48">
        <v>6768</v>
      </c>
      <c r="G41" s="48">
        <v>2154</v>
      </c>
      <c r="H41" s="48">
        <v>7072</v>
      </c>
      <c r="J41" s="42"/>
      <c r="K41" s="42"/>
      <c r="L41" s="42"/>
      <c r="M41" s="42"/>
      <c r="N41" s="42"/>
      <c r="O41" s="42"/>
    </row>
    <row r="42" spans="1:15" x14ac:dyDescent="0.35">
      <c r="A42" s="27">
        <v>91</v>
      </c>
      <c r="B42" s="34" t="s">
        <v>43</v>
      </c>
      <c r="C42" s="46">
        <v>278</v>
      </c>
      <c r="D42" s="46">
        <v>2286.9699999999998</v>
      </c>
      <c r="E42" s="46">
        <v>17</v>
      </c>
      <c r="F42" s="46">
        <v>119.25</v>
      </c>
      <c r="G42" s="46">
        <v>111</v>
      </c>
      <c r="H42" s="46">
        <v>1367.67</v>
      </c>
      <c r="J42" s="42"/>
      <c r="K42" s="42"/>
      <c r="L42" s="42"/>
      <c r="M42" s="42"/>
      <c r="N42" s="42"/>
      <c r="O42" s="42"/>
    </row>
    <row r="43" spans="1:15" x14ac:dyDescent="0.35">
      <c r="A43" s="27">
        <v>92</v>
      </c>
      <c r="B43" s="34" t="s">
        <v>44</v>
      </c>
      <c r="C43" s="46">
        <v>372</v>
      </c>
      <c r="D43" s="46">
        <v>7719</v>
      </c>
      <c r="E43" s="46">
        <v>240</v>
      </c>
      <c r="F43" s="46">
        <v>4485</v>
      </c>
      <c r="G43" s="46">
        <v>132</v>
      </c>
      <c r="H43" s="46">
        <v>3234</v>
      </c>
      <c r="J43" s="42"/>
      <c r="K43" s="42"/>
      <c r="L43" s="42"/>
      <c r="M43" s="42"/>
      <c r="N43" s="42"/>
      <c r="O43" s="42"/>
    </row>
    <row r="44" spans="1:15" x14ac:dyDescent="0.35">
      <c r="A44" s="27">
        <v>94</v>
      </c>
      <c r="B44" s="34" t="s">
        <v>46</v>
      </c>
      <c r="C44" s="46">
        <v>1111</v>
      </c>
      <c r="D44" s="46">
        <v>5871</v>
      </c>
      <c r="E44" s="46">
        <v>849</v>
      </c>
      <c r="F44" s="46">
        <v>4975</v>
      </c>
      <c r="G44" s="46">
        <v>127</v>
      </c>
      <c r="H44" s="46">
        <v>896</v>
      </c>
      <c r="J44" s="42"/>
      <c r="K44" s="42"/>
      <c r="L44" s="42"/>
      <c r="M44" s="42"/>
      <c r="N44" s="42"/>
      <c r="O44" s="42"/>
    </row>
    <row r="45" spans="1:15" ht="14.5" x14ac:dyDescent="0.35">
      <c r="A45" s="27">
        <v>96</v>
      </c>
      <c r="B45" s="49" t="s">
        <v>79</v>
      </c>
      <c r="C45" s="46">
        <v>2320</v>
      </c>
      <c r="D45" s="46">
        <v>9003.75</v>
      </c>
      <c r="E45" s="46">
        <v>246</v>
      </c>
      <c r="F45" s="46">
        <v>3948.75</v>
      </c>
      <c r="G45" s="46">
        <v>149</v>
      </c>
      <c r="H45" s="46">
        <v>527</v>
      </c>
      <c r="J45" s="42"/>
      <c r="K45" s="42"/>
      <c r="L45" s="42"/>
      <c r="M45" s="42"/>
      <c r="N45" s="42"/>
      <c r="O45" s="42"/>
    </row>
    <row r="46" spans="1:15" x14ac:dyDescent="0.35">
      <c r="A46" s="27">
        <v>98</v>
      </c>
      <c r="B46" s="34" t="s">
        <v>50</v>
      </c>
      <c r="C46" s="46">
        <v>245</v>
      </c>
      <c r="D46" s="46">
        <v>2624</v>
      </c>
      <c r="E46" s="46">
        <v>25</v>
      </c>
      <c r="F46" s="46">
        <v>145</v>
      </c>
      <c r="G46" s="46">
        <v>220</v>
      </c>
      <c r="H46" s="46">
        <v>2479</v>
      </c>
      <c r="J46" s="42"/>
      <c r="K46" s="42"/>
      <c r="L46" s="42"/>
      <c r="M46" s="42"/>
      <c r="N46" s="42"/>
      <c r="O46" s="42"/>
    </row>
    <row r="47" spans="1:15" x14ac:dyDescent="0.35">
      <c r="A47" s="27">
        <v>72</v>
      </c>
      <c r="B47" s="34" t="s">
        <v>28</v>
      </c>
      <c r="C47" s="46">
        <v>6</v>
      </c>
      <c r="D47" s="46">
        <v>46</v>
      </c>
      <c r="E47" s="48">
        <v>1</v>
      </c>
      <c r="F47" s="48">
        <v>17</v>
      </c>
      <c r="G47" s="48">
        <v>1</v>
      </c>
      <c r="H47" s="48">
        <v>11</v>
      </c>
      <c r="J47" s="42"/>
      <c r="K47" s="42"/>
      <c r="L47" s="42"/>
      <c r="M47" s="42"/>
      <c r="N47" s="42"/>
      <c r="O47" s="42"/>
    </row>
    <row r="48" spans="1:15" s="43" customFormat="1" ht="26.25" customHeight="1" x14ac:dyDescent="0.35">
      <c r="B48" s="43" t="s">
        <v>56</v>
      </c>
      <c r="C48" s="50">
        <v>31852</v>
      </c>
      <c r="D48" s="50">
        <v>198682.99</v>
      </c>
      <c r="E48" s="50">
        <v>19522</v>
      </c>
      <c r="F48" s="50">
        <v>134571.62</v>
      </c>
      <c r="G48" s="50">
        <v>10293</v>
      </c>
      <c r="H48" s="50">
        <v>52184</v>
      </c>
      <c r="J48" s="42"/>
      <c r="K48" s="42"/>
      <c r="L48" s="42"/>
      <c r="M48" s="42"/>
      <c r="N48" s="42"/>
      <c r="O48" s="42"/>
    </row>
    <row r="49" spans="1:15" x14ac:dyDescent="0.35">
      <c r="A49" s="27">
        <v>66</v>
      </c>
      <c r="B49" s="34" t="s">
        <v>22</v>
      </c>
      <c r="C49" s="48">
        <v>3045</v>
      </c>
      <c r="D49" s="46">
        <v>18996</v>
      </c>
      <c r="E49" s="48">
        <v>73</v>
      </c>
      <c r="F49" s="46">
        <v>500</v>
      </c>
      <c r="G49" s="48">
        <v>3648</v>
      </c>
      <c r="H49" s="46">
        <v>18496</v>
      </c>
      <c r="J49" s="42"/>
      <c r="K49" s="42"/>
      <c r="L49" s="42"/>
      <c r="M49" s="42"/>
      <c r="N49" s="42"/>
      <c r="O49" s="42"/>
    </row>
    <row r="50" spans="1:15" x14ac:dyDescent="0.35">
      <c r="A50" s="27">
        <v>78</v>
      </c>
      <c r="B50" s="34" t="s">
        <v>33</v>
      </c>
      <c r="C50" s="46">
        <v>4010</v>
      </c>
      <c r="D50" s="46">
        <v>23490</v>
      </c>
      <c r="E50" s="46">
        <v>2410</v>
      </c>
      <c r="F50" s="46">
        <v>15272</v>
      </c>
      <c r="G50" s="46">
        <v>1600</v>
      </c>
      <c r="H50" s="46">
        <v>8218</v>
      </c>
      <c r="J50" s="42"/>
      <c r="K50" s="42"/>
      <c r="L50" s="42"/>
      <c r="M50" s="42"/>
      <c r="N50" s="42"/>
      <c r="O50" s="42"/>
    </row>
    <row r="51" spans="1:15" x14ac:dyDescent="0.35">
      <c r="A51" s="27">
        <v>89</v>
      </c>
      <c r="B51" s="34" t="s">
        <v>41</v>
      </c>
      <c r="C51" s="46">
        <v>2705</v>
      </c>
      <c r="D51" s="46">
        <v>11206.99</v>
      </c>
      <c r="E51" s="46">
        <v>868</v>
      </c>
      <c r="F51" s="46">
        <v>7284.62</v>
      </c>
      <c r="G51" s="46">
        <v>1204</v>
      </c>
      <c r="H51" s="46">
        <v>1101</v>
      </c>
      <c r="J51" s="42"/>
      <c r="K51" s="42"/>
      <c r="L51" s="42"/>
      <c r="M51" s="42"/>
      <c r="N51" s="42"/>
      <c r="O51" s="42"/>
    </row>
    <row r="52" spans="1:15" x14ac:dyDescent="0.35">
      <c r="A52" s="27">
        <v>93</v>
      </c>
      <c r="B52" s="34" t="s">
        <v>57</v>
      </c>
      <c r="C52" s="46">
        <v>3752</v>
      </c>
      <c r="D52" s="46">
        <v>22591</v>
      </c>
      <c r="E52" s="46">
        <v>406</v>
      </c>
      <c r="F52" s="46">
        <v>2080</v>
      </c>
      <c r="G52" s="46">
        <v>2305</v>
      </c>
      <c r="H52" s="46">
        <v>19943</v>
      </c>
      <c r="J52" s="42"/>
      <c r="K52" s="42"/>
      <c r="L52" s="42"/>
      <c r="M52" s="42"/>
      <c r="N52" s="42"/>
      <c r="O52" s="42"/>
    </row>
    <row r="53" spans="1:15" x14ac:dyDescent="0.35">
      <c r="A53" s="27">
        <v>95</v>
      </c>
      <c r="B53" s="34" t="s">
        <v>47</v>
      </c>
      <c r="C53" s="46">
        <v>13484</v>
      </c>
      <c r="D53" s="46">
        <v>62517</v>
      </c>
      <c r="E53" s="46">
        <v>12966</v>
      </c>
      <c r="F53" s="46">
        <v>61740</v>
      </c>
      <c r="G53" s="46">
        <v>518</v>
      </c>
      <c r="H53" s="46">
        <v>777</v>
      </c>
      <c r="J53" s="42"/>
      <c r="K53" s="42"/>
      <c r="L53" s="42"/>
      <c r="M53" s="42"/>
      <c r="N53" s="42"/>
      <c r="O53" s="42"/>
    </row>
    <row r="54" spans="1:15" x14ac:dyDescent="0.35">
      <c r="A54" s="27">
        <v>97</v>
      </c>
      <c r="B54" s="34" t="s">
        <v>49</v>
      </c>
      <c r="C54" s="46">
        <v>3311</v>
      </c>
      <c r="D54" s="46">
        <v>19374</v>
      </c>
      <c r="E54" s="46">
        <v>2051</v>
      </c>
      <c r="F54" s="46">
        <v>9675</v>
      </c>
      <c r="G54" s="46">
        <v>221</v>
      </c>
      <c r="H54" s="46">
        <v>1161</v>
      </c>
      <c r="J54" s="42"/>
      <c r="K54" s="42"/>
      <c r="L54" s="42"/>
      <c r="M54" s="42"/>
      <c r="N54" s="42"/>
      <c r="O54" s="42"/>
    </row>
    <row r="55" spans="1:15" x14ac:dyDescent="0.35">
      <c r="A55" s="27">
        <v>77</v>
      </c>
      <c r="B55" s="37" t="s">
        <v>21</v>
      </c>
      <c r="C55" s="46">
        <v>1545</v>
      </c>
      <c r="D55" s="46">
        <v>40508</v>
      </c>
      <c r="E55" s="46">
        <v>748</v>
      </c>
      <c r="F55" s="46">
        <v>38020</v>
      </c>
      <c r="G55" s="46">
        <v>797</v>
      </c>
      <c r="H55" s="46">
        <v>2488</v>
      </c>
      <c r="J55" s="42"/>
      <c r="K55" s="42"/>
      <c r="L55" s="42"/>
      <c r="M55" s="42"/>
      <c r="N55" s="42"/>
      <c r="O55" s="42"/>
    </row>
    <row r="57" spans="1:15" ht="27.75" customHeight="1" x14ac:dyDescent="0.35">
      <c r="B57" s="106" t="s">
        <v>80</v>
      </c>
      <c r="C57" s="107"/>
      <c r="D57" s="107"/>
      <c r="E57" s="107"/>
      <c r="F57" s="107"/>
      <c r="G57" s="107"/>
      <c r="H57" s="107"/>
    </row>
    <row r="58" spans="1:15" ht="27.75" customHeight="1" x14ac:dyDescent="0.35">
      <c r="B58" s="106" t="s">
        <v>81</v>
      </c>
      <c r="C58" s="107"/>
      <c r="D58" s="107"/>
      <c r="E58" s="107"/>
      <c r="F58" s="107"/>
      <c r="G58" s="107"/>
      <c r="H58" s="107"/>
    </row>
    <row r="59" spans="1:15" ht="13.5" customHeight="1" x14ac:dyDescent="0.35">
      <c r="B59" s="34" t="s">
        <v>82</v>
      </c>
      <c r="C59" s="28"/>
      <c r="D59" s="28"/>
      <c r="E59" s="28"/>
      <c r="F59" s="28"/>
      <c r="G59" s="28"/>
      <c r="H59" s="28"/>
    </row>
    <row r="60" spans="1:15" ht="13.5" customHeight="1" x14ac:dyDescent="0.35">
      <c r="B60" s="51" t="s">
        <v>83</v>
      </c>
      <c r="C60" s="28"/>
      <c r="D60" s="28"/>
      <c r="E60" s="28"/>
      <c r="F60" s="28"/>
      <c r="G60" s="28"/>
      <c r="H60" s="28"/>
    </row>
    <row r="61" spans="1:15" x14ac:dyDescent="0.35">
      <c r="B61" s="51" t="s">
        <v>84</v>
      </c>
    </row>
    <row r="63" spans="1:15" x14ac:dyDescent="0.35">
      <c r="B63" s="52" t="s">
        <v>85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P68"/>
  <sheetViews>
    <sheetView showGridLines="0" zoomScale="85" zoomScaleNormal="85" workbookViewId="0">
      <pane xSplit="2" ySplit="3" topLeftCell="C31" activePane="bottomRight" state="frozen"/>
      <selection activeCell="A65" sqref="A65:I65"/>
      <selection pane="topRight" activeCell="A65" sqref="A65:I65"/>
      <selection pane="bottomLeft" activeCell="A65" sqref="A65:I65"/>
      <selection pane="bottomRight" activeCell="C20" sqref="C20"/>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9.0898437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9.0898437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9.0898437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9.0898437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9.0898437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9.0898437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9.0898437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9.0898437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9.0898437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9.0898437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9.0898437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9.0898437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9.0898437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9.0898437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9.0898437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9.0898437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9.0898437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9.0898437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9.0898437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9.0898437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9.0898437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9.0898437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9.0898437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9.0898437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9.0898437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9.0898437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9.0898437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9.0898437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9.0898437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9.0898437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9.0898437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9.0898437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9.0898437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9.0898437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9.0898437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9.0898437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9.0898437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9.0898437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9.0898437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9.0898437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9.0898437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9.0898437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9.0898437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9.0898437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9.0898437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9.0898437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9.0898437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9.0898437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9.0898437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9.0898437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9.0898437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9.0898437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9.0898437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9.0898437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9.0898437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9.0898437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9.0898437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9.0898437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9.0898437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9.0898437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9.0898437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9.0898437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9.0898437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9.08984375" style="34"/>
  </cols>
  <sheetData>
    <row r="1" spans="1:16" ht="33.75" customHeight="1" x14ac:dyDescent="0.35">
      <c r="B1" s="118" t="s">
        <v>130</v>
      </c>
      <c r="C1" s="116"/>
      <c r="D1" s="116"/>
      <c r="E1" s="116"/>
      <c r="F1" s="116"/>
      <c r="G1" s="116"/>
      <c r="H1" s="117"/>
    </row>
    <row r="2" spans="1:16" s="35" customFormat="1" ht="39.75" customHeight="1" x14ac:dyDescent="0.35">
      <c r="B2" s="36"/>
      <c r="C2" s="109" t="s">
        <v>67</v>
      </c>
      <c r="D2" s="109"/>
      <c r="E2" s="110" t="s">
        <v>68</v>
      </c>
      <c r="F2" s="110"/>
      <c r="G2" s="110" t="s">
        <v>69</v>
      </c>
      <c r="H2" s="110"/>
    </row>
    <row r="3" spans="1:16" ht="42.75" customHeight="1" x14ac:dyDescent="0.35">
      <c r="B3" s="37"/>
      <c r="C3" s="38" t="s">
        <v>70</v>
      </c>
      <c r="D3" s="38" t="s">
        <v>71</v>
      </c>
      <c r="E3" s="38" t="s">
        <v>70</v>
      </c>
      <c r="F3" s="38" t="s">
        <v>71</v>
      </c>
      <c r="G3" s="38" t="s">
        <v>70</v>
      </c>
      <c r="H3" s="38" t="s">
        <v>71</v>
      </c>
    </row>
    <row r="4" spans="1:16" ht="18" hidden="1" customHeight="1" x14ac:dyDescent="0.35">
      <c r="C4" s="39" t="s">
        <v>72</v>
      </c>
      <c r="D4" s="39" t="s">
        <v>72</v>
      </c>
      <c r="E4" s="39" t="s">
        <v>73</v>
      </c>
      <c r="F4" s="39" t="s">
        <v>73</v>
      </c>
      <c r="G4" s="39" t="s">
        <v>74</v>
      </c>
      <c r="H4" s="39" t="s">
        <v>74</v>
      </c>
    </row>
    <row r="5" spans="1:16" ht="15.75" hidden="1" customHeight="1" x14ac:dyDescent="0.35">
      <c r="C5" s="39" t="s">
        <v>75</v>
      </c>
      <c r="D5" s="39" t="s">
        <v>76</v>
      </c>
      <c r="E5" s="39" t="s">
        <v>75</v>
      </c>
      <c r="F5" s="39" t="s">
        <v>76</v>
      </c>
      <c r="G5" s="39" t="s">
        <v>75</v>
      </c>
      <c r="H5" s="39" t="s">
        <v>76</v>
      </c>
    </row>
    <row r="6" spans="1:16" ht="26.25" customHeight="1" x14ac:dyDescent="0.35">
      <c r="B6" s="40" t="s">
        <v>77</v>
      </c>
      <c r="C6" s="41">
        <f t="shared" ref="C6:H6" si="0">C7+C48</f>
        <v>135719</v>
      </c>
      <c r="D6" s="41">
        <f t="shared" si="0"/>
        <v>585250.80000000005</v>
      </c>
      <c r="E6" s="41">
        <f t="shared" si="0"/>
        <v>21270</v>
      </c>
      <c r="F6" s="41">
        <f t="shared" si="0"/>
        <v>287150.59999999998</v>
      </c>
      <c r="G6" s="41">
        <f t="shared" si="0"/>
        <v>22813</v>
      </c>
      <c r="H6" s="41">
        <f t="shared" si="0"/>
        <v>124405.96333333332</v>
      </c>
      <c r="J6" s="42"/>
      <c r="K6" s="42"/>
      <c r="L6" s="42"/>
      <c r="M6" s="42"/>
      <c r="N6" s="42"/>
      <c r="O6" s="42"/>
      <c r="P6" s="42"/>
    </row>
    <row r="7" spans="1:16" s="43" customFormat="1" ht="26.25" customHeight="1" x14ac:dyDescent="0.35">
      <c r="A7" s="26"/>
      <c r="B7" s="43" t="s">
        <v>52</v>
      </c>
      <c r="C7" s="44">
        <f t="shared" ref="C7:H7" si="1">SUM(C8:C47)</f>
        <v>115184</v>
      </c>
      <c r="D7" s="44">
        <f t="shared" si="1"/>
        <v>406386.3</v>
      </c>
      <c r="E7" s="44">
        <f t="shared" si="1"/>
        <v>14900</v>
      </c>
      <c r="F7" s="44">
        <f t="shared" si="1"/>
        <v>176160.09999999998</v>
      </c>
      <c r="G7" s="44">
        <f t="shared" si="1"/>
        <v>16918</v>
      </c>
      <c r="H7" s="44">
        <f t="shared" si="1"/>
        <v>80035.963333333319</v>
      </c>
      <c r="J7" s="42"/>
      <c r="K7" s="42"/>
      <c r="L7" s="45"/>
      <c r="M7" s="42"/>
      <c r="N7" s="42"/>
      <c r="O7" s="42"/>
    </row>
    <row r="8" spans="1:16" x14ac:dyDescent="0.35">
      <c r="A8" s="27">
        <v>51</v>
      </c>
      <c r="B8" s="34" t="s">
        <v>5</v>
      </c>
      <c r="C8" s="46">
        <v>7022</v>
      </c>
      <c r="D8" s="46">
        <v>2380</v>
      </c>
      <c r="E8" s="46">
        <v>127</v>
      </c>
      <c r="F8" s="46">
        <v>578</v>
      </c>
      <c r="G8" s="46">
        <v>185</v>
      </c>
      <c r="H8" s="46">
        <v>345</v>
      </c>
      <c r="J8" s="42"/>
      <c r="K8" s="42"/>
      <c r="L8" s="42"/>
      <c r="M8" s="42"/>
      <c r="N8" s="42"/>
      <c r="O8" s="42"/>
    </row>
    <row r="9" spans="1:16" x14ac:dyDescent="0.35">
      <c r="A9" s="27">
        <v>52</v>
      </c>
      <c r="B9" s="34" t="s">
        <v>6</v>
      </c>
      <c r="C9" s="46">
        <v>983</v>
      </c>
      <c r="D9" s="46">
        <v>8211</v>
      </c>
      <c r="E9" s="61">
        <v>0</v>
      </c>
      <c r="F9" s="61">
        <v>0</v>
      </c>
      <c r="G9" s="46">
        <v>380</v>
      </c>
      <c r="H9" s="46">
        <v>3641</v>
      </c>
      <c r="J9" s="42"/>
      <c r="K9" s="42"/>
      <c r="L9" s="42"/>
      <c r="M9" s="42"/>
      <c r="N9" s="42"/>
      <c r="O9" s="42"/>
    </row>
    <row r="10" spans="1:16" x14ac:dyDescent="0.35">
      <c r="A10" s="27">
        <v>86</v>
      </c>
      <c r="B10" s="34" t="s">
        <v>7</v>
      </c>
      <c r="C10" s="46">
        <v>1347</v>
      </c>
      <c r="D10" s="46">
        <v>5983</v>
      </c>
      <c r="E10" s="46">
        <v>200</v>
      </c>
      <c r="F10" s="46">
        <v>600</v>
      </c>
      <c r="G10" s="46">
        <v>470</v>
      </c>
      <c r="H10" s="46">
        <v>2290</v>
      </c>
      <c r="J10" s="42"/>
      <c r="K10" s="42"/>
      <c r="L10" s="42"/>
      <c r="M10" s="42"/>
      <c r="N10" s="42"/>
      <c r="O10" s="42"/>
    </row>
    <row r="11" spans="1:16" x14ac:dyDescent="0.35">
      <c r="A11" s="27">
        <v>53</v>
      </c>
      <c r="B11" s="34" t="s">
        <v>8</v>
      </c>
      <c r="C11" s="46">
        <v>832</v>
      </c>
      <c r="D11" s="46">
        <v>4100</v>
      </c>
      <c r="E11" s="46">
        <v>70</v>
      </c>
      <c r="F11" s="46">
        <v>317</v>
      </c>
      <c r="G11" s="46">
        <v>398</v>
      </c>
      <c r="H11" s="46">
        <v>1100</v>
      </c>
      <c r="J11" s="42"/>
      <c r="K11" s="42"/>
      <c r="L11" s="42"/>
      <c r="M11" s="42"/>
      <c r="N11" s="42"/>
      <c r="O11" s="42"/>
    </row>
    <row r="12" spans="1:16" x14ac:dyDescent="0.35">
      <c r="A12" s="27">
        <v>54</v>
      </c>
      <c r="B12" s="34" t="s">
        <v>9</v>
      </c>
      <c r="C12" s="46">
        <v>866</v>
      </c>
      <c r="D12" s="46">
        <v>3301</v>
      </c>
      <c r="E12" s="46">
        <v>11</v>
      </c>
      <c r="F12" s="46">
        <v>50</v>
      </c>
      <c r="G12" s="46">
        <v>370</v>
      </c>
      <c r="H12" s="46">
        <v>1740</v>
      </c>
      <c r="J12" s="42"/>
      <c r="K12" s="42"/>
      <c r="L12" s="42"/>
      <c r="M12" s="42"/>
      <c r="N12" s="42"/>
      <c r="O12" s="42"/>
    </row>
    <row r="13" spans="1:16" x14ac:dyDescent="0.35">
      <c r="A13" s="27">
        <v>55</v>
      </c>
      <c r="B13" s="34" t="s">
        <v>10</v>
      </c>
      <c r="C13" s="46">
        <v>2303</v>
      </c>
      <c r="D13" s="46">
        <v>35446</v>
      </c>
      <c r="E13" s="46">
        <v>199</v>
      </c>
      <c r="F13" s="46">
        <v>19019</v>
      </c>
      <c r="G13" s="46">
        <v>1005</v>
      </c>
      <c r="H13" s="46">
        <v>4226</v>
      </c>
      <c r="J13" s="42"/>
      <c r="K13" s="42"/>
      <c r="L13" s="42"/>
      <c r="M13" s="42"/>
      <c r="N13" s="42"/>
      <c r="O13" s="42"/>
    </row>
    <row r="14" spans="1:16" x14ac:dyDescent="0.35">
      <c r="A14" s="27">
        <v>56</v>
      </c>
      <c r="B14" s="34" t="s">
        <v>11</v>
      </c>
      <c r="C14" s="46">
        <v>1567</v>
      </c>
      <c r="D14" s="46">
        <v>13466</v>
      </c>
      <c r="E14" s="46">
        <v>436</v>
      </c>
      <c r="F14" s="46">
        <v>3860</v>
      </c>
      <c r="G14" s="46">
        <v>1131</v>
      </c>
      <c r="H14" s="46">
        <v>9606</v>
      </c>
      <c r="J14" s="42"/>
      <c r="K14" s="42"/>
      <c r="L14" s="42"/>
      <c r="M14" s="42"/>
      <c r="N14" s="42"/>
      <c r="O14" s="42"/>
    </row>
    <row r="15" spans="1:16" x14ac:dyDescent="0.35">
      <c r="A15" s="27">
        <v>57</v>
      </c>
      <c r="B15" s="34" t="s">
        <v>12</v>
      </c>
      <c r="C15" s="46">
        <v>613</v>
      </c>
      <c r="D15" s="46">
        <v>4504</v>
      </c>
      <c r="E15" s="46">
        <v>26</v>
      </c>
      <c r="F15" s="46">
        <v>2670</v>
      </c>
      <c r="G15" s="46">
        <v>273</v>
      </c>
      <c r="H15" s="46">
        <v>915</v>
      </c>
      <c r="J15" s="42"/>
      <c r="K15" s="42"/>
      <c r="L15" s="42"/>
      <c r="M15" s="42"/>
      <c r="N15" s="42"/>
      <c r="O15" s="42"/>
    </row>
    <row r="16" spans="1:16" x14ac:dyDescent="0.35">
      <c r="A16" s="27">
        <v>59</v>
      </c>
      <c r="B16" s="34" t="s">
        <v>13</v>
      </c>
      <c r="C16" s="46">
        <v>861</v>
      </c>
      <c r="D16" s="61">
        <v>0</v>
      </c>
      <c r="E16" s="46">
        <v>104</v>
      </c>
      <c r="F16" s="61">
        <v>0</v>
      </c>
      <c r="G16" s="46">
        <v>343</v>
      </c>
      <c r="H16" s="61">
        <v>0</v>
      </c>
      <c r="J16" s="42"/>
      <c r="K16" s="42"/>
      <c r="L16" s="42"/>
      <c r="M16" s="42"/>
      <c r="N16" s="42"/>
      <c r="O16" s="42"/>
    </row>
    <row r="17" spans="1:15" x14ac:dyDescent="0.35">
      <c r="A17" s="27">
        <v>60</v>
      </c>
      <c r="B17" s="34" t="s">
        <v>14</v>
      </c>
      <c r="C17" s="46">
        <v>39280</v>
      </c>
      <c r="D17" s="46">
        <v>11294</v>
      </c>
      <c r="E17" s="46">
        <v>467</v>
      </c>
      <c r="F17" s="46">
        <v>1968</v>
      </c>
      <c r="G17" s="46">
        <v>354</v>
      </c>
      <c r="H17" s="46">
        <v>1282</v>
      </c>
      <c r="J17" s="42"/>
      <c r="K17" s="42"/>
      <c r="L17" s="42"/>
      <c r="M17" s="42"/>
      <c r="N17" s="42"/>
      <c r="O17" s="42"/>
    </row>
    <row r="18" spans="1:15" x14ac:dyDescent="0.35">
      <c r="A18" s="27">
        <v>61</v>
      </c>
      <c r="B18" s="47" t="s">
        <v>53</v>
      </c>
      <c r="C18" s="46">
        <v>3488</v>
      </c>
      <c r="D18" s="46">
        <v>10131</v>
      </c>
      <c r="E18" s="46">
        <v>222</v>
      </c>
      <c r="F18" s="46">
        <v>725</v>
      </c>
      <c r="G18" s="46">
        <v>1344</v>
      </c>
      <c r="H18" s="46">
        <v>2879</v>
      </c>
      <c r="J18" s="42"/>
      <c r="K18" s="42"/>
      <c r="L18" s="42"/>
      <c r="M18" s="42"/>
      <c r="N18" s="42"/>
      <c r="O18" s="42"/>
    </row>
    <row r="19" spans="1:15" x14ac:dyDescent="0.35">
      <c r="A19" s="27"/>
      <c r="B19" s="47" t="s">
        <v>131</v>
      </c>
      <c r="C19" s="46" t="s">
        <v>132</v>
      </c>
      <c r="D19" s="46" t="s">
        <v>132</v>
      </c>
      <c r="E19" s="46" t="s">
        <v>132</v>
      </c>
      <c r="F19" s="46" t="s">
        <v>132</v>
      </c>
      <c r="G19" s="46" t="s">
        <v>132</v>
      </c>
      <c r="H19" s="46" t="s">
        <v>132</v>
      </c>
      <c r="J19" s="42"/>
      <c r="K19" s="42"/>
      <c r="L19" s="42"/>
      <c r="M19" s="42"/>
      <c r="N19" s="42"/>
      <c r="O19" s="42"/>
    </row>
    <row r="20" spans="1:15" x14ac:dyDescent="0.35">
      <c r="A20" s="27">
        <v>62</v>
      </c>
      <c r="B20" s="34" t="s">
        <v>16</v>
      </c>
      <c r="C20" s="46">
        <v>302</v>
      </c>
      <c r="D20" s="46">
        <v>8505</v>
      </c>
      <c r="E20" s="46">
        <v>152</v>
      </c>
      <c r="F20" s="46">
        <v>5271</v>
      </c>
      <c r="G20" s="46">
        <v>150</v>
      </c>
      <c r="H20" s="46">
        <v>763</v>
      </c>
      <c r="J20" s="42"/>
      <c r="K20" s="42"/>
      <c r="L20" s="42"/>
      <c r="M20" s="42"/>
      <c r="N20" s="42"/>
      <c r="O20" s="42"/>
    </row>
    <row r="21" spans="1:15" x14ac:dyDescent="0.35">
      <c r="A21" s="27">
        <v>58</v>
      </c>
      <c r="B21" s="34" t="s">
        <v>17</v>
      </c>
      <c r="C21" s="46">
        <v>330</v>
      </c>
      <c r="D21" s="46">
        <v>925</v>
      </c>
      <c r="E21" s="46">
        <v>42</v>
      </c>
      <c r="F21" s="46">
        <v>123</v>
      </c>
      <c r="G21" s="46">
        <v>195</v>
      </c>
      <c r="H21" s="46">
        <v>552</v>
      </c>
      <c r="J21" s="42"/>
      <c r="K21" s="42"/>
      <c r="L21" s="42"/>
      <c r="M21" s="42"/>
      <c r="N21" s="42"/>
      <c r="O21" s="42"/>
    </row>
    <row r="22" spans="1:15" x14ac:dyDescent="0.35">
      <c r="A22" s="27">
        <v>63</v>
      </c>
      <c r="B22" s="34" t="s">
        <v>18</v>
      </c>
      <c r="C22" s="46">
        <v>1549</v>
      </c>
      <c r="D22" s="46">
        <v>10153</v>
      </c>
      <c r="E22" s="46">
        <v>84</v>
      </c>
      <c r="F22" s="46">
        <v>493.05</v>
      </c>
      <c r="G22" s="46">
        <v>178</v>
      </c>
      <c r="H22" s="46">
        <v>1689.73</v>
      </c>
      <c r="J22" s="42"/>
      <c r="K22" s="42"/>
      <c r="L22" s="42"/>
      <c r="M22" s="42"/>
      <c r="N22" s="42"/>
      <c r="O22" s="42"/>
    </row>
    <row r="23" spans="1:15" x14ac:dyDescent="0.35">
      <c r="A23" s="27">
        <v>64</v>
      </c>
      <c r="B23" s="34" t="s">
        <v>19</v>
      </c>
      <c r="C23" s="46">
        <v>2222</v>
      </c>
      <c r="D23" s="46">
        <v>15109</v>
      </c>
      <c r="E23" s="46">
        <v>86</v>
      </c>
      <c r="F23" s="46">
        <v>3753</v>
      </c>
      <c r="G23" s="46">
        <v>6</v>
      </c>
      <c r="H23" s="46">
        <v>3718</v>
      </c>
      <c r="J23" s="42"/>
      <c r="K23" s="42"/>
      <c r="L23" s="42"/>
      <c r="M23" s="42"/>
      <c r="N23" s="42"/>
      <c r="O23" s="42"/>
    </row>
    <row r="24" spans="1:15" x14ac:dyDescent="0.35">
      <c r="A24" s="27">
        <v>65</v>
      </c>
      <c r="B24" s="34" t="s">
        <v>20</v>
      </c>
      <c r="C24" s="46">
        <v>876</v>
      </c>
      <c r="D24" s="46">
        <v>4879</v>
      </c>
      <c r="E24" s="61">
        <v>0</v>
      </c>
      <c r="F24" s="61">
        <v>0</v>
      </c>
      <c r="G24" s="46">
        <v>29</v>
      </c>
      <c r="H24" s="46">
        <v>203</v>
      </c>
      <c r="J24" s="42"/>
      <c r="K24" s="42"/>
      <c r="L24" s="42"/>
      <c r="M24" s="42"/>
      <c r="N24" s="42"/>
      <c r="O24" s="42"/>
    </row>
    <row r="25" spans="1:15" x14ac:dyDescent="0.35">
      <c r="A25" s="27">
        <v>67</v>
      </c>
      <c r="B25" s="34" t="s">
        <v>23</v>
      </c>
      <c r="C25" s="46">
        <v>811</v>
      </c>
      <c r="D25" s="46">
        <v>12720</v>
      </c>
      <c r="E25" s="46">
        <v>118</v>
      </c>
      <c r="F25" s="46">
        <v>5968</v>
      </c>
      <c r="G25" s="46">
        <v>135</v>
      </c>
      <c r="H25" s="46">
        <v>797</v>
      </c>
      <c r="J25" s="42"/>
      <c r="K25" s="42"/>
      <c r="L25" s="42"/>
      <c r="M25" s="42"/>
      <c r="N25" s="42"/>
      <c r="O25" s="42"/>
    </row>
    <row r="26" spans="1:15" x14ac:dyDescent="0.35">
      <c r="A26" s="27">
        <v>68</v>
      </c>
      <c r="B26" s="34" t="s">
        <v>54</v>
      </c>
      <c r="C26" s="46">
        <v>514</v>
      </c>
      <c r="D26" s="46">
        <v>3043</v>
      </c>
      <c r="E26" s="46">
        <v>60</v>
      </c>
      <c r="F26" s="46">
        <v>262</v>
      </c>
      <c r="G26" s="46">
        <v>126</v>
      </c>
      <c r="H26" s="46">
        <v>1673</v>
      </c>
      <c r="J26" s="42"/>
      <c r="K26" s="42"/>
      <c r="L26" s="42"/>
      <c r="M26" s="42"/>
      <c r="N26" s="42"/>
      <c r="O26" s="42"/>
    </row>
    <row r="27" spans="1:15" x14ac:dyDescent="0.35">
      <c r="A27" s="27">
        <v>69</v>
      </c>
      <c r="B27" s="34" t="s">
        <v>25</v>
      </c>
      <c r="C27" s="46">
        <v>14800</v>
      </c>
      <c r="D27" s="46">
        <v>121595</v>
      </c>
      <c r="E27" s="46">
        <v>5703</v>
      </c>
      <c r="F27" s="46">
        <v>68896</v>
      </c>
      <c r="G27" s="46">
        <v>3051</v>
      </c>
      <c r="H27" s="46">
        <v>11503</v>
      </c>
      <c r="J27" s="42"/>
      <c r="K27" s="42"/>
      <c r="L27" s="42"/>
      <c r="M27" s="42"/>
      <c r="N27" s="42"/>
      <c r="O27" s="42"/>
    </row>
    <row r="28" spans="1:15" x14ac:dyDescent="0.35">
      <c r="A28" s="27">
        <v>70</v>
      </c>
      <c r="B28" s="34" t="s">
        <v>26</v>
      </c>
      <c r="C28" s="46">
        <v>1054</v>
      </c>
      <c r="D28" s="46">
        <v>3092</v>
      </c>
      <c r="E28" s="46">
        <v>338</v>
      </c>
      <c r="F28" s="46">
        <v>1330</v>
      </c>
      <c r="G28" s="46">
        <v>216</v>
      </c>
      <c r="H28" s="46">
        <v>550</v>
      </c>
      <c r="J28" s="42"/>
      <c r="K28" s="42"/>
      <c r="L28" s="42"/>
      <c r="M28" s="42"/>
      <c r="N28" s="42"/>
      <c r="O28" s="42"/>
    </row>
    <row r="29" spans="1:15" x14ac:dyDescent="0.35">
      <c r="A29" s="27">
        <v>71</v>
      </c>
      <c r="B29" s="34" t="s">
        <v>55</v>
      </c>
      <c r="C29" s="46">
        <v>140</v>
      </c>
      <c r="D29" s="46">
        <v>1315</v>
      </c>
      <c r="E29" s="46">
        <v>60</v>
      </c>
      <c r="F29" s="46">
        <v>1210</v>
      </c>
      <c r="G29" s="46">
        <v>80</v>
      </c>
      <c r="H29" s="46">
        <v>104.7</v>
      </c>
      <c r="J29" s="42"/>
      <c r="K29" s="42"/>
      <c r="L29" s="42"/>
      <c r="M29" s="42"/>
      <c r="N29" s="42"/>
      <c r="O29" s="42"/>
    </row>
    <row r="30" spans="1:15" x14ac:dyDescent="0.35">
      <c r="A30" s="27">
        <v>73</v>
      </c>
      <c r="B30" s="34" t="s">
        <v>29</v>
      </c>
      <c r="C30" s="46">
        <v>2843</v>
      </c>
      <c r="D30" s="46">
        <v>10499</v>
      </c>
      <c r="E30" s="46">
        <v>575</v>
      </c>
      <c r="F30" s="46">
        <v>898</v>
      </c>
      <c r="G30" s="46">
        <v>178</v>
      </c>
      <c r="H30" s="46">
        <v>276</v>
      </c>
      <c r="J30" s="42"/>
      <c r="K30" s="42"/>
      <c r="L30" s="42"/>
      <c r="M30" s="42"/>
      <c r="N30" s="42"/>
      <c r="O30" s="42"/>
    </row>
    <row r="31" spans="1:15" x14ac:dyDescent="0.35">
      <c r="A31" s="27">
        <v>74</v>
      </c>
      <c r="B31" s="34" t="s">
        <v>30</v>
      </c>
      <c r="C31" s="46">
        <v>5524</v>
      </c>
      <c r="D31" s="46">
        <v>15785</v>
      </c>
      <c r="E31" s="46">
        <v>1717</v>
      </c>
      <c r="F31" s="46">
        <v>5836</v>
      </c>
      <c r="G31" s="46">
        <v>1340</v>
      </c>
      <c r="H31" s="46">
        <v>4170</v>
      </c>
      <c r="J31" s="42"/>
      <c r="K31" s="42"/>
      <c r="L31" s="42"/>
      <c r="M31" s="42"/>
      <c r="N31" s="42"/>
      <c r="O31" s="42"/>
    </row>
    <row r="32" spans="1:15" x14ac:dyDescent="0.35">
      <c r="A32" s="27">
        <v>75</v>
      </c>
      <c r="B32" s="34" t="s">
        <v>31</v>
      </c>
      <c r="C32" s="46">
        <v>1969</v>
      </c>
      <c r="D32" s="46">
        <v>12545</v>
      </c>
      <c r="E32" s="46">
        <v>186</v>
      </c>
      <c r="F32" s="46">
        <v>1343</v>
      </c>
      <c r="G32" s="46">
        <v>806</v>
      </c>
      <c r="H32" s="46">
        <v>5767</v>
      </c>
      <c r="J32" s="42"/>
      <c r="K32" s="42"/>
      <c r="L32" s="42"/>
      <c r="M32" s="42"/>
      <c r="N32" s="42"/>
      <c r="O32" s="42"/>
    </row>
    <row r="33" spans="1:15" x14ac:dyDescent="0.35">
      <c r="A33" s="27">
        <v>76</v>
      </c>
      <c r="B33" s="34" t="s">
        <v>32</v>
      </c>
      <c r="C33" s="46">
        <v>360</v>
      </c>
      <c r="D33" s="46">
        <v>1300</v>
      </c>
      <c r="E33" s="46">
        <v>973</v>
      </c>
      <c r="F33" s="46">
        <v>17976</v>
      </c>
      <c r="G33" s="46">
        <v>157</v>
      </c>
      <c r="H33" s="46">
        <v>810</v>
      </c>
      <c r="J33" s="42"/>
      <c r="K33" s="42"/>
      <c r="L33" s="42"/>
      <c r="M33" s="42"/>
      <c r="N33" s="42"/>
      <c r="O33" s="42"/>
    </row>
    <row r="34" spans="1:15" x14ac:dyDescent="0.35">
      <c r="A34" s="27">
        <v>79</v>
      </c>
      <c r="B34" s="34" t="s">
        <v>34</v>
      </c>
      <c r="C34" s="46">
        <v>239</v>
      </c>
      <c r="D34" s="46">
        <v>434</v>
      </c>
      <c r="E34" s="46">
        <v>27</v>
      </c>
      <c r="F34" s="46">
        <v>54</v>
      </c>
      <c r="G34" s="46">
        <v>123</v>
      </c>
      <c r="H34" s="46">
        <v>291</v>
      </c>
      <c r="J34" s="42"/>
      <c r="K34" s="42"/>
      <c r="L34" s="42"/>
      <c r="M34" s="42"/>
      <c r="N34" s="42"/>
      <c r="O34" s="42"/>
    </row>
    <row r="35" spans="1:15" x14ac:dyDescent="0.35">
      <c r="A35" s="27">
        <v>80</v>
      </c>
      <c r="B35" s="34" t="s">
        <v>35</v>
      </c>
      <c r="C35" s="46">
        <v>1948</v>
      </c>
      <c r="D35" s="46">
        <v>6703</v>
      </c>
      <c r="E35" s="46">
        <v>94</v>
      </c>
      <c r="F35" s="46">
        <v>1013</v>
      </c>
      <c r="G35" s="46">
        <v>236</v>
      </c>
      <c r="H35" s="46">
        <v>794</v>
      </c>
      <c r="J35" s="42"/>
      <c r="K35" s="42"/>
      <c r="L35" s="42"/>
      <c r="M35" s="42"/>
      <c r="N35" s="42"/>
      <c r="O35" s="42"/>
    </row>
    <row r="36" spans="1:15" x14ac:dyDescent="0.35">
      <c r="A36" s="27">
        <v>81</v>
      </c>
      <c r="B36" s="34" t="s">
        <v>36</v>
      </c>
      <c r="C36" s="46">
        <v>972</v>
      </c>
      <c r="D36" s="46">
        <v>6081</v>
      </c>
      <c r="E36" s="46">
        <v>57</v>
      </c>
      <c r="F36" s="46">
        <v>2269</v>
      </c>
      <c r="G36" s="46">
        <v>163</v>
      </c>
      <c r="H36" s="46">
        <v>635</v>
      </c>
      <c r="J36" s="42"/>
      <c r="K36" s="42"/>
      <c r="L36" s="42"/>
      <c r="M36" s="42"/>
      <c r="N36" s="42"/>
      <c r="O36" s="42"/>
    </row>
    <row r="37" spans="1:15" x14ac:dyDescent="0.35">
      <c r="A37" s="27">
        <v>83</v>
      </c>
      <c r="B37" s="34" t="s">
        <v>37</v>
      </c>
      <c r="C37" s="46">
        <v>5140</v>
      </c>
      <c r="D37" s="46">
        <v>10904.25</v>
      </c>
      <c r="E37" s="46">
        <v>538</v>
      </c>
      <c r="F37" s="46">
        <v>6937.75</v>
      </c>
      <c r="G37" s="46">
        <v>270</v>
      </c>
      <c r="H37" s="46">
        <v>1393.5</v>
      </c>
      <c r="J37" s="42"/>
      <c r="K37" s="42"/>
      <c r="L37" s="42"/>
      <c r="M37" s="42"/>
      <c r="N37" s="42"/>
      <c r="O37" s="42"/>
    </row>
    <row r="38" spans="1:15" x14ac:dyDescent="0.35">
      <c r="A38" s="27">
        <v>84</v>
      </c>
      <c r="B38" s="34" t="s">
        <v>38</v>
      </c>
      <c r="C38" s="46">
        <v>6121</v>
      </c>
      <c r="D38" s="46">
        <v>16104</v>
      </c>
      <c r="E38" s="46">
        <v>287</v>
      </c>
      <c r="F38" s="46">
        <v>1739</v>
      </c>
      <c r="G38" s="46">
        <v>315</v>
      </c>
      <c r="H38" s="46">
        <v>2544</v>
      </c>
      <c r="J38" s="42"/>
      <c r="K38" s="42"/>
      <c r="L38" s="42"/>
      <c r="M38" s="42"/>
      <c r="N38" s="42"/>
      <c r="O38" s="42"/>
    </row>
    <row r="39" spans="1:15" x14ac:dyDescent="0.35">
      <c r="A39" s="27">
        <v>85</v>
      </c>
      <c r="B39" s="34" t="s">
        <v>39</v>
      </c>
      <c r="C39" s="46">
        <v>2397</v>
      </c>
      <c r="D39" s="46">
        <v>10505</v>
      </c>
      <c r="E39" s="46">
        <v>238</v>
      </c>
      <c r="F39" s="46">
        <v>4410</v>
      </c>
      <c r="G39" s="46">
        <v>1039</v>
      </c>
      <c r="H39" s="46">
        <v>4315</v>
      </c>
      <c r="J39" s="42"/>
      <c r="K39" s="42"/>
      <c r="L39" s="42"/>
      <c r="M39" s="42"/>
      <c r="N39" s="42"/>
      <c r="O39" s="42"/>
    </row>
    <row r="40" spans="1:15" x14ac:dyDescent="0.35">
      <c r="A40" s="27">
        <v>87</v>
      </c>
      <c r="B40" s="34" t="s">
        <v>40</v>
      </c>
      <c r="C40" s="46">
        <v>520</v>
      </c>
      <c r="D40" s="46">
        <v>3501</v>
      </c>
      <c r="E40" s="46">
        <v>30</v>
      </c>
      <c r="F40" s="46">
        <v>180</v>
      </c>
      <c r="G40" s="46">
        <v>160</v>
      </c>
      <c r="H40" s="46">
        <v>552</v>
      </c>
      <c r="J40" s="42"/>
      <c r="K40" s="42"/>
      <c r="L40" s="42"/>
      <c r="M40" s="42"/>
      <c r="N40" s="42"/>
      <c r="O40" s="42"/>
    </row>
    <row r="41" spans="1:15" ht="14.5" x14ac:dyDescent="0.35">
      <c r="A41" s="27">
        <v>90</v>
      </c>
      <c r="B41" s="49" t="s">
        <v>78</v>
      </c>
      <c r="C41" s="61">
        <v>0</v>
      </c>
      <c r="D41" s="61">
        <v>0</v>
      </c>
      <c r="E41" s="61">
        <v>0</v>
      </c>
      <c r="F41" s="61">
        <v>0</v>
      </c>
      <c r="G41" s="61">
        <v>0</v>
      </c>
      <c r="H41" s="61">
        <v>0</v>
      </c>
      <c r="J41" s="42"/>
      <c r="K41" s="42"/>
      <c r="L41" s="42"/>
      <c r="M41" s="42"/>
      <c r="N41" s="42"/>
      <c r="O41" s="42"/>
    </row>
    <row r="42" spans="1:15" x14ac:dyDescent="0.35">
      <c r="A42" s="27">
        <v>91</v>
      </c>
      <c r="B42" s="34" t="s">
        <v>43</v>
      </c>
      <c r="C42" s="46">
        <v>314</v>
      </c>
      <c r="D42" s="46">
        <v>3651.3</v>
      </c>
      <c r="E42" s="46">
        <v>25</v>
      </c>
      <c r="F42" s="46">
        <v>210.3</v>
      </c>
      <c r="G42" s="46">
        <v>120</v>
      </c>
      <c r="H42" s="46">
        <v>2185.7833333333301</v>
      </c>
      <c r="J42" s="42"/>
      <c r="K42" s="42"/>
      <c r="L42" s="42"/>
      <c r="M42" s="42"/>
      <c r="N42" s="42"/>
      <c r="O42" s="42"/>
    </row>
    <row r="43" spans="1:15" x14ac:dyDescent="0.35">
      <c r="A43" s="27">
        <v>92</v>
      </c>
      <c r="B43" s="34" t="s">
        <v>44</v>
      </c>
      <c r="C43" s="46">
        <v>539</v>
      </c>
      <c r="D43" s="46">
        <v>10003.5</v>
      </c>
      <c r="E43" s="46">
        <v>399</v>
      </c>
      <c r="F43" s="46">
        <v>8729.5</v>
      </c>
      <c r="G43" s="46">
        <v>140</v>
      </c>
      <c r="H43" s="46">
        <v>1274</v>
      </c>
      <c r="J43" s="42"/>
      <c r="K43" s="42"/>
      <c r="L43" s="42"/>
      <c r="M43" s="42"/>
      <c r="N43" s="42"/>
      <c r="O43" s="42"/>
    </row>
    <row r="44" spans="1:15" x14ac:dyDescent="0.35">
      <c r="A44" s="27">
        <v>94</v>
      </c>
      <c r="B44" s="34" t="s">
        <v>46</v>
      </c>
      <c r="C44" s="46">
        <v>1771</v>
      </c>
      <c r="D44" s="46">
        <v>6600</v>
      </c>
      <c r="E44" s="46">
        <v>939</v>
      </c>
      <c r="F44" s="46">
        <v>3690</v>
      </c>
      <c r="G44" s="46">
        <v>832</v>
      </c>
      <c r="H44" s="46">
        <v>2909.5</v>
      </c>
      <c r="J44" s="42"/>
      <c r="K44" s="42"/>
      <c r="L44" s="42"/>
      <c r="M44" s="42"/>
      <c r="N44" s="42"/>
      <c r="O44" s="42"/>
    </row>
    <row r="45" spans="1:15" ht="14.5" x14ac:dyDescent="0.35">
      <c r="A45" s="27">
        <v>96</v>
      </c>
      <c r="B45" s="49" t="s">
        <v>79</v>
      </c>
      <c r="C45" s="46">
        <v>2484</v>
      </c>
      <c r="D45" s="46">
        <v>9971.25</v>
      </c>
      <c r="E45" s="46">
        <v>209</v>
      </c>
      <c r="F45" s="46">
        <v>3213.5</v>
      </c>
      <c r="G45" s="46">
        <v>440</v>
      </c>
      <c r="H45" s="46">
        <v>1466.25</v>
      </c>
      <c r="J45" s="42"/>
      <c r="K45" s="42"/>
      <c r="L45" s="42"/>
      <c r="M45" s="42"/>
      <c r="N45" s="42"/>
      <c r="O45" s="42"/>
    </row>
    <row r="46" spans="1:15" x14ac:dyDescent="0.35">
      <c r="A46" s="27">
        <v>98</v>
      </c>
      <c r="B46" s="34" t="s">
        <v>50</v>
      </c>
      <c r="C46" s="46">
        <v>280</v>
      </c>
      <c r="D46" s="46">
        <v>1642</v>
      </c>
      <c r="E46" s="46">
        <v>101</v>
      </c>
      <c r="F46" s="46">
        <v>568</v>
      </c>
      <c r="G46" s="46">
        <v>179</v>
      </c>
      <c r="H46" s="46">
        <v>1074</v>
      </c>
      <c r="J46" s="42"/>
      <c r="K46" s="42"/>
      <c r="L46" s="42"/>
      <c r="M46" s="42"/>
      <c r="N46" s="42"/>
      <c r="O46" s="42"/>
    </row>
    <row r="47" spans="1:15" x14ac:dyDescent="0.35">
      <c r="A47" s="27">
        <v>72</v>
      </c>
      <c r="B47" s="34" t="s">
        <v>28</v>
      </c>
      <c r="C47" s="46">
        <v>3</v>
      </c>
      <c r="D47" s="46">
        <v>5</v>
      </c>
      <c r="E47" s="46">
        <v>0</v>
      </c>
      <c r="F47" s="46">
        <v>0</v>
      </c>
      <c r="G47" s="46">
        <v>1</v>
      </c>
      <c r="H47" s="46">
        <v>1.5</v>
      </c>
      <c r="J47" s="42"/>
      <c r="K47" s="42"/>
      <c r="L47" s="42"/>
      <c r="M47" s="42"/>
      <c r="N47" s="42"/>
      <c r="O47" s="42"/>
    </row>
    <row r="48" spans="1:15" s="43" customFormat="1" ht="26.25" customHeight="1" x14ac:dyDescent="0.35">
      <c r="B48" s="43" t="s">
        <v>56</v>
      </c>
      <c r="C48" s="50">
        <f t="shared" ref="C48:H48" si="2">SUM(C49:C55)</f>
        <v>20535</v>
      </c>
      <c r="D48" s="50">
        <f t="shared" si="2"/>
        <v>178864.5</v>
      </c>
      <c r="E48" s="50">
        <f t="shared" si="2"/>
        <v>6370</v>
      </c>
      <c r="F48" s="50">
        <f t="shared" si="2"/>
        <v>110990.5</v>
      </c>
      <c r="G48" s="50">
        <f t="shared" si="2"/>
        <v>5895</v>
      </c>
      <c r="H48" s="50">
        <f t="shared" si="2"/>
        <v>44370</v>
      </c>
      <c r="J48" s="42"/>
      <c r="K48" s="42"/>
      <c r="L48" s="42"/>
      <c r="M48" s="42"/>
      <c r="N48" s="42"/>
      <c r="O48" s="42"/>
    </row>
    <row r="49" spans="1:15" x14ac:dyDescent="0.35">
      <c r="A49" s="27">
        <v>66</v>
      </c>
      <c r="B49" s="34" t="s">
        <v>22</v>
      </c>
      <c r="C49" s="46">
        <v>4084</v>
      </c>
      <c r="D49" s="46">
        <v>38259</v>
      </c>
      <c r="E49" s="46">
        <v>630</v>
      </c>
      <c r="F49" s="46">
        <v>4234</v>
      </c>
      <c r="G49" s="61">
        <v>0</v>
      </c>
      <c r="H49" s="46">
        <v>22234</v>
      </c>
      <c r="J49" s="42"/>
      <c r="K49" s="42"/>
      <c r="L49" s="42"/>
      <c r="M49" s="42"/>
      <c r="N49" s="42"/>
      <c r="O49" s="42"/>
    </row>
    <row r="50" spans="1:15" x14ac:dyDescent="0.35">
      <c r="A50" s="27">
        <v>78</v>
      </c>
      <c r="B50" s="34" t="s">
        <v>33</v>
      </c>
      <c r="C50" s="46">
        <v>2514</v>
      </c>
      <c r="D50" s="46">
        <v>20627.5</v>
      </c>
      <c r="E50" s="46">
        <v>687</v>
      </c>
      <c r="F50" s="46">
        <v>16148.5</v>
      </c>
      <c r="G50" s="61">
        <v>0</v>
      </c>
      <c r="H50" s="46">
        <v>1574</v>
      </c>
      <c r="J50" s="42"/>
      <c r="K50" s="42"/>
      <c r="L50" s="42"/>
      <c r="M50" s="42"/>
      <c r="N50" s="42"/>
      <c r="O50" s="42"/>
    </row>
    <row r="51" spans="1:15" x14ac:dyDescent="0.35">
      <c r="A51" s="27">
        <v>89</v>
      </c>
      <c r="B51" s="34" t="s">
        <v>41</v>
      </c>
      <c r="C51" s="46">
        <v>1824</v>
      </c>
      <c r="D51" s="46">
        <v>4003</v>
      </c>
      <c r="E51" s="46">
        <v>441</v>
      </c>
      <c r="F51" s="46">
        <v>1079</v>
      </c>
      <c r="G51" s="46">
        <v>1159</v>
      </c>
      <c r="H51" s="46">
        <v>2197</v>
      </c>
      <c r="J51" s="42"/>
      <c r="K51" s="42"/>
      <c r="L51" s="42"/>
      <c r="M51" s="42"/>
      <c r="N51" s="42"/>
      <c r="O51" s="42"/>
    </row>
    <row r="52" spans="1:15" x14ac:dyDescent="0.35">
      <c r="A52" s="27">
        <v>93</v>
      </c>
      <c r="B52" s="34" t="s">
        <v>57</v>
      </c>
      <c r="C52" s="46">
        <v>3826</v>
      </c>
      <c r="D52" s="46">
        <v>10749</v>
      </c>
      <c r="E52" s="46">
        <v>372</v>
      </c>
      <c r="F52" s="46">
        <v>1978</v>
      </c>
      <c r="G52" s="46">
        <v>1728</v>
      </c>
      <c r="H52" s="46">
        <v>8005</v>
      </c>
      <c r="J52" s="42"/>
      <c r="K52" s="42"/>
      <c r="L52" s="42"/>
      <c r="M52" s="42"/>
      <c r="N52" s="42"/>
      <c r="O52" s="42"/>
    </row>
    <row r="53" spans="1:15" x14ac:dyDescent="0.35">
      <c r="A53" s="27">
        <v>95</v>
      </c>
      <c r="B53" s="34" t="s">
        <v>47</v>
      </c>
      <c r="C53" s="46">
        <v>4612</v>
      </c>
      <c r="D53" s="46">
        <v>57094</v>
      </c>
      <c r="E53" s="46">
        <v>3120</v>
      </c>
      <c r="F53" s="46">
        <v>51729</v>
      </c>
      <c r="G53" s="46">
        <v>1492</v>
      </c>
      <c r="H53" s="46">
        <v>5365</v>
      </c>
      <c r="J53" s="42"/>
      <c r="K53" s="42"/>
      <c r="L53" s="42"/>
      <c r="M53" s="42"/>
      <c r="N53" s="42"/>
      <c r="O53" s="42"/>
    </row>
    <row r="54" spans="1:15" x14ac:dyDescent="0.35">
      <c r="A54" s="27">
        <v>97</v>
      </c>
      <c r="B54" s="34" t="s">
        <v>49</v>
      </c>
      <c r="C54" s="46">
        <v>2093</v>
      </c>
      <c r="D54" s="46">
        <v>10166</v>
      </c>
      <c r="E54" s="46">
        <v>499</v>
      </c>
      <c r="F54" s="46">
        <v>2093</v>
      </c>
      <c r="G54" s="46">
        <v>555</v>
      </c>
      <c r="H54" s="46">
        <v>758</v>
      </c>
      <c r="J54" s="42"/>
      <c r="K54" s="42"/>
      <c r="L54" s="42"/>
      <c r="M54" s="42"/>
      <c r="N54" s="42"/>
      <c r="O54" s="42"/>
    </row>
    <row r="55" spans="1:15" x14ac:dyDescent="0.35">
      <c r="A55" s="27">
        <v>77</v>
      </c>
      <c r="B55" s="37" t="s">
        <v>21</v>
      </c>
      <c r="C55" s="46">
        <v>1582</v>
      </c>
      <c r="D55" s="46">
        <v>37966</v>
      </c>
      <c r="E55" s="46">
        <v>621</v>
      </c>
      <c r="F55" s="46">
        <v>33729</v>
      </c>
      <c r="G55" s="46">
        <v>961</v>
      </c>
      <c r="H55" s="46">
        <v>4237</v>
      </c>
      <c r="J55" s="42"/>
      <c r="K55" s="42"/>
      <c r="L55" s="42"/>
      <c r="M55" s="42"/>
      <c r="N55" s="42"/>
      <c r="O55" s="42"/>
    </row>
    <row r="57" spans="1:15" ht="27.75" customHeight="1" x14ac:dyDescent="0.35">
      <c r="B57" s="106" t="s">
        <v>80</v>
      </c>
      <c r="C57" s="107"/>
      <c r="D57" s="107"/>
      <c r="E57" s="107"/>
      <c r="F57" s="107"/>
      <c r="G57" s="107"/>
      <c r="H57" s="107"/>
    </row>
    <row r="58" spans="1:15" ht="27.75" customHeight="1" x14ac:dyDescent="0.35">
      <c r="B58" s="106" t="s">
        <v>81</v>
      </c>
      <c r="C58" s="107"/>
      <c r="D58" s="107"/>
      <c r="E58" s="107"/>
      <c r="F58" s="107"/>
      <c r="G58" s="107"/>
      <c r="H58" s="107"/>
    </row>
    <row r="59" spans="1:15" ht="13.5" customHeight="1" x14ac:dyDescent="0.35">
      <c r="B59" s="34" t="s">
        <v>82</v>
      </c>
      <c r="C59" s="31"/>
      <c r="D59" s="31"/>
      <c r="E59" s="31"/>
      <c r="F59" s="31"/>
      <c r="G59" s="31"/>
      <c r="H59" s="31"/>
    </row>
    <row r="60" spans="1:15" ht="13.5" customHeight="1" x14ac:dyDescent="0.35">
      <c r="B60" s="51" t="s">
        <v>83</v>
      </c>
      <c r="C60" s="31"/>
      <c r="D60" s="31"/>
      <c r="E60" s="31"/>
      <c r="F60" s="31"/>
      <c r="G60" s="31"/>
      <c r="H60" s="31"/>
    </row>
    <row r="61" spans="1:15" x14ac:dyDescent="0.35">
      <c r="B61" s="51" t="s">
        <v>84</v>
      </c>
    </row>
    <row r="63" spans="1:15" x14ac:dyDescent="0.35">
      <c r="B63" s="52" t="s">
        <v>85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P68"/>
  <sheetViews>
    <sheetView showGridLines="0" zoomScale="85" zoomScaleNormal="85" workbookViewId="0">
      <pane xSplit="2" ySplit="3" topLeftCell="C7" activePane="bottomRight" state="frozen"/>
      <selection activeCell="G50" sqref="G50"/>
      <selection pane="topRight" activeCell="G50" sqref="G50"/>
      <selection pane="bottomLeft" activeCell="G50" sqref="G50"/>
      <selection pane="bottomRight" activeCell="G50" sqref="G50"/>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9.0898437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9.0898437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9.0898437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9.0898437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9.0898437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9.0898437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9.0898437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9.0898437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9.0898437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9.0898437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9.0898437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9.0898437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9.0898437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9.0898437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9.0898437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9.0898437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9.0898437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9.0898437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9.0898437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9.0898437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9.0898437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9.0898437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9.0898437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9.0898437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9.0898437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9.0898437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9.0898437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9.0898437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9.0898437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9.0898437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9.0898437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9.0898437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9.0898437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9.0898437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9.0898437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9.0898437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9.0898437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9.0898437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9.0898437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9.0898437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9.0898437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9.0898437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9.0898437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9.0898437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9.0898437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9.0898437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9.0898437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9.0898437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9.0898437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9.0898437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9.0898437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9.0898437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9.0898437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9.0898437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9.0898437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9.0898437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9.0898437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9.0898437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9.0898437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9.0898437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9.0898437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9.0898437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9.0898437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9.08984375" style="34"/>
  </cols>
  <sheetData>
    <row r="1" spans="1:16" ht="33.75" customHeight="1" x14ac:dyDescent="0.35">
      <c r="B1" s="118" t="s">
        <v>130</v>
      </c>
      <c r="C1" s="116"/>
      <c r="D1" s="116"/>
      <c r="E1" s="116"/>
      <c r="F1" s="116"/>
      <c r="G1" s="116"/>
      <c r="H1" s="117"/>
    </row>
    <row r="2" spans="1:16" s="35" customFormat="1" ht="39.75" customHeight="1" x14ac:dyDescent="0.35">
      <c r="B2" s="36"/>
      <c r="C2" s="109" t="s">
        <v>67</v>
      </c>
      <c r="D2" s="109"/>
      <c r="E2" s="110" t="s">
        <v>68</v>
      </c>
      <c r="F2" s="110"/>
      <c r="G2" s="110" t="s">
        <v>69</v>
      </c>
      <c r="H2" s="110"/>
    </row>
    <row r="3" spans="1:16" ht="42.75" customHeight="1" x14ac:dyDescent="0.35">
      <c r="B3" s="37"/>
      <c r="C3" s="38" t="s">
        <v>70</v>
      </c>
      <c r="D3" s="38" t="s">
        <v>71</v>
      </c>
      <c r="E3" s="38" t="s">
        <v>70</v>
      </c>
      <c r="F3" s="38" t="s">
        <v>71</v>
      </c>
      <c r="G3" s="38" t="s">
        <v>70</v>
      </c>
      <c r="H3" s="38" t="s">
        <v>71</v>
      </c>
    </row>
    <row r="4" spans="1:16" ht="18" hidden="1" customHeight="1" x14ac:dyDescent="0.35">
      <c r="C4" s="39" t="s">
        <v>72</v>
      </c>
      <c r="D4" s="39" t="s">
        <v>72</v>
      </c>
      <c r="E4" s="39" t="s">
        <v>73</v>
      </c>
      <c r="F4" s="39" t="s">
        <v>73</v>
      </c>
      <c r="G4" s="39" t="s">
        <v>74</v>
      </c>
      <c r="H4" s="39" t="s">
        <v>74</v>
      </c>
    </row>
    <row r="5" spans="1:16" ht="15.75" hidden="1" customHeight="1" x14ac:dyDescent="0.35">
      <c r="C5" s="39" t="s">
        <v>75</v>
      </c>
      <c r="D5" s="39" t="s">
        <v>76</v>
      </c>
      <c r="E5" s="39" t="s">
        <v>75</v>
      </c>
      <c r="F5" s="39" t="s">
        <v>76</v>
      </c>
      <c r="G5" s="39" t="s">
        <v>75</v>
      </c>
      <c r="H5" s="39" t="s">
        <v>76</v>
      </c>
    </row>
    <row r="6" spans="1:16" ht="26.25" customHeight="1" x14ac:dyDescent="0.35">
      <c r="B6" s="40" t="s">
        <v>77</v>
      </c>
      <c r="C6" s="41">
        <f t="shared" ref="C6:H6" si="0">C7+C48</f>
        <v>142758</v>
      </c>
      <c r="D6" s="41">
        <f t="shared" si="0"/>
        <v>605427.80000000005</v>
      </c>
      <c r="E6" s="41">
        <f t="shared" si="0"/>
        <v>22115</v>
      </c>
      <c r="F6" s="41">
        <f t="shared" si="0"/>
        <v>295084.59999999998</v>
      </c>
      <c r="G6" s="41">
        <f t="shared" si="0"/>
        <v>29658</v>
      </c>
      <c r="H6" s="41">
        <f t="shared" si="0"/>
        <v>132212.96333333332</v>
      </c>
      <c r="J6" s="42"/>
      <c r="K6" s="42"/>
      <c r="L6" s="42"/>
      <c r="M6" s="42"/>
      <c r="N6" s="42"/>
      <c r="O6" s="42"/>
      <c r="P6" s="42"/>
    </row>
    <row r="7" spans="1:16" s="43" customFormat="1" ht="26.25" customHeight="1" x14ac:dyDescent="0.35">
      <c r="A7" s="26"/>
      <c r="B7" s="43" t="s">
        <v>52</v>
      </c>
      <c r="C7" s="44">
        <f t="shared" ref="C7:H7" si="1">SUM(C8:C47)</f>
        <v>122223</v>
      </c>
      <c r="D7" s="44">
        <f t="shared" si="1"/>
        <v>426563.3</v>
      </c>
      <c r="E7" s="44">
        <f t="shared" si="1"/>
        <v>15745</v>
      </c>
      <c r="F7" s="44">
        <f t="shared" si="1"/>
        <v>184094.09999999998</v>
      </c>
      <c r="G7" s="44">
        <f t="shared" si="1"/>
        <v>19072</v>
      </c>
      <c r="H7" s="44">
        <f t="shared" si="1"/>
        <v>87842.963333333319</v>
      </c>
      <c r="J7" s="42"/>
      <c r="K7" s="42"/>
      <c r="L7" s="45"/>
      <c r="M7" s="42"/>
      <c r="N7" s="42"/>
      <c r="O7" s="42"/>
    </row>
    <row r="8" spans="1:16" x14ac:dyDescent="0.35">
      <c r="A8" s="27">
        <v>51</v>
      </c>
      <c r="B8" s="34" t="s">
        <v>5</v>
      </c>
      <c r="C8" s="46">
        <f>'2015-16 working'!C8</f>
        <v>7022</v>
      </c>
      <c r="D8" s="46">
        <f>'2015-16 working'!D8</f>
        <v>2380</v>
      </c>
      <c r="E8" s="46">
        <f>'2015-16 working'!E8</f>
        <v>127</v>
      </c>
      <c r="F8" s="46">
        <f>'2015-16 working'!F8</f>
        <v>578</v>
      </c>
      <c r="G8" s="46">
        <f>'2015-16 working'!G8</f>
        <v>185</v>
      </c>
      <c r="H8" s="46">
        <f>'2015-16 working'!H8</f>
        <v>345</v>
      </c>
      <c r="J8" s="42"/>
      <c r="K8" s="42"/>
      <c r="L8" s="42"/>
      <c r="M8" s="42"/>
      <c r="N8" s="42"/>
      <c r="O8" s="42"/>
    </row>
    <row r="9" spans="1:16" x14ac:dyDescent="0.35">
      <c r="A9" s="27">
        <v>52</v>
      </c>
      <c r="B9" s="34" t="s">
        <v>6</v>
      </c>
      <c r="C9" s="46">
        <f>'2015-16 working'!C9</f>
        <v>983</v>
      </c>
      <c r="D9" s="46">
        <f>'2015-16 working'!D9</f>
        <v>8211</v>
      </c>
      <c r="E9" s="61">
        <f>ROUND(C9*('(2014-15)'!E9/'(2014-15)'!C9),0)</f>
        <v>27</v>
      </c>
      <c r="F9" s="61">
        <f>ROUND(E9*('(2014-15)'!F9/'(2014-15)'!E9),0)</f>
        <v>988</v>
      </c>
      <c r="G9" s="46">
        <f>'2015-16 working'!G9</f>
        <v>380</v>
      </c>
      <c r="H9" s="46">
        <f>'2015-16 working'!H9</f>
        <v>3641</v>
      </c>
      <c r="J9" s="42"/>
      <c r="K9" s="42"/>
      <c r="L9" s="42"/>
      <c r="M9" s="42"/>
      <c r="N9" s="42"/>
      <c r="O9" s="42"/>
    </row>
    <row r="10" spans="1:16" x14ac:dyDescent="0.35">
      <c r="A10" s="27">
        <v>86</v>
      </c>
      <c r="B10" s="34" t="s">
        <v>7</v>
      </c>
      <c r="C10" s="46">
        <f>'2015-16 working'!C10</f>
        <v>1347</v>
      </c>
      <c r="D10" s="46">
        <f>'2015-16 working'!D10</f>
        <v>5983</v>
      </c>
      <c r="E10" s="46">
        <f>'2015-16 working'!E10</f>
        <v>200</v>
      </c>
      <c r="F10" s="46">
        <f>'2015-16 working'!F10</f>
        <v>600</v>
      </c>
      <c r="G10" s="46">
        <f>'2015-16 working'!G10</f>
        <v>470</v>
      </c>
      <c r="H10" s="46">
        <f>'2015-16 working'!H10</f>
        <v>2290</v>
      </c>
      <c r="J10" s="42"/>
      <c r="K10" s="42"/>
      <c r="L10" s="42"/>
      <c r="M10" s="42"/>
      <c r="N10" s="42"/>
      <c r="O10" s="42"/>
    </row>
    <row r="11" spans="1:16" x14ac:dyDescent="0.35">
      <c r="A11" s="27">
        <v>53</v>
      </c>
      <c r="B11" s="34" t="s">
        <v>8</v>
      </c>
      <c r="C11" s="46">
        <f>'2015-16 working'!C11</f>
        <v>832</v>
      </c>
      <c r="D11" s="46">
        <f>'2015-16 working'!D11</f>
        <v>4100</v>
      </c>
      <c r="E11" s="46">
        <f>'2015-16 working'!E11</f>
        <v>70</v>
      </c>
      <c r="F11" s="46">
        <f>'2015-16 working'!F11</f>
        <v>317</v>
      </c>
      <c r="G11" s="46">
        <f>'2015-16 working'!G11</f>
        <v>398</v>
      </c>
      <c r="H11" s="46">
        <f>'2015-16 working'!H11</f>
        <v>1100</v>
      </c>
      <c r="J11" s="42"/>
      <c r="K11" s="42"/>
      <c r="L11" s="42"/>
      <c r="M11" s="42"/>
      <c r="N11" s="42"/>
      <c r="O11" s="42"/>
    </row>
    <row r="12" spans="1:16" x14ac:dyDescent="0.35">
      <c r="A12" s="27">
        <v>54</v>
      </c>
      <c r="B12" s="34" t="s">
        <v>9</v>
      </c>
      <c r="C12" s="46">
        <f>'2015-16 working'!C12</f>
        <v>866</v>
      </c>
      <c r="D12" s="46">
        <f>'2015-16 working'!D12</f>
        <v>3301</v>
      </c>
      <c r="E12" s="46">
        <f>'2015-16 working'!E12</f>
        <v>11</v>
      </c>
      <c r="F12" s="46">
        <f>'2015-16 working'!F12</f>
        <v>50</v>
      </c>
      <c r="G12" s="46">
        <f>'2015-16 working'!G12</f>
        <v>370</v>
      </c>
      <c r="H12" s="46">
        <f>'2015-16 working'!H12</f>
        <v>1740</v>
      </c>
      <c r="J12" s="42"/>
      <c r="K12" s="42"/>
      <c r="L12" s="42"/>
      <c r="M12" s="42"/>
      <c r="N12" s="42"/>
      <c r="O12" s="42"/>
    </row>
    <row r="13" spans="1:16" x14ac:dyDescent="0.35">
      <c r="A13" s="27">
        <v>55</v>
      </c>
      <c r="B13" s="34" t="s">
        <v>10</v>
      </c>
      <c r="C13" s="46">
        <f>'2015-16 working'!C13</f>
        <v>2303</v>
      </c>
      <c r="D13" s="46">
        <f>'2015-16 working'!D13</f>
        <v>35446</v>
      </c>
      <c r="E13" s="46">
        <f>'2015-16 working'!E13</f>
        <v>199</v>
      </c>
      <c r="F13" s="46">
        <f>'2015-16 working'!F13</f>
        <v>19019</v>
      </c>
      <c r="G13" s="46">
        <f>'2015-16 working'!G13</f>
        <v>1005</v>
      </c>
      <c r="H13" s="46">
        <f>'2015-16 working'!H13</f>
        <v>4226</v>
      </c>
      <c r="J13" s="42"/>
      <c r="K13" s="42"/>
      <c r="L13" s="42"/>
      <c r="M13" s="42"/>
      <c r="N13" s="42"/>
      <c r="O13" s="42"/>
    </row>
    <row r="14" spans="1:16" x14ac:dyDescent="0.35">
      <c r="A14" s="27">
        <v>56</v>
      </c>
      <c r="B14" s="34" t="s">
        <v>11</v>
      </c>
      <c r="C14" s="46">
        <f>'2015-16 working'!C14</f>
        <v>1567</v>
      </c>
      <c r="D14" s="46">
        <f>'2015-16 working'!D14</f>
        <v>13466</v>
      </c>
      <c r="E14" s="46">
        <f>'2015-16 working'!E14</f>
        <v>436</v>
      </c>
      <c r="F14" s="46">
        <f>'2015-16 working'!F14</f>
        <v>3860</v>
      </c>
      <c r="G14" s="46">
        <f>'2015-16 working'!G14</f>
        <v>1131</v>
      </c>
      <c r="H14" s="46">
        <f>'2015-16 working'!H14</f>
        <v>9606</v>
      </c>
      <c r="J14" s="42"/>
      <c r="K14" s="42"/>
      <c r="L14" s="42"/>
      <c r="M14" s="42"/>
      <c r="N14" s="42"/>
      <c r="O14" s="42"/>
    </row>
    <row r="15" spans="1:16" x14ac:dyDescent="0.35">
      <c r="A15" s="27">
        <v>57</v>
      </c>
      <c r="B15" s="34" t="s">
        <v>12</v>
      </c>
      <c r="C15" s="46">
        <f>'2015-16 working'!C15</f>
        <v>613</v>
      </c>
      <c r="D15" s="46">
        <f>'2015-16 working'!D15</f>
        <v>4504</v>
      </c>
      <c r="E15" s="46">
        <f>'2015-16 working'!E15</f>
        <v>26</v>
      </c>
      <c r="F15" s="46">
        <f>'2015-16 working'!F15</f>
        <v>2670</v>
      </c>
      <c r="G15" s="46">
        <f>'2015-16 working'!G15</f>
        <v>273</v>
      </c>
      <c r="H15" s="46">
        <f>'2015-16 working'!H15</f>
        <v>915</v>
      </c>
      <c r="J15" s="42"/>
      <c r="K15" s="42"/>
      <c r="L15" s="42"/>
      <c r="M15" s="42"/>
      <c r="N15" s="42"/>
      <c r="O15" s="42"/>
    </row>
    <row r="16" spans="1:16" x14ac:dyDescent="0.35">
      <c r="A16" s="27">
        <v>59</v>
      </c>
      <c r="B16" s="34" t="s">
        <v>13</v>
      </c>
      <c r="C16" s="46">
        <f>'2015-16 working'!C16</f>
        <v>861</v>
      </c>
      <c r="D16" s="61">
        <f>ROUND(C16*('(2014-15)'!D16/'(2014-15)'!C16),0)</f>
        <v>1684</v>
      </c>
      <c r="E16" s="46">
        <f>'2015-16 working'!E16</f>
        <v>104</v>
      </c>
      <c r="F16" s="61">
        <f>ROUND(E16*('(2014-15)'!F16/'(2014-15)'!E16),0)</f>
        <v>178</v>
      </c>
      <c r="G16" s="46">
        <f>'2015-16 working'!G16</f>
        <v>343</v>
      </c>
      <c r="H16" s="61">
        <f>ROUND(G16*('(2014-15)'!H16/'(2014-15)'!G16),0)</f>
        <v>735</v>
      </c>
      <c r="J16" s="42"/>
      <c r="K16" s="42"/>
      <c r="L16" s="42"/>
      <c r="M16" s="42"/>
      <c r="N16" s="42"/>
      <c r="O16" s="42"/>
    </row>
    <row r="17" spans="1:15" x14ac:dyDescent="0.35">
      <c r="A17" s="27">
        <v>60</v>
      </c>
      <c r="B17" s="34" t="s">
        <v>14</v>
      </c>
      <c r="C17" s="46">
        <f>'2015-16 working'!C17</f>
        <v>39280</v>
      </c>
      <c r="D17" s="46">
        <f>'2015-16 working'!D17</f>
        <v>11294</v>
      </c>
      <c r="E17" s="46">
        <f>'2015-16 working'!E17</f>
        <v>467</v>
      </c>
      <c r="F17" s="46">
        <f>'2015-16 working'!F17</f>
        <v>1968</v>
      </c>
      <c r="G17" s="46">
        <f>'2015-16 working'!G17</f>
        <v>354</v>
      </c>
      <c r="H17" s="46">
        <f>'2015-16 working'!H17</f>
        <v>1282</v>
      </c>
      <c r="J17" s="42"/>
      <c r="K17" s="42"/>
      <c r="L17" s="42"/>
      <c r="M17" s="42"/>
      <c r="N17" s="42"/>
      <c r="O17" s="42"/>
    </row>
    <row r="18" spans="1:15" x14ac:dyDescent="0.35">
      <c r="A18" s="27">
        <v>61</v>
      </c>
      <c r="B18" s="47" t="s">
        <v>53</v>
      </c>
      <c r="C18" s="46">
        <f>'2015-16 working'!C18</f>
        <v>3488</v>
      </c>
      <c r="D18" s="46">
        <f>'2015-16 working'!D18</f>
        <v>10131</v>
      </c>
      <c r="E18" s="46">
        <f>'2015-16 working'!E18</f>
        <v>222</v>
      </c>
      <c r="F18" s="46">
        <f>'2015-16 working'!F18</f>
        <v>725</v>
      </c>
      <c r="G18" s="46">
        <f>'2015-16 working'!G18</f>
        <v>1344</v>
      </c>
      <c r="H18" s="46">
        <f>'2015-16 working'!H18</f>
        <v>2879</v>
      </c>
      <c r="J18" s="42"/>
      <c r="K18" s="42"/>
      <c r="L18" s="42"/>
      <c r="M18" s="42"/>
      <c r="N18" s="42"/>
      <c r="O18" s="42"/>
    </row>
    <row r="19" spans="1:15" x14ac:dyDescent="0.35">
      <c r="A19" s="27"/>
      <c r="B19" s="47" t="s">
        <v>131</v>
      </c>
      <c r="C19" s="46" t="s">
        <v>132</v>
      </c>
      <c r="D19" s="46" t="s">
        <v>132</v>
      </c>
      <c r="E19" s="46" t="s">
        <v>132</v>
      </c>
      <c r="F19" s="46" t="s">
        <v>132</v>
      </c>
      <c r="G19" s="46" t="s">
        <v>132</v>
      </c>
      <c r="H19" s="46" t="s">
        <v>132</v>
      </c>
      <c r="J19" s="42"/>
      <c r="K19" s="42"/>
      <c r="L19" s="42"/>
      <c r="M19" s="42"/>
      <c r="N19" s="42"/>
      <c r="O19" s="42"/>
    </row>
    <row r="20" spans="1:15" x14ac:dyDescent="0.35">
      <c r="A20" s="27">
        <v>62</v>
      </c>
      <c r="B20" s="34" t="s">
        <v>16</v>
      </c>
      <c r="C20" s="46">
        <f>'2015-16 working'!C20</f>
        <v>302</v>
      </c>
      <c r="D20" s="46">
        <f>'2015-16 working'!D20</f>
        <v>8505</v>
      </c>
      <c r="E20" s="46">
        <f>'2015-16 working'!E20</f>
        <v>152</v>
      </c>
      <c r="F20" s="46">
        <f>'2015-16 working'!F20</f>
        <v>5271</v>
      </c>
      <c r="G20" s="46">
        <f>'2015-16 working'!G20</f>
        <v>150</v>
      </c>
      <c r="H20" s="46">
        <f>'2015-16 working'!H20</f>
        <v>763</v>
      </c>
      <c r="J20" s="42"/>
      <c r="K20" s="42"/>
      <c r="L20" s="42"/>
      <c r="M20" s="42"/>
      <c r="N20" s="42"/>
      <c r="O20" s="42"/>
    </row>
    <row r="21" spans="1:15" x14ac:dyDescent="0.35">
      <c r="A21" s="27">
        <v>58</v>
      </c>
      <c r="B21" s="34" t="s">
        <v>17</v>
      </c>
      <c r="C21" s="46">
        <f>'2015-16 working'!C21</f>
        <v>330</v>
      </c>
      <c r="D21" s="46">
        <f>'2015-16 working'!D21</f>
        <v>925</v>
      </c>
      <c r="E21" s="46">
        <f>'2015-16 working'!E21</f>
        <v>42</v>
      </c>
      <c r="F21" s="46">
        <f>'2015-16 working'!F21</f>
        <v>123</v>
      </c>
      <c r="G21" s="46">
        <f>'2015-16 working'!G21</f>
        <v>195</v>
      </c>
      <c r="H21" s="46">
        <f>'2015-16 working'!H21</f>
        <v>552</v>
      </c>
      <c r="J21" s="42"/>
      <c r="K21" s="42"/>
      <c r="L21" s="42"/>
      <c r="M21" s="42"/>
      <c r="N21" s="42"/>
      <c r="O21" s="42"/>
    </row>
    <row r="22" spans="1:15" x14ac:dyDescent="0.35">
      <c r="A22" s="27">
        <v>63</v>
      </c>
      <c r="B22" s="34" t="s">
        <v>18</v>
      </c>
      <c r="C22" s="46">
        <f>'2015-16 working'!C22</f>
        <v>1549</v>
      </c>
      <c r="D22" s="46">
        <f>'2015-16 working'!D22</f>
        <v>10153</v>
      </c>
      <c r="E22" s="46">
        <f>'2015-16 working'!E22</f>
        <v>84</v>
      </c>
      <c r="F22" s="46">
        <f>'2015-16 working'!F22</f>
        <v>493.05</v>
      </c>
      <c r="G22" s="46">
        <f>'2015-16 working'!G22</f>
        <v>178</v>
      </c>
      <c r="H22" s="46">
        <f>'2015-16 working'!H22</f>
        <v>1689.73</v>
      </c>
      <c r="J22" s="42"/>
      <c r="K22" s="42"/>
      <c r="L22" s="42"/>
      <c r="M22" s="42"/>
      <c r="N22" s="42"/>
      <c r="O22" s="42"/>
    </row>
    <row r="23" spans="1:15" x14ac:dyDescent="0.35">
      <c r="A23" s="27">
        <v>64</v>
      </c>
      <c r="B23" s="34" t="s">
        <v>19</v>
      </c>
      <c r="C23" s="46">
        <f>'2015-16 working'!C23</f>
        <v>2222</v>
      </c>
      <c r="D23" s="46">
        <f>'2015-16 working'!D23</f>
        <v>15109</v>
      </c>
      <c r="E23" s="46">
        <f>'2015-16 working'!E23</f>
        <v>86</v>
      </c>
      <c r="F23" s="46">
        <f>'2015-16 working'!F23</f>
        <v>3753</v>
      </c>
      <c r="G23" s="46">
        <f>'2015-16 working'!G23</f>
        <v>6</v>
      </c>
      <c r="H23" s="46">
        <f>'2015-16 working'!H23</f>
        <v>3718</v>
      </c>
      <c r="J23" s="42"/>
      <c r="K23" s="42"/>
      <c r="L23" s="42"/>
      <c r="M23" s="42"/>
      <c r="N23" s="42"/>
      <c r="O23" s="42"/>
    </row>
    <row r="24" spans="1:15" x14ac:dyDescent="0.35">
      <c r="A24" s="27">
        <v>65</v>
      </c>
      <c r="B24" s="34" t="s">
        <v>20</v>
      </c>
      <c r="C24" s="46">
        <f>'2015-16 working'!C24</f>
        <v>876</v>
      </c>
      <c r="D24" s="46">
        <f>'2015-16 working'!D24</f>
        <v>4879</v>
      </c>
      <c r="E24" s="62">
        <f>'2015-16 working'!E24</f>
        <v>0</v>
      </c>
      <c r="F24" s="62">
        <f>'2015-16 working'!F24</f>
        <v>0</v>
      </c>
      <c r="G24" s="46">
        <f>'2015-16 working'!G24</f>
        <v>29</v>
      </c>
      <c r="H24" s="46">
        <f>'2015-16 working'!H24</f>
        <v>203</v>
      </c>
      <c r="J24" s="42"/>
      <c r="K24" s="42"/>
      <c r="L24" s="42"/>
      <c r="M24" s="42"/>
      <c r="N24" s="42"/>
      <c r="O24" s="42"/>
    </row>
    <row r="25" spans="1:15" x14ac:dyDescent="0.35">
      <c r="A25" s="27">
        <v>67</v>
      </c>
      <c r="B25" s="34" t="s">
        <v>23</v>
      </c>
      <c r="C25" s="46">
        <f>'2015-16 working'!C25</f>
        <v>811</v>
      </c>
      <c r="D25" s="46">
        <f>'2015-16 working'!D25</f>
        <v>12720</v>
      </c>
      <c r="E25" s="46">
        <f>'2015-16 working'!E25</f>
        <v>118</v>
      </c>
      <c r="F25" s="46">
        <f>'2015-16 working'!F25</f>
        <v>5968</v>
      </c>
      <c r="G25" s="46">
        <f>'2015-16 working'!G25</f>
        <v>135</v>
      </c>
      <c r="H25" s="46">
        <f>'2015-16 working'!H25</f>
        <v>797</v>
      </c>
      <c r="J25" s="42"/>
      <c r="K25" s="42"/>
      <c r="L25" s="42"/>
      <c r="M25" s="42"/>
      <c r="N25" s="42"/>
      <c r="O25" s="42"/>
    </row>
    <row r="26" spans="1:15" x14ac:dyDescent="0.35">
      <c r="A26" s="27">
        <v>68</v>
      </c>
      <c r="B26" s="34" t="s">
        <v>54</v>
      </c>
      <c r="C26" s="46">
        <f>'2015-16 working'!C26</f>
        <v>514</v>
      </c>
      <c r="D26" s="46">
        <f>'2015-16 working'!D26</f>
        <v>3043</v>
      </c>
      <c r="E26" s="46">
        <f>'2015-16 working'!E26</f>
        <v>60</v>
      </c>
      <c r="F26" s="46">
        <f>'2015-16 working'!F26</f>
        <v>262</v>
      </c>
      <c r="G26" s="46">
        <f>'2015-16 working'!G26</f>
        <v>126</v>
      </c>
      <c r="H26" s="46">
        <f>'2015-16 working'!H26</f>
        <v>1673</v>
      </c>
      <c r="J26" s="42"/>
      <c r="K26" s="42"/>
      <c r="L26" s="42"/>
      <c r="M26" s="42"/>
      <c r="N26" s="42"/>
      <c r="O26" s="42"/>
    </row>
    <row r="27" spans="1:15" x14ac:dyDescent="0.35">
      <c r="A27" s="27">
        <v>69</v>
      </c>
      <c r="B27" s="34" t="s">
        <v>25</v>
      </c>
      <c r="C27" s="46">
        <f>'2015-16 working'!C27</f>
        <v>14800</v>
      </c>
      <c r="D27" s="46">
        <f>'2015-16 working'!D27</f>
        <v>121595</v>
      </c>
      <c r="E27" s="46">
        <f>'2015-16 working'!E27</f>
        <v>5703</v>
      </c>
      <c r="F27" s="46">
        <f>'2015-16 working'!F27</f>
        <v>68896</v>
      </c>
      <c r="G27" s="46">
        <f>'2015-16 working'!G27</f>
        <v>3051</v>
      </c>
      <c r="H27" s="46">
        <f>'2015-16 working'!H27</f>
        <v>11503</v>
      </c>
      <c r="J27" s="42"/>
      <c r="K27" s="42"/>
      <c r="L27" s="42"/>
      <c r="M27" s="42"/>
      <c r="N27" s="42"/>
      <c r="O27" s="42"/>
    </row>
    <row r="28" spans="1:15" x14ac:dyDescent="0.35">
      <c r="A28" s="27">
        <v>70</v>
      </c>
      <c r="B28" s="34" t="s">
        <v>26</v>
      </c>
      <c r="C28" s="46">
        <f>'2015-16 working'!C28</f>
        <v>1054</v>
      </c>
      <c r="D28" s="46">
        <f>'2015-16 working'!D28</f>
        <v>3092</v>
      </c>
      <c r="E28" s="46">
        <f>'2015-16 working'!E28</f>
        <v>338</v>
      </c>
      <c r="F28" s="46">
        <f>'2015-16 working'!F28</f>
        <v>1330</v>
      </c>
      <c r="G28" s="46">
        <f>'2015-16 working'!G28</f>
        <v>216</v>
      </c>
      <c r="H28" s="46">
        <f>'2015-16 working'!H28</f>
        <v>550</v>
      </c>
      <c r="J28" s="42"/>
      <c r="K28" s="42"/>
      <c r="L28" s="42"/>
      <c r="M28" s="42"/>
      <c r="N28" s="42"/>
      <c r="O28" s="42"/>
    </row>
    <row r="29" spans="1:15" x14ac:dyDescent="0.35">
      <c r="A29" s="27">
        <v>71</v>
      </c>
      <c r="B29" s="34" t="s">
        <v>55</v>
      </c>
      <c r="C29" s="46">
        <f>'2015-16 working'!C29</f>
        <v>140</v>
      </c>
      <c r="D29" s="46">
        <f>'2015-16 working'!D29</f>
        <v>1315</v>
      </c>
      <c r="E29" s="46">
        <f>'2015-16 working'!E29</f>
        <v>60</v>
      </c>
      <c r="F29" s="46">
        <f>'2015-16 working'!F29</f>
        <v>1210</v>
      </c>
      <c r="G29" s="46">
        <f>'2015-16 working'!G29</f>
        <v>80</v>
      </c>
      <c r="H29" s="46">
        <f>'2015-16 working'!H29</f>
        <v>104.7</v>
      </c>
      <c r="J29" s="42"/>
      <c r="K29" s="42"/>
      <c r="L29" s="42"/>
      <c r="M29" s="42"/>
      <c r="N29" s="42"/>
      <c r="O29" s="42"/>
    </row>
    <row r="30" spans="1:15" x14ac:dyDescent="0.35">
      <c r="A30" s="27">
        <v>73</v>
      </c>
      <c r="B30" s="34" t="s">
        <v>29</v>
      </c>
      <c r="C30" s="46">
        <f>'2015-16 working'!C30</f>
        <v>2843</v>
      </c>
      <c r="D30" s="46">
        <f>'2015-16 working'!D30</f>
        <v>10499</v>
      </c>
      <c r="E30" s="46">
        <f>'2015-16 working'!E30</f>
        <v>575</v>
      </c>
      <c r="F30" s="46">
        <f>'2015-16 working'!F30</f>
        <v>898</v>
      </c>
      <c r="G30" s="46">
        <f>'2015-16 working'!G30</f>
        <v>178</v>
      </c>
      <c r="H30" s="46">
        <f>'2015-16 working'!H30</f>
        <v>276</v>
      </c>
      <c r="J30" s="42"/>
      <c r="K30" s="42"/>
      <c r="L30" s="42"/>
      <c r="M30" s="42"/>
      <c r="N30" s="42"/>
      <c r="O30" s="42"/>
    </row>
    <row r="31" spans="1:15" x14ac:dyDescent="0.35">
      <c r="A31" s="27">
        <v>74</v>
      </c>
      <c r="B31" s="34" t="s">
        <v>30</v>
      </c>
      <c r="C31" s="46">
        <f>'2015-16 working'!C31</f>
        <v>5524</v>
      </c>
      <c r="D31" s="46">
        <f>'2015-16 working'!D31</f>
        <v>15785</v>
      </c>
      <c r="E31" s="46">
        <f>'2015-16 working'!E31</f>
        <v>1717</v>
      </c>
      <c r="F31" s="46">
        <f>'2015-16 working'!F31</f>
        <v>5836</v>
      </c>
      <c r="G31" s="46">
        <f>'2015-16 working'!G31</f>
        <v>1340</v>
      </c>
      <c r="H31" s="46">
        <f>'2015-16 working'!H31</f>
        <v>4170</v>
      </c>
      <c r="J31" s="42"/>
      <c r="K31" s="42"/>
      <c r="L31" s="42"/>
      <c r="M31" s="42"/>
      <c r="N31" s="42"/>
      <c r="O31" s="42"/>
    </row>
    <row r="32" spans="1:15" x14ac:dyDescent="0.35">
      <c r="A32" s="27">
        <v>75</v>
      </c>
      <c r="B32" s="34" t="s">
        <v>31</v>
      </c>
      <c r="C32" s="46">
        <f>'2015-16 working'!C32</f>
        <v>1969</v>
      </c>
      <c r="D32" s="46">
        <f>'2015-16 working'!D32</f>
        <v>12545</v>
      </c>
      <c r="E32" s="46">
        <f>'2015-16 working'!E32</f>
        <v>186</v>
      </c>
      <c r="F32" s="46">
        <f>'2015-16 working'!F32</f>
        <v>1343</v>
      </c>
      <c r="G32" s="46">
        <f>'2015-16 working'!G32</f>
        <v>806</v>
      </c>
      <c r="H32" s="46">
        <f>'2015-16 working'!H32</f>
        <v>5767</v>
      </c>
      <c r="J32" s="42"/>
      <c r="K32" s="42"/>
      <c r="L32" s="42"/>
      <c r="M32" s="42"/>
      <c r="N32" s="42"/>
      <c r="O32" s="42"/>
    </row>
    <row r="33" spans="1:15" x14ac:dyDescent="0.35">
      <c r="A33" s="27">
        <v>76</v>
      </c>
      <c r="B33" s="34" t="s">
        <v>32</v>
      </c>
      <c r="C33" s="46">
        <f>'2015-16 working'!C33</f>
        <v>360</v>
      </c>
      <c r="D33" s="46">
        <f>'2015-16 working'!D33</f>
        <v>1300</v>
      </c>
      <c r="E33" s="46">
        <f>'2015-16 working'!E33</f>
        <v>973</v>
      </c>
      <c r="F33" s="46">
        <f>'2015-16 working'!F33</f>
        <v>17976</v>
      </c>
      <c r="G33" s="46">
        <f>'2015-16 working'!G33</f>
        <v>157</v>
      </c>
      <c r="H33" s="46">
        <f>'2015-16 working'!H33</f>
        <v>810</v>
      </c>
      <c r="J33" s="42"/>
      <c r="K33" s="42"/>
      <c r="L33" s="42"/>
      <c r="M33" s="42"/>
      <c r="N33" s="42"/>
      <c r="O33" s="42"/>
    </row>
    <row r="34" spans="1:15" x14ac:dyDescent="0.35">
      <c r="A34" s="27">
        <v>79</v>
      </c>
      <c r="B34" s="34" t="s">
        <v>34</v>
      </c>
      <c r="C34" s="46">
        <f>'2015-16 working'!C34</f>
        <v>239</v>
      </c>
      <c r="D34" s="46">
        <f>'2015-16 working'!D34</f>
        <v>434</v>
      </c>
      <c r="E34" s="46">
        <f>'2015-16 working'!E34</f>
        <v>27</v>
      </c>
      <c r="F34" s="46">
        <f>'2015-16 working'!F34</f>
        <v>54</v>
      </c>
      <c r="G34" s="46">
        <f>'2015-16 working'!G34</f>
        <v>123</v>
      </c>
      <c r="H34" s="46">
        <f>'2015-16 working'!H34</f>
        <v>291</v>
      </c>
      <c r="J34" s="42"/>
      <c r="K34" s="42"/>
      <c r="L34" s="42"/>
      <c r="M34" s="42"/>
      <c r="N34" s="42"/>
      <c r="O34" s="42"/>
    </row>
    <row r="35" spans="1:15" x14ac:dyDescent="0.35">
      <c r="A35" s="27">
        <v>80</v>
      </c>
      <c r="B35" s="34" t="s">
        <v>35</v>
      </c>
      <c r="C35" s="46">
        <f>'2015-16 working'!C35</f>
        <v>1948</v>
      </c>
      <c r="D35" s="46">
        <f>'2015-16 working'!D35</f>
        <v>6703</v>
      </c>
      <c r="E35" s="46">
        <f>'2015-16 working'!E35</f>
        <v>94</v>
      </c>
      <c r="F35" s="46">
        <f>'2015-16 working'!F35</f>
        <v>1013</v>
      </c>
      <c r="G35" s="46">
        <f>'2015-16 working'!G35</f>
        <v>236</v>
      </c>
      <c r="H35" s="46">
        <f>'2015-16 working'!H35</f>
        <v>794</v>
      </c>
      <c r="J35" s="42"/>
      <c r="K35" s="42"/>
      <c r="L35" s="42"/>
      <c r="M35" s="42"/>
      <c r="N35" s="42"/>
      <c r="O35" s="42"/>
    </row>
    <row r="36" spans="1:15" x14ac:dyDescent="0.35">
      <c r="A36" s="27">
        <v>81</v>
      </c>
      <c r="B36" s="34" t="s">
        <v>36</v>
      </c>
      <c r="C36" s="46">
        <f>'2015-16 working'!C36</f>
        <v>972</v>
      </c>
      <c r="D36" s="46">
        <f>'2015-16 working'!D36</f>
        <v>6081</v>
      </c>
      <c r="E36" s="46">
        <f>'2015-16 working'!E36</f>
        <v>57</v>
      </c>
      <c r="F36" s="46">
        <f>'2015-16 working'!F36</f>
        <v>2269</v>
      </c>
      <c r="G36" s="46">
        <f>'2015-16 working'!G36</f>
        <v>163</v>
      </c>
      <c r="H36" s="46">
        <f>'2015-16 working'!H36</f>
        <v>635</v>
      </c>
      <c r="J36" s="42"/>
      <c r="K36" s="42"/>
      <c r="L36" s="42"/>
      <c r="M36" s="42"/>
      <c r="N36" s="42"/>
      <c r="O36" s="42"/>
    </row>
    <row r="37" spans="1:15" x14ac:dyDescent="0.35">
      <c r="A37" s="27">
        <v>83</v>
      </c>
      <c r="B37" s="34" t="s">
        <v>37</v>
      </c>
      <c r="C37" s="46">
        <f>'2015-16 working'!C37</f>
        <v>5140</v>
      </c>
      <c r="D37" s="46">
        <f>'2015-16 working'!D37</f>
        <v>10904.25</v>
      </c>
      <c r="E37" s="46">
        <f>'2015-16 working'!E37</f>
        <v>538</v>
      </c>
      <c r="F37" s="46">
        <f>'2015-16 working'!F37</f>
        <v>6937.75</v>
      </c>
      <c r="G37" s="46">
        <f>'2015-16 working'!G37</f>
        <v>270</v>
      </c>
      <c r="H37" s="46">
        <f>'2015-16 working'!H37</f>
        <v>1393.5</v>
      </c>
      <c r="J37" s="42"/>
      <c r="K37" s="42"/>
      <c r="L37" s="42"/>
      <c r="M37" s="42"/>
      <c r="N37" s="42"/>
      <c r="O37" s="42"/>
    </row>
    <row r="38" spans="1:15" x14ac:dyDescent="0.35">
      <c r="A38" s="27">
        <v>84</v>
      </c>
      <c r="B38" s="34" t="s">
        <v>38</v>
      </c>
      <c r="C38" s="46">
        <f>'2015-16 working'!C38</f>
        <v>6121</v>
      </c>
      <c r="D38" s="46">
        <f>'2015-16 working'!D38</f>
        <v>16104</v>
      </c>
      <c r="E38" s="46">
        <f>'2015-16 working'!E38</f>
        <v>287</v>
      </c>
      <c r="F38" s="46">
        <f>'2015-16 working'!F38</f>
        <v>1739</v>
      </c>
      <c r="G38" s="46">
        <f>'2015-16 working'!G38</f>
        <v>315</v>
      </c>
      <c r="H38" s="46">
        <f>'2015-16 working'!H38</f>
        <v>2544</v>
      </c>
      <c r="J38" s="42"/>
      <c r="K38" s="42"/>
      <c r="L38" s="42"/>
      <c r="M38" s="42"/>
      <c r="N38" s="42"/>
      <c r="O38" s="42"/>
    </row>
    <row r="39" spans="1:15" x14ac:dyDescent="0.35">
      <c r="A39" s="27">
        <v>85</v>
      </c>
      <c r="B39" s="34" t="s">
        <v>39</v>
      </c>
      <c r="C39" s="46">
        <f>'2015-16 working'!C39</f>
        <v>2397</v>
      </c>
      <c r="D39" s="46">
        <f>'2015-16 working'!D39</f>
        <v>10505</v>
      </c>
      <c r="E39" s="46">
        <f>'2015-16 working'!E39</f>
        <v>238</v>
      </c>
      <c r="F39" s="46">
        <f>'2015-16 working'!F39</f>
        <v>4410</v>
      </c>
      <c r="G39" s="46">
        <f>'2015-16 working'!G39</f>
        <v>1039</v>
      </c>
      <c r="H39" s="46">
        <f>'2015-16 working'!H39</f>
        <v>4315</v>
      </c>
      <c r="J39" s="42"/>
      <c r="K39" s="42"/>
      <c r="L39" s="42"/>
      <c r="M39" s="42"/>
      <c r="N39" s="42"/>
      <c r="O39" s="42"/>
    </row>
    <row r="40" spans="1:15" x14ac:dyDescent="0.35">
      <c r="A40" s="27">
        <v>87</v>
      </c>
      <c r="B40" s="34" t="s">
        <v>40</v>
      </c>
      <c r="C40" s="46">
        <f>'2015-16 working'!C40</f>
        <v>520</v>
      </c>
      <c r="D40" s="46">
        <f>'2015-16 working'!D40</f>
        <v>3501</v>
      </c>
      <c r="E40" s="46">
        <f>'2015-16 working'!E40</f>
        <v>30</v>
      </c>
      <c r="F40" s="46">
        <f>'2015-16 working'!F40</f>
        <v>180</v>
      </c>
      <c r="G40" s="46">
        <f>'2015-16 working'!G40</f>
        <v>160</v>
      </c>
      <c r="H40" s="46">
        <f>'2015-16 working'!H40</f>
        <v>552</v>
      </c>
      <c r="J40" s="42"/>
      <c r="K40" s="42"/>
      <c r="L40" s="42"/>
      <c r="M40" s="42"/>
      <c r="N40" s="42"/>
      <c r="O40" s="42"/>
    </row>
    <row r="41" spans="1:15" ht="14.5" x14ac:dyDescent="0.35">
      <c r="A41" s="27">
        <v>90</v>
      </c>
      <c r="B41" s="49" t="s">
        <v>78</v>
      </c>
      <c r="C41" s="61">
        <f>'(2014-15)'!C41</f>
        <v>7039</v>
      </c>
      <c r="D41" s="61">
        <f>'(2014-15)'!D41</f>
        <v>18493</v>
      </c>
      <c r="E41" s="61">
        <f>'(2014-15)'!E41</f>
        <v>818</v>
      </c>
      <c r="F41" s="61">
        <f>'(2014-15)'!F41</f>
        <v>6768</v>
      </c>
      <c r="G41" s="61">
        <f>'(2014-15)'!G41</f>
        <v>2154</v>
      </c>
      <c r="H41" s="61">
        <f>'(2014-15)'!H41</f>
        <v>7072</v>
      </c>
      <c r="J41" s="42"/>
      <c r="K41" s="42"/>
      <c r="L41" s="42"/>
      <c r="M41" s="42"/>
      <c r="N41" s="42"/>
      <c r="O41" s="42"/>
    </row>
    <row r="42" spans="1:15" x14ac:dyDescent="0.35">
      <c r="A42" s="27">
        <v>91</v>
      </c>
      <c r="B42" s="34" t="s">
        <v>43</v>
      </c>
      <c r="C42" s="46">
        <f>'2015-16 working'!C42</f>
        <v>314</v>
      </c>
      <c r="D42" s="46">
        <f>'2015-16 working'!D42</f>
        <v>3651.3</v>
      </c>
      <c r="E42" s="46">
        <f>'2015-16 working'!E42</f>
        <v>25</v>
      </c>
      <c r="F42" s="46">
        <f>'2015-16 working'!F42</f>
        <v>210.3</v>
      </c>
      <c r="G42" s="46">
        <f>'2015-16 working'!G42</f>
        <v>120</v>
      </c>
      <c r="H42" s="46">
        <f>'2015-16 working'!H42</f>
        <v>2185.7833333333301</v>
      </c>
      <c r="J42" s="42"/>
      <c r="K42" s="42"/>
      <c r="L42" s="42"/>
      <c r="M42" s="42"/>
      <c r="N42" s="42"/>
      <c r="O42" s="42"/>
    </row>
    <row r="43" spans="1:15" x14ac:dyDescent="0.35">
      <c r="A43" s="27">
        <v>92</v>
      </c>
      <c r="B43" s="34" t="s">
        <v>44</v>
      </c>
      <c r="C43" s="46">
        <f>'2015-16 working'!C43</f>
        <v>539</v>
      </c>
      <c r="D43" s="46">
        <f>'2015-16 working'!D43</f>
        <v>10003.5</v>
      </c>
      <c r="E43" s="46">
        <f>'2015-16 working'!E43</f>
        <v>399</v>
      </c>
      <c r="F43" s="46">
        <f>'2015-16 working'!F43</f>
        <v>8729.5</v>
      </c>
      <c r="G43" s="46">
        <f>'2015-16 working'!G43</f>
        <v>140</v>
      </c>
      <c r="H43" s="46">
        <f>'2015-16 working'!H43</f>
        <v>1274</v>
      </c>
      <c r="J43" s="42"/>
      <c r="K43" s="42"/>
      <c r="L43" s="42"/>
      <c r="M43" s="42"/>
      <c r="N43" s="42"/>
      <c r="O43" s="42"/>
    </row>
    <row r="44" spans="1:15" x14ac:dyDescent="0.35">
      <c r="A44" s="27">
        <v>94</v>
      </c>
      <c r="B44" s="34" t="s">
        <v>46</v>
      </c>
      <c r="C44" s="46">
        <f>'2015-16 working'!C44</f>
        <v>1771</v>
      </c>
      <c r="D44" s="46">
        <f>'2015-16 working'!D44</f>
        <v>6600</v>
      </c>
      <c r="E44" s="46">
        <f>'2015-16 working'!E44</f>
        <v>939</v>
      </c>
      <c r="F44" s="46">
        <f>'2015-16 working'!F44</f>
        <v>3690</v>
      </c>
      <c r="G44" s="46">
        <f>'2015-16 working'!G44</f>
        <v>832</v>
      </c>
      <c r="H44" s="46">
        <f>'2015-16 working'!H44</f>
        <v>2909.5</v>
      </c>
      <c r="J44" s="42"/>
      <c r="K44" s="42"/>
      <c r="L44" s="42"/>
      <c r="M44" s="42"/>
      <c r="N44" s="42"/>
      <c r="O44" s="42"/>
    </row>
    <row r="45" spans="1:15" ht="14.5" x14ac:dyDescent="0.35">
      <c r="A45" s="27">
        <v>96</v>
      </c>
      <c r="B45" s="49" t="s">
        <v>79</v>
      </c>
      <c r="C45" s="46">
        <f>'2015-16 working'!C45</f>
        <v>2484</v>
      </c>
      <c r="D45" s="46">
        <f>'2015-16 working'!D45</f>
        <v>9971.25</v>
      </c>
      <c r="E45" s="46">
        <f>'2015-16 working'!E45</f>
        <v>209</v>
      </c>
      <c r="F45" s="46">
        <f>'2015-16 working'!F45</f>
        <v>3213.5</v>
      </c>
      <c r="G45" s="46">
        <f>'2015-16 working'!G45</f>
        <v>440</v>
      </c>
      <c r="H45" s="46">
        <f>'2015-16 working'!H45</f>
        <v>1466.25</v>
      </c>
      <c r="J45" s="42"/>
      <c r="K45" s="42"/>
      <c r="L45" s="42"/>
      <c r="M45" s="42"/>
      <c r="N45" s="42"/>
      <c r="O45" s="42"/>
    </row>
    <row r="46" spans="1:15" x14ac:dyDescent="0.35">
      <c r="A46" s="27">
        <v>98</v>
      </c>
      <c r="B46" s="34" t="s">
        <v>50</v>
      </c>
      <c r="C46" s="46">
        <f>'2015-16 working'!C46</f>
        <v>280</v>
      </c>
      <c r="D46" s="46">
        <f>'2015-16 working'!D46</f>
        <v>1642</v>
      </c>
      <c r="E46" s="46">
        <f>'2015-16 working'!E46</f>
        <v>101</v>
      </c>
      <c r="F46" s="46">
        <f>'2015-16 working'!F46</f>
        <v>568</v>
      </c>
      <c r="G46" s="46">
        <f>'2015-16 working'!G46</f>
        <v>179</v>
      </c>
      <c r="H46" s="46">
        <f>'2015-16 working'!H46</f>
        <v>1074</v>
      </c>
      <c r="J46" s="42"/>
      <c r="K46" s="42"/>
      <c r="L46" s="42"/>
      <c r="M46" s="42"/>
      <c r="N46" s="42"/>
      <c r="O46" s="42"/>
    </row>
    <row r="47" spans="1:15" x14ac:dyDescent="0.35">
      <c r="A47" s="27">
        <v>72</v>
      </c>
      <c r="B47" s="34" t="s">
        <v>28</v>
      </c>
      <c r="C47" s="46">
        <f>'2015-16 working'!C47</f>
        <v>3</v>
      </c>
      <c r="D47" s="46">
        <f>'2015-16 working'!D47</f>
        <v>5</v>
      </c>
      <c r="E47" s="46">
        <f>'2015-16 working'!E47</f>
        <v>0</v>
      </c>
      <c r="F47" s="46">
        <f>'2015-16 working'!F47</f>
        <v>0</v>
      </c>
      <c r="G47" s="46">
        <f>'2015-16 working'!G47</f>
        <v>1</v>
      </c>
      <c r="H47" s="46">
        <f>'2015-16 working'!H47</f>
        <v>1.5</v>
      </c>
      <c r="J47" s="42"/>
      <c r="K47" s="42"/>
      <c r="L47" s="42"/>
      <c r="M47" s="42"/>
      <c r="N47" s="42"/>
      <c r="O47" s="42"/>
    </row>
    <row r="48" spans="1:15" s="43" customFormat="1" ht="26.25" customHeight="1" x14ac:dyDescent="0.35">
      <c r="B48" s="43" t="s">
        <v>56</v>
      </c>
      <c r="C48" s="50">
        <f t="shared" ref="C48:H48" si="2">SUM(C49:C55)</f>
        <v>20535</v>
      </c>
      <c r="D48" s="50">
        <f t="shared" si="2"/>
        <v>178864.5</v>
      </c>
      <c r="E48" s="50">
        <f t="shared" si="2"/>
        <v>6370</v>
      </c>
      <c r="F48" s="50">
        <f t="shared" si="2"/>
        <v>110990.5</v>
      </c>
      <c r="G48" s="50">
        <f t="shared" si="2"/>
        <v>10586</v>
      </c>
      <c r="H48" s="50">
        <f t="shared" si="2"/>
        <v>44370</v>
      </c>
      <c r="J48" s="42"/>
      <c r="K48" s="42"/>
      <c r="L48" s="42"/>
      <c r="M48" s="42"/>
      <c r="N48" s="42"/>
      <c r="O48" s="42"/>
    </row>
    <row r="49" spans="1:15" x14ac:dyDescent="0.35">
      <c r="A49" s="27">
        <v>66</v>
      </c>
      <c r="B49" s="34" t="s">
        <v>22</v>
      </c>
      <c r="C49" s="46">
        <f>'2015-16 working'!C49</f>
        <v>4084</v>
      </c>
      <c r="D49" s="46">
        <f>'2015-16 working'!D49</f>
        <v>38259</v>
      </c>
      <c r="E49" s="46">
        <f>'2015-16 working'!E49</f>
        <v>630</v>
      </c>
      <c r="F49" s="46">
        <f>'2015-16 working'!F49</f>
        <v>4234</v>
      </c>
      <c r="G49" s="61">
        <f>ROUND(H49*('(2014-15)'!G49/'(2014-15)'!H49),0)</f>
        <v>4385</v>
      </c>
      <c r="H49" s="46">
        <f>'2015-16 working'!H49</f>
        <v>22234</v>
      </c>
      <c r="J49" s="42"/>
      <c r="K49" s="42"/>
      <c r="L49" s="42"/>
      <c r="M49" s="42"/>
      <c r="N49" s="42"/>
      <c r="O49" s="42"/>
    </row>
    <row r="50" spans="1:15" x14ac:dyDescent="0.35">
      <c r="A50" s="27">
        <v>78</v>
      </c>
      <c r="B50" s="34" t="s">
        <v>33</v>
      </c>
      <c r="C50" s="46">
        <f>'2015-16 working'!C50</f>
        <v>2514</v>
      </c>
      <c r="D50" s="46">
        <f>'2015-16 working'!D50</f>
        <v>20627.5</v>
      </c>
      <c r="E50" s="46">
        <f>'2015-16 working'!E50</f>
        <v>687</v>
      </c>
      <c r="F50" s="46">
        <f>'2015-16 working'!F50</f>
        <v>16148.5</v>
      </c>
      <c r="G50" s="61">
        <f>ROUND(H50*('(2014-15)'!G50/'(2014-15)'!H50),0)</f>
        <v>306</v>
      </c>
      <c r="H50" s="46">
        <f>'2015-16 working'!H50</f>
        <v>1574</v>
      </c>
      <c r="J50" s="42"/>
      <c r="K50" s="42"/>
      <c r="L50" s="42"/>
      <c r="M50" s="42"/>
      <c r="N50" s="42"/>
      <c r="O50" s="42"/>
    </row>
    <row r="51" spans="1:15" x14ac:dyDescent="0.35">
      <c r="A51" s="27">
        <v>89</v>
      </c>
      <c r="B51" s="34" t="s">
        <v>41</v>
      </c>
      <c r="C51" s="46">
        <f>'2015-16 working'!C51</f>
        <v>1824</v>
      </c>
      <c r="D51" s="46">
        <f>'2015-16 working'!D51</f>
        <v>4003</v>
      </c>
      <c r="E51" s="46">
        <f>'2015-16 working'!E51</f>
        <v>441</v>
      </c>
      <c r="F51" s="46">
        <f>'2015-16 working'!F51</f>
        <v>1079</v>
      </c>
      <c r="G51" s="46">
        <f>'2015-16 working'!G51</f>
        <v>1159</v>
      </c>
      <c r="H51" s="46">
        <f>'2015-16 working'!H51</f>
        <v>2197</v>
      </c>
      <c r="J51" s="42"/>
      <c r="K51" s="42"/>
      <c r="L51" s="42"/>
      <c r="M51" s="42"/>
      <c r="N51" s="42"/>
      <c r="O51" s="42"/>
    </row>
    <row r="52" spans="1:15" x14ac:dyDescent="0.35">
      <c r="A52" s="27">
        <v>93</v>
      </c>
      <c r="B52" s="34" t="s">
        <v>57</v>
      </c>
      <c r="C52" s="46">
        <f>'2015-16 working'!C52</f>
        <v>3826</v>
      </c>
      <c r="D52" s="46">
        <f>'2015-16 working'!D52</f>
        <v>10749</v>
      </c>
      <c r="E52" s="46">
        <f>'2015-16 working'!E52</f>
        <v>372</v>
      </c>
      <c r="F52" s="46">
        <f>'2015-16 working'!F52</f>
        <v>1978</v>
      </c>
      <c r="G52" s="46">
        <f>'2015-16 working'!G52</f>
        <v>1728</v>
      </c>
      <c r="H52" s="46">
        <f>'2015-16 working'!H52</f>
        <v>8005</v>
      </c>
      <c r="J52" s="42"/>
      <c r="K52" s="42"/>
      <c r="L52" s="42"/>
      <c r="M52" s="42"/>
      <c r="N52" s="42"/>
      <c r="O52" s="42"/>
    </row>
    <row r="53" spans="1:15" x14ac:dyDescent="0.35">
      <c r="A53" s="27">
        <v>95</v>
      </c>
      <c r="B53" s="34" t="s">
        <v>47</v>
      </c>
      <c r="C53" s="46">
        <f>'2015-16 working'!C53</f>
        <v>4612</v>
      </c>
      <c r="D53" s="46">
        <f>'2015-16 working'!D53</f>
        <v>57094</v>
      </c>
      <c r="E53" s="46">
        <f>'2015-16 working'!E53</f>
        <v>3120</v>
      </c>
      <c r="F53" s="46">
        <f>'2015-16 working'!F53</f>
        <v>51729</v>
      </c>
      <c r="G53" s="46">
        <f>'2015-16 working'!G53</f>
        <v>1492</v>
      </c>
      <c r="H53" s="46">
        <f>'2015-16 working'!H53</f>
        <v>5365</v>
      </c>
      <c r="J53" s="42"/>
      <c r="K53" s="42"/>
      <c r="L53" s="42"/>
      <c r="M53" s="42"/>
      <c r="N53" s="42"/>
      <c r="O53" s="42"/>
    </row>
    <row r="54" spans="1:15" x14ac:dyDescent="0.35">
      <c r="A54" s="27">
        <v>97</v>
      </c>
      <c r="B54" s="34" t="s">
        <v>49</v>
      </c>
      <c r="C54" s="46">
        <f>'2015-16 working'!C54</f>
        <v>2093</v>
      </c>
      <c r="D54" s="46">
        <f>'2015-16 working'!D54</f>
        <v>10166</v>
      </c>
      <c r="E54" s="46">
        <f>'2015-16 working'!E54</f>
        <v>499</v>
      </c>
      <c r="F54" s="46">
        <f>'2015-16 working'!F54</f>
        <v>2093</v>
      </c>
      <c r="G54" s="46">
        <f>'2015-16 working'!G54</f>
        <v>555</v>
      </c>
      <c r="H54" s="46">
        <f>'2015-16 working'!H54</f>
        <v>758</v>
      </c>
      <c r="J54" s="42"/>
      <c r="K54" s="42"/>
      <c r="L54" s="42"/>
      <c r="M54" s="42"/>
      <c r="N54" s="42"/>
      <c r="O54" s="42"/>
    </row>
    <row r="55" spans="1:15" x14ac:dyDescent="0.35">
      <c r="A55" s="27">
        <v>77</v>
      </c>
      <c r="B55" s="37" t="s">
        <v>21</v>
      </c>
      <c r="C55" s="46">
        <f>'2015-16 working'!C55</f>
        <v>1582</v>
      </c>
      <c r="D55" s="46">
        <f>'2015-16 working'!D55</f>
        <v>37966</v>
      </c>
      <c r="E55" s="46">
        <f>'2015-16 working'!E55</f>
        <v>621</v>
      </c>
      <c r="F55" s="46">
        <f>'2015-16 working'!F55</f>
        <v>33729</v>
      </c>
      <c r="G55" s="46">
        <f>'2015-16 working'!G55</f>
        <v>961</v>
      </c>
      <c r="H55" s="46">
        <f>'2015-16 working'!H55</f>
        <v>4237</v>
      </c>
      <c r="J55" s="42"/>
      <c r="K55" s="42"/>
      <c r="L55" s="42"/>
      <c r="M55" s="42"/>
      <c r="N55" s="42"/>
      <c r="O55" s="42"/>
    </row>
    <row r="57" spans="1:15" ht="27.75" customHeight="1" x14ac:dyDescent="0.35">
      <c r="B57" s="106" t="s">
        <v>80</v>
      </c>
      <c r="C57" s="107"/>
      <c r="D57" s="107"/>
      <c r="E57" s="107"/>
      <c r="F57" s="107"/>
      <c r="G57" s="107"/>
      <c r="H57" s="107"/>
    </row>
    <row r="58" spans="1:15" ht="27.75" customHeight="1" x14ac:dyDescent="0.35">
      <c r="B58" s="106" t="s">
        <v>81</v>
      </c>
      <c r="C58" s="107"/>
      <c r="D58" s="107"/>
      <c r="E58" s="107"/>
      <c r="F58" s="107"/>
      <c r="G58" s="107"/>
      <c r="H58" s="107"/>
    </row>
    <row r="59" spans="1:15" ht="13.5" customHeight="1" x14ac:dyDescent="0.35">
      <c r="B59" s="34" t="s">
        <v>82</v>
      </c>
      <c r="C59" s="31"/>
      <c r="D59" s="31"/>
      <c r="E59" s="31"/>
      <c r="F59" s="31"/>
      <c r="G59" s="31"/>
      <c r="H59" s="31"/>
    </row>
    <row r="60" spans="1:15" ht="13.5" customHeight="1" x14ac:dyDescent="0.35">
      <c r="B60" s="51" t="s">
        <v>83</v>
      </c>
      <c r="C60" s="31"/>
      <c r="D60" s="31"/>
      <c r="E60" s="31"/>
      <c r="F60" s="31"/>
      <c r="G60" s="31"/>
      <c r="H60" s="31"/>
    </row>
    <row r="61" spans="1:15" x14ac:dyDescent="0.35">
      <c r="B61" s="51" t="s">
        <v>84</v>
      </c>
    </row>
    <row r="63" spans="1:15" x14ac:dyDescent="0.35">
      <c r="B63" s="104" t="s">
        <v>85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P68"/>
  <sheetViews>
    <sheetView showGridLines="0" zoomScale="85" zoomScaleNormal="85" workbookViewId="0">
      <pane xSplit="2" ySplit="3" topLeftCell="C22" activePane="bottomRight" state="frozen"/>
      <selection activeCell="A65" sqref="A65:I65"/>
      <selection pane="topRight" activeCell="A65" sqref="A65:I65"/>
      <selection pane="bottomLeft" activeCell="A65" sqref="A65:I65"/>
      <selection pane="bottomRight" activeCell="F47" sqref="F47"/>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9.0898437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9.0898437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9.0898437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9.0898437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9.0898437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9.0898437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9.0898437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9.0898437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9.0898437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9.0898437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9.0898437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9.0898437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9.0898437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9.0898437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9.0898437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9.0898437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9.0898437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9.0898437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9.0898437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9.0898437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9.0898437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9.0898437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9.0898437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9.0898437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9.0898437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9.0898437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9.0898437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9.0898437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9.0898437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9.0898437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9.0898437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9.0898437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9.0898437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9.0898437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9.0898437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9.0898437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9.0898437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9.0898437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9.0898437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9.0898437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9.0898437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9.0898437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9.0898437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9.0898437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9.0898437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9.0898437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9.0898437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9.0898437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9.0898437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9.0898437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9.0898437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9.0898437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9.0898437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9.0898437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9.0898437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9.0898437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9.0898437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9.0898437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9.0898437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9.0898437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9.0898437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9.0898437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9.0898437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9.08984375" style="34"/>
  </cols>
  <sheetData>
    <row r="1" spans="1:16" ht="33.75" customHeight="1" x14ac:dyDescent="0.35">
      <c r="B1" s="118" t="s">
        <v>136</v>
      </c>
      <c r="C1" s="116"/>
      <c r="D1" s="116"/>
      <c r="E1" s="116"/>
      <c r="F1" s="116"/>
      <c r="G1" s="116"/>
      <c r="H1" s="117"/>
    </row>
    <row r="2" spans="1:16" s="35" customFormat="1" ht="39.75" customHeight="1" x14ac:dyDescent="0.35">
      <c r="B2" s="36"/>
      <c r="C2" s="109" t="s">
        <v>67</v>
      </c>
      <c r="D2" s="109"/>
      <c r="E2" s="110" t="s">
        <v>68</v>
      </c>
      <c r="F2" s="110"/>
      <c r="G2" s="110" t="s">
        <v>69</v>
      </c>
      <c r="H2" s="110"/>
    </row>
    <row r="3" spans="1:16" ht="42.75" customHeight="1" x14ac:dyDescent="0.35">
      <c r="B3" s="37"/>
      <c r="C3" s="38" t="s">
        <v>70</v>
      </c>
      <c r="D3" s="38" t="s">
        <v>71</v>
      </c>
      <c r="E3" s="38" t="s">
        <v>70</v>
      </c>
      <c r="F3" s="38" t="s">
        <v>71</v>
      </c>
      <c r="G3" s="38" t="s">
        <v>70</v>
      </c>
      <c r="H3" s="38" t="s">
        <v>71</v>
      </c>
    </row>
    <row r="4" spans="1:16" ht="18" hidden="1" customHeight="1" x14ac:dyDescent="0.35">
      <c r="C4" s="39" t="s">
        <v>72</v>
      </c>
      <c r="D4" s="39" t="s">
        <v>72</v>
      </c>
      <c r="E4" s="39" t="s">
        <v>73</v>
      </c>
      <c r="F4" s="39" t="s">
        <v>73</v>
      </c>
      <c r="G4" s="39" t="s">
        <v>74</v>
      </c>
      <c r="H4" s="39" t="s">
        <v>74</v>
      </c>
    </row>
    <row r="5" spans="1:16" ht="15.75" hidden="1" customHeight="1" x14ac:dyDescent="0.35">
      <c r="C5" s="39" t="s">
        <v>75</v>
      </c>
      <c r="D5" s="39" t="s">
        <v>76</v>
      </c>
      <c r="E5" s="39" t="s">
        <v>75</v>
      </c>
      <c r="F5" s="39" t="s">
        <v>76</v>
      </c>
      <c r="G5" s="39" t="s">
        <v>75</v>
      </c>
      <c r="H5" s="39" t="s">
        <v>76</v>
      </c>
    </row>
    <row r="6" spans="1:16" ht="26.25" customHeight="1" x14ac:dyDescent="0.35">
      <c r="B6" s="40" t="s">
        <v>77</v>
      </c>
      <c r="C6" s="41">
        <f t="shared" ref="C6:H6" si="0">C7+C48</f>
        <v>138650</v>
      </c>
      <c r="D6" s="41">
        <f t="shared" si="0"/>
        <v>598760.72</v>
      </c>
      <c r="E6" s="41">
        <f t="shared" si="0"/>
        <v>17764</v>
      </c>
      <c r="F6" s="41">
        <f t="shared" si="0"/>
        <v>176293.37</v>
      </c>
      <c r="G6" s="41">
        <f t="shared" si="0"/>
        <v>34523</v>
      </c>
      <c r="H6" s="41">
        <f t="shared" si="0"/>
        <v>284598.7</v>
      </c>
      <c r="J6" s="42"/>
      <c r="K6" s="42"/>
      <c r="L6" s="42"/>
      <c r="M6" s="42"/>
      <c r="N6" s="42"/>
      <c r="O6" s="42"/>
      <c r="P6" s="42"/>
    </row>
    <row r="7" spans="1:16" s="43" customFormat="1" ht="26.25" customHeight="1" x14ac:dyDescent="0.35">
      <c r="A7" s="26"/>
      <c r="B7" s="43" t="s">
        <v>52</v>
      </c>
      <c r="C7" s="44">
        <f t="shared" ref="C7:H7" si="1">SUM(C8:C47)</f>
        <v>117241</v>
      </c>
      <c r="D7" s="44">
        <f t="shared" si="1"/>
        <v>319631.71999999997</v>
      </c>
      <c r="E7" s="44">
        <f t="shared" si="1"/>
        <v>11682</v>
      </c>
      <c r="F7" s="44">
        <f t="shared" si="1"/>
        <v>107651.37</v>
      </c>
      <c r="G7" s="44">
        <f t="shared" si="1"/>
        <v>24135</v>
      </c>
      <c r="H7" s="44">
        <f t="shared" si="1"/>
        <v>85015.700000000012</v>
      </c>
      <c r="J7" s="42"/>
      <c r="K7" s="42"/>
      <c r="L7" s="45"/>
      <c r="M7" s="42"/>
      <c r="N7" s="42"/>
      <c r="O7" s="42"/>
    </row>
    <row r="8" spans="1:16" x14ac:dyDescent="0.35">
      <c r="A8" s="27">
        <v>51</v>
      </c>
      <c r="B8" s="34" t="s">
        <v>5</v>
      </c>
      <c r="C8" s="46">
        <v>13272</v>
      </c>
      <c r="D8" s="46">
        <v>4149</v>
      </c>
      <c r="E8" s="46">
        <v>133</v>
      </c>
      <c r="F8" s="46">
        <v>772</v>
      </c>
      <c r="G8" s="46">
        <v>342</v>
      </c>
      <c r="H8" s="46">
        <v>750</v>
      </c>
      <c r="J8" s="42"/>
      <c r="K8" s="42"/>
      <c r="L8" s="42"/>
      <c r="M8" s="42"/>
      <c r="N8" s="42"/>
      <c r="O8" s="42"/>
    </row>
    <row r="9" spans="1:16" x14ac:dyDescent="0.35">
      <c r="A9" s="27">
        <v>52</v>
      </c>
      <c r="B9" s="34" t="s">
        <v>6</v>
      </c>
      <c r="C9" s="46">
        <v>1129</v>
      </c>
      <c r="D9" s="46">
        <v>10152</v>
      </c>
      <c r="E9" s="46">
        <v>106</v>
      </c>
      <c r="F9" s="46">
        <v>1041</v>
      </c>
      <c r="G9" s="46">
        <v>306</v>
      </c>
      <c r="H9" s="46">
        <v>2597</v>
      </c>
      <c r="J9" s="42"/>
      <c r="K9" s="42"/>
      <c r="L9" s="42"/>
      <c r="M9" s="42"/>
      <c r="N9" s="42"/>
      <c r="O9" s="42"/>
    </row>
    <row r="10" spans="1:16" x14ac:dyDescent="0.35">
      <c r="A10" s="27">
        <v>86</v>
      </c>
      <c r="B10" s="34" t="s">
        <v>7</v>
      </c>
      <c r="C10" s="46">
        <v>983</v>
      </c>
      <c r="D10" s="46">
        <v>5833</v>
      </c>
      <c r="E10" s="46">
        <v>174</v>
      </c>
      <c r="F10" s="46">
        <v>522</v>
      </c>
      <c r="G10" s="46">
        <v>444</v>
      </c>
      <c r="H10" s="46">
        <v>2284</v>
      </c>
      <c r="J10" s="42"/>
      <c r="K10" s="42"/>
      <c r="L10" s="42"/>
      <c r="M10" s="42"/>
      <c r="N10" s="42"/>
      <c r="O10" s="42"/>
    </row>
    <row r="11" spans="1:16" x14ac:dyDescent="0.35">
      <c r="A11" s="27">
        <v>53</v>
      </c>
      <c r="B11" s="34" t="s">
        <v>8</v>
      </c>
      <c r="C11" s="46">
        <v>1012</v>
      </c>
      <c r="D11" s="46">
        <v>4292</v>
      </c>
      <c r="E11" s="46">
        <v>78</v>
      </c>
      <c r="F11" s="46">
        <v>360</v>
      </c>
      <c r="G11" s="46">
        <v>170</v>
      </c>
      <c r="H11" s="46">
        <v>582</v>
      </c>
      <c r="J11" s="42"/>
      <c r="K11" s="42"/>
      <c r="L11" s="42"/>
      <c r="M11" s="42"/>
      <c r="N11" s="42"/>
      <c r="O11" s="42"/>
    </row>
    <row r="12" spans="1:16" x14ac:dyDescent="0.35">
      <c r="A12" s="27">
        <v>54</v>
      </c>
      <c r="B12" s="34" t="s">
        <v>9</v>
      </c>
      <c r="C12" s="46">
        <v>545</v>
      </c>
      <c r="D12" s="46">
        <v>1687</v>
      </c>
      <c r="E12" s="46">
        <v>18</v>
      </c>
      <c r="F12" s="46">
        <v>64</v>
      </c>
      <c r="G12" s="46">
        <v>232</v>
      </c>
      <c r="H12" s="46">
        <v>988</v>
      </c>
      <c r="J12" s="42"/>
      <c r="K12" s="42"/>
      <c r="L12" s="42"/>
      <c r="M12" s="42"/>
      <c r="N12" s="42"/>
      <c r="O12" s="42"/>
    </row>
    <row r="13" spans="1:16" x14ac:dyDescent="0.35">
      <c r="A13" s="27">
        <v>55</v>
      </c>
      <c r="B13" s="34" t="s">
        <v>10</v>
      </c>
      <c r="C13" s="46">
        <v>1037</v>
      </c>
      <c r="D13" s="46">
        <v>30638</v>
      </c>
      <c r="E13" s="46">
        <v>365</v>
      </c>
      <c r="F13" s="46">
        <v>27159</v>
      </c>
      <c r="G13" s="46">
        <v>463</v>
      </c>
      <c r="H13" s="46">
        <v>965</v>
      </c>
      <c r="J13" s="42"/>
      <c r="K13" s="42"/>
      <c r="L13" s="42"/>
      <c r="M13" s="42"/>
      <c r="N13" s="42"/>
      <c r="O13" s="42"/>
    </row>
    <row r="14" spans="1:16" x14ac:dyDescent="0.35">
      <c r="A14" s="27">
        <v>56</v>
      </c>
      <c r="B14" s="34" t="s">
        <v>11</v>
      </c>
      <c r="C14" s="46">
        <v>1707</v>
      </c>
      <c r="D14" s="46">
        <v>14669</v>
      </c>
      <c r="E14" s="46">
        <v>421</v>
      </c>
      <c r="F14" s="46">
        <v>3727</v>
      </c>
      <c r="G14" s="46">
        <v>1286</v>
      </c>
      <c r="H14" s="46">
        <v>10922</v>
      </c>
      <c r="J14" s="42"/>
      <c r="K14" s="42"/>
      <c r="L14" s="42"/>
      <c r="M14" s="42"/>
      <c r="N14" s="42"/>
      <c r="O14" s="42"/>
    </row>
    <row r="15" spans="1:16" x14ac:dyDescent="0.35">
      <c r="A15" s="27">
        <v>57</v>
      </c>
      <c r="B15" s="34" t="s">
        <v>12</v>
      </c>
      <c r="C15" s="46">
        <v>627</v>
      </c>
      <c r="D15" s="46">
        <v>3762</v>
      </c>
      <c r="E15" s="46">
        <v>21</v>
      </c>
      <c r="F15" s="46">
        <v>897.8</v>
      </c>
      <c r="G15" s="46">
        <v>138</v>
      </c>
      <c r="H15" s="46">
        <v>948</v>
      </c>
      <c r="J15" s="42"/>
      <c r="K15" s="42"/>
      <c r="L15" s="42"/>
      <c r="M15" s="42"/>
      <c r="N15" s="42"/>
      <c r="O15" s="42"/>
    </row>
    <row r="16" spans="1:16" x14ac:dyDescent="0.35">
      <c r="A16" s="27">
        <v>59</v>
      </c>
      <c r="B16" s="34" t="s">
        <v>13</v>
      </c>
      <c r="C16" s="46">
        <v>869</v>
      </c>
      <c r="D16" s="61" t="s">
        <v>117</v>
      </c>
      <c r="E16" s="46">
        <v>116</v>
      </c>
      <c r="F16" s="61" t="s">
        <v>117</v>
      </c>
      <c r="G16" s="46">
        <v>211</v>
      </c>
      <c r="H16" s="61" t="s">
        <v>117</v>
      </c>
      <c r="J16" s="42"/>
      <c r="K16" s="42"/>
      <c r="L16" s="42"/>
      <c r="M16" s="42"/>
      <c r="N16" s="42"/>
      <c r="O16" s="42"/>
    </row>
    <row r="17" spans="1:15" x14ac:dyDescent="0.35">
      <c r="A17" s="27">
        <v>60</v>
      </c>
      <c r="B17" s="34" t="s">
        <v>14</v>
      </c>
      <c r="C17" s="46">
        <v>31664</v>
      </c>
      <c r="D17" s="46">
        <v>12053</v>
      </c>
      <c r="E17" s="46">
        <v>408</v>
      </c>
      <c r="F17" s="46">
        <v>2981.6</v>
      </c>
      <c r="G17" s="46">
        <v>334</v>
      </c>
      <c r="H17" s="46">
        <v>1207.5</v>
      </c>
      <c r="J17" s="42"/>
      <c r="K17" s="42"/>
      <c r="L17" s="42"/>
      <c r="M17" s="42"/>
      <c r="N17" s="42"/>
      <c r="O17" s="42"/>
    </row>
    <row r="18" spans="1:15" x14ac:dyDescent="0.35">
      <c r="A18" s="27">
        <v>61</v>
      </c>
      <c r="B18" s="47" t="s">
        <v>53</v>
      </c>
      <c r="C18" s="46">
        <v>3922</v>
      </c>
      <c r="D18" s="46">
        <v>11804</v>
      </c>
      <c r="E18" s="46">
        <v>309</v>
      </c>
      <c r="F18" s="46">
        <v>1307</v>
      </c>
      <c r="G18" s="46">
        <v>1838</v>
      </c>
      <c r="H18" s="46">
        <v>4038</v>
      </c>
      <c r="J18" s="42"/>
      <c r="K18" s="42"/>
      <c r="L18" s="42"/>
      <c r="M18" s="42"/>
      <c r="N18" s="42"/>
      <c r="O18" s="42"/>
    </row>
    <row r="19" spans="1:15" x14ac:dyDescent="0.35">
      <c r="A19" s="27"/>
      <c r="B19" s="47" t="s">
        <v>131</v>
      </c>
      <c r="C19" s="46">
        <v>1197</v>
      </c>
      <c r="D19" s="46">
        <v>8250</v>
      </c>
      <c r="E19" s="46">
        <v>43</v>
      </c>
      <c r="F19" s="46">
        <v>147</v>
      </c>
      <c r="G19" s="46">
        <v>480</v>
      </c>
      <c r="H19" s="46">
        <v>3742</v>
      </c>
      <c r="J19" s="42"/>
      <c r="K19" s="42"/>
      <c r="L19" s="42"/>
      <c r="M19" s="42"/>
      <c r="N19" s="42"/>
      <c r="O19" s="42"/>
    </row>
    <row r="20" spans="1:15" x14ac:dyDescent="0.35">
      <c r="A20" s="27">
        <v>62</v>
      </c>
      <c r="B20" s="34" t="s">
        <v>16</v>
      </c>
      <c r="C20" s="46" t="s">
        <v>132</v>
      </c>
      <c r="D20" s="46" t="s">
        <v>132</v>
      </c>
      <c r="E20" s="46" t="s">
        <v>132</v>
      </c>
      <c r="F20" s="46" t="s">
        <v>132</v>
      </c>
      <c r="G20" s="46" t="s">
        <v>132</v>
      </c>
      <c r="H20" s="46" t="s">
        <v>132</v>
      </c>
      <c r="J20" s="42"/>
      <c r="K20" s="42"/>
      <c r="L20" s="42"/>
      <c r="M20" s="42"/>
      <c r="N20" s="42"/>
      <c r="O20" s="42"/>
    </row>
    <row r="21" spans="1:15" x14ac:dyDescent="0.35">
      <c r="A21" s="27">
        <v>58</v>
      </c>
      <c r="B21" s="34" t="s">
        <v>17</v>
      </c>
      <c r="C21" s="46">
        <v>290</v>
      </c>
      <c r="D21" s="46">
        <v>960</v>
      </c>
      <c r="E21" s="46">
        <v>52</v>
      </c>
      <c r="F21" s="46">
        <v>152</v>
      </c>
      <c r="G21" s="46">
        <v>164</v>
      </c>
      <c r="H21" s="46">
        <v>522</v>
      </c>
      <c r="J21" s="42"/>
      <c r="K21" s="42"/>
      <c r="L21" s="42"/>
      <c r="M21" s="42"/>
      <c r="N21" s="42"/>
      <c r="O21" s="42"/>
    </row>
    <row r="22" spans="1:15" x14ac:dyDescent="0.35">
      <c r="A22" s="27">
        <v>63</v>
      </c>
      <c r="B22" s="34" t="s">
        <v>18</v>
      </c>
      <c r="C22" s="46">
        <v>1952</v>
      </c>
      <c r="D22" s="46">
        <v>10589</v>
      </c>
      <c r="E22" s="46">
        <v>50</v>
      </c>
      <c r="F22" s="46">
        <v>288</v>
      </c>
      <c r="G22" s="46">
        <v>194</v>
      </c>
      <c r="H22" s="46">
        <v>2682.4</v>
      </c>
      <c r="J22" s="42"/>
      <c r="K22" s="42"/>
      <c r="L22" s="42"/>
      <c r="M22" s="42"/>
      <c r="N22" s="42"/>
      <c r="O22" s="42"/>
    </row>
    <row r="23" spans="1:15" x14ac:dyDescent="0.35">
      <c r="A23" s="27">
        <v>64</v>
      </c>
      <c r="B23" s="34" t="s">
        <v>19</v>
      </c>
      <c r="C23" s="46">
        <v>1476</v>
      </c>
      <c r="D23" s="46">
        <v>3213</v>
      </c>
      <c r="E23" s="46">
        <v>96</v>
      </c>
      <c r="F23" s="46">
        <v>538</v>
      </c>
      <c r="G23" s="46">
        <v>1380</v>
      </c>
      <c r="H23" s="46">
        <v>2675</v>
      </c>
      <c r="J23" s="42"/>
      <c r="K23" s="42"/>
      <c r="L23" s="42"/>
      <c r="M23" s="42"/>
      <c r="N23" s="42"/>
      <c r="O23" s="42"/>
    </row>
    <row r="24" spans="1:15" x14ac:dyDescent="0.35">
      <c r="A24" s="27">
        <v>65</v>
      </c>
      <c r="B24" s="34" t="s">
        <v>20</v>
      </c>
      <c r="C24" s="46">
        <v>589</v>
      </c>
      <c r="D24" s="46">
        <v>10784</v>
      </c>
      <c r="E24" s="46">
        <v>337</v>
      </c>
      <c r="F24" s="46">
        <v>9524</v>
      </c>
      <c r="G24" s="46">
        <v>252</v>
      </c>
      <c r="H24" s="46">
        <v>1260</v>
      </c>
      <c r="J24" s="42"/>
      <c r="K24" s="42"/>
      <c r="L24" s="42"/>
      <c r="M24" s="42"/>
      <c r="N24" s="42"/>
      <c r="O24" s="42"/>
    </row>
    <row r="25" spans="1:15" x14ac:dyDescent="0.35">
      <c r="A25" s="27">
        <v>67</v>
      </c>
      <c r="B25" s="34" t="s">
        <v>23</v>
      </c>
      <c r="C25" s="46">
        <v>643</v>
      </c>
      <c r="D25" s="46">
        <v>13229</v>
      </c>
      <c r="E25" s="46">
        <v>211</v>
      </c>
      <c r="F25" s="46">
        <v>5291</v>
      </c>
      <c r="G25" s="46">
        <v>105</v>
      </c>
      <c r="H25" s="46">
        <v>990.3</v>
      </c>
      <c r="J25" s="42"/>
      <c r="K25" s="42"/>
      <c r="L25" s="42"/>
      <c r="M25" s="42"/>
      <c r="N25" s="42"/>
      <c r="O25" s="42"/>
    </row>
    <row r="26" spans="1:15" x14ac:dyDescent="0.35">
      <c r="A26" s="27">
        <v>68</v>
      </c>
      <c r="B26" s="34" t="s">
        <v>54</v>
      </c>
      <c r="C26" s="46">
        <v>410</v>
      </c>
      <c r="D26" s="46">
        <v>1737</v>
      </c>
      <c r="E26" s="46">
        <v>44</v>
      </c>
      <c r="F26" s="46">
        <v>71</v>
      </c>
      <c r="G26" s="46">
        <v>90</v>
      </c>
      <c r="H26" s="46">
        <v>895</v>
      </c>
      <c r="J26" s="42"/>
      <c r="K26" s="42"/>
      <c r="L26" s="42"/>
      <c r="M26" s="42"/>
      <c r="N26" s="42"/>
      <c r="O26" s="42"/>
    </row>
    <row r="27" spans="1:15" x14ac:dyDescent="0.35">
      <c r="A27" s="27">
        <v>69</v>
      </c>
      <c r="B27" s="34" t="s">
        <v>25</v>
      </c>
      <c r="C27" s="46">
        <v>9185</v>
      </c>
      <c r="D27" s="46">
        <v>22099</v>
      </c>
      <c r="E27" s="46">
        <v>123</v>
      </c>
      <c r="F27" s="46">
        <v>5007</v>
      </c>
      <c r="G27" s="46">
        <v>1084</v>
      </c>
      <c r="H27" s="46">
        <v>4295</v>
      </c>
      <c r="J27" s="42"/>
      <c r="K27" s="42"/>
      <c r="L27" s="42"/>
      <c r="M27" s="42"/>
      <c r="N27" s="42"/>
      <c r="O27" s="42"/>
    </row>
    <row r="28" spans="1:15" x14ac:dyDescent="0.35">
      <c r="A28" s="27">
        <v>70</v>
      </c>
      <c r="B28" s="34" t="s">
        <v>26</v>
      </c>
      <c r="C28" s="46">
        <v>1733</v>
      </c>
      <c r="D28" s="46">
        <v>5260</v>
      </c>
      <c r="E28" s="46">
        <v>371</v>
      </c>
      <c r="F28" s="46">
        <v>3233</v>
      </c>
      <c r="G28" s="46">
        <v>221</v>
      </c>
      <c r="H28" s="46">
        <v>559</v>
      </c>
      <c r="J28" s="42"/>
      <c r="K28" s="42"/>
      <c r="L28" s="42"/>
      <c r="M28" s="42"/>
      <c r="N28" s="42"/>
      <c r="O28" s="42"/>
    </row>
    <row r="29" spans="1:15" x14ac:dyDescent="0.35">
      <c r="A29" s="27">
        <v>71</v>
      </c>
      <c r="B29" s="34" t="s">
        <v>55</v>
      </c>
      <c r="C29" s="46">
        <v>123</v>
      </c>
      <c r="D29" s="46">
        <v>292</v>
      </c>
      <c r="E29" s="46">
        <v>29</v>
      </c>
      <c r="F29" s="46">
        <v>46</v>
      </c>
      <c r="G29" s="46">
        <v>71</v>
      </c>
      <c r="H29" s="46">
        <v>190</v>
      </c>
      <c r="J29" s="42"/>
      <c r="K29" s="42"/>
      <c r="L29" s="42"/>
      <c r="M29" s="42"/>
      <c r="N29" s="42"/>
      <c r="O29" s="42"/>
    </row>
    <row r="30" spans="1:15" x14ac:dyDescent="0.35">
      <c r="A30" s="27">
        <v>73</v>
      </c>
      <c r="B30" s="34" t="s">
        <v>29</v>
      </c>
      <c r="C30" s="46">
        <v>2179</v>
      </c>
      <c r="D30" s="46">
        <v>8428</v>
      </c>
      <c r="E30" s="46">
        <v>647</v>
      </c>
      <c r="F30" s="46">
        <v>1158</v>
      </c>
      <c r="G30" s="61" t="s">
        <v>117</v>
      </c>
      <c r="H30" s="61" t="s">
        <v>117</v>
      </c>
      <c r="J30" s="42"/>
      <c r="K30" s="42"/>
      <c r="L30" s="42"/>
      <c r="M30" s="42"/>
      <c r="N30" s="42"/>
      <c r="O30" s="42"/>
    </row>
    <row r="31" spans="1:15" x14ac:dyDescent="0.35">
      <c r="A31" s="27">
        <v>74</v>
      </c>
      <c r="B31" s="34" t="s">
        <v>30</v>
      </c>
      <c r="C31" s="46">
        <v>12387</v>
      </c>
      <c r="D31" s="46">
        <v>24300</v>
      </c>
      <c r="E31" s="46">
        <v>1295</v>
      </c>
      <c r="F31" s="46">
        <v>2671</v>
      </c>
      <c r="G31" s="46">
        <v>10094</v>
      </c>
      <c r="H31" s="46">
        <v>19872</v>
      </c>
      <c r="J31" s="42"/>
      <c r="K31" s="42"/>
      <c r="L31" s="42"/>
      <c r="M31" s="42"/>
      <c r="N31" s="42"/>
      <c r="O31" s="42"/>
    </row>
    <row r="32" spans="1:15" x14ac:dyDescent="0.35">
      <c r="A32" s="27">
        <v>75</v>
      </c>
      <c r="B32" s="34" t="s">
        <v>31</v>
      </c>
      <c r="C32" s="46">
        <v>1758</v>
      </c>
      <c r="D32" s="46">
        <v>12705</v>
      </c>
      <c r="E32" s="46">
        <v>215</v>
      </c>
      <c r="F32" s="46">
        <v>1829</v>
      </c>
      <c r="G32" s="46">
        <v>691</v>
      </c>
      <c r="H32" s="46">
        <v>5330</v>
      </c>
      <c r="J32" s="42"/>
      <c r="K32" s="42"/>
      <c r="L32" s="42"/>
      <c r="M32" s="42"/>
      <c r="N32" s="42"/>
      <c r="O32" s="42"/>
    </row>
    <row r="33" spans="1:15" x14ac:dyDescent="0.35">
      <c r="A33" s="27">
        <v>76</v>
      </c>
      <c r="B33" s="34" t="s">
        <v>32</v>
      </c>
      <c r="C33" s="46">
        <v>627</v>
      </c>
      <c r="D33" s="46">
        <v>7512</v>
      </c>
      <c r="E33" s="46">
        <v>380</v>
      </c>
      <c r="F33" s="46">
        <v>765</v>
      </c>
      <c r="G33" s="46">
        <v>243</v>
      </c>
      <c r="H33" s="46">
        <v>1523</v>
      </c>
      <c r="J33" s="42"/>
      <c r="K33" s="42"/>
      <c r="L33" s="42"/>
      <c r="M33" s="42"/>
      <c r="N33" s="42"/>
      <c r="O33" s="42"/>
    </row>
    <row r="34" spans="1:15" x14ac:dyDescent="0.35">
      <c r="A34" s="27">
        <v>79</v>
      </c>
      <c r="B34" s="34" t="s">
        <v>34</v>
      </c>
      <c r="C34" s="46">
        <v>130</v>
      </c>
      <c r="D34" s="46">
        <v>326</v>
      </c>
      <c r="E34" s="46">
        <v>30</v>
      </c>
      <c r="F34" s="46">
        <v>69</v>
      </c>
      <c r="G34" s="46">
        <v>100</v>
      </c>
      <c r="H34" s="46">
        <v>257</v>
      </c>
      <c r="J34" s="42"/>
      <c r="K34" s="42"/>
      <c r="L34" s="42"/>
      <c r="M34" s="42"/>
      <c r="N34" s="42"/>
      <c r="O34" s="42"/>
    </row>
    <row r="35" spans="1:15" x14ac:dyDescent="0.35">
      <c r="A35" s="27">
        <v>80</v>
      </c>
      <c r="B35" s="34" t="s">
        <v>35</v>
      </c>
      <c r="C35" s="46">
        <v>2255</v>
      </c>
      <c r="D35" s="46">
        <v>7639</v>
      </c>
      <c r="E35" s="46">
        <v>121</v>
      </c>
      <c r="F35" s="46">
        <v>1097</v>
      </c>
      <c r="G35" s="46">
        <v>261</v>
      </c>
      <c r="H35" s="46">
        <v>837</v>
      </c>
      <c r="J35" s="42"/>
      <c r="K35" s="42"/>
      <c r="L35" s="42"/>
      <c r="M35" s="42"/>
      <c r="N35" s="42"/>
      <c r="O35" s="42"/>
    </row>
    <row r="36" spans="1:15" x14ac:dyDescent="0.35">
      <c r="A36" s="27">
        <v>81</v>
      </c>
      <c r="B36" s="34" t="s">
        <v>36</v>
      </c>
      <c r="C36" s="46">
        <v>604</v>
      </c>
      <c r="D36" s="46">
        <v>5191</v>
      </c>
      <c r="E36" s="46">
        <v>127</v>
      </c>
      <c r="F36" s="46">
        <v>2039</v>
      </c>
      <c r="G36" s="46">
        <v>253</v>
      </c>
      <c r="H36" s="46">
        <v>1447.33</v>
      </c>
      <c r="J36" s="42"/>
      <c r="K36" s="42"/>
      <c r="L36" s="42"/>
      <c r="M36" s="42"/>
      <c r="N36" s="42"/>
      <c r="O36" s="42"/>
    </row>
    <row r="37" spans="1:15" x14ac:dyDescent="0.35">
      <c r="A37" s="27">
        <v>83</v>
      </c>
      <c r="B37" s="34" t="s">
        <v>37</v>
      </c>
      <c r="C37" s="46">
        <v>7310</v>
      </c>
      <c r="D37" s="46">
        <v>9336.5</v>
      </c>
      <c r="E37" s="46">
        <v>500</v>
      </c>
      <c r="F37" s="46">
        <v>5593.75</v>
      </c>
      <c r="G37" s="46">
        <v>227</v>
      </c>
      <c r="H37" s="46">
        <v>1223</v>
      </c>
      <c r="J37" s="42"/>
      <c r="K37" s="42"/>
      <c r="L37" s="42"/>
      <c r="M37" s="42"/>
      <c r="N37" s="42"/>
      <c r="O37" s="42"/>
    </row>
    <row r="38" spans="1:15" x14ac:dyDescent="0.35">
      <c r="A38" s="27">
        <v>84</v>
      </c>
      <c r="B38" s="34" t="s">
        <v>38</v>
      </c>
      <c r="C38" s="46">
        <v>4906</v>
      </c>
      <c r="D38" s="46">
        <v>24106</v>
      </c>
      <c r="E38" s="46">
        <v>272</v>
      </c>
      <c r="F38" s="46">
        <v>4914</v>
      </c>
      <c r="G38" s="46">
        <v>319</v>
      </c>
      <c r="H38" s="46">
        <v>3399</v>
      </c>
      <c r="J38" s="42"/>
      <c r="K38" s="42"/>
      <c r="L38" s="42"/>
      <c r="M38" s="42"/>
      <c r="N38" s="42"/>
      <c r="O38" s="42"/>
    </row>
    <row r="39" spans="1:15" x14ac:dyDescent="0.35">
      <c r="A39" s="27">
        <v>85</v>
      </c>
      <c r="B39" s="34" t="s">
        <v>39</v>
      </c>
      <c r="C39" s="46">
        <v>1997</v>
      </c>
      <c r="D39" s="46">
        <v>9901</v>
      </c>
      <c r="E39" s="46">
        <v>291</v>
      </c>
      <c r="F39" s="46">
        <v>3670</v>
      </c>
      <c r="G39" s="46">
        <v>285</v>
      </c>
      <c r="H39" s="46">
        <v>1663</v>
      </c>
      <c r="J39" s="42"/>
      <c r="K39" s="42"/>
      <c r="L39" s="42"/>
      <c r="M39" s="42"/>
      <c r="N39" s="42"/>
      <c r="O39" s="42"/>
    </row>
    <row r="40" spans="1:15" x14ac:dyDescent="0.35">
      <c r="A40" s="27">
        <v>87</v>
      </c>
      <c r="B40" s="34" t="s">
        <v>40</v>
      </c>
      <c r="C40" s="46">
        <v>332</v>
      </c>
      <c r="D40" s="46">
        <v>1835</v>
      </c>
      <c r="E40" s="46">
        <v>41</v>
      </c>
      <c r="F40" s="46">
        <v>246</v>
      </c>
      <c r="G40" s="46">
        <v>168</v>
      </c>
      <c r="H40" s="46">
        <v>624</v>
      </c>
      <c r="J40" s="42"/>
      <c r="K40" s="42"/>
      <c r="L40" s="42"/>
      <c r="M40" s="42"/>
      <c r="N40" s="42"/>
      <c r="O40" s="42"/>
    </row>
    <row r="41" spans="1:15" ht="14.5" x14ac:dyDescent="0.35">
      <c r="A41" s="27">
        <v>90</v>
      </c>
      <c r="B41" s="49" t="s">
        <v>78</v>
      </c>
      <c r="C41" s="61" t="s">
        <v>117</v>
      </c>
      <c r="D41" s="61" t="s">
        <v>117</v>
      </c>
      <c r="E41" s="61" t="s">
        <v>117</v>
      </c>
      <c r="F41" s="61" t="s">
        <v>117</v>
      </c>
      <c r="G41" s="61" t="s">
        <v>117</v>
      </c>
      <c r="H41" s="61" t="s">
        <v>117</v>
      </c>
      <c r="J41" s="42"/>
      <c r="K41" s="42"/>
      <c r="L41" s="42"/>
      <c r="M41" s="42"/>
      <c r="N41" s="42"/>
      <c r="O41" s="42"/>
    </row>
    <row r="42" spans="1:15" x14ac:dyDescent="0.35">
      <c r="A42" s="27">
        <v>91</v>
      </c>
      <c r="B42" s="34" t="s">
        <v>43</v>
      </c>
      <c r="C42" s="46">
        <v>213</v>
      </c>
      <c r="D42" s="46">
        <v>2066.2200000000007</v>
      </c>
      <c r="E42" s="46">
        <v>68</v>
      </c>
      <c r="F42" s="46">
        <v>637.22000000000014</v>
      </c>
      <c r="G42" s="46">
        <v>7</v>
      </c>
      <c r="H42" s="46">
        <v>83.17</v>
      </c>
      <c r="J42" s="42"/>
      <c r="K42" s="42"/>
      <c r="L42" s="42"/>
      <c r="M42" s="42"/>
      <c r="N42" s="42"/>
      <c r="O42" s="42"/>
    </row>
    <row r="43" spans="1:15" x14ac:dyDescent="0.35">
      <c r="A43" s="27">
        <v>92</v>
      </c>
      <c r="B43" s="34" t="s">
        <v>44</v>
      </c>
      <c r="C43" s="46">
        <v>3756</v>
      </c>
      <c r="D43" s="46">
        <v>13840</v>
      </c>
      <c r="E43" s="46">
        <v>3624</v>
      </c>
      <c r="F43" s="46">
        <v>13042</v>
      </c>
      <c r="G43" s="46">
        <v>132</v>
      </c>
      <c r="H43" s="46">
        <v>798</v>
      </c>
      <c r="J43" s="42"/>
      <c r="K43" s="42"/>
      <c r="L43" s="42"/>
      <c r="M43" s="42"/>
      <c r="N43" s="42"/>
      <c r="O43" s="42"/>
    </row>
    <row r="44" spans="1:15" x14ac:dyDescent="0.35">
      <c r="A44" s="27">
        <v>94</v>
      </c>
      <c r="B44" s="34" t="s">
        <v>46</v>
      </c>
      <c r="C44" s="46">
        <v>1396</v>
      </c>
      <c r="D44" s="46">
        <v>6687</v>
      </c>
      <c r="E44" s="46">
        <v>362</v>
      </c>
      <c r="F44" s="46">
        <v>3158</v>
      </c>
      <c r="G44" s="46">
        <v>1034</v>
      </c>
      <c r="H44" s="46">
        <v>3529</v>
      </c>
      <c r="J44" s="42"/>
      <c r="K44" s="42"/>
      <c r="L44" s="42"/>
      <c r="M44" s="42"/>
      <c r="N44" s="42"/>
      <c r="O44" s="42"/>
    </row>
    <row r="45" spans="1:15" ht="14.5" x14ac:dyDescent="0.35">
      <c r="A45" s="27">
        <v>96</v>
      </c>
      <c r="B45" s="49" t="s">
        <v>79</v>
      </c>
      <c r="C45" s="46">
        <v>3026</v>
      </c>
      <c r="D45" s="46">
        <v>10307</v>
      </c>
      <c r="E45" s="46">
        <v>204</v>
      </c>
      <c r="F45" s="46">
        <v>3634</v>
      </c>
      <c r="G45" s="46">
        <v>516</v>
      </c>
      <c r="H45" s="46">
        <v>1338</v>
      </c>
      <c r="J45" s="42"/>
      <c r="K45" s="42"/>
      <c r="L45" s="42"/>
      <c r="M45" s="42"/>
      <c r="N45" s="42"/>
      <c r="O45" s="42"/>
    </row>
    <row r="46" spans="1:15" x14ac:dyDescent="0.35">
      <c r="A46" s="27">
        <v>98</v>
      </c>
      <c r="B46" s="34" t="s">
        <v>50</v>
      </c>
      <c r="C46" s="46" t="s">
        <v>132</v>
      </c>
      <c r="D46" s="46" t="s">
        <v>132</v>
      </c>
      <c r="E46" s="46" t="s">
        <v>132</v>
      </c>
      <c r="F46" s="46" t="s">
        <v>132</v>
      </c>
      <c r="G46" s="46" t="s">
        <v>132</v>
      </c>
      <c r="H46" s="46" t="s">
        <v>132</v>
      </c>
      <c r="J46" s="42"/>
      <c r="K46" s="42"/>
      <c r="L46" s="42"/>
      <c r="M46" s="42"/>
      <c r="N46" s="42"/>
      <c r="O46" s="42"/>
    </row>
    <row r="47" spans="1:15" x14ac:dyDescent="0.35">
      <c r="A47" s="27">
        <v>72</v>
      </c>
      <c r="B47" s="34" t="s">
        <v>28</v>
      </c>
      <c r="C47" s="46">
        <v>0</v>
      </c>
      <c r="D47" s="46">
        <v>0</v>
      </c>
      <c r="E47" s="46">
        <v>0</v>
      </c>
      <c r="F47" s="46">
        <v>0</v>
      </c>
      <c r="G47" s="46">
        <v>0</v>
      </c>
      <c r="H47" s="46">
        <v>0</v>
      </c>
      <c r="J47" s="42"/>
      <c r="K47" s="42"/>
      <c r="L47" s="42"/>
      <c r="M47" s="42"/>
      <c r="N47" s="42"/>
      <c r="O47" s="42"/>
    </row>
    <row r="48" spans="1:15" s="43" customFormat="1" ht="26.25" customHeight="1" x14ac:dyDescent="0.35">
      <c r="B48" s="43" t="s">
        <v>56</v>
      </c>
      <c r="C48" s="50">
        <f t="shared" ref="C48:H48" si="2">SUM(C49:C55)</f>
        <v>21409</v>
      </c>
      <c r="D48" s="50">
        <f t="shared" si="2"/>
        <v>279129</v>
      </c>
      <c r="E48" s="50">
        <f t="shared" si="2"/>
        <v>6082</v>
      </c>
      <c r="F48" s="50">
        <f t="shared" si="2"/>
        <v>68642</v>
      </c>
      <c r="G48" s="50">
        <f t="shared" si="2"/>
        <v>10388</v>
      </c>
      <c r="H48" s="50">
        <f t="shared" si="2"/>
        <v>199583</v>
      </c>
      <c r="J48" s="42"/>
      <c r="K48" s="42"/>
      <c r="L48" s="42"/>
      <c r="M48" s="42"/>
      <c r="N48" s="42"/>
      <c r="O48" s="42"/>
    </row>
    <row r="49" spans="1:15" x14ac:dyDescent="0.35">
      <c r="A49" s="27">
        <v>66</v>
      </c>
      <c r="B49" s="34" t="s">
        <v>22</v>
      </c>
      <c r="C49" s="46">
        <v>3960</v>
      </c>
      <c r="D49" s="46">
        <v>37025</v>
      </c>
      <c r="E49" s="46">
        <v>970</v>
      </c>
      <c r="F49" s="46">
        <v>3938</v>
      </c>
      <c r="G49" s="46">
        <v>773</v>
      </c>
      <c r="H49" s="46">
        <v>28695</v>
      </c>
      <c r="J49" s="42"/>
      <c r="K49" s="42"/>
      <c r="L49" s="42"/>
      <c r="M49" s="42"/>
      <c r="N49" s="42"/>
      <c r="O49" s="42"/>
    </row>
    <row r="50" spans="1:15" x14ac:dyDescent="0.35">
      <c r="A50" s="27">
        <v>78</v>
      </c>
      <c r="B50" s="34" t="s">
        <v>33</v>
      </c>
      <c r="C50" s="46">
        <v>2991</v>
      </c>
      <c r="D50" s="46">
        <v>19029</v>
      </c>
      <c r="E50" s="46">
        <v>2991</v>
      </c>
      <c r="F50" s="46">
        <v>17517</v>
      </c>
      <c r="G50" s="61" t="s">
        <v>117</v>
      </c>
      <c r="H50" s="46">
        <v>1512</v>
      </c>
      <c r="J50" s="42"/>
      <c r="K50" s="42"/>
      <c r="L50" s="42"/>
      <c r="M50" s="42"/>
      <c r="N50" s="42"/>
      <c r="O50" s="42"/>
    </row>
    <row r="51" spans="1:15" x14ac:dyDescent="0.35">
      <c r="A51" s="27">
        <v>89</v>
      </c>
      <c r="B51" s="34" t="s">
        <v>41</v>
      </c>
      <c r="C51" s="46">
        <v>1228</v>
      </c>
      <c r="D51" s="46">
        <v>3546</v>
      </c>
      <c r="E51" s="46">
        <v>700</v>
      </c>
      <c r="F51" s="46">
        <v>1400</v>
      </c>
      <c r="G51" s="46">
        <v>410</v>
      </c>
      <c r="H51" s="46">
        <v>1250</v>
      </c>
      <c r="J51" s="42"/>
      <c r="K51" s="42"/>
      <c r="L51" s="42"/>
      <c r="M51" s="42"/>
      <c r="N51" s="42"/>
      <c r="O51" s="42"/>
    </row>
    <row r="52" spans="1:15" x14ac:dyDescent="0.35">
      <c r="A52" s="27">
        <v>93</v>
      </c>
      <c r="B52" s="34" t="s">
        <v>57</v>
      </c>
      <c r="C52" s="46">
        <v>2944</v>
      </c>
      <c r="D52" s="46">
        <v>12839</v>
      </c>
      <c r="E52" s="46">
        <v>332</v>
      </c>
      <c r="F52" s="46">
        <v>1741</v>
      </c>
      <c r="G52" s="46">
        <v>1380</v>
      </c>
      <c r="H52" s="46">
        <v>10350</v>
      </c>
      <c r="J52" s="42"/>
      <c r="K52" s="42"/>
      <c r="L52" s="42"/>
      <c r="M52" s="42"/>
      <c r="N52" s="42"/>
      <c r="O52" s="42"/>
    </row>
    <row r="53" spans="1:15" x14ac:dyDescent="0.35">
      <c r="A53" s="27">
        <v>95</v>
      </c>
      <c r="B53" s="34" t="s">
        <v>47</v>
      </c>
      <c r="C53" s="46">
        <v>6753</v>
      </c>
      <c r="D53" s="46">
        <v>151275</v>
      </c>
      <c r="E53" s="46">
        <v>130</v>
      </c>
      <c r="F53" s="46">
        <v>804</v>
      </c>
      <c r="G53" s="46">
        <v>6623</v>
      </c>
      <c r="H53" s="46">
        <v>150471</v>
      </c>
      <c r="J53" s="42"/>
      <c r="K53" s="42"/>
      <c r="L53" s="42"/>
      <c r="M53" s="42"/>
      <c r="N53" s="42"/>
      <c r="O53" s="42"/>
    </row>
    <row r="54" spans="1:15" x14ac:dyDescent="0.35">
      <c r="A54" s="27">
        <v>97</v>
      </c>
      <c r="B54" s="34" t="s">
        <v>49</v>
      </c>
      <c r="C54" s="46">
        <v>1612</v>
      </c>
      <c r="D54" s="46">
        <v>12893</v>
      </c>
      <c r="E54" s="46">
        <v>187</v>
      </c>
      <c r="F54" s="46">
        <v>5316</v>
      </c>
      <c r="G54" s="46">
        <v>53</v>
      </c>
      <c r="H54" s="46">
        <v>2709</v>
      </c>
      <c r="J54" s="42"/>
      <c r="K54" s="42"/>
      <c r="L54" s="42"/>
      <c r="M54" s="42"/>
      <c r="N54" s="42"/>
      <c r="O54" s="42"/>
    </row>
    <row r="55" spans="1:15" x14ac:dyDescent="0.35">
      <c r="A55" s="27">
        <v>77</v>
      </c>
      <c r="B55" s="37" t="s">
        <v>21</v>
      </c>
      <c r="C55" s="46">
        <v>1921</v>
      </c>
      <c r="D55" s="46">
        <v>42522</v>
      </c>
      <c r="E55" s="46">
        <v>772</v>
      </c>
      <c r="F55" s="46">
        <v>37926</v>
      </c>
      <c r="G55" s="46">
        <v>1149</v>
      </c>
      <c r="H55" s="46">
        <v>4596</v>
      </c>
      <c r="J55" s="42"/>
      <c r="K55" s="42"/>
      <c r="L55" s="42"/>
      <c r="M55" s="42"/>
      <c r="N55" s="42"/>
      <c r="O55" s="42"/>
    </row>
    <row r="57" spans="1:15" ht="27.75" customHeight="1" x14ac:dyDescent="0.35">
      <c r="B57" s="106" t="s">
        <v>80</v>
      </c>
      <c r="C57" s="107"/>
      <c r="D57" s="107"/>
      <c r="E57" s="107"/>
      <c r="F57" s="107"/>
      <c r="G57" s="107"/>
      <c r="H57" s="107"/>
    </row>
    <row r="58" spans="1:15" ht="27.75" customHeight="1" x14ac:dyDescent="0.35">
      <c r="B58" s="106" t="s">
        <v>81</v>
      </c>
      <c r="C58" s="107"/>
      <c r="D58" s="107"/>
      <c r="E58" s="107"/>
      <c r="F58" s="107"/>
      <c r="G58" s="107"/>
      <c r="H58" s="107"/>
    </row>
    <row r="59" spans="1:15" ht="13.5" customHeight="1" x14ac:dyDescent="0.35">
      <c r="B59" s="34" t="s">
        <v>82</v>
      </c>
      <c r="C59" s="96"/>
      <c r="D59" s="96"/>
      <c r="E59" s="96"/>
      <c r="F59" s="96"/>
      <c r="G59" s="96"/>
      <c r="H59" s="96"/>
    </row>
    <row r="60" spans="1:15" ht="13.5" customHeight="1" x14ac:dyDescent="0.35">
      <c r="B60" s="51" t="s">
        <v>83</v>
      </c>
      <c r="C60" s="96"/>
      <c r="D60" s="96"/>
      <c r="E60" s="96"/>
      <c r="F60" s="96"/>
      <c r="G60" s="96"/>
      <c r="H60" s="96"/>
    </row>
    <row r="61" spans="1:15" x14ac:dyDescent="0.35">
      <c r="B61" s="51" t="s">
        <v>84</v>
      </c>
    </row>
    <row r="63" spans="1:15" x14ac:dyDescent="0.35">
      <c r="B63" s="52" t="s">
        <v>85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P68"/>
  <sheetViews>
    <sheetView showGridLines="0" zoomScale="85" zoomScaleNormal="85" workbookViewId="0">
      <pane xSplit="2" ySplit="3" topLeftCell="C16" activePane="bottomRight" state="frozen"/>
      <selection activeCell="G50" sqref="G50"/>
      <selection pane="topRight" activeCell="G50" sqref="G50"/>
      <selection pane="bottomLeft" activeCell="G50" sqref="G50"/>
      <selection pane="bottomRight" activeCell="G50" sqref="G50"/>
    </sheetView>
  </sheetViews>
  <sheetFormatPr defaultRowHeight="12.5" x14ac:dyDescent="0.35"/>
  <cols>
    <col min="1" max="1" width="9.54296875" style="34" hidden="1" customWidth="1"/>
    <col min="2" max="2" width="24.6328125" style="34" customWidth="1"/>
    <col min="3" max="3" width="21.36328125" style="34" customWidth="1"/>
    <col min="4" max="4" width="19.54296875" style="34" customWidth="1"/>
    <col min="5" max="5" width="17.6328125" style="34" customWidth="1"/>
    <col min="6" max="6" width="16" style="34" customWidth="1"/>
    <col min="7" max="7" width="17.6328125" style="34" customWidth="1"/>
    <col min="8" max="8" width="16" style="34" customWidth="1"/>
    <col min="9" max="256" width="9.08984375" style="34"/>
    <col min="257" max="257" width="0" style="34" hidden="1" customWidth="1"/>
    <col min="258" max="258" width="24.6328125" style="34" customWidth="1"/>
    <col min="259" max="259" width="21.36328125" style="34" customWidth="1"/>
    <col min="260" max="260" width="19.54296875" style="34" customWidth="1"/>
    <col min="261" max="261" width="17.6328125" style="34" customWidth="1"/>
    <col min="262" max="262" width="16" style="34" customWidth="1"/>
    <col min="263" max="263" width="17.6328125" style="34" customWidth="1"/>
    <col min="264" max="264" width="16" style="34" customWidth="1"/>
    <col min="265" max="512" width="9.08984375" style="34"/>
    <col min="513" max="513" width="0" style="34" hidden="1" customWidth="1"/>
    <col min="514" max="514" width="24.6328125" style="34" customWidth="1"/>
    <col min="515" max="515" width="21.36328125" style="34" customWidth="1"/>
    <col min="516" max="516" width="19.54296875" style="34" customWidth="1"/>
    <col min="517" max="517" width="17.6328125" style="34" customWidth="1"/>
    <col min="518" max="518" width="16" style="34" customWidth="1"/>
    <col min="519" max="519" width="17.6328125" style="34" customWidth="1"/>
    <col min="520" max="520" width="16" style="34" customWidth="1"/>
    <col min="521" max="768" width="9.08984375" style="34"/>
    <col min="769" max="769" width="0" style="34" hidden="1" customWidth="1"/>
    <col min="770" max="770" width="24.6328125" style="34" customWidth="1"/>
    <col min="771" max="771" width="21.36328125" style="34" customWidth="1"/>
    <col min="772" max="772" width="19.54296875" style="34" customWidth="1"/>
    <col min="773" max="773" width="17.6328125" style="34" customWidth="1"/>
    <col min="774" max="774" width="16" style="34" customWidth="1"/>
    <col min="775" max="775" width="17.6328125" style="34" customWidth="1"/>
    <col min="776" max="776" width="16" style="34" customWidth="1"/>
    <col min="777" max="1024" width="9.08984375" style="34"/>
    <col min="1025" max="1025" width="0" style="34" hidden="1" customWidth="1"/>
    <col min="1026" max="1026" width="24.6328125" style="34" customWidth="1"/>
    <col min="1027" max="1027" width="21.36328125" style="34" customWidth="1"/>
    <col min="1028" max="1028" width="19.54296875" style="34" customWidth="1"/>
    <col min="1029" max="1029" width="17.6328125" style="34" customWidth="1"/>
    <col min="1030" max="1030" width="16" style="34" customWidth="1"/>
    <col min="1031" max="1031" width="17.6328125" style="34" customWidth="1"/>
    <col min="1032" max="1032" width="16" style="34" customWidth="1"/>
    <col min="1033" max="1280" width="9.08984375" style="34"/>
    <col min="1281" max="1281" width="0" style="34" hidden="1" customWidth="1"/>
    <col min="1282" max="1282" width="24.6328125" style="34" customWidth="1"/>
    <col min="1283" max="1283" width="21.36328125" style="34" customWidth="1"/>
    <col min="1284" max="1284" width="19.54296875" style="34" customWidth="1"/>
    <col min="1285" max="1285" width="17.6328125" style="34" customWidth="1"/>
    <col min="1286" max="1286" width="16" style="34" customWidth="1"/>
    <col min="1287" max="1287" width="17.6328125" style="34" customWidth="1"/>
    <col min="1288" max="1288" width="16" style="34" customWidth="1"/>
    <col min="1289" max="1536" width="9.08984375" style="34"/>
    <col min="1537" max="1537" width="0" style="34" hidden="1" customWidth="1"/>
    <col min="1538" max="1538" width="24.6328125" style="34" customWidth="1"/>
    <col min="1539" max="1539" width="21.36328125" style="34" customWidth="1"/>
    <col min="1540" max="1540" width="19.54296875" style="34" customWidth="1"/>
    <col min="1541" max="1541" width="17.6328125" style="34" customWidth="1"/>
    <col min="1542" max="1542" width="16" style="34" customWidth="1"/>
    <col min="1543" max="1543" width="17.6328125" style="34" customWidth="1"/>
    <col min="1544" max="1544" width="16" style="34" customWidth="1"/>
    <col min="1545" max="1792" width="9.08984375" style="34"/>
    <col min="1793" max="1793" width="0" style="34" hidden="1" customWidth="1"/>
    <col min="1794" max="1794" width="24.6328125" style="34" customWidth="1"/>
    <col min="1795" max="1795" width="21.36328125" style="34" customWidth="1"/>
    <col min="1796" max="1796" width="19.54296875" style="34" customWidth="1"/>
    <col min="1797" max="1797" width="17.6328125" style="34" customWidth="1"/>
    <col min="1798" max="1798" width="16" style="34" customWidth="1"/>
    <col min="1799" max="1799" width="17.6328125" style="34" customWidth="1"/>
    <col min="1800" max="1800" width="16" style="34" customWidth="1"/>
    <col min="1801" max="2048" width="9.08984375" style="34"/>
    <col min="2049" max="2049" width="0" style="34" hidden="1" customWidth="1"/>
    <col min="2050" max="2050" width="24.6328125" style="34" customWidth="1"/>
    <col min="2051" max="2051" width="21.36328125" style="34" customWidth="1"/>
    <col min="2052" max="2052" width="19.54296875" style="34" customWidth="1"/>
    <col min="2053" max="2053" width="17.6328125" style="34" customWidth="1"/>
    <col min="2054" max="2054" width="16" style="34" customWidth="1"/>
    <col min="2055" max="2055" width="17.6328125" style="34" customWidth="1"/>
    <col min="2056" max="2056" width="16" style="34" customWidth="1"/>
    <col min="2057" max="2304" width="9.08984375" style="34"/>
    <col min="2305" max="2305" width="0" style="34" hidden="1" customWidth="1"/>
    <col min="2306" max="2306" width="24.6328125" style="34" customWidth="1"/>
    <col min="2307" max="2307" width="21.36328125" style="34" customWidth="1"/>
    <col min="2308" max="2308" width="19.54296875" style="34" customWidth="1"/>
    <col min="2309" max="2309" width="17.6328125" style="34" customWidth="1"/>
    <col min="2310" max="2310" width="16" style="34" customWidth="1"/>
    <col min="2311" max="2311" width="17.6328125" style="34" customWidth="1"/>
    <col min="2312" max="2312" width="16" style="34" customWidth="1"/>
    <col min="2313" max="2560" width="9.08984375" style="34"/>
    <col min="2561" max="2561" width="0" style="34" hidden="1" customWidth="1"/>
    <col min="2562" max="2562" width="24.6328125" style="34" customWidth="1"/>
    <col min="2563" max="2563" width="21.36328125" style="34" customWidth="1"/>
    <col min="2564" max="2564" width="19.54296875" style="34" customWidth="1"/>
    <col min="2565" max="2565" width="17.6328125" style="34" customWidth="1"/>
    <col min="2566" max="2566" width="16" style="34" customWidth="1"/>
    <col min="2567" max="2567" width="17.6328125" style="34" customWidth="1"/>
    <col min="2568" max="2568" width="16" style="34" customWidth="1"/>
    <col min="2569" max="2816" width="9.08984375" style="34"/>
    <col min="2817" max="2817" width="0" style="34" hidden="1" customWidth="1"/>
    <col min="2818" max="2818" width="24.6328125" style="34" customWidth="1"/>
    <col min="2819" max="2819" width="21.36328125" style="34" customWidth="1"/>
    <col min="2820" max="2820" width="19.54296875" style="34" customWidth="1"/>
    <col min="2821" max="2821" width="17.6328125" style="34" customWidth="1"/>
    <col min="2822" max="2822" width="16" style="34" customWidth="1"/>
    <col min="2823" max="2823" width="17.6328125" style="34" customWidth="1"/>
    <col min="2824" max="2824" width="16" style="34" customWidth="1"/>
    <col min="2825" max="3072" width="9.08984375" style="34"/>
    <col min="3073" max="3073" width="0" style="34" hidden="1" customWidth="1"/>
    <col min="3074" max="3074" width="24.6328125" style="34" customWidth="1"/>
    <col min="3075" max="3075" width="21.36328125" style="34" customWidth="1"/>
    <col min="3076" max="3076" width="19.54296875" style="34" customWidth="1"/>
    <col min="3077" max="3077" width="17.6328125" style="34" customWidth="1"/>
    <col min="3078" max="3078" width="16" style="34" customWidth="1"/>
    <col min="3079" max="3079" width="17.6328125" style="34" customWidth="1"/>
    <col min="3080" max="3080" width="16" style="34" customWidth="1"/>
    <col min="3081" max="3328" width="9.08984375" style="34"/>
    <col min="3329" max="3329" width="0" style="34" hidden="1" customWidth="1"/>
    <col min="3330" max="3330" width="24.6328125" style="34" customWidth="1"/>
    <col min="3331" max="3331" width="21.36328125" style="34" customWidth="1"/>
    <col min="3332" max="3332" width="19.54296875" style="34" customWidth="1"/>
    <col min="3333" max="3333" width="17.6328125" style="34" customWidth="1"/>
    <col min="3334" max="3334" width="16" style="34" customWidth="1"/>
    <col min="3335" max="3335" width="17.6328125" style="34" customWidth="1"/>
    <col min="3336" max="3336" width="16" style="34" customWidth="1"/>
    <col min="3337" max="3584" width="9.08984375" style="34"/>
    <col min="3585" max="3585" width="0" style="34" hidden="1" customWidth="1"/>
    <col min="3586" max="3586" width="24.6328125" style="34" customWidth="1"/>
    <col min="3587" max="3587" width="21.36328125" style="34" customWidth="1"/>
    <col min="3588" max="3588" width="19.54296875" style="34" customWidth="1"/>
    <col min="3589" max="3589" width="17.6328125" style="34" customWidth="1"/>
    <col min="3590" max="3590" width="16" style="34" customWidth="1"/>
    <col min="3591" max="3591" width="17.6328125" style="34" customWidth="1"/>
    <col min="3592" max="3592" width="16" style="34" customWidth="1"/>
    <col min="3593" max="3840" width="9.08984375" style="34"/>
    <col min="3841" max="3841" width="0" style="34" hidden="1" customWidth="1"/>
    <col min="3842" max="3842" width="24.6328125" style="34" customWidth="1"/>
    <col min="3843" max="3843" width="21.36328125" style="34" customWidth="1"/>
    <col min="3844" max="3844" width="19.54296875" style="34" customWidth="1"/>
    <col min="3845" max="3845" width="17.6328125" style="34" customWidth="1"/>
    <col min="3846" max="3846" width="16" style="34" customWidth="1"/>
    <col min="3847" max="3847" width="17.6328125" style="34" customWidth="1"/>
    <col min="3848" max="3848" width="16" style="34" customWidth="1"/>
    <col min="3849" max="4096" width="9.08984375" style="34"/>
    <col min="4097" max="4097" width="0" style="34" hidden="1" customWidth="1"/>
    <col min="4098" max="4098" width="24.6328125" style="34" customWidth="1"/>
    <col min="4099" max="4099" width="21.36328125" style="34" customWidth="1"/>
    <col min="4100" max="4100" width="19.54296875" style="34" customWidth="1"/>
    <col min="4101" max="4101" width="17.6328125" style="34" customWidth="1"/>
    <col min="4102" max="4102" width="16" style="34" customWidth="1"/>
    <col min="4103" max="4103" width="17.6328125" style="34" customWidth="1"/>
    <col min="4104" max="4104" width="16" style="34" customWidth="1"/>
    <col min="4105" max="4352" width="9.08984375" style="34"/>
    <col min="4353" max="4353" width="0" style="34" hidden="1" customWidth="1"/>
    <col min="4354" max="4354" width="24.6328125" style="34" customWidth="1"/>
    <col min="4355" max="4355" width="21.36328125" style="34" customWidth="1"/>
    <col min="4356" max="4356" width="19.54296875" style="34" customWidth="1"/>
    <col min="4357" max="4357" width="17.6328125" style="34" customWidth="1"/>
    <col min="4358" max="4358" width="16" style="34" customWidth="1"/>
    <col min="4359" max="4359" width="17.6328125" style="34" customWidth="1"/>
    <col min="4360" max="4360" width="16" style="34" customWidth="1"/>
    <col min="4361" max="4608" width="9.08984375" style="34"/>
    <col min="4609" max="4609" width="0" style="34" hidden="1" customWidth="1"/>
    <col min="4610" max="4610" width="24.6328125" style="34" customWidth="1"/>
    <col min="4611" max="4611" width="21.36328125" style="34" customWidth="1"/>
    <col min="4612" max="4612" width="19.54296875" style="34" customWidth="1"/>
    <col min="4613" max="4613" width="17.6328125" style="34" customWidth="1"/>
    <col min="4614" max="4614" width="16" style="34" customWidth="1"/>
    <col min="4615" max="4615" width="17.6328125" style="34" customWidth="1"/>
    <col min="4616" max="4616" width="16" style="34" customWidth="1"/>
    <col min="4617" max="4864" width="9.08984375" style="34"/>
    <col min="4865" max="4865" width="0" style="34" hidden="1" customWidth="1"/>
    <col min="4866" max="4866" width="24.6328125" style="34" customWidth="1"/>
    <col min="4867" max="4867" width="21.36328125" style="34" customWidth="1"/>
    <col min="4868" max="4868" width="19.54296875" style="34" customWidth="1"/>
    <col min="4869" max="4869" width="17.6328125" style="34" customWidth="1"/>
    <col min="4870" max="4870" width="16" style="34" customWidth="1"/>
    <col min="4871" max="4871" width="17.6328125" style="34" customWidth="1"/>
    <col min="4872" max="4872" width="16" style="34" customWidth="1"/>
    <col min="4873" max="5120" width="9.08984375" style="34"/>
    <col min="5121" max="5121" width="0" style="34" hidden="1" customWidth="1"/>
    <col min="5122" max="5122" width="24.6328125" style="34" customWidth="1"/>
    <col min="5123" max="5123" width="21.36328125" style="34" customWidth="1"/>
    <col min="5124" max="5124" width="19.54296875" style="34" customWidth="1"/>
    <col min="5125" max="5125" width="17.6328125" style="34" customWidth="1"/>
    <col min="5126" max="5126" width="16" style="34" customWidth="1"/>
    <col min="5127" max="5127" width="17.6328125" style="34" customWidth="1"/>
    <col min="5128" max="5128" width="16" style="34" customWidth="1"/>
    <col min="5129" max="5376" width="9.08984375" style="34"/>
    <col min="5377" max="5377" width="0" style="34" hidden="1" customWidth="1"/>
    <col min="5378" max="5378" width="24.6328125" style="34" customWidth="1"/>
    <col min="5379" max="5379" width="21.36328125" style="34" customWidth="1"/>
    <col min="5380" max="5380" width="19.54296875" style="34" customWidth="1"/>
    <col min="5381" max="5381" width="17.6328125" style="34" customWidth="1"/>
    <col min="5382" max="5382" width="16" style="34" customWidth="1"/>
    <col min="5383" max="5383" width="17.6328125" style="34" customWidth="1"/>
    <col min="5384" max="5384" width="16" style="34" customWidth="1"/>
    <col min="5385" max="5632" width="9.08984375" style="34"/>
    <col min="5633" max="5633" width="0" style="34" hidden="1" customWidth="1"/>
    <col min="5634" max="5634" width="24.6328125" style="34" customWidth="1"/>
    <col min="5635" max="5635" width="21.36328125" style="34" customWidth="1"/>
    <col min="5636" max="5636" width="19.54296875" style="34" customWidth="1"/>
    <col min="5637" max="5637" width="17.6328125" style="34" customWidth="1"/>
    <col min="5638" max="5638" width="16" style="34" customWidth="1"/>
    <col min="5639" max="5639" width="17.6328125" style="34" customWidth="1"/>
    <col min="5640" max="5640" width="16" style="34" customWidth="1"/>
    <col min="5641" max="5888" width="9.08984375" style="34"/>
    <col min="5889" max="5889" width="0" style="34" hidden="1" customWidth="1"/>
    <col min="5890" max="5890" width="24.6328125" style="34" customWidth="1"/>
    <col min="5891" max="5891" width="21.36328125" style="34" customWidth="1"/>
    <col min="5892" max="5892" width="19.54296875" style="34" customWidth="1"/>
    <col min="5893" max="5893" width="17.6328125" style="34" customWidth="1"/>
    <col min="5894" max="5894" width="16" style="34" customWidth="1"/>
    <col min="5895" max="5895" width="17.6328125" style="34" customWidth="1"/>
    <col min="5896" max="5896" width="16" style="34" customWidth="1"/>
    <col min="5897" max="6144" width="9.08984375" style="34"/>
    <col min="6145" max="6145" width="0" style="34" hidden="1" customWidth="1"/>
    <col min="6146" max="6146" width="24.6328125" style="34" customWidth="1"/>
    <col min="6147" max="6147" width="21.36328125" style="34" customWidth="1"/>
    <col min="6148" max="6148" width="19.54296875" style="34" customWidth="1"/>
    <col min="6149" max="6149" width="17.6328125" style="34" customWidth="1"/>
    <col min="6150" max="6150" width="16" style="34" customWidth="1"/>
    <col min="6151" max="6151" width="17.6328125" style="34" customWidth="1"/>
    <col min="6152" max="6152" width="16" style="34" customWidth="1"/>
    <col min="6153" max="6400" width="9.08984375" style="34"/>
    <col min="6401" max="6401" width="0" style="34" hidden="1" customWidth="1"/>
    <col min="6402" max="6402" width="24.6328125" style="34" customWidth="1"/>
    <col min="6403" max="6403" width="21.36328125" style="34" customWidth="1"/>
    <col min="6404" max="6404" width="19.54296875" style="34" customWidth="1"/>
    <col min="6405" max="6405" width="17.6328125" style="34" customWidth="1"/>
    <col min="6406" max="6406" width="16" style="34" customWidth="1"/>
    <col min="6407" max="6407" width="17.6328125" style="34" customWidth="1"/>
    <col min="6408" max="6408" width="16" style="34" customWidth="1"/>
    <col min="6409" max="6656" width="9.08984375" style="34"/>
    <col min="6657" max="6657" width="0" style="34" hidden="1" customWidth="1"/>
    <col min="6658" max="6658" width="24.6328125" style="34" customWidth="1"/>
    <col min="6659" max="6659" width="21.36328125" style="34" customWidth="1"/>
    <col min="6660" max="6660" width="19.54296875" style="34" customWidth="1"/>
    <col min="6661" max="6661" width="17.6328125" style="34" customWidth="1"/>
    <col min="6662" max="6662" width="16" style="34" customWidth="1"/>
    <col min="6663" max="6663" width="17.6328125" style="34" customWidth="1"/>
    <col min="6664" max="6664" width="16" style="34" customWidth="1"/>
    <col min="6665" max="6912" width="9.08984375" style="34"/>
    <col min="6913" max="6913" width="0" style="34" hidden="1" customWidth="1"/>
    <col min="6914" max="6914" width="24.6328125" style="34" customWidth="1"/>
    <col min="6915" max="6915" width="21.36328125" style="34" customWidth="1"/>
    <col min="6916" max="6916" width="19.54296875" style="34" customWidth="1"/>
    <col min="6917" max="6917" width="17.6328125" style="34" customWidth="1"/>
    <col min="6918" max="6918" width="16" style="34" customWidth="1"/>
    <col min="6919" max="6919" width="17.6328125" style="34" customWidth="1"/>
    <col min="6920" max="6920" width="16" style="34" customWidth="1"/>
    <col min="6921" max="7168" width="9.08984375" style="34"/>
    <col min="7169" max="7169" width="0" style="34" hidden="1" customWidth="1"/>
    <col min="7170" max="7170" width="24.6328125" style="34" customWidth="1"/>
    <col min="7171" max="7171" width="21.36328125" style="34" customWidth="1"/>
    <col min="7172" max="7172" width="19.54296875" style="34" customWidth="1"/>
    <col min="7173" max="7173" width="17.6328125" style="34" customWidth="1"/>
    <col min="7174" max="7174" width="16" style="34" customWidth="1"/>
    <col min="7175" max="7175" width="17.6328125" style="34" customWidth="1"/>
    <col min="7176" max="7176" width="16" style="34" customWidth="1"/>
    <col min="7177" max="7424" width="9.08984375" style="34"/>
    <col min="7425" max="7425" width="0" style="34" hidden="1" customWidth="1"/>
    <col min="7426" max="7426" width="24.6328125" style="34" customWidth="1"/>
    <col min="7427" max="7427" width="21.36328125" style="34" customWidth="1"/>
    <col min="7428" max="7428" width="19.54296875" style="34" customWidth="1"/>
    <col min="7429" max="7429" width="17.6328125" style="34" customWidth="1"/>
    <col min="7430" max="7430" width="16" style="34" customWidth="1"/>
    <col min="7431" max="7431" width="17.6328125" style="34" customWidth="1"/>
    <col min="7432" max="7432" width="16" style="34" customWidth="1"/>
    <col min="7433" max="7680" width="9.08984375" style="34"/>
    <col min="7681" max="7681" width="0" style="34" hidden="1" customWidth="1"/>
    <col min="7682" max="7682" width="24.6328125" style="34" customWidth="1"/>
    <col min="7683" max="7683" width="21.36328125" style="34" customWidth="1"/>
    <col min="7684" max="7684" width="19.54296875" style="34" customWidth="1"/>
    <col min="7685" max="7685" width="17.6328125" style="34" customWidth="1"/>
    <col min="7686" max="7686" width="16" style="34" customWidth="1"/>
    <col min="7687" max="7687" width="17.6328125" style="34" customWidth="1"/>
    <col min="7688" max="7688" width="16" style="34" customWidth="1"/>
    <col min="7689" max="7936" width="9.08984375" style="34"/>
    <col min="7937" max="7937" width="0" style="34" hidden="1" customWidth="1"/>
    <col min="7938" max="7938" width="24.6328125" style="34" customWidth="1"/>
    <col min="7939" max="7939" width="21.36328125" style="34" customWidth="1"/>
    <col min="7940" max="7940" width="19.54296875" style="34" customWidth="1"/>
    <col min="7941" max="7941" width="17.6328125" style="34" customWidth="1"/>
    <col min="7942" max="7942" width="16" style="34" customWidth="1"/>
    <col min="7943" max="7943" width="17.6328125" style="34" customWidth="1"/>
    <col min="7944" max="7944" width="16" style="34" customWidth="1"/>
    <col min="7945" max="8192" width="9.08984375" style="34"/>
    <col min="8193" max="8193" width="0" style="34" hidden="1" customWidth="1"/>
    <col min="8194" max="8194" width="24.6328125" style="34" customWidth="1"/>
    <col min="8195" max="8195" width="21.36328125" style="34" customWidth="1"/>
    <col min="8196" max="8196" width="19.54296875" style="34" customWidth="1"/>
    <col min="8197" max="8197" width="17.6328125" style="34" customWidth="1"/>
    <col min="8198" max="8198" width="16" style="34" customWidth="1"/>
    <col min="8199" max="8199" width="17.6328125" style="34" customWidth="1"/>
    <col min="8200" max="8200" width="16" style="34" customWidth="1"/>
    <col min="8201" max="8448" width="9.08984375" style="34"/>
    <col min="8449" max="8449" width="0" style="34" hidden="1" customWidth="1"/>
    <col min="8450" max="8450" width="24.6328125" style="34" customWidth="1"/>
    <col min="8451" max="8451" width="21.36328125" style="34" customWidth="1"/>
    <col min="8452" max="8452" width="19.54296875" style="34" customWidth="1"/>
    <col min="8453" max="8453" width="17.6328125" style="34" customWidth="1"/>
    <col min="8454" max="8454" width="16" style="34" customWidth="1"/>
    <col min="8455" max="8455" width="17.6328125" style="34" customWidth="1"/>
    <col min="8456" max="8456" width="16" style="34" customWidth="1"/>
    <col min="8457" max="8704" width="9.08984375" style="34"/>
    <col min="8705" max="8705" width="0" style="34" hidden="1" customWidth="1"/>
    <col min="8706" max="8706" width="24.6328125" style="34" customWidth="1"/>
    <col min="8707" max="8707" width="21.36328125" style="34" customWidth="1"/>
    <col min="8708" max="8708" width="19.54296875" style="34" customWidth="1"/>
    <col min="8709" max="8709" width="17.6328125" style="34" customWidth="1"/>
    <col min="8710" max="8710" width="16" style="34" customWidth="1"/>
    <col min="8711" max="8711" width="17.6328125" style="34" customWidth="1"/>
    <col min="8712" max="8712" width="16" style="34" customWidth="1"/>
    <col min="8713" max="8960" width="9.08984375" style="34"/>
    <col min="8961" max="8961" width="0" style="34" hidden="1" customWidth="1"/>
    <col min="8962" max="8962" width="24.6328125" style="34" customWidth="1"/>
    <col min="8963" max="8963" width="21.36328125" style="34" customWidth="1"/>
    <col min="8964" max="8964" width="19.54296875" style="34" customWidth="1"/>
    <col min="8965" max="8965" width="17.6328125" style="34" customWidth="1"/>
    <col min="8966" max="8966" width="16" style="34" customWidth="1"/>
    <col min="8967" max="8967" width="17.6328125" style="34" customWidth="1"/>
    <col min="8968" max="8968" width="16" style="34" customWidth="1"/>
    <col min="8969" max="9216" width="9.08984375" style="34"/>
    <col min="9217" max="9217" width="0" style="34" hidden="1" customWidth="1"/>
    <col min="9218" max="9218" width="24.6328125" style="34" customWidth="1"/>
    <col min="9219" max="9219" width="21.36328125" style="34" customWidth="1"/>
    <col min="9220" max="9220" width="19.54296875" style="34" customWidth="1"/>
    <col min="9221" max="9221" width="17.6328125" style="34" customWidth="1"/>
    <col min="9222" max="9222" width="16" style="34" customWidth="1"/>
    <col min="9223" max="9223" width="17.6328125" style="34" customWidth="1"/>
    <col min="9224" max="9224" width="16" style="34" customWidth="1"/>
    <col min="9225" max="9472" width="9.08984375" style="34"/>
    <col min="9473" max="9473" width="0" style="34" hidden="1" customWidth="1"/>
    <col min="9474" max="9474" width="24.6328125" style="34" customWidth="1"/>
    <col min="9475" max="9475" width="21.36328125" style="34" customWidth="1"/>
    <col min="9476" max="9476" width="19.54296875" style="34" customWidth="1"/>
    <col min="9477" max="9477" width="17.6328125" style="34" customWidth="1"/>
    <col min="9478" max="9478" width="16" style="34" customWidth="1"/>
    <col min="9479" max="9479" width="17.6328125" style="34" customWidth="1"/>
    <col min="9480" max="9480" width="16" style="34" customWidth="1"/>
    <col min="9481" max="9728" width="9.08984375" style="34"/>
    <col min="9729" max="9729" width="0" style="34" hidden="1" customWidth="1"/>
    <col min="9730" max="9730" width="24.6328125" style="34" customWidth="1"/>
    <col min="9731" max="9731" width="21.36328125" style="34" customWidth="1"/>
    <col min="9732" max="9732" width="19.54296875" style="34" customWidth="1"/>
    <col min="9733" max="9733" width="17.6328125" style="34" customWidth="1"/>
    <col min="9734" max="9734" width="16" style="34" customWidth="1"/>
    <col min="9735" max="9735" width="17.6328125" style="34" customWidth="1"/>
    <col min="9736" max="9736" width="16" style="34" customWidth="1"/>
    <col min="9737" max="9984" width="9.08984375" style="34"/>
    <col min="9985" max="9985" width="0" style="34" hidden="1" customWidth="1"/>
    <col min="9986" max="9986" width="24.6328125" style="34" customWidth="1"/>
    <col min="9987" max="9987" width="21.36328125" style="34" customWidth="1"/>
    <col min="9988" max="9988" width="19.54296875" style="34" customWidth="1"/>
    <col min="9989" max="9989" width="17.6328125" style="34" customWidth="1"/>
    <col min="9990" max="9990" width="16" style="34" customWidth="1"/>
    <col min="9991" max="9991" width="17.6328125" style="34" customWidth="1"/>
    <col min="9992" max="9992" width="16" style="34" customWidth="1"/>
    <col min="9993" max="10240" width="9.08984375" style="34"/>
    <col min="10241" max="10241" width="0" style="34" hidden="1" customWidth="1"/>
    <col min="10242" max="10242" width="24.6328125" style="34" customWidth="1"/>
    <col min="10243" max="10243" width="21.36328125" style="34" customWidth="1"/>
    <col min="10244" max="10244" width="19.54296875" style="34" customWidth="1"/>
    <col min="10245" max="10245" width="17.6328125" style="34" customWidth="1"/>
    <col min="10246" max="10246" width="16" style="34" customWidth="1"/>
    <col min="10247" max="10247" width="17.6328125" style="34" customWidth="1"/>
    <col min="10248" max="10248" width="16" style="34" customWidth="1"/>
    <col min="10249" max="10496" width="9.08984375" style="34"/>
    <col min="10497" max="10497" width="0" style="34" hidden="1" customWidth="1"/>
    <col min="10498" max="10498" width="24.6328125" style="34" customWidth="1"/>
    <col min="10499" max="10499" width="21.36328125" style="34" customWidth="1"/>
    <col min="10500" max="10500" width="19.54296875" style="34" customWidth="1"/>
    <col min="10501" max="10501" width="17.6328125" style="34" customWidth="1"/>
    <col min="10502" max="10502" width="16" style="34" customWidth="1"/>
    <col min="10503" max="10503" width="17.6328125" style="34" customWidth="1"/>
    <col min="10504" max="10504" width="16" style="34" customWidth="1"/>
    <col min="10505" max="10752" width="9.08984375" style="34"/>
    <col min="10753" max="10753" width="0" style="34" hidden="1" customWidth="1"/>
    <col min="10754" max="10754" width="24.6328125" style="34" customWidth="1"/>
    <col min="10755" max="10755" width="21.36328125" style="34" customWidth="1"/>
    <col min="10756" max="10756" width="19.54296875" style="34" customWidth="1"/>
    <col min="10757" max="10757" width="17.6328125" style="34" customWidth="1"/>
    <col min="10758" max="10758" width="16" style="34" customWidth="1"/>
    <col min="10759" max="10759" width="17.6328125" style="34" customWidth="1"/>
    <col min="10760" max="10760" width="16" style="34" customWidth="1"/>
    <col min="10761" max="11008" width="9.08984375" style="34"/>
    <col min="11009" max="11009" width="0" style="34" hidden="1" customWidth="1"/>
    <col min="11010" max="11010" width="24.6328125" style="34" customWidth="1"/>
    <col min="11011" max="11011" width="21.36328125" style="34" customWidth="1"/>
    <col min="11012" max="11012" width="19.54296875" style="34" customWidth="1"/>
    <col min="11013" max="11013" width="17.6328125" style="34" customWidth="1"/>
    <col min="11014" max="11014" width="16" style="34" customWidth="1"/>
    <col min="11015" max="11015" width="17.6328125" style="34" customWidth="1"/>
    <col min="11016" max="11016" width="16" style="34" customWidth="1"/>
    <col min="11017" max="11264" width="9.08984375" style="34"/>
    <col min="11265" max="11265" width="0" style="34" hidden="1" customWidth="1"/>
    <col min="11266" max="11266" width="24.6328125" style="34" customWidth="1"/>
    <col min="11267" max="11267" width="21.36328125" style="34" customWidth="1"/>
    <col min="11268" max="11268" width="19.54296875" style="34" customWidth="1"/>
    <col min="11269" max="11269" width="17.6328125" style="34" customWidth="1"/>
    <col min="11270" max="11270" width="16" style="34" customWidth="1"/>
    <col min="11271" max="11271" width="17.6328125" style="34" customWidth="1"/>
    <col min="11272" max="11272" width="16" style="34" customWidth="1"/>
    <col min="11273" max="11520" width="9.08984375" style="34"/>
    <col min="11521" max="11521" width="0" style="34" hidden="1" customWidth="1"/>
    <col min="11522" max="11522" width="24.6328125" style="34" customWidth="1"/>
    <col min="11523" max="11523" width="21.36328125" style="34" customWidth="1"/>
    <col min="11524" max="11524" width="19.54296875" style="34" customWidth="1"/>
    <col min="11525" max="11525" width="17.6328125" style="34" customWidth="1"/>
    <col min="11526" max="11526" width="16" style="34" customWidth="1"/>
    <col min="11527" max="11527" width="17.6328125" style="34" customWidth="1"/>
    <col min="11528" max="11528" width="16" style="34" customWidth="1"/>
    <col min="11529" max="11776" width="9.08984375" style="34"/>
    <col min="11777" max="11777" width="0" style="34" hidden="1" customWidth="1"/>
    <col min="11778" max="11778" width="24.6328125" style="34" customWidth="1"/>
    <col min="11779" max="11779" width="21.36328125" style="34" customWidth="1"/>
    <col min="11780" max="11780" width="19.54296875" style="34" customWidth="1"/>
    <col min="11781" max="11781" width="17.6328125" style="34" customWidth="1"/>
    <col min="11782" max="11782" width="16" style="34" customWidth="1"/>
    <col min="11783" max="11783" width="17.6328125" style="34" customWidth="1"/>
    <col min="11784" max="11784" width="16" style="34" customWidth="1"/>
    <col min="11785" max="12032" width="9.08984375" style="34"/>
    <col min="12033" max="12033" width="0" style="34" hidden="1" customWidth="1"/>
    <col min="12034" max="12034" width="24.6328125" style="34" customWidth="1"/>
    <col min="12035" max="12035" width="21.36328125" style="34" customWidth="1"/>
    <col min="12036" max="12036" width="19.54296875" style="34" customWidth="1"/>
    <col min="12037" max="12037" width="17.6328125" style="34" customWidth="1"/>
    <col min="12038" max="12038" width="16" style="34" customWidth="1"/>
    <col min="12039" max="12039" width="17.6328125" style="34" customWidth="1"/>
    <col min="12040" max="12040" width="16" style="34" customWidth="1"/>
    <col min="12041" max="12288" width="9.08984375" style="34"/>
    <col min="12289" max="12289" width="0" style="34" hidden="1" customWidth="1"/>
    <col min="12290" max="12290" width="24.6328125" style="34" customWidth="1"/>
    <col min="12291" max="12291" width="21.36328125" style="34" customWidth="1"/>
    <col min="12292" max="12292" width="19.54296875" style="34" customWidth="1"/>
    <col min="12293" max="12293" width="17.6328125" style="34" customWidth="1"/>
    <col min="12294" max="12294" width="16" style="34" customWidth="1"/>
    <col min="12295" max="12295" width="17.6328125" style="34" customWidth="1"/>
    <col min="12296" max="12296" width="16" style="34" customWidth="1"/>
    <col min="12297" max="12544" width="9.08984375" style="34"/>
    <col min="12545" max="12545" width="0" style="34" hidden="1" customWidth="1"/>
    <col min="12546" max="12546" width="24.6328125" style="34" customWidth="1"/>
    <col min="12547" max="12547" width="21.36328125" style="34" customWidth="1"/>
    <col min="12548" max="12548" width="19.54296875" style="34" customWidth="1"/>
    <col min="12549" max="12549" width="17.6328125" style="34" customWidth="1"/>
    <col min="12550" max="12550" width="16" style="34" customWidth="1"/>
    <col min="12551" max="12551" width="17.6328125" style="34" customWidth="1"/>
    <col min="12552" max="12552" width="16" style="34" customWidth="1"/>
    <col min="12553" max="12800" width="9.08984375" style="34"/>
    <col min="12801" max="12801" width="0" style="34" hidden="1" customWidth="1"/>
    <col min="12802" max="12802" width="24.6328125" style="34" customWidth="1"/>
    <col min="12803" max="12803" width="21.36328125" style="34" customWidth="1"/>
    <col min="12804" max="12804" width="19.54296875" style="34" customWidth="1"/>
    <col min="12805" max="12805" width="17.6328125" style="34" customWidth="1"/>
    <col min="12806" max="12806" width="16" style="34" customWidth="1"/>
    <col min="12807" max="12807" width="17.6328125" style="34" customWidth="1"/>
    <col min="12808" max="12808" width="16" style="34" customWidth="1"/>
    <col min="12809" max="13056" width="9.08984375" style="34"/>
    <col min="13057" max="13057" width="0" style="34" hidden="1" customWidth="1"/>
    <col min="13058" max="13058" width="24.6328125" style="34" customWidth="1"/>
    <col min="13059" max="13059" width="21.36328125" style="34" customWidth="1"/>
    <col min="13060" max="13060" width="19.54296875" style="34" customWidth="1"/>
    <col min="13061" max="13061" width="17.6328125" style="34" customWidth="1"/>
    <col min="13062" max="13062" width="16" style="34" customWidth="1"/>
    <col min="13063" max="13063" width="17.6328125" style="34" customWidth="1"/>
    <col min="13064" max="13064" width="16" style="34" customWidth="1"/>
    <col min="13065" max="13312" width="9.08984375" style="34"/>
    <col min="13313" max="13313" width="0" style="34" hidden="1" customWidth="1"/>
    <col min="13314" max="13314" width="24.6328125" style="34" customWidth="1"/>
    <col min="13315" max="13315" width="21.36328125" style="34" customWidth="1"/>
    <col min="13316" max="13316" width="19.54296875" style="34" customWidth="1"/>
    <col min="13317" max="13317" width="17.6328125" style="34" customWidth="1"/>
    <col min="13318" max="13318" width="16" style="34" customWidth="1"/>
    <col min="13319" max="13319" width="17.6328125" style="34" customWidth="1"/>
    <col min="13320" max="13320" width="16" style="34" customWidth="1"/>
    <col min="13321" max="13568" width="9.08984375" style="34"/>
    <col min="13569" max="13569" width="0" style="34" hidden="1" customWidth="1"/>
    <col min="13570" max="13570" width="24.6328125" style="34" customWidth="1"/>
    <col min="13571" max="13571" width="21.36328125" style="34" customWidth="1"/>
    <col min="13572" max="13572" width="19.54296875" style="34" customWidth="1"/>
    <col min="13573" max="13573" width="17.6328125" style="34" customWidth="1"/>
    <col min="13574" max="13574" width="16" style="34" customWidth="1"/>
    <col min="13575" max="13575" width="17.6328125" style="34" customWidth="1"/>
    <col min="13576" max="13576" width="16" style="34" customWidth="1"/>
    <col min="13577" max="13824" width="9.08984375" style="34"/>
    <col min="13825" max="13825" width="0" style="34" hidden="1" customWidth="1"/>
    <col min="13826" max="13826" width="24.6328125" style="34" customWidth="1"/>
    <col min="13827" max="13827" width="21.36328125" style="34" customWidth="1"/>
    <col min="13828" max="13828" width="19.54296875" style="34" customWidth="1"/>
    <col min="13829" max="13829" width="17.6328125" style="34" customWidth="1"/>
    <col min="13830" max="13830" width="16" style="34" customWidth="1"/>
    <col min="13831" max="13831" width="17.6328125" style="34" customWidth="1"/>
    <col min="13832" max="13832" width="16" style="34" customWidth="1"/>
    <col min="13833" max="14080" width="9.08984375" style="34"/>
    <col min="14081" max="14081" width="0" style="34" hidden="1" customWidth="1"/>
    <col min="14082" max="14082" width="24.6328125" style="34" customWidth="1"/>
    <col min="14083" max="14083" width="21.36328125" style="34" customWidth="1"/>
    <col min="14084" max="14084" width="19.54296875" style="34" customWidth="1"/>
    <col min="14085" max="14085" width="17.6328125" style="34" customWidth="1"/>
    <col min="14086" max="14086" width="16" style="34" customWidth="1"/>
    <col min="14087" max="14087" width="17.6328125" style="34" customWidth="1"/>
    <col min="14088" max="14088" width="16" style="34" customWidth="1"/>
    <col min="14089" max="14336" width="9.08984375" style="34"/>
    <col min="14337" max="14337" width="0" style="34" hidden="1" customWidth="1"/>
    <col min="14338" max="14338" width="24.6328125" style="34" customWidth="1"/>
    <col min="14339" max="14339" width="21.36328125" style="34" customWidth="1"/>
    <col min="14340" max="14340" width="19.54296875" style="34" customWidth="1"/>
    <col min="14341" max="14341" width="17.6328125" style="34" customWidth="1"/>
    <col min="14342" max="14342" width="16" style="34" customWidth="1"/>
    <col min="14343" max="14343" width="17.6328125" style="34" customWidth="1"/>
    <col min="14344" max="14344" width="16" style="34" customWidth="1"/>
    <col min="14345" max="14592" width="9.08984375" style="34"/>
    <col min="14593" max="14593" width="0" style="34" hidden="1" customWidth="1"/>
    <col min="14594" max="14594" width="24.6328125" style="34" customWidth="1"/>
    <col min="14595" max="14595" width="21.36328125" style="34" customWidth="1"/>
    <col min="14596" max="14596" width="19.54296875" style="34" customWidth="1"/>
    <col min="14597" max="14597" width="17.6328125" style="34" customWidth="1"/>
    <col min="14598" max="14598" width="16" style="34" customWidth="1"/>
    <col min="14599" max="14599" width="17.6328125" style="34" customWidth="1"/>
    <col min="14600" max="14600" width="16" style="34" customWidth="1"/>
    <col min="14601" max="14848" width="9.08984375" style="34"/>
    <col min="14849" max="14849" width="0" style="34" hidden="1" customWidth="1"/>
    <col min="14850" max="14850" width="24.6328125" style="34" customWidth="1"/>
    <col min="14851" max="14851" width="21.36328125" style="34" customWidth="1"/>
    <col min="14852" max="14852" width="19.54296875" style="34" customWidth="1"/>
    <col min="14853" max="14853" width="17.6328125" style="34" customWidth="1"/>
    <col min="14854" max="14854" width="16" style="34" customWidth="1"/>
    <col min="14855" max="14855" width="17.6328125" style="34" customWidth="1"/>
    <col min="14856" max="14856" width="16" style="34" customWidth="1"/>
    <col min="14857" max="15104" width="9.08984375" style="34"/>
    <col min="15105" max="15105" width="0" style="34" hidden="1" customWidth="1"/>
    <col min="15106" max="15106" width="24.6328125" style="34" customWidth="1"/>
    <col min="15107" max="15107" width="21.36328125" style="34" customWidth="1"/>
    <col min="15108" max="15108" width="19.54296875" style="34" customWidth="1"/>
    <col min="15109" max="15109" width="17.6328125" style="34" customWidth="1"/>
    <col min="15110" max="15110" width="16" style="34" customWidth="1"/>
    <col min="15111" max="15111" width="17.6328125" style="34" customWidth="1"/>
    <col min="15112" max="15112" width="16" style="34" customWidth="1"/>
    <col min="15113" max="15360" width="9.08984375" style="34"/>
    <col min="15361" max="15361" width="0" style="34" hidden="1" customWidth="1"/>
    <col min="15362" max="15362" width="24.6328125" style="34" customWidth="1"/>
    <col min="15363" max="15363" width="21.36328125" style="34" customWidth="1"/>
    <col min="15364" max="15364" width="19.54296875" style="34" customWidth="1"/>
    <col min="15365" max="15365" width="17.6328125" style="34" customWidth="1"/>
    <col min="15366" max="15366" width="16" style="34" customWidth="1"/>
    <col min="15367" max="15367" width="17.6328125" style="34" customWidth="1"/>
    <col min="15368" max="15368" width="16" style="34" customWidth="1"/>
    <col min="15369" max="15616" width="9.08984375" style="34"/>
    <col min="15617" max="15617" width="0" style="34" hidden="1" customWidth="1"/>
    <col min="15618" max="15618" width="24.6328125" style="34" customWidth="1"/>
    <col min="15619" max="15619" width="21.36328125" style="34" customWidth="1"/>
    <col min="15620" max="15620" width="19.54296875" style="34" customWidth="1"/>
    <col min="15621" max="15621" width="17.6328125" style="34" customWidth="1"/>
    <col min="15622" max="15622" width="16" style="34" customWidth="1"/>
    <col min="15623" max="15623" width="17.6328125" style="34" customWidth="1"/>
    <col min="15624" max="15624" width="16" style="34" customWidth="1"/>
    <col min="15625" max="15872" width="9.08984375" style="34"/>
    <col min="15873" max="15873" width="0" style="34" hidden="1" customWidth="1"/>
    <col min="15874" max="15874" width="24.6328125" style="34" customWidth="1"/>
    <col min="15875" max="15875" width="21.36328125" style="34" customWidth="1"/>
    <col min="15876" max="15876" width="19.54296875" style="34" customWidth="1"/>
    <col min="15877" max="15877" width="17.6328125" style="34" customWidth="1"/>
    <col min="15878" max="15878" width="16" style="34" customWidth="1"/>
    <col min="15879" max="15879" width="17.6328125" style="34" customWidth="1"/>
    <col min="15880" max="15880" width="16" style="34" customWidth="1"/>
    <col min="15881" max="16128" width="9.08984375" style="34"/>
    <col min="16129" max="16129" width="0" style="34" hidden="1" customWidth="1"/>
    <col min="16130" max="16130" width="24.6328125" style="34" customWidth="1"/>
    <col min="16131" max="16131" width="21.36328125" style="34" customWidth="1"/>
    <col min="16132" max="16132" width="19.54296875" style="34" customWidth="1"/>
    <col min="16133" max="16133" width="17.6328125" style="34" customWidth="1"/>
    <col min="16134" max="16134" width="16" style="34" customWidth="1"/>
    <col min="16135" max="16135" width="17.6328125" style="34" customWidth="1"/>
    <col min="16136" max="16136" width="16" style="34" customWidth="1"/>
    <col min="16137" max="16384" width="9.08984375" style="34"/>
  </cols>
  <sheetData>
    <row r="1" spans="1:16" ht="33.75" customHeight="1" x14ac:dyDescent="0.35">
      <c r="B1" s="118" t="s">
        <v>136</v>
      </c>
      <c r="C1" s="116"/>
      <c r="D1" s="116"/>
      <c r="E1" s="116"/>
      <c r="F1" s="116"/>
      <c r="G1" s="116"/>
      <c r="H1" s="117"/>
    </row>
    <row r="2" spans="1:16" s="35" customFormat="1" ht="39.75" customHeight="1" x14ac:dyDescent="0.35">
      <c r="B2" s="36"/>
      <c r="C2" s="109" t="s">
        <v>67</v>
      </c>
      <c r="D2" s="109"/>
      <c r="E2" s="110" t="s">
        <v>68</v>
      </c>
      <c r="F2" s="110"/>
      <c r="G2" s="110" t="s">
        <v>69</v>
      </c>
      <c r="H2" s="110"/>
    </row>
    <row r="3" spans="1:16" ht="42.75" customHeight="1" x14ac:dyDescent="0.35">
      <c r="B3" s="37"/>
      <c r="C3" s="38" t="s">
        <v>70</v>
      </c>
      <c r="D3" s="38" t="s">
        <v>71</v>
      </c>
      <c r="E3" s="38" t="s">
        <v>70</v>
      </c>
      <c r="F3" s="38" t="s">
        <v>71</v>
      </c>
      <c r="G3" s="38" t="s">
        <v>70</v>
      </c>
      <c r="H3" s="38" t="s">
        <v>71</v>
      </c>
    </row>
    <row r="4" spans="1:16" ht="18" hidden="1" customHeight="1" x14ac:dyDescent="0.35">
      <c r="C4" s="39" t="s">
        <v>72</v>
      </c>
      <c r="D4" s="39" t="s">
        <v>72</v>
      </c>
      <c r="E4" s="39" t="s">
        <v>73</v>
      </c>
      <c r="F4" s="39" t="s">
        <v>73</v>
      </c>
      <c r="G4" s="39" t="s">
        <v>74</v>
      </c>
      <c r="H4" s="39" t="s">
        <v>74</v>
      </c>
    </row>
    <row r="5" spans="1:16" ht="15.75" hidden="1" customHeight="1" x14ac:dyDescent="0.35">
      <c r="C5" s="39" t="s">
        <v>75</v>
      </c>
      <c r="D5" s="39" t="s">
        <v>76</v>
      </c>
      <c r="E5" s="39" t="s">
        <v>75</v>
      </c>
      <c r="F5" s="39" t="s">
        <v>76</v>
      </c>
      <c r="G5" s="39" t="s">
        <v>75</v>
      </c>
      <c r="H5" s="39" t="s">
        <v>76</v>
      </c>
    </row>
    <row r="6" spans="1:16" ht="26.25" customHeight="1" x14ac:dyDescent="0.35">
      <c r="B6" s="40" t="s">
        <v>77</v>
      </c>
      <c r="C6" s="41">
        <f t="shared" ref="C6:H6" si="0">C7+C48</f>
        <v>145689</v>
      </c>
      <c r="D6" s="41">
        <f t="shared" si="0"/>
        <v>618952.72</v>
      </c>
      <c r="E6" s="41">
        <f t="shared" si="0"/>
        <v>18582</v>
      </c>
      <c r="F6" s="41">
        <f t="shared" si="0"/>
        <v>183260.37</v>
      </c>
      <c r="G6" s="41">
        <f t="shared" si="0"/>
        <v>36971</v>
      </c>
      <c r="H6" s="41">
        <f t="shared" si="0"/>
        <v>292122.7</v>
      </c>
      <c r="J6" s="42"/>
      <c r="K6" s="42"/>
      <c r="L6" s="42"/>
      <c r="M6" s="42"/>
      <c r="N6" s="42"/>
      <c r="O6" s="42"/>
      <c r="P6" s="42"/>
    </row>
    <row r="7" spans="1:16" s="43" customFormat="1" ht="26.25" customHeight="1" x14ac:dyDescent="0.35">
      <c r="A7" s="26"/>
      <c r="B7" s="43" t="s">
        <v>52</v>
      </c>
      <c r="C7" s="44">
        <f t="shared" ref="C7:H7" si="1">SUM(C8:C47)</f>
        <v>124280</v>
      </c>
      <c r="D7" s="44">
        <f t="shared" si="1"/>
        <v>339823.72</v>
      </c>
      <c r="E7" s="44">
        <f t="shared" si="1"/>
        <v>12500</v>
      </c>
      <c r="F7" s="44">
        <f t="shared" si="1"/>
        <v>114618.37</v>
      </c>
      <c r="G7" s="44">
        <f t="shared" si="1"/>
        <v>26289</v>
      </c>
      <c r="H7" s="44">
        <f t="shared" si="1"/>
        <v>92539.700000000012</v>
      </c>
      <c r="J7" s="42"/>
      <c r="K7" s="42"/>
      <c r="L7" s="45"/>
      <c r="M7" s="42"/>
      <c r="N7" s="42"/>
      <c r="O7" s="42"/>
    </row>
    <row r="8" spans="1:16" x14ac:dyDescent="0.35">
      <c r="A8" s="27">
        <v>51</v>
      </c>
      <c r="B8" s="34" t="s">
        <v>5</v>
      </c>
      <c r="C8" s="46">
        <f>'2016-17 working'!C8</f>
        <v>13272</v>
      </c>
      <c r="D8" s="46">
        <f>'2016-17 working'!D8</f>
        <v>4149</v>
      </c>
      <c r="E8" s="46">
        <f>'2016-17 working'!E8</f>
        <v>133</v>
      </c>
      <c r="F8" s="46">
        <f>'2016-17 working'!F8</f>
        <v>772</v>
      </c>
      <c r="G8" s="46">
        <f>'2016-17 working'!G8</f>
        <v>342</v>
      </c>
      <c r="H8" s="46">
        <f>'2016-17 working'!H8</f>
        <v>750</v>
      </c>
      <c r="J8" s="42"/>
      <c r="K8" s="42"/>
      <c r="L8" s="42"/>
      <c r="M8" s="42"/>
      <c r="N8" s="42"/>
      <c r="O8" s="42"/>
    </row>
    <row r="9" spans="1:16" x14ac:dyDescent="0.35">
      <c r="A9" s="27">
        <v>52</v>
      </c>
      <c r="B9" s="34" t="s">
        <v>6</v>
      </c>
      <c r="C9" s="46">
        <f>'2016-17 working'!C9</f>
        <v>1129</v>
      </c>
      <c r="D9" s="46">
        <f>'2016-17 working'!D9</f>
        <v>10152</v>
      </c>
      <c r="E9" s="46">
        <f>'2016-17 working'!E9</f>
        <v>106</v>
      </c>
      <c r="F9" s="46">
        <f>'2016-17 working'!F9</f>
        <v>1041</v>
      </c>
      <c r="G9" s="46">
        <f>'2016-17 working'!G9</f>
        <v>306</v>
      </c>
      <c r="H9" s="46">
        <f>'2016-17 working'!H9</f>
        <v>2597</v>
      </c>
      <c r="J9" s="42"/>
      <c r="K9" s="42"/>
      <c r="L9" s="42"/>
      <c r="M9" s="42"/>
      <c r="N9" s="42"/>
      <c r="O9" s="42"/>
    </row>
    <row r="10" spans="1:16" x14ac:dyDescent="0.35">
      <c r="A10" s="27">
        <v>86</v>
      </c>
      <c r="B10" s="34" t="s">
        <v>7</v>
      </c>
      <c r="C10" s="46">
        <f>'2016-17 working'!C10</f>
        <v>983</v>
      </c>
      <c r="D10" s="46">
        <f>'2016-17 working'!D10</f>
        <v>5833</v>
      </c>
      <c r="E10" s="46">
        <f>'2016-17 working'!E10</f>
        <v>174</v>
      </c>
      <c r="F10" s="46">
        <f>'2016-17 working'!F10</f>
        <v>522</v>
      </c>
      <c r="G10" s="46">
        <f>'2016-17 working'!G10</f>
        <v>444</v>
      </c>
      <c r="H10" s="46">
        <f>'2016-17 working'!H10</f>
        <v>2284</v>
      </c>
      <c r="J10" s="42"/>
      <c r="K10" s="42"/>
      <c r="L10" s="42"/>
      <c r="M10" s="42"/>
      <c r="N10" s="42"/>
      <c r="O10" s="42"/>
    </row>
    <row r="11" spans="1:16" x14ac:dyDescent="0.35">
      <c r="A11" s="27">
        <v>53</v>
      </c>
      <c r="B11" s="34" t="s">
        <v>8</v>
      </c>
      <c r="C11" s="46">
        <f>'2016-17 working'!C11</f>
        <v>1012</v>
      </c>
      <c r="D11" s="46">
        <f>'2016-17 working'!D11</f>
        <v>4292</v>
      </c>
      <c r="E11" s="46">
        <f>'2016-17 working'!E11</f>
        <v>78</v>
      </c>
      <c r="F11" s="46">
        <f>'2016-17 working'!F11</f>
        <v>360</v>
      </c>
      <c r="G11" s="46">
        <f>'2016-17 working'!G11</f>
        <v>170</v>
      </c>
      <c r="H11" s="46">
        <f>'2016-17 working'!H11</f>
        <v>582</v>
      </c>
      <c r="J11" s="42"/>
      <c r="K11" s="42"/>
      <c r="L11" s="42"/>
      <c r="M11" s="42"/>
      <c r="N11" s="42"/>
      <c r="O11" s="42"/>
    </row>
    <row r="12" spans="1:16" x14ac:dyDescent="0.35">
      <c r="A12" s="27">
        <v>54</v>
      </c>
      <c r="B12" s="34" t="s">
        <v>9</v>
      </c>
      <c r="C12" s="46">
        <f>'2016-17 working'!C12</f>
        <v>545</v>
      </c>
      <c r="D12" s="46">
        <f>'2016-17 working'!D12</f>
        <v>1687</v>
      </c>
      <c r="E12" s="46">
        <f>'2016-17 working'!E12</f>
        <v>18</v>
      </c>
      <c r="F12" s="46">
        <f>'2016-17 working'!F12</f>
        <v>64</v>
      </c>
      <c r="G12" s="46">
        <f>'2016-17 working'!G12</f>
        <v>232</v>
      </c>
      <c r="H12" s="46">
        <f>'2016-17 working'!H12</f>
        <v>988</v>
      </c>
      <c r="J12" s="42"/>
      <c r="K12" s="42"/>
      <c r="L12" s="42"/>
      <c r="M12" s="42"/>
      <c r="N12" s="42"/>
      <c r="O12" s="42"/>
    </row>
    <row r="13" spans="1:16" x14ac:dyDescent="0.35">
      <c r="A13" s="27">
        <v>55</v>
      </c>
      <c r="B13" s="34" t="s">
        <v>10</v>
      </c>
      <c r="C13" s="46">
        <f>'2016-17 working'!C13</f>
        <v>1037</v>
      </c>
      <c r="D13" s="46">
        <f>'2016-17 working'!D13</f>
        <v>30638</v>
      </c>
      <c r="E13" s="46">
        <f>'2016-17 working'!E13</f>
        <v>365</v>
      </c>
      <c r="F13" s="46">
        <f>'2016-17 working'!F13</f>
        <v>27159</v>
      </c>
      <c r="G13" s="46">
        <f>'2016-17 working'!G13</f>
        <v>463</v>
      </c>
      <c r="H13" s="46">
        <f>'2016-17 working'!H13</f>
        <v>965</v>
      </c>
      <c r="J13" s="42"/>
      <c r="K13" s="42"/>
      <c r="L13" s="42"/>
      <c r="M13" s="42"/>
      <c r="N13" s="42"/>
      <c r="O13" s="42"/>
    </row>
    <row r="14" spans="1:16" x14ac:dyDescent="0.35">
      <c r="A14" s="27">
        <v>56</v>
      </c>
      <c r="B14" s="34" t="s">
        <v>11</v>
      </c>
      <c r="C14" s="46">
        <f>'2016-17 working'!C14</f>
        <v>1707</v>
      </c>
      <c r="D14" s="46">
        <f>'2016-17 working'!D14</f>
        <v>14669</v>
      </c>
      <c r="E14" s="46">
        <f>'2016-17 working'!E14</f>
        <v>421</v>
      </c>
      <c r="F14" s="46">
        <f>'2016-17 working'!F14</f>
        <v>3727</v>
      </c>
      <c r="G14" s="46">
        <f>'2016-17 working'!G14</f>
        <v>1286</v>
      </c>
      <c r="H14" s="46">
        <f>'2016-17 working'!H14</f>
        <v>10922</v>
      </c>
      <c r="J14" s="42"/>
      <c r="K14" s="42"/>
      <c r="L14" s="42"/>
      <c r="M14" s="42"/>
      <c r="N14" s="42"/>
      <c r="O14" s="42"/>
    </row>
    <row r="15" spans="1:16" x14ac:dyDescent="0.35">
      <c r="A15" s="27">
        <v>57</v>
      </c>
      <c r="B15" s="34" t="s">
        <v>12</v>
      </c>
      <c r="C15" s="46">
        <f>'2016-17 working'!C15</f>
        <v>627</v>
      </c>
      <c r="D15" s="46">
        <f>'2016-17 working'!D15</f>
        <v>3762</v>
      </c>
      <c r="E15" s="46">
        <f>'2016-17 working'!E15</f>
        <v>21</v>
      </c>
      <c r="F15" s="46">
        <f>'2016-17 working'!F15</f>
        <v>897.8</v>
      </c>
      <c r="G15" s="46">
        <f>'2016-17 working'!G15</f>
        <v>138</v>
      </c>
      <c r="H15" s="46">
        <f>'2016-17 working'!H15</f>
        <v>948</v>
      </c>
      <c r="J15" s="42"/>
      <c r="K15" s="42"/>
      <c r="L15" s="42"/>
      <c r="M15" s="42"/>
      <c r="N15" s="42"/>
      <c r="O15" s="42"/>
    </row>
    <row r="16" spans="1:16" x14ac:dyDescent="0.35">
      <c r="A16" s="27">
        <v>59</v>
      </c>
      <c r="B16" s="34" t="s">
        <v>13</v>
      </c>
      <c r="C16" s="46">
        <f>'2016-17 working'!C16</f>
        <v>869</v>
      </c>
      <c r="D16" s="61">
        <f>ROUND(C16*('(2014-15)'!D16/'(2014-15)'!C16),0)</f>
        <v>1699</v>
      </c>
      <c r="E16" s="46">
        <f>'2016-17 working'!E16</f>
        <v>116</v>
      </c>
      <c r="F16" s="61">
        <f>ROUND(E16*('(2014-15)'!F16/'(2014-15)'!E16),0)</f>
        <v>199</v>
      </c>
      <c r="G16" s="46">
        <f>'2016-17 working'!G16</f>
        <v>211</v>
      </c>
      <c r="H16" s="61">
        <f>ROUND(G16*('(2014-15)'!H16/'(2014-15)'!G16),0)</f>
        <v>452</v>
      </c>
      <c r="J16" s="42"/>
      <c r="K16" s="42"/>
      <c r="L16" s="42"/>
      <c r="M16" s="42"/>
      <c r="N16" s="42"/>
      <c r="O16" s="42"/>
    </row>
    <row r="17" spans="1:15" x14ac:dyDescent="0.35">
      <c r="A17" s="27">
        <v>60</v>
      </c>
      <c r="B17" s="34" t="s">
        <v>14</v>
      </c>
      <c r="C17" s="46">
        <f>'2016-17 working'!C17</f>
        <v>31664</v>
      </c>
      <c r="D17" s="46">
        <f>'2016-17 working'!D17</f>
        <v>12053</v>
      </c>
      <c r="E17" s="46">
        <f>'2016-17 working'!E17</f>
        <v>408</v>
      </c>
      <c r="F17" s="46">
        <f>'2016-17 working'!F17</f>
        <v>2981.6</v>
      </c>
      <c r="G17" s="46">
        <f>'2016-17 working'!G17</f>
        <v>334</v>
      </c>
      <c r="H17" s="46">
        <f>'2016-17 working'!H17</f>
        <v>1207.5</v>
      </c>
      <c r="J17" s="42"/>
      <c r="K17" s="42"/>
      <c r="L17" s="42"/>
      <c r="M17" s="42"/>
      <c r="N17" s="42"/>
      <c r="O17" s="42"/>
    </row>
    <row r="18" spans="1:15" x14ac:dyDescent="0.35">
      <c r="A18" s="27">
        <v>61</v>
      </c>
      <c r="B18" s="47" t="s">
        <v>53</v>
      </c>
      <c r="C18" s="46">
        <f>'2016-17 working'!C18</f>
        <v>3922</v>
      </c>
      <c r="D18" s="46">
        <f>'2016-17 working'!D18</f>
        <v>11804</v>
      </c>
      <c r="E18" s="46">
        <f>'2016-17 working'!E18</f>
        <v>309</v>
      </c>
      <c r="F18" s="46">
        <f>'2016-17 working'!F18</f>
        <v>1307</v>
      </c>
      <c r="G18" s="46">
        <f>'2016-17 working'!G18</f>
        <v>1838</v>
      </c>
      <c r="H18" s="46">
        <f>'2016-17 working'!H18</f>
        <v>4038</v>
      </c>
      <c r="J18" s="42"/>
      <c r="K18" s="42"/>
      <c r="L18" s="42"/>
      <c r="M18" s="42"/>
      <c r="N18" s="42"/>
      <c r="O18" s="42"/>
    </row>
    <row r="19" spans="1:15" x14ac:dyDescent="0.35">
      <c r="A19" s="27"/>
      <c r="B19" s="47" t="s">
        <v>131</v>
      </c>
      <c r="C19" s="46">
        <f>'2016-17 working'!C19</f>
        <v>1197</v>
      </c>
      <c r="D19" s="46">
        <f>'2016-17 working'!D19</f>
        <v>8250</v>
      </c>
      <c r="E19" s="46">
        <f>'2016-17 working'!E19</f>
        <v>43</v>
      </c>
      <c r="F19" s="46">
        <f>'2016-17 working'!F19</f>
        <v>147</v>
      </c>
      <c r="G19" s="46">
        <f>'2016-17 working'!G19</f>
        <v>480</v>
      </c>
      <c r="H19" s="46">
        <f>'2016-17 working'!H19</f>
        <v>3742</v>
      </c>
      <c r="J19" s="42"/>
      <c r="K19" s="42"/>
      <c r="L19" s="42"/>
      <c r="M19" s="42"/>
      <c r="N19" s="42"/>
      <c r="O19" s="42"/>
    </row>
    <row r="20" spans="1:15" x14ac:dyDescent="0.35">
      <c r="A20" s="27">
        <v>62</v>
      </c>
      <c r="B20" s="34" t="s">
        <v>16</v>
      </c>
      <c r="C20" s="46" t="str">
        <f>'2016-17 working'!C20</f>
        <v>..</v>
      </c>
      <c r="D20" s="46" t="str">
        <f>'2016-17 working'!D20</f>
        <v>..</v>
      </c>
      <c r="E20" s="46" t="str">
        <f>'2016-17 working'!E20</f>
        <v>..</v>
      </c>
      <c r="F20" s="46" t="str">
        <f>'2016-17 working'!F20</f>
        <v>..</v>
      </c>
      <c r="G20" s="46" t="str">
        <f>'2016-17 working'!G20</f>
        <v>..</v>
      </c>
      <c r="H20" s="46" t="str">
        <f>'2016-17 working'!H20</f>
        <v>..</v>
      </c>
      <c r="J20" s="42"/>
      <c r="K20" s="42"/>
      <c r="L20" s="42"/>
      <c r="M20" s="42"/>
      <c r="N20" s="42"/>
      <c r="O20" s="42"/>
    </row>
    <row r="21" spans="1:15" x14ac:dyDescent="0.35">
      <c r="A21" s="27">
        <v>58</v>
      </c>
      <c r="B21" s="34" t="s">
        <v>17</v>
      </c>
      <c r="C21" s="46">
        <f>'2016-17 working'!C21</f>
        <v>290</v>
      </c>
      <c r="D21" s="46">
        <f>'2016-17 working'!D21</f>
        <v>960</v>
      </c>
      <c r="E21" s="46">
        <f>'2016-17 working'!E21</f>
        <v>52</v>
      </c>
      <c r="F21" s="46">
        <f>'2016-17 working'!F21</f>
        <v>152</v>
      </c>
      <c r="G21" s="46">
        <f>'2016-17 working'!G21</f>
        <v>164</v>
      </c>
      <c r="H21" s="46">
        <f>'2016-17 working'!H21</f>
        <v>522</v>
      </c>
      <c r="J21" s="42"/>
      <c r="K21" s="42"/>
      <c r="L21" s="42"/>
      <c r="M21" s="42"/>
      <c r="N21" s="42"/>
      <c r="O21" s="42"/>
    </row>
    <row r="22" spans="1:15" x14ac:dyDescent="0.35">
      <c r="A22" s="27">
        <v>63</v>
      </c>
      <c r="B22" s="34" t="s">
        <v>18</v>
      </c>
      <c r="C22" s="46">
        <f>'2016-17 working'!C22</f>
        <v>1952</v>
      </c>
      <c r="D22" s="46">
        <f>'2016-17 working'!D22</f>
        <v>10589</v>
      </c>
      <c r="E22" s="46">
        <f>'2016-17 working'!E22</f>
        <v>50</v>
      </c>
      <c r="F22" s="46">
        <f>'2016-17 working'!F22</f>
        <v>288</v>
      </c>
      <c r="G22" s="46">
        <f>'2016-17 working'!G22</f>
        <v>194</v>
      </c>
      <c r="H22" s="46">
        <f>'2016-17 working'!H22</f>
        <v>2682.4</v>
      </c>
      <c r="J22" s="42"/>
      <c r="K22" s="42"/>
      <c r="L22" s="42"/>
      <c r="M22" s="42"/>
      <c r="N22" s="42"/>
      <c r="O22" s="42"/>
    </row>
    <row r="23" spans="1:15" x14ac:dyDescent="0.35">
      <c r="A23" s="27">
        <v>64</v>
      </c>
      <c r="B23" s="34" t="s">
        <v>19</v>
      </c>
      <c r="C23" s="46">
        <f>'2016-17 working'!C23</f>
        <v>1476</v>
      </c>
      <c r="D23" s="46">
        <f>'2016-17 working'!D23</f>
        <v>3213</v>
      </c>
      <c r="E23" s="46">
        <f>'2016-17 working'!E23</f>
        <v>96</v>
      </c>
      <c r="F23" s="46">
        <f>'2016-17 working'!F23</f>
        <v>538</v>
      </c>
      <c r="G23" s="46">
        <f>'2016-17 working'!G23</f>
        <v>1380</v>
      </c>
      <c r="H23" s="46">
        <f>'2016-17 working'!H23</f>
        <v>2675</v>
      </c>
      <c r="J23" s="42"/>
      <c r="K23" s="42"/>
      <c r="L23" s="42"/>
      <c r="M23" s="42"/>
      <c r="N23" s="42"/>
      <c r="O23" s="42"/>
    </row>
    <row r="24" spans="1:15" x14ac:dyDescent="0.35">
      <c r="A24" s="27">
        <v>65</v>
      </c>
      <c r="B24" s="34" t="s">
        <v>20</v>
      </c>
      <c r="C24" s="46">
        <f>'2016-17 working'!C24</f>
        <v>589</v>
      </c>
      <c r="D24" s="46">
        <f>'2016-17 working'!D24</f>
        <v>10784</v>
      </c>
      <c r="E24" s="62">
        <f>'2016-17 working'!E24</f>
        <v>337</v>
      </c>
      <c r="F24" s="62">
        <f>'2016-17 working'!F24</f>
        <v>9524</v>
      </c>
      <c r="G24" s="46">
        <f>'2016-17 working'!G24</f>
        <v>252</v>
      </c>
      <c r="H24" s="46">
        <f>'2016-17 working'!H24</f>
        <v>1260</v>
      </c>
      <c r="J24" s="42"/>
      <c r="K24" s="42"/>
      <c r="L24" s="42"/>
      <c r="M24" s="42"/>
      <c r="N24" s="42"/>
      <c r="O24" s="42"/>
    </row>
    <row r="25" spans="1:15" x14ac:dyDescent="0.35">
      <c r="A25" s="27">
        <v>67</v>
      </c>
      <c r="B25" s="34" t="s">
        <v>23</v>
      </c>
      <c r="C25" s="46">
        <f>'2016-17 working'!C25</f>
        <v>643</v>
      </c>
      <c r="D25" s="46">
        <f>'2016-17 working'!D25</f>
        <v>13229</v>
      </c>
      <c r="E25" s="46">
        <f>'2016-17 working'!E25</f>
        <v>211</v>
      </c>
      <c r="F25" s="46">
        <f>'2016-17 working'!F25</f>
        <v>5291</v>
      </c>
      <c r="G25" s="46">
        <f>'2016-17 working'!G25</f>
        <v>105</v>
      </c>
      <c r="H25" s="46">
        <f>'2016-17 working'!H25</f>
        <v>990.3</v>
      </c>
      <c r="J25" s="42"/>
      <c r="K25" s="42"/>
      <c r="L25" s="42"/>
      <c r="M25" s="42"/>
      <c r="N25" s="42"/>
      <c r="O25" s="42"/>
    </row>
    <row r="26" spans="1:15" x14ac:dyDescent="0.35">
      <c r="A26" s="27">
        <v>68</v>
      </c>
      <c r="B26" s="34" t="s">
        <v>54</v>
      </c>
      <c r="C26" s="46">
        <f>'2016-17 working'!C26</f>
        <v>410</v>
      </c>
      <c r="D26" s="46">
        <f>'2016-17 working'!D26</f>
        <v>1737</v>
      </c>
      <c r="E26" s="46">
        <f>'2016-17 working'!E26</f>
        <v>44</v>
      </c>
      <c r="F26" s="46">
        <f>'2016-17 working'!F26</f>
        <v>71</v>
      </c>
      <c r="G26" s="46">
        <f>'2016-17 working'!G26</f>
        <v>90</v>
      </c>
      <c r="H26" s="46">
        <f>'2016-17 working'!H26</f>
        <v>895</v>
      </c>
      <c r="J26" s="42"/>
      <c r="K26" s="42"/>
      <c r="L26" s="42"/>
      <c r="M26" s="42"/>
      <c r="N26" s="42"/>
      <c r="O26" s="42"/>
    </row>
    <row r="27" spans="1:15" x14ac:dyDescent="0.35">
      <c r="A27" s="27">
        <v>69</v>
      </c>
      <c r="B27" s="34" t="s">
        <v>25</v>
      </c>
      <c r="C27" s="46">
        <f>'2016-17 working'!C27</f>
        <v>9185</v>
      </c>
      <c r="D27" s="46">
        <f>'2016-17 working'!D27</f>
        <v>22099</v>
      </c>
      <c r="E27" s="46">
        <f>'2016-17 working'!E27</f>
        <v>123</v>
      </c>
      <c r="F27" s="46">
        <f>'2016-17 working'!F27</f>
        <v>5007</v>
      </c>
      <c r="G27" s="46">
        <f>'2016-17 working'!G27</f>
        <v>1084</v>
      </c>
      <c r="H27" s="46">
        <f>'2016-17 working'!H27</f>
        <v>4295</v>
      </c>
      <c r="J27" s="42"/>
      <c r="K27" s="42"/>
      <c r="L27" s="42"/>
      <c r="M27" s="42"/>
      <c r="N27" s="42"/>
      <c r="O27" s="42"/>
    </row>
    <row r="28" spans="1:15" x14ac:dyDescent="0.35">
      <c r="A28" s="27">
        <v>70</v>
      </c>
      <c r="B28" s="34" t="s">
        <v>26</v>
      </c>
      <c r="C28" s="46">
        <f>'2016-17 working'!C28</f>
        <v>1733</v>
      </c>
      <c r="D28" s="46">
        <f>'2016-17 working'!D28</f>
        <v>5260</v>
      </c>
      <c r="E28" s="46">
        <f>'2016-17 working'!E28</f>
        <v>371</v>
      </c>
      <c r="F28" s="46">
        <f>'2016-17 working'!F28</f>
        <v>3233</v>
      </c>
      <c r="G28" s="46">
        <f>'2016-17 working'!G28</f>
        <v>221</v>
      </c>
      <c r="H28" s="46">
        <f>'2016-17 working'!H28</f>
        <v>559</v>
      </c>
      <c r="J28" s="42"/>
      <c r="K28" s="42"/>
      <c r="L28" s="42"/>
      <c r="M28" s="42"/>
      <c r="N28" s="42"/>
      <c r="O28" s="42"/>
    </row>
    <row r="29" spans="1:15" x14ac:dyDescent="0.35">
      <c r="A29" s="27">
        <v>71</v>
      </c>
      <c r="B29" s="34" t="s">
        <v>55</v>
      </c>
      <c r="C29" s="46">
        <f>'2016-17 working'!C29</f>
        <v>123</v>
      </c>
      <c r="D29" s="46">
        <f>'2016-17 working'!D29</f>
        <v>292</v>
      </c>
      <c r="E29" s="46">
        <f>'2016-17 working'!E29</f>
        <v>29</v>
      </c>
      <c r="F29" s="46">
        <f>'2016-17 working'!F29</f>
        <v>46</v>
      </c>
      <c r="G29" s="46">
        <f>'2016-17 working'!G29</f>
        <v>71</v>
      </c>
      <c r="H29" s="46">
        <f>'2016-17 working'!H29</f>
        <v>190</v>
      </c>
      <c r="J29" s="42"/>
      <c r="K29" s="42"/>
      <c r="L29" s="42"/>
      <c r="M29" s="42"/>
      <c r="N29" s="42"/>
      <c r="O29" s="42"/>
    </row>
    <row r="30" spans="1:15" x14ac:dyDescent="0.35">
      <c r="A30" s="27">
        <v>73</v>
      </c>
      <c r="B30" s="34" t="s">
        <v>29</v>
      </c>
      <c r="C30" s="46">
        <f>'2016-17 working'!C30</f>
        <v>2179</v>
      </c>
      <c r="D30" s="46">
        <f>'2016-17 working'!D30</f>
        <v>8428</v>
      </c>
      <c r="E30" s="46">
        <f>'2016-17 working'!E30</f>
        <v>647</v>
      </c>
      <c r="F30" s="46">
        <f>'2016-17 working'!F30</f>
        <v>1158</v>
      </c>
      <c r="G30" s="46" t="str">
        <f>'2016-17 working'!G30</f>
        <v>N/A</v>
      </c>
      <c r="H30" s="46" t="str">
        <f>'2016-17 working'!H30</f>
        <v>N/A</v>
      </c>
      <c r="J30" s="42"/>
      <c r="K30" s="42"/>
      <c r="L30" s="42"/>
      <c r="M30" s="42"/>
      <c r="N30" s="42"/>
      <c r="O30" s="42"/>
    </row>
    <row r="31" spans="1:15" x14ac:dyDescent="0.35">
      <c r="A31" s="27">
        <v>74</v>
      </c>
      <c r="B31" s="34" t="s">
        <v>30</v>
      </c>
      <c r="C31" s="46">
        <f>'2016-17 working'!C31</f>
        <v>12387</v>
      </c>
      <c r="D31" s="46">
        <f>'2016-17 working'!D31</f>
        <v>24300</v>
      </c>
      <c r="E31" s="46">
        <f>'2016-17 working'!E31</f>
        <v>1295</v>
      </c>
      <c r="F31" s="46">
        <f>'2016-17 working'!F31</f>
        <v>2671</v>
      </c>
      <c r="G31" s="46">
        <f>'2016-17 working'!G31</f>
        <v>10094</v>
      </c>
      <c r="H31" s="46">
        <f>'2016-17 working'!H31</f>
        <v>19872</v>
      </c>
      <c r="J31" s="42"/>
      <c r="K31" s="42"/>
      <c r="L31" s="42"/>
      <c r="M31" s="42"/>
      <c r="N31" s="42"/>
      <c r="O31" s="42"/>
    </row>
    <row r="32" spans="1:15" x14ac:dyDescent="0.35">
      <c r="A32" s="27">
        <v>75</v>
      </c>
      <c r="B32" s="34" t="s">
        <v>31</v>
      </c>
      <c r="C32" s="46">
        <f>'2016-17 working'!C32</f>
        <v>1758</v>
      </c>
      <c r="D32" s="46">
        <f>'2016-17 working'!D32</f>
        <v>12705</v>
      </c>
      <c r="E32" s="46">
        <f>'2016-17 working'!E32</f>
        <v>215</v>
      </c>
      <c r="F32" s="46">
        <f>'2016-17 working'!F32</f>
        <v>1829</v>
      </c>
      <c r="G32" s="46">
        <f>'2016-17 working'!G32</f>
        <v>691</v>
      </c>
      <c r="H32" s="46">
        <f>'2016-17 working'!H32</f>
        <v>5330</v>
      </c>
      <c r="J32" s="42"/>
      <c r="K32" s="42"/>
      <c r="L32" s="42"/>
      <c r="M32" s="42"/>
      <c r="N32" s="42"/>
      <c r="O32" s="42"/>
    </row>
    <row r="33" spans="1:15" x14ac:dyDescent="0.35">
      <c r="A33" s="27">
        <v>76</v>
      </c>
      <c r="B33" s="34" t="s">
        <v>32</v>
      </c>
      <c r="C33" s="46">
        <f>'2016-17 working'!C33</f>
        <v>627</v>
      </c>
      <c r="D33" s="46">
        <f>'2016-17 working'!D33</f>
        <v>7512</v>
      </c>
      <c r="E33" s="46">
        <f>'2016-17 working'!E33</f>
        <v>380</v>
      </c>
      <c r="F33" s="46">
        <f>'2016-17 working'!F33</f>
        <v>765</v>
      </c>
      <c r="G33" s="46">
        <f>'2016-17 working'!G33</f>
        <v>243</v>
      </c>
      <c r="H33" s="46">
        <f>'2016-17 working'!H33</f>
        <v>1523</v>
      </c>
      <c r="J33" s="42"/>
      <c r="K33" s="42"/>
      <c r="L33" s="42"/>
      <c r="M33" s="42"/>
      <c r="N33" s="42"/>
      <c r="O33" s="42"/>
    </row>
    <row r="34" spans="1:15" x14ac:dyDescent="0.35">
      <c r="A34" s="27">
        <v>79</v>
      </c>
      <c r="B34" s="34" t="s">
        <v>34</v>
      </c>
      <c r="C34" s="46">
        <f>'2016-17 working'!C34</f>
        <v>130</v>
      </c>
      <c r="D34" s="46">
        <f>'2016-17 working'!D34</f>
        <v>326</v>
      </c>
      <c r="E34" s="46">
        <f>'2016-17 working'!E34</f>
        <v>30</v>
      </c>
      <c r="F34" s="46">
        <f>'2016-17 working'!F34</f>
        <v>69</v>
      </c>
      <c r="G34" s="46">
        <f>'2016-17 working'!G34</f>
        <v>100</v>
      </c>
      <c r="H34" s="46">
        <f>'2016-17 working'!H34</f>
        <v>257</v>
      </c>
      <c r="J34" s="42"/>
      <c r="K34" s="42"/>
      <c r="L34" s="42"/>
      <c r="M34" s="42"/>
      <c r="N34" s="42"/>
      <c r="O34" s="42"/>
    </row>
    <row r="35" spans="1:15" x14ac:dyDescent="0.35">
      <c r="A35" s="27">
        <v>80</v>
      </c>
      <c r="B35" s="34" t="s">
        <v>35</v>
      </c>
      <c r="C35" s="46">
        <f>'2016-17 working'!C35</f>
        <v>2255</v>
      </c>
      <c r="D35" s="46">
        <f>'2016-17 working'!D35</f>
        <v>7639</v>
      </c>
      <c r="E35" s="46">
        <f>'2016-17 working'!E35</f>
        <v>121</v>
      </c>
      <c r="F35" s="46">
        <f>'2016-17 working'!F35</f>
        <v>1097</v>
      </c>
      <c r="G35" s="46">
        <f>'2016-17 working'!G35</f>
        <v>261</v>
      </c>
      <c r="H35" s="46">
        <f>'2016-17 working'!H35</f>
        <v>837</v>
      </c>
      <c r="J35" s="42"/>
      <c r="K35" s="42"/>
      <c r="L35" s="42"/>
      <c r="M35" s="42"/>
      <c r="N35" s="42"/>
      <c r="O35" s="42"/>
    </row>
    <row r="36" spans="1:15" x14ac:dyDescent="0.35">
      <c r="A36" s="27">
        <v>81</v>
      </c>
      <c r="B36" s="34" t="s">
        <v>36</v>
      </c>
      <c r="C36" s="46">
        <f>'2016-17 working'!C36</f>
        <v>604</v>
      </c>
      <c r="D36" s="46">
        <f>'2016-17 working'!D36</f>
        <v>5191</v>
      </c>
      <c r="E36" s="46">
        <f>'2016-17 working'!E36</f>
        <v>127</v>
      </c>
      <c r="F36" s="46">
        <f>'2016-17 working'!F36</f>
        <v>2039</v>
      </c>
      <c r="G36" s="46">
        <f>'2016-17 working'!G36</f>
        <v>253</v>
      </c>
      <c r="H36" s="46">
        <f>'2016-17 working'!H36</f>
        <v>1447.33</v>
      </c>
      <c r="J36" s="42"/>
      <c r="K36" s="42"/>
      <c r="L36" s="42"/>
      <c r="M36" s="42"/>
      <c r="N36" s="42"/>
      <c r="O36" s="42"/>
    </row>
    <row r="37" spans="1:15" x14ac:dyDescent="0.35">
      <c r="A37" s="27">
        <v>83</v>
      </c>
      <c r="B37" s="34" t="s">
        <v>37</v>
      </c>
      <c r="C37" s="46">
        <f>'2016-17 working'!C37</f>
        <v>7310</v>
      </c>
      <c r="D37" s="46">
        <f>'2016-17 working'!D37</f>
        <v>9336.5</v>
      </c>
      <c r="E37" s="46">
        <f>'2016-17 working'!E37</f>
        <v>500</v>
      </c>
      <c r="F37" s="46">
        <f>'2016-17 working'!F37</f>
        <v>5593.75</v>
      </c>
      <c r="G37" s="46">
        <f>'2016-17 working'!G37</f>
        <v>227</v>
      </c>
      <c r="H37" s="46">
        <f>'2016-17 working'!H37</f>
        <v>1223</v>
      </c>
      <c r="J37" s="42"/>
      <c r="K37" s="42"/>
      <c r="L37" s="42"/>
      <c r="M37" s="42"/>
      <c r="N37" s="42"/>
      <c r="O37" s="42"/>
    </row>
    <row r="38" spans="1:15" x14ac:dyDescent="0.35">
      <c r="A38" s="27">
        <v>84</v>
      </c>
      <c r="B38" s="34" t="s">
        <v>38</v>
      </c>
      <c r="C38" s="46">
        <f>'2016-17 working'!C38</f>
        <v>4906</v>
      </c>
      <c r="D38" s="46">
        <f>'2016-17 working'!D38</f>
        <v>24106</v>
      </c>
      <c r="E38" s="46">
        <f>'2016-17 working'!E38</f>
        <v>272</v>
      </c>
      <c r="F38" s="46">
        <f>'2016-17 working'!F38</f>
        <v>4914</v>
      </c>
      <c r="G38" s="46">
        <f>'2016-17 working'!G38</f>
        <v>319</v>
      </c>
      <c r="H38" s="46">
        <f>'2016-17 working'!H38</f>
        <v>3399</v>
      </c>
      <c r="J38" s="42"/>
      <c r="K38" s="42"/>
      <c r="L38" s="42"/>
      <c r="M38" s="42"/>
      <c r="N38" s="42"/>
      <c r="O38" s="42"/>
    </row>
    <row r="39" spans="1:15" x14ac:dyDescent="0.35">
      <c r="A39" s="27">
        <v>85</v>
      </c>
      <c r="B39" s="34" t="s">
        <v>39</v>
      </c>
      <c r="C39" s="46">
        <f>'2016-17 working'!C39</f>
        <v>1997</v>
      </c>
      <c r="D39" s="46">
        <f>'2016-17 working'!D39</f>
        <v>9901</v>
      </c>
      <c r="E39" s="46">
        <f>'2016-17 working'!E39</f>
        <v>291</v>
      </c>
      <c r="F39" s="46">
        <f>'2016-17 working'!F39</f>
        <v>3670</v>
      </c>
      <c r="G39" s="46">
        <f>'2016-17 working'!G39</f>
        <v>285</v>
      </c>
      <c r="H39" s="46">
        <f>'2016-17 working'!H39</f>
        <v>1663</v>
      </c>
      <c r="J39" s="42"/>
      <c r="K39" s="42"/>
      <c r="L39" s="42"/>
      <c r="M39" s="42"/>
      <c r="N39" s="42"/>
      <c r="O39" s="42"/>
    </row>
    <row r="40" spans="1:15" x14ac:dyDescent="0.35">
      <c r="A40" s="27">
        <v>87</v>
      </c>
      <c r="B40" s="34" t="s">
        <v>40</v>
      </c>
      <c r="C40" s="46">
        <f>'2016-17 working'!C40</f>
        <v>332</v>
      </c>
      <c r="D40" s="46">
        <f>'2016-17 working'!D40</f>
        <v>1835</v>
      </c>
      <c r="E40" s="46">
        <f>'2016-17 working'!E40</f>
        <v>41</v>
      </c>
      <c r="F40" s="46">
        <f>'2016-17 working'!F40</f>
        <v>246</v>
      </c>
      <c r="G40" s="46">
        <f>'2016-17 working'!G40</f>
        <v>168</v>
      </c>
      <c r="H40" s="46">
        <f>'2016-17 working'!H40</f>
        <v>624</v>
      </c>
      <c r="J40" s="42"/>
      <c r="K40" s="42"/>
      <c r="L40" s="42"/>
      <c r="M40" s="42"/>
      <c r="N40" s="42"/>
      <c r="O40" s="42"/>
    </row>
    <row r="41" spans="1:15" ht="14.5" x14ac:dyDescent="0.35">
      <c r="A41" s="27">
        <v>90</v>
      </c>
      <c r="B41" s="49" t="s">
        <v>78</v>
      </c>
      <c r="C41" s="61">
        <f>'(2014-15)'!C41</f>
        <v>7039</v>
      </c>
      <c r="D41" s="61">
        <f>'(2014-15)'!D41</f>
        <v>18493</v>
      </c>
      <c r="E41" s="61">
        <f>'(2014-15)'!E41</f>
        <v>818</v>
      </c>
      <c r="F41" s="61">
        <f>'(2014-15)'!F41</f>
        <v>6768</v>
      </c>
      <c r="G41" s="61">
        <f>'(2014-15)'!G41</f>
        <v>2154</v>
      </c>
      <c r="H41" s="61">
        <f>'(2014-15)'!H41</f>
        <v>7072</v>
      </c>
      <c r="J41" s="42"/>
      <c r="K41" s="42"/>
      <c r="L41" s="42"/>
      <c r="M41" s="42"/>
      <c r="N41" s="42"/>
      <c r="O41" s="42"/>
    </row>
    <row r="42" spans="1:15" x14ac:dyDescent="0.35">
      <c r="A42" s="27">
        <v>91</v>
      </c>
      <c r="B42" s="34" t="s">
        <v>43</v>
      </c>
      <c r="C42" s="46">
        <f>'2016-17 working'!C42</f>
        <v>213</v>
      </c>
      <c r="D42" s="46">
        <f>'2016-17 working'!D42</f>
        <v>2066.2200000000007</v>
      </c>
      <c r="E42" s="46">
        <f>'2016-17 working'!E42</f>
        <v>68</v>
      </c>
      <c r="F42" s="46">
        <f>'2016-17 working'!F42</f>
        <v>637.22000000000014</v>
      </c>
      <c r="G42" s="46">
        <f>'2016-17 working'!G42</f>
        <v>7</v>
      </c>
      <c r="H42" s="46">
        <f>'2016-17 working'!H42</f>
        <v>83.17</v>
      </c>
      <c r="J42" s="42"/>
      <c r="K42" s="42"/>
      <c r="L42" s="42"/>
      <c r="M42" s="42"/>
      <c r="N42" s="42"/>
      <c r="O42" s="42"/>
    </row>
    <row r="43" spans="1:15" x14ac:dyDescent="0.35">
      <c r="A43" s="27">
        <v>92</v>
      </c>
      <c r="B43" s="34" t="s">
        <v>44</v>
      </c>
      <c r="C43" s="46">
        <f>'2016-17 working'!C43</f>
        <v>3756</v>
      </c>
      <c r="D43" s="46">
        <f>'2016-17 working'!D43</f>
        <v>13840</v>
      </c>
      <c r="E43" s="46">
        <f>'2016-17 working'!E43</f>
        <v>3624</v>
      </c>
      <c r="F43" s="46">
        <f>'2016-17 working'!F43</f>
        <v>13042</v>
      </c>
      <c r="G43" s="46">
        <f>'2016-17 working'!G43</f>
        <v>132</v>
      </c>
      <c r="H43" s="46">
        <f>'2016-17 working'!H43</f>
        <v>798</v>
      </c>
      <c r="J43" s="42"/>
      <c r="K43" s="42"/>
      <c r="L43" s="42"/>
      <c r="M43" s="42"/>
      <c r="N43" s="42"/>
      <c r="O43" s="42"/>
    </row>
    <row r="44" spans="1:15" x14ac:dyDescent="0.35">
      <c r="A44" s="27">
        <v>94</v>
      </c>
      <c r="B44" s="34" t="s">
        <v>46</v>
      </c>
      <c r="C44" s="46">
        <f>'2016-17 working'!C44</f>
        <v>1396</v>
      </c>
      <c r="D44" s="46">
        <f>'2016-17 working'!D44</f>
        <v>6687</v>
      </c>
      <c r="E44" s="46">
        <f>'2016-17 working'!E44</f>
        <v>362</v>
      </c>
      <c r="F44" s="46">
        <f>'2016-17 working'!F44</f>
        <v>3158</v>
      </c>
      <c r="G44" s="46">
        <f>'2016-17 working'!G44</f>
        <v>1034</v>
      </c>
      <c r="H44" s="46">
        <f>'2016-17 working'!H44</f>
        <v>3529</v>
      </c>
      <c r="J44" s="42"/>
      <c r="K44" s="42"/>
      <c r="L44" s="42"/>
      <c r="M44" s="42"/>
      <c r="N44" s="42"/>
      <c r="O44" s="42"/>
    </row>
    <row r="45" spans="1:15" ht="14.5" x14ac:dyDescent="0.35">
      <c r="A45" s="27">
        <v>96</v>
      </c>
      <c r="B45" s="49" t="s">
        <v>79</v>
      </c>
      <c r="C45" s="46">
        <f>'2016-17 working'!C45</f>
        <v>3026</v>
      </c>
      <c r="D45" s="46">
        <f>'2016-17 working'!D45</f>
        <v>10307</v>
      </c>
      <c r="E45" s="46">
        <f>'2016-17 working'!E45</f>
        <v>204</v>
      </c>
      <c r="F45" s="46">
        <f>'2016-17 working'!F45</f>
        <v>3634</v>
      </c>
      <c r="G45" s="46">
        <f>'2016-17 working'!G45</f>
        <v>516</v>
      </c>
      <c r="H45" s="46">
        <f>'2016-17 working'!H45</f>
        <v>1338</v>
      </c>
      <c r="J45" s="42"/>
      <c r="K45" s="42"/>
      <c r="L45" s="42"/>
      <c r="M45" s="42"/>
      <c r="N45" s="42"/>
      <c r="O45" s="42"/>
    </row>
    <row r="46" spans="1:15" x14ac:dyDescent="0.35">
      <c r="A46" s="27">
        <v>98</v>
      </c>
      <c r="B46" s="34" t="s">
        <v>50</v>
      </c>
      <c r="C46" s="46" t="str">
        <f>'2016-17 working'!C46</f>
        <v>..</v>
      </c>
      <c r="D46" s="46" t="str">
        <f>'2016-17 working'!D46</f>
        <v>..</v>
      </c>
      <c r="E46" s="46" t="str">
        <f>'2016-17 working'!E46</f>
        <v>..</v>
      </c>
      <c r="F46" s="46" t="str">
        <f>'2016-17 working'!F46</f>
        <v>..</v>
      </c>
      <c r="G46" s="46" t="str">
        <f>'2016-17 working'!G46</f>
        <v>..</v>
      </c>
      <c r="H46" s="46" t="str">
        <f>'2016-17 working'!H46</f>
        <v>..</v>
      </c>
      <c r="J46" s="42"/>
      <c r="K46" s="42"/>
      <c r="L46" s="42"/>
      <c r="M46" s="42"/>
      <c r="N46" s="42"/>
      <c r="O46" s="42"/>
    </row>
    <row r="47" spans="1:15" x14ac:dyDescent="0.35">
      <c r="A47" s="27">
        <v>72</v>
      </c>
      <c r="B47" s="34" t="s">
        <v>28</v>
      </c>
      <c r="C47" s="46">
        <f>'2016-17 working'!C47</f>
        <v>0</v>
      </c>
      <c r="D47" s="46">
        <f>'2016-17 working'!D47</f>
        <v>0</v>
      </c>
      <c r="E47" s="46">
        <f>'2016-17 working'!E47</f>
        <v>0</v>
      </c>
      <c r="F47" s="46">
        <f>'2016-17 working'!F47</f>
        <v>0</v>
      </c>
      <c r="G47" s="46">
        <f>'2016-17 working'!G47</f>
        <v>0</v>
      </c>
      <c r="H47" s="46">
        <f>'2016-17 working'!H47</f>
        <v>0</v>
      </c>
      <c r="J47" s="42"/>
      <c r="K47" s="42"/>
      <c r="L47" s="42"/>
      <c r="M47" s="42"/>
      <c r="N47" s="42"/>
      <c r="O47" s="42"/>
    </row>
    <row r="48" spans="1:15" s="43" customFormat="1" ht="26.25" customHeight="1" x14ac:dyDescent="0.35">
      <c r="B48" s="43" t="s">
        <v>56</v>
      </c>
      <c r="C48" s="50">
        <f t="shared" ref="C48:H48" si="2">SUM(C49:C55)</f>
        <v>21409</v>
      </c>
      <c r="D48" s="50">
        <f t="shared" si="2"/>
        <v>279129</v>
      </c>
      <c r="E48" s="50">
        <f t="shared" si="2"/>
        <v>6082</v>
      </c>
      <c r="F48" s="50">
        <f t="shared" si="2"/>
        <v>68642</v>
      </c>
      <c r="G48" s="50">
        <f t="shared" si="2"/>
        <v>10682</v>
      </c>
      <c r="H48" s="50">
        <f t="shared" si="2"/>
        <v>199583</v>
      </c>
      <c r="J48" s="42"/>
      <c r="K48" s="42"/>
      <c r="L48" s="42"/>
      <c r="M48" s="42"/>
      <c r="N48" s="42"/>
      <c r="O48" s="42"/>
    </row>
    <row r="49" spans="1:15" x14ac:dyDescent="0.35">
      <c r="A49" s="27">
        <v>66</v>
      </c>
      <c r="B49" s="34" t="s">
        <v>22</v>
      </c>
      <c r="C49" s="46">
        <f>'2016-17 working'!C49</f>
        <v>3960</v>
      </c>
      <c r="D49" s="46">
        <f>'2016-17 working'!D49</f>
        <v>37025</v>
      </c>
      <c r="E49" s="46">
        <f>'2016-17 working'!E49</f>
        <v>970</v>
      </c>
      <c r="F49" s="46">
        <f>'2016-17 working'!F49</f>
        <v>3938</v>
      </c>
      <c r="G49" s="46">
        <f>'2016-17 working'!G49</f>
        <v>773</v>
      </c>
      <c r="H49" s="46">
        <f>'2016-17 working'!H49</f>
        <v>28695</v>
      </c>
      <c r="J49" s="42"/>
      <c r="K49" s="42"/>
      <c r="L49" s="42"/>
      <c r="M49" s="42"/>
      <c r="N49" s="42"/>
      <c r="O49" s="42"/>
    </row>
    <row r="50" spans="1:15" x14ac:dyDescent="0.35">
      <c r="A50" s="27">
        <v>78</v>
      </c>
      <c r="B50" s="34" t="s">
        <v>33</v>
      </c>
      <c r="C50" s="46">
        <f>'2016-17 working'!C50</f>
        <v>2991</v>
      </c>
      <c r="D50" s="46">
        <f>'2016-17 working'!D50</f>
        <v>19029</v>
      </c>
      <c r="E50" s="46">
        <f>'2016-17 working'!E50</f>
        <v>2991</v>
      </c>
      <c r="F50" s="46">
        <f>'2016-17 working'!F50</f>
        <v>17517</v>
      </c>
      <c r="G50" s="61">
        <f>ROUND(H50*('(2014-15)'!G50/'(2014-15)'!H50),0)</f>
        <v>294</v>
      </c>
      <c r="H50" s="46">
        <f>'2016-17 working'!H50</f>
        <v>1512</v>
      </c>
      <c r="J50" s="42"/>
      <c r="K50" s="42"/>
      <c r="L50" s="42"/>
      <c r="M50" s="42"/>
      <c r="N50" s="42"/>
      <c r="O50" s="42"/>
    </row>
    <row r="51" spans="1:15" x14ac:dyDescent="0.35">
      <c r="A51" s="27">
        <v>89</v>
      </c>
      <c r="B51" s="34" t="s">
        <v>41</v>
      </c>
      <c r="C51" s="46">
        <f>'2016-17 working'!C51</f>
        <v>1228</v>
      </c>
      <c r="D51" s="46">
        <f>'2016-17 working'!D51</f>
        <v>3546</v>
      </c>
      <c r="E51" s="46">
        <f>'2016-17 working'!E51</f>
        <v>700</v>
      </c>
      <c r="F51" s="46">
        <f>'2016-17 working'!F51</f>
        <v>1400</v>
      </c>
      <c r="G51" s="46">
        <f>'2016-17 working'!G51</f>
        <v>410</v>
      </c>
      <c r="H51" s="46">
        <f>'2016-17 working'!H51</f>
        <v>1250</v>
      </c>
      <c r="J51" s="42"/>
      <c r="K51" s="42"/>
      <c r="L51" s="42"/>
      <c r="M51" s="42"/>
      <c r="N51" s="42"/>
      <c r="O51" s="42"/>
    </row>
    <row r="52" spans="1:15" x14ac:dyDescent="0.35">
      <c r="A52" s="27">
        <v>93</v>
      </c>
      <c r="B52" s="34" t="s">
        <v>57</v>
      </c>
      <c r="C52" s="46">
        <f>'2016-17 working'!C52</f>
        <v>2944</v>
      </c>
      <c r="D52" s="46">
        <f>'2016-17 working'!D52</f>
        <v>12839</v>
      </c>
      <c r="E52" s="46">
        <f>'2016-17 working'!E52</f>
        <v>332</v>
      </c>
      <c r="F52" s="46">
        <f>'2016-17 working'!F52</f>
        <v>1741</v>
      </c>
      <c r="G52" s="46">
        <f>'2016-17 working'!G52</f>
        <v>1380</v>
      </c>
      <c r="H52" s="46">
        <f>'2016-17 working'!H52</f>
        <v>10350</v>
      </c>
      <c r="J52" s="42"/>
      <c r="K52" s="42"/>
      <c r="L52" s="42"/>
      <c r="M52" s="42"/>
      <c r="N52" s="42"/>
      <c r="O52" s="42"/>
    </row>
    <row r="53" spans="1:15" x14ac:dyDescent="0.35">
      <c r="A53" s="27">
        <v>95</v>
      </c>
      <c r="B53" s="34" t="s">
        <v>47</v>
      </c>
      <c r="C53" s="46">
        <f>'2016-17 working'!C53</f>
        <v>6753</v>
      </c>
      <c r="D53" s="46">
        <f>'2016-17 working'!D53</f>
        <v>151275</v>
      </c>
      <c r="E53" s="46">
        <f>'2016-17 working'!E53</f>
        <v>130</v>
      </c>
      <c r="F53" s="46">
        <f>'2016-17 working'!F53</f>
        <v>804</v>
      </c>
      <c r="G53" s="46">
        <f>'2016-17 working'!G53</f>
        <v>6623</v>
      </c>
      <c r="H53" s="46">
        <f>'2016-17 working'!H53</f>
        <v>150471</v>
      </c>
      <c r="J53" s="42"/>
      <c r="K53" s="42"/>
      <c r="L53" s="42"/>
      <c r="M53" s="42"/>
      <c r="N53" s="42"/>
      <c r="O53" s="42"/>
    </row>
    <row r="54" spans="1:15" x14ac:dyDescent="0.35">
      <c r="A54" s="27">
        <v>97</v>
      </c>
      <c r="B54" s="34" t="s">
        <v>49</v>
      </c>
      <c r="C54" s="46">
        <f>'2016-17 working'!C54</f>
        <v>1612</v>
      </c>
      <c r="D54" s="46">
        <f>'2016-17 working'!D54</f>
        <v>12893</v>
      </c>
      <c r="E54" s="46">
        <f>'2016-17 working'!E54</f>
        <v>187</v>
      </c>
      <c r="F54" s="46">
        <f>'2016-17 working'!F54</f>
        <v>5316</v>
      </c>
      <c r="G54" s="46">
        <f>'2016-17 working'!G54</f>
        <v>53</v>
      </c>
      <c r="H54" s="46">
        <f>'2016-17 working'!H54</f>
        <v>2709</v>
      </c>
      <c r="J54" s="42"/>
      <c r="K54" s="42"/>
      <c r="L54" s="42"/>
      <c r="M54" s="42"/>
      <c r="N54" s="42"/>
      <c r="O54" s="42"/>
    </row>
    <row r="55" spans="1:15" x14ac:dyDescent="0.35">
      <c r="A55" s="27">
        <v>77</v>
      </c>
      <c r="B55" s="37" t="s">
        <v>21</v>
      </c>
      <c r="C55" s="46">
        <f>'2016-17 working'!C55</f>
        <v>1921</v>
      </c>
      <c r="D55" s="46">
        <f>'2016-17 working'!D55</f>
        <v>42522</v>
      </c>
      <c r="E55" s="46">
        <f>'2016-17 working'!E55</f>
        <v>772</v>
      </c>
      <c r="F55" s="46">
        <f>'2016-17 working'!F55</f>
        <v>37926</v>
      </c>
      <c r="G55" s="46">
        <f>'2016-17 working'!G55</f>
        <v>1149</v>
      </c>
      <c r="H55" s="46">
        <f>'2016-17 working'!H55</f>
        <v>4596</v>
      </c>
      <c r="J55" s="42"/>
      <c r="K55" s="42"/>
      <c r="L55" s="42"/>
      <c r="M55" s="42"/>
      <c r="N55" s="42"/>
      <c r="O55" s="42"/>
    </row>
    <row r="57" spans="1:15" ht="27.75" customHeight="1" x14ac:dyDescent="0.35">
      <c r="B57" s="106" t="s">
        <v>80</v>
      </c>
      <c r="C57" s="107"/>
      <c r="D57" s="107"/>
      <c r="E57" s="107"/>
      <c r="F57" s="107"/>
      <c r="G57" s="107"/>
      <c r="H57" s="107"/>
    </row>
    <row r="58" spans="1:15" ht="27.75" customHeight="1" x14ac:dyDescent="0.35">
      <c r="B58" s="106" t="s">
        <v>81</v>
      </c>
      <c r="C58" s="107"/>
      <c r="D58" s="107"/>
      <c r="E58" s="107"/>
      <c r="F58" s="107"/>
      <c r="G58" s="107"/>
      <c r="H58" s="107"/>
    </row>
    <row r="59" spans="1:15" ht="13.5" customHeight="1" x14ac:dyDescent="0.35">
      <c r="B59" s="34" t="s">
        <v>82</v>
      </c>
      <c r="C59" s="96"/>
      <c r="D59" s="96"/>
      <c r="E59" s="96"/>
      <c r="F59" s="96"/>
      <c r="G59" s="96"/>
      <c r="H59" s="96"/>
    </row>
    <row r="60" spans="1:15" ht="13.5" customHeight="1" x14ac:dyDescent="0.35">
      <c r="B60" s="51" t="s">
        <v>83</v>
      </c>
      <c r="C60" s="96"/>
      <c r="D60" s="96"/>
      <c r="E60" s="96"/>
      <c r="F60" s="96"/>
      <c r="G60" s="96"/>
      <c r="H60" s="96"/>
    </row>
    <row r="61" spans="1:15" x14ac:dyDescent="0.35">
      <c r="B61" s="51" t="s">
        <v>84</v>
      </c>
    </row>
    <row r="63" spans="1:15" x14ac:dyDescent="0.35">
      <c r="B63" s="104" t="s">
        <v>85</v>
      </c>
    </row>
    <row r="66" spans="2:2" x14ac:dyDescent="0.35">
      <c r="B66" s="34" t="s">
        <v>86</v>
      </c>
    </row>
    <row r="68" spans="2:2" x14ac:dyDescent="0.3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(2010-11)</vt:lpstr>
      <vt:lpstr>(2011-12)</vt:lpstr>
      <vt:lpstr>(2012-13)</vt:lpstr>
      <vt:lpstr>(2013-14)</vt:lpstr>
      <vt:lpstr>(2014-15)</vt:lpstr>
      <vt:lpstr>2015-16 working</vt:lpstr>
      <vt:lpstr>(2015-16)</vt:lpstr>
      <vt:lpstr>2016-17 working</vt:lpstr>
      <vt:lpstr>(2016-17)</vt:lpstr>
      <vt:lpstr>2017-18 working</vt:lpstr>
      <vt:lpstr>(2017-18)</vt:lpstr>
      <vt:lpstr>FIRE1203 raw</vt:lpstr>
      <vt:lpstr>FIRE1203</vt:lpstr>
      <vt:lpstr>'(2010-11)'!Print_Area</vt:lpstr>
      <vt:lpstr>'(2011-12)'!Print_Area</vt:lpstr>
      <vt:lpstr>'(2012-13)'!Print_Area</vt:lpstr>
      <vt:lpstr>'(2013-14)'!Print_Area</vt:lpstr>
      <vt:lpstr>'(2014-15)'!Print_Area</vt:lpstr>
      <vt:lpstr>'(2015-16)'!Print_Area</vt:lpstr>
      <vt:lpstr>'(2016-17)'!Print_Area</vt:lpstr>
      <vt:lpstr>'(2017-18)'!Print_Area</vt:lpstr>
      <vt:lpstr>'2015-16 working'!Print_Area</vt:lpstr>
      <vt:lpstr>'2016-17 working'!Print_Area</vt:lpstr>
      <vt:lpstr>'2017-18 working'!Print_Area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FIRE1203: Fire and rescue service campaigns and initiatives, by fire and rescue authority</dc:title>
  <dc:creator/>
  <cp:keywords>data tables, campaigns, initiatives, 2019</cp:keywords>
  <cp:lastModifiedBy/>
  <dcterms:created xsi:type="dcterms:W3CDTF">2019-09-27T14:58:04Z</dcterms:created>
  <dcterms:modified xsi:type="dcterms:W3CDTF">2019-09-27T14:59:35Z</dcterms:modified>
</cp:coreProperties>
</file>