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dmartin\Desktop\MyFiles - not backed up\Work Programme 2017 - 2018\Work Queue\WkQ_0003099 (Landspreading Tools)\Work Planning\SSV Normalisation Tool\Tool\"/>
    </mc:Choice>
  </mc:AlternateContent>
  <workbookProtection workbookAlgorithmName="SHA-512" workbookHashValue="HdF9uqPvD5LxkhaqgCPgwCSdjUe2HQNnIpljpPq2cPYCUJPB73u1RAkY+K/f79iNO7yT9lonYRSPQkgdORmGgg==" workbookSaltValue="0C9dBnJiN6BS49pdOsbeSg==" workbookSpinCount="100000" lockStructure="1"/>
  <bookViews>
    <workbookView xWindow="240" yWindow="480" windowWidth="20025" windowHeight="14025" tabRatio="500"/>
  </bookViews>
  <sheets>
    <sheet name="Intro" sheetId="3" r:id="rId1"/>
    <sheet name="Supporting Info" sheetId="4" r:id="rId2"/>
    <sheet name="Toxicity data + calculations" sheetId="1" r:id="rId3"/>
  </sheets>
  <definedNames>
    <definedName name="_AtRisk_FitDataRange_FIT_1E402_57C64" hidden="1">#REF!</definedName>
    <definedName name="_AtRisk_FitDataRange_FIT_4F5EA_38701" hidden="1">#REF!</definedName>
    <definedName name="_AtRisk_FitDataRange_FIT_7E35F_2BE2C" hidden="1">#REF!</definedName>
    <definedName name="_AtRisk_FitDataRange_FIT_8A736_CBB65" hidden="1">#REF!</definedName>
    <definedName name="_AtRisk_FitDataRange_FIT_9D95_943C2" hidden="1">#REF!</definedName>
    <definedName name="_AtRisk_FitDataRange_FIT_A883A_CE539" hidden="1">#REF!</definedName>
    <definedName name="_AtRisk_FitDataRange_FIT_DA6FB_FC29" hidden="1">#REF!</definedName>
    <definedName name="_AtRisk_FitDataRange_FIT_DB707_DDAC" hidden="1">#REF!</definedName>
    <definedName name="_AtRisk_FitDataRange_FIT_ED5B2_B7E3B" hidden="1">#REF!</definedName>
    <definedName name="_AtRisk_FitDataRange_FIT_EFEA0_ECE4"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clay">'Toxicity data + calculations'!$N$6</definedName>
    <definedName name="eCEC">'Toxicity data + calculations'!$N$7</definedName>
    <definedName name="OC">'Toxicity data + calculations'!$N$4</definedName>
    <definedName name="OM">'Toxicity data + calculations'!$N$5</definedName>
    <definedName name="Pal_Workbook_GUID" hidden="1">"F3SNURABTXZXGSX6HQCVWGH5"</definedName>
    <definedName name="pH">'Toxicity data + calculations'!$N$3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11</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V_bg">'Toxicity data + calculations'!$N$8</definedName>
    <definedName name="Zn_bg">'Toxicity data + calculations'!$N$9</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22" i="3" l="1"/>
  <c r="J21" i="3"/>
  <c r="N8" i="1"/>
  <c r="K21" i="3"/>
  <c r="AK836" i="1"/>
  <c r="AR836" i="1"/>
  <c r="AX836" i="1"/>
  <c r="AZ836" i="1"/>
  <c r="BB836" i="1"/>
  <c r="AK837" i="1"/>
  <c r="AR837" i="1"/>
  <c r="AK838" i="1"/>
  <c r="AR838" i="1"/>
  <c r="AK839" i="1"/>
  <c r="AR839" i="1"/>
  <c r="AK840" i="1"/>
  <c r="AR840" i="1"/>
  <c r="AK841" i="1"/>
  <c r="AR841" i="1"/>
  <c r="AX837" i="1"/>
  <c r="AZ837" i="1"/>
  <c r="BB837" i="1"/>
  <c r="AK842" i="1"/>
  <c r="AR842" i="1"/>
  <c r="AK843" i="1"/>
  <c r="AR843" i="1"/>
  <c r="AK844" i="1"/>
  <c r="AR844" i="1"/>
  <c r="AK845" i="1"/>
  <c r="AR845" i="1"/>
  <c r="AK846" i="1"/>
  <c r="AR846" i="1"/>
  <c r="AX842" i="1"/>
  <c r="AZ842" i="1"/>
  <c r="BB842" i="1"/>
  <c r="AK847" i="1"/>
  <c r="AR847" i="1"/>
  <c r="AX847" i="1"/>
  <c r="AZ847" i="1"/>
  <c r="BB847" i="1"/>
  <c r="AK848" i="1"/>
  <c r="AR848" i="1"/>
  <c r="AX848" i="1"/>
  <c r="AZ848" i="1"/>
  <c r="BB848" i="1"/>
  <c r="AK849" i="1"/>
  <c r="AR849" i="1"/>
  <c r="AX849" i="1"/>
  <c r="AZ849" i="1"/>
  <c r="BB849" i="1"/>
  <c r="AK850" i="1"/>
  <c r="AR850" i="1"/>
  <c r="AX850" i="1"/>
  <c r="AZ850" i="1"/>
  <c r="BB850" i="1"/>
  <c r="AK851" i="1"/>
  <c r="AR851" i="1"/>
  <c r="AX851" i="1"/>
  <c r="AZ851" i="1"/>
  <c r="BB851" i="1"/>
  <c r="AK852" i="1"/>
  <c r="AR852" i="1"/>
  <c r="AX852" i="1"/>
  <c r="AZ852" i="1"/>
  <c r="BB852" i="1"/>
  <c r="AK853" i="1"/>
  <c r="AR853" i="1"/>
  <c r="AK854" i="1"/>
  <c r="AR854" i="1"/>
  <c r="AK855" i="1"/>
  <c r="AR855" i="1"/>
  <c r="AK856" i="1"/>
  <c r="AR856" i="1"/>
  <c r="AX853" i="1"/>
  <c r="AZ853" i="1"/>
  <c r="BB853" i="1"/>
  <c r="AK857" i="1"/>
  <c r="AR857" i="1"/>
  <c r="AK858" i="1"/>
  <c r="AR858" i="1"/>
  <c r="AK859" i="1"/>
  <c r="AR859" i="1"/>
  <c r="AK860" i="1"/>
  <c r="AR860" i="1"/>
  <c r="AX857" i="1"/>
  <c r="AZ857" i="1"/>
  <c r="BB857" i="1"/>
  <c r="AK861" i="1"/>
  <c r="AR861" i="1"/>
  <c r="AK862" i="1"/>
  <c r="AR862" i="1"/>
  <c r="AK863" i="1"/>
  <c r="AR863" i="1"/>
  <c r="AK864" i="1"/>
  <c r="AR864" i="1"/>
  <c r="AK865" i="1"/>
  <c r="AR865" i="1"/>
  <c r="AX861" i="1"/>
  <c r="AZ861" i="1"/>
  <c r="BB861" i="1"/>
  <c r="AK866" i="1"/>
  <c r="AR866" i="1"/>
  <c r="AK867" i="1"/>
  <c r="AR867" i="1"/>
  <c r="AK868" i="1"/>
  <c r="AR868" i="1"/>
  <c r="AK869" i="1"/>
  <c r="AR869" i="1"/>
  <c r="AK870" i="1"/>
  <c r="AR870" i="1"/>
  <c r="AX866" i="1"/>
  <c r="AZ866" i="1"/>
  <c r="BB866" i="1"/>
  <c r="BD835" i="1"/>
  <c r="G10" i="1"/>
  <c r="K10" i="1"/>
  <c r="N9" i="1"/>
  <c r="AK979" i="1"/>
  <c r="AR979" i="1"/>
  <c r="AX979" i="1"/>
  <c r="AZ979" i="1"/>
  <c r="BB979" i="1"/>
  <c r="AK980" i="1"/>
  <c r="AR980" i="1"/>
  <c r="N986" i="1"/>
  <c r="AK986" i="1"/>
  <c r="AR986" i="1"/>
  <c r="AX980" i="1"/>
  <c r="AZ980" i="1"/>
  <c r="BB980" i="1"/>
  <c r="AK988" i="1"/>
  <c r="AR988" i="1"/>
  <c r="AX987" i="1"/>
  <c r="AZ987" i="1"/>
  <c r="BB987" i="1"/>
  <c r="AK990" i="1"/>
  <c r="AR990" i="1"/>
  <c r="AK991" i="1"/>
  <c r="AR991" i="1"/>
  <c r="AK992" i="1"/>
  <c r="AR992" i="1"/>
  <c r="AK993" i="1"/>
  <c r="AR993" i="1"/>
  <c r="AK994" i="1"/>
  <c r="AR994" i="1"/>
  <c r="AK995" i="1"/>
  <c r="AR995" i="1"/>
  <c r="AK996" i="1"/>
  <c r="AR996" i="1"/>
  <c r="AK997" i="1"/>
  <c r="AR997" i="1"/>
  <c r="AK998" i="1"/>
  <c r="AR998" i="1"/>
  <c r="AK999" i="1"/>
  <c r="AR999" i="1"/>
  <c r="AK1000" i="1"/>
  <c r="AR1000" i="1"/>
  <c r="AK1001" i="1"/>
  <c r="AR1001" i="1"/>
  <c r="AK1002" i="1"/>
  <c r="AR1002" i="1"/>
  <c r="AK1003" i="1"/>
  <c r="AR1003" i="1"/>
  <c r="AK1004" i="1"/>
  <c r="AR1004" i="1"/>
  <c r="AK1005" i="1"/>
  <c r="AR1005" i="1"/>
  <c r="AK1006" i="1"/>
  <c r="AR1006" i="1"/>
  <c r="N1007" i="1"/>
  <c r="AK1007" i="1"/>
  <c r="AR1007" i="1"/>
  <c r="N1008" i="1"/>
  <c r="AK1008" i="1"/>
  <c r="AR1008" i="1"/>
  <c r="AX989" i="1"/>
  <c r="AZ989" i="1"/>
  <c r="BB989" i="1"/>
  <c r="AK1009" i="1"/>
  <c r="AR1009" i="1"/>
  <c r="AX1009" i="1"/>
  <c r="AZ1009" i="1"/>
  <c r="BB1009" i="1"/>
  <c r="AK1010" i="1"/>
  <c r="AR1010" i="1"/>
  <c r="AK1011" i="1"/>
  <c r="AR1011" i="1"/>
  <c r="AK1012" i="1"/>
  <c r="AR1012" i="1"/>
  <c r="AX1010" i="1"/>
  <c r="AZ1010" i="1"/>
  <c r="BB1010" i="1"/>
  <c r="AK1014" i="1"/>
  <c r="AR1014" i="1"/>
  <c r="AK1015" i="1"/>
  <c r="AR1015" i="1"/>
  <c r="AK1016" i="1"/>
  <c r="AR1016" i="1"/>
  <c r="AK1017" i="1"/>
  <c r="AR1017" i="1"/>
  <c r="AK1018" i="1"/>
  <c r="AR1018" i="1"/>
  <c r="AK1019" i="1"/>
  <c r="AR1019" i="1"/>
  <c r="AK1020" i="1"/>
  <c r="AR1020" i="1"/>
  <c r="AK1021" i="1"/>
  <c r="AR1021" i="1"/>
  <c r="AK1022" i="1"/>
  <c r="AR1022" i="1"/>
  <c r="AK1023" i="1"/>
  <c r="AR1023" i="1"/>
  <c r="AK1024" i="1"/>
  <c r="AR1024" i="1"/>
  <c r="AK1025" i="1"/>
  <c r="AR1025" i="1"/>
  <c r="AK1026" i="1"/>
  <c r="AR1026" i="1"/>
  <c r="AK1027" i="1"/>
  <c r="AR1027" i="1"/>
  <c r="AK1028" i="1"/>
  <c r="AR1028" i="1"/>
  <c r="AK1029" i="1"/>
  <c r="AR1029" i="1"/>
  <c r="AX1014" i="1"/>
  <c r="AZ1014" i="1"/>
  <c r="BB1014" i="1"/>
  <c r="AK1030" i="1"/>
  <c r="AR1030" i="1"/>
  <c r="AK1036" i="1"/>
  <c r="AR1036" i="1"/>
  <c r="AK1037" i="1"/>
  <c r="AR1037" i="1"/>
  <c r="AK1038" i="1"/>
  <c r="AR1038" i="1"/>
  <c r="AK1039" i="1"/>
  <c r="AR1039" i="1"/>
  <c r="AK1040" i="1"/>
  <c r="AR1040" i="1"/>
  <c r="AK1041" i="1"/>
  <c r="AR1041" i="1"/>
  <c r="N1042" i="1"/>
  <c r="AK1042" i="1"/>
  <c r="AR1042" i="1"/>
  <c r="N1043" i="1"/>
  <c r="AK1043" i="1"/>
  <c r="AR1043" i="1"/>
  <c r="AX1030" i="1"/>
  <c r="AZ1030" i="1"/>
  <c r="BB1030" i="1"/>
  <c r="AK1044" i="1"/>
  <c r="AR1044" i="1"/>
  <c r="AK1045" i="1"/>
  <c r="AR1045" i="1"/>
  <c r="AK1046" i="1"/>
  <c r="AR1046" i="1"/>
  <c r="AK1047" i="1"/>
  <c r="AR1047" i="1"/>
  <c r="AK1048" i="1"/>
  <c r="AR1048" i="1"/>
  <c r="AK1049" i="1"/>
  <c r="AR1049" i="1"/>
  <c r="AK1050" i="1"/>
  <c r="AR1050" i="1"/>
  <c r="AK1051" i="1"/>
  <c r="AR1051" i="1"/>
  <c r="AK1052" i="1"/>
  <c r="AR1052" i="1"/>
  <c r="AK1053" i="1"/>
  <c r="AR1053" i="1"/>
  <c r="AK1054" i="1"/>
  <c r="AR1054" i="1"/>
  <c r="AX1044" i="1"/>
  <c r="AZ1044" i="1"/>
  <c r="BB1044" i="1"/>
  <c r="AK1062" i="1"/>
  <c r="AR1062" i="1"/>
  <c r="AK1063" i="1"/>
  <c r="AR1063" i="1"/>
  <c r="AK1064" i="1"/>
  <c r="AR1064" i="1"/>
  <c r="AK1065" i="1"/>
  <c r="AR1065" i="1"/>
  <c r="AX1058" i="1"/>
  <c r="AZ1058" i="1"/>
  <c r="BB1058" i="1"/>
  <c r="AK1066" i="1"/>
  <c r="AR1066" i="1"/>
  <c r="AK1067" i="1"/>
  <c r="AR1067" i="1"/>
  <c r="AX1066" i="1"/>
  <c r="AZ1066" i="1"/>
  <c r="BB1066" i="1"/>
  <c r="AK1070" i="1"/>
  <c r="AR1070" i="1"/>
  <c r="AK1071" i="1"/>
  <c r="AR1071" i="1"/>
  <c r="AK1072" i="1"/>
  <c r="AR1072" i="1"/>
  <c r="AX1070" i="1"/>
  <c r="AZ1070" i="1"/>
  <c r="BB1070" i="1"/>
  <c r="AK1080" i="1"/>
  <c r="AR1080" i="1"/>
  <c r="AK1081" i="1"/>
  <c r="AR1081" i="1"/>
  <c r="AK1082" i="1"/>
  <c r="AR1082" i="1"/>
  <c r="AK1083" i="1"/>
  <c r="AR1083" i="1"/>
  <c r="AX1080" i="1"/>
  <c r="AZ1080" i="1"/>
  <c r="BB1080" i="1"/>
  <c r="N3" i="1"/>
  <c r="N6" i="1"/>
  <c r="N5" i="1"/>
  <c r="N7" i="1"/>
  <c r="AK873" i="1"/>
  <c r="I873" i="1"/>
  <c r="AR873" i="1"/>
  <c r="AX873" i="1"/>
  <c r="AZ873" i="1"/>
  <c r="BB873" i="1"/>
  <c r="AK885" i="1"/>
  <c r="I885" i="1"/>
  <c r="AR885" i="1"/>
  <c r="AK886" i="1"/>
  <c r="I886" i="1"/>
  <c r="AR886" i="1"/>
  <c r="AK887" i="1"/>
  <c r="I887" i="1"/>
  <c r="AR887" i="1"/>
  <c r="AK888" i="1"/>
  <c r="I888" i="1"/>
  <c r="AR888" i="1"/>
  <c r="AX885" i="1"/>
  <c r="AZ885" i="1"/>
  <c r="BB885" i="1"/>
  <c r="AK890" i="1"/>
  <c r="F890" i="1"/>
  <c r="I890" i="1"/>
  <c r="AR890" i="1"/>
  <c r="AX889" i="1"/>
  <c r="AZ889" i="1"/>
  <c r="BB889" i="1"/>
  <c r="AK892" i="1"/>
  <c r="F892" i="1"/>
  <c r="I892" i="1"/>
  <c r="AR892" i="1"/>
  <c r="AX892" i="1"/>
  <c r="AZ892" i="1"/>
  <c r="BB892" i="1"/>
  <c r="AK893" i="1"/>
  <c r="F893" i="1"/>
  <c r="I893" i="1"/>
  <c r="AR893" i="1"/>
  <c r="AX893" i="1"/>
  <c r="AZ893" i="1"/>
  <c r="BB893" i="1"/>
  <c r="AK895" i="1"/>
  <c r="I895" i="1"/>
  <c r="AR895" i="1"/>
  <c r="AK896" i="1"/>
  <c r="I896" i="1"/>
  <c r="AR896" i="1"/>
  <c r="AK897" i="1"/>
  <c r="I897" i="1"/>
  <c r="AR897" i="1"/>
  <c r="AK898" i="1"/>
  <c r="I898" i="1"/>
  <c r="AR898" i="1"/>
  <c r="AK899" i="1"/>
  <c r="I899" i="1"/>
  <c r="AR899" i="1"/>
  <c r="AK900" i="1"/>
  <c r="I900" i="1"/>
  <c r="AR900" i="1"/>
  <c r="AX895" i="1"/>
  <c r="AZ895" i="1"/>
  <c r="BB895" i="1"/>
  <c r="AK901" i="1"/>
  <c r="I901" i="1"/>
  <c r="AR901" i="1"/>
  <c r="AX901" i="1"/>
  <c r="AZ901" i="1"/>
  <c r="BB901" i="1"/>
  <c r="AK902" i="1"/>
  <c r="AR902" i="1"/>
  <c r="AK903" i="1"/>
  <c r="AR903" i="1"/>
  <c r="AX902" i="1"/>
  <c r="AZ902" i="1"/>
  <c r="BB902" i="1"/>
  <c r="AK904" i="1"/>
  <c r="AR904" i="1"/>
  <c r="AK905" i="1"/>
  <c r="AR905" i="1"/>
  <c r="AK906" i="1"/>
  <c r="AR906" i="1"/>
  <c r="AK907" i="1"/>
  <c r="AR907" i="1"/>
  <c r="AK908" i="1"/>
  <c r="F908" i="1"/>
  <c r="I908" i="1"/>
  <c r="AR908" i="1"/>
  <c r="AK909" i="1"/>
  <c r="AR909" i="1"/>
  <c r="AK910" i="1"/>
  <c r="AR910" i="1"/>
  <c r="AK911" i="1"/>
  <c r="AR911" i="1"/>
  <c r="AK912" i="1"/>
  <c r="AR912" i="1"/>
  <c r="AK913" i="1"/>
  <c r="AR913" i="1"/>
  <c r="AK914" i="1"/>
  <c r="AR914" i="1"/>
  <c r="AK915" i="1"/>
  <c r="AR915" i="1"/>
  <c r="AK916" i="1"/>
  <c r="AR916" i="1"/>
  <c r="AK917" i="1"/>
  <c r="AR917" i="1"/>
  <c r="AX904" i="1"/>
  <c r="AZ904" i="1"/>
  <c r="BB904" i="1"/>
  <c r="AK918" i="1"/>
  <c r="I918" i="1"/>
  <c r="AR918" i="1"/>
  <c r="AK919" i="1"/>
  <c r="H919" i="1"/>
  <c r="F919" i="1"/>
  <c r="I919" i="1"/>
  <c r="AR919" i="1"/>
  <c r="AX918" i="1"/>
  <c r="AZ918" i="1"/>
  <c r="BB918" i="1"/>
  <c r="AK920" i="1"/>
  <c r="I920" i="1"/>
  <c r="AR920" i="1"/>
  <c r="AX920" i="1"/>
  <c r="AZ920" i="1"/>
  <c r="BB920" i="1"/>
  <c r="AK921" i="1"/>
  <c r="I921" i="1"/>
  <c r="AR921" i="1"/>
  <c r="AK922" i="1"/>
  <c r="I922" i="1"/>
  <c r="AR922" i="1"/>
  <c r="AK923" i="1"/>
  <c r="I923" i="1"/>
  <c r="AR923" i="1"/>
  <c r="AK924" i="1"/>
  <c r="I924" i="1"/>
  <c r="AR924" i="1"/>
  <c r="AK925" i="1"/>
  <c r="I925" i="1"/>
  <c r="AR925" i="1"/>
  <c r="AK926" i="1"/>
  <c r="I926" i="1"/>
  <c r="AR926" i="1"/>
  <c r="AK927" i="1"/>
  <c r="I927" i="1"/>
  <c r="AR927" i="1"/>
  <c r="AK928" i="1"/>
  <c r="I928" i="1"/>
  <c r="AR928" i="1"/>
  <c r="AK929" i="1"/>
  <c r="I929" i="1"/>
  <c r="AR929" i="1"/>
  <c r="AK930" i="1"/>
  <c r="I930" i="1"/>
  <c r="AR930" i="1"/>
  <c r="AK931" i="1"/>
  <c r="I931" i="1"/>
  <c r="AR931" i="1"/>
  <c r="AK932" i="1"/>
  <c r="I932" i="1"/>
  <c r="AR932" i="1"/>
  <c r="AK933" i="1"/>
  <c r="I933" i="1"/>
  <c r="AR933" i="1"/>
  <c r="AK934" i="1"/>
  <c r="AR934" i="1"/>
  <c r="AK935" i="1"/>
  <c r="AR935" i="1"/>
  <c r="AK936" i="1"/>
  <c r="AR936" i="1"/>
  <c r="AK937" i="1"/>
  <c r="AR937" i="1"/>
  <c r="AK938" i="1"/>
  <c r="AR938" i="1"/>
  <c r="AK939" i="1"/>
  <c r="AR939" i="1"/>
  <c r="AK940" i="1"/>
  <c r="AR940" i="1"/>
  <c r="AK941" i="1"/>
  <c r="AR941" i="1"/>
  <c r="AK942" i="1"/>
  <c r="AR942" i="1"/>
  <c r="AK943" i="1"/>
  <c r="AR943" i="1"/>
  <c r="AK944" i="1"/>
  <c r="AR944" i="1"/>
  <c r="AK945" i="1"/>
  <c r="AR945" i="1"/>
  <c r="AK946" i="1"/>
  <c r="I946" i="1"/>
  <c r="AR946" i="1"/>
  <c r="AK947" i="1"/>
  <c r="I947" i="1"/>
  <c r="AR947" i="1"/>
  <c r="AK948" i="1"/>
  <c r="I948" i="1"/>
  <c r="AR948" i="1"/>
  <c r="AK949" i="1"/>
  <c r="H949" i="1"/>
  <c r="F949" i="1"/>
  <c r="I949" i="1"/>
  <c r="AR949" i="1"/>
  <c r="AX921" i="1"/>
  <c r="AZ921" i="1"/>
  <c r="BB921" i="1"/>
  <c r="AK950" i="1"/>
  <c r="I950" i="1"/>
  <c r="AR950" i="1"/>
  <c r="AK951" i="1"/>
  <c r="I951" i="1"/>
  <c r="AR951" i="1"/>
  <c r="AK952" i="1"/>
  <c r="I952" i="1"/>
  <c r="AR952" i="1"/>
  <c r="AX950" i="1"/>
  <c r="AZ950" i="1"/>
  <c r="BB950" i="1"/>
  <c r="AK953" i="1"/>
  <c r="H953" i="1"/>
  <c r="F953" i="1"/>
  <c r="I953" i="1"/>
  <c r="AR953" i="1"/>
  <c r="AX953" i="1"/>
  <c r="AZ953" i="1"/>
  <c r="BB953" i="1"/>
  <c r="AK954" i="1"/>
  <c r="H954" i="1"/>
  <c r="F954" i="1"/>
  <c r="I954" i="1"/>
  <c r="AR954" i="1"/>
  <c r="AX954" i="1"/>
  <c r="AZ954" i="1"/>
  <c r="BB954" i="1"/>
  <c r="AK955" i="1"/>
  <c r="I955" i="1"/>
  <c r="AR955" i="1"/>
  <c r="AK956" i="1"/>
  <c r="I956" i="1"/>
  <c r="AR956" i="1"/>
  <c r="AK957" i="1"/>
  <c r="I957" i="1"/>
  <c r="AR957" i="1"/>
  <c r="AK958" i="1"/>
  <c r="I958" i="1"/>
  <c r="AR958" i="1"/>
  <c r="AK959" i="1"/>
  <c r="I959" i="1"/>
  <c r="AR959" i="1"/>
  <c r="AK960" i="1"/>
  <c r="I960" i="1"/>
  <c r="AR960" i="1"/>
  <c r="AK961" i="1"/>
  <c r="I961" i="1"/>
  <c r="AR961" i="1"/>
  <c r="AK962" i="1"/>
  <c r="I962" i="1"/>
  <c r="AR962" i="1"/>
  <c r="AK963" i="1"/>
  <c r="AR963" i="1"/>
  <c r="AK964" i="1"/>
  <c r="AR964" i="1"/>
  <c r="AK965" i="1"/>
  <c r="AR965" i="1"/>
  <c r="AK966" i="1"/>
  <c r="AR966" i="1"/>
  <c r="AK967" i="1"/>
  <c r="AR967" i="1"/>
  <c r="AK968" i="1"/>
  <c r="AR968" i="1"/>
  <c r="AK969" i="1"/>
  <c r="AR969" i="1"/>
  <c r="AK970" i="1"/>
  <c r="AR970" i="1"/>
  <c r="AK971" i="1"/>
  <c r="AR971" i="1"/>
  <c r="AK972" i="1"/>
  <c r="AR972" i="1"/>
  <c r="AK973" i="1"/>
  <c r="I973" i="1"/>
  <c r="AR973" i="1"/>
  <c r="AK974" i="1"/>
  <c r="I974" i="1"/>
  <c r="AR974" i="1"/>
  <c r="AK975" i="1"/>
  <c r="I975" i="1"/>
  <c r="AR975" i="1"/>
  <c r="AK976" i="1"/>
  <c r="I976" i="1"/>
  <c r="AR976" i="1"/>
  <c r="AK977" i="1"/>
  <c r="I977" i="1"/>
  <c r="AR977" i="1"/>
  <c r="AX955" i="1"/>
  <c r="AZ955" i="1"/>
  <c r="BB955" i="1"/>
  <c r="AK978" i="1"/>
  <c r="AR978" i="1"/>
  <c r="AX978" i="1"/>
  <c r="AZ978" i="1"/>
  <c r="BB978" i="1"/>
  <c r="BD872" i="1"/>
  <c r="G11" i="1"/>
  <c r="K11" i="1"/>
  <c r="K22" i="3"/>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39" i="1"/>
  <c r="AF940" i="1"/>
  <c r="AF941"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H872" i="1"/>
  <c r="E11" i="1"/>
  <c r="I11" i="1"/>
  <c r="AM836" i="1"/>
  <c r="AM837" i="1"/>
  <c r="AM838" i="1"/>
  <c r="AM839" i="1"/>
  <c r="AM840" i="1"/>
  <c r="AM841" i="1"/>
  <c r="AM842" i="1"/>
  <c r="AM843" i="1"/>
  <c r="AM844" i="1"/>
  <c r="AM845" i="1"/>
  <c r="AM846" i="1"/>
  <c r="AM847" i="1"/>
  <c r="AM848" i="1"/>
  <c r="AM849" i="1"/>
  <c r="AM850" i="1"/>
  <c r="AM851" i="1"/>
  <c r="AM852" i="1"/>
  <c r="AM853" i="1"/>
  <c r="AM854" i="1"/>
  <c r="AM855" i="1"/>
  <c r="AM856" i="1"/>
  <c r="AM857" i="1"/>
  <c r="AM858" i="1"/>
  <c r="AM859" i="1"/>
  <c r="AM860" i="1"/>
  <c r="AM861" i="1"/>
  <c r="AM862" i="1"/>
  <c r="AM863" i="1"/>
  <c r="AM864" i="1"/>
  <c r="AM865" i="1"/>
  <c r="AM866" i="1"/>
  <c r="AM867" i="1"/>
  <c r="AM868" i="1"/>
  <c r="AM869" i="1"/>
  <c r="AM870" i="1"/>
  <c r="AO835" i="1"/>
  <c r="F10" i="1"/>
  <c r="J10" i="1"/>
  <c r="E21" i="3"/>
  <c r="N4" i="1"/>
  <c r="R715" i="1"/>
  <c r="AK715" i="1"/>
  <c r="AL715" i="1"/>
  <c r="AS715" i="1"/>
  <c r="R716" i="1"/>
  <c r="AK716" i="1"/>
  <c r="AL716" i="1"/>
  <c r="AS716" i="1"/>
  <c r="R717" i="1"/>
  <c r="AK717" i="1"/>
  <c r="AL717" i="1"/>
  <c r="AS717" i="1"/>
  <c r="R718" i="1"/>
  <c r="AK718" i="1"/>
  <c r="AL718" i="1"/>
  <c r="AS718" i="1"/>
  <c r="R719" i="1"/>
  <c r="AK719" i="1"/>
  <c r="AL719" i="1"/>
  <c r="AS719" i="1"/>
  <c r="R720" i="1"/>
  <c r="AK720" i="1"/>
  <c r="AL720" i="1"/>
  <c r="AS720" i="1"/>
  <c r="R721" i="1"/>
  <c r="AK721" i="1"/>
  <c r="AL721" i="1"/>
  <c r="AS721" i="1"/>
  <c r="R722" i="1"/>
  <c r="AK722" i="1"/>
  <c r="AL722" i="1"/>
  <c r="AS722" i="1"/>
  <c r="AY715" i="1"/>
  <c r="R723" i="1"/>
  <c r="AK723" i="1"/>
  <c r="AL723" i="1"/>
  <c r="AS723" i="1"/>
  <c r="R724" i="1"/>
  <c r="AK724" i="1"/>
  <c r="AL724" i="1"/>
  <c r="AS724" i="1"/>
  <c r="R725" i="1"/>
  <c r="AK725" i="1"/>
  <c r="AL725" i="1"/>
  <c r="AS725" i="1"/>
  <c r="R726" i="1"/>
  <c r="AK726" i="1"/>
  <c r="AL726" i="1"/>
  <c r="AS726" i="1"/>
  <c r="R727" i="1"/>
  <c r="AK727" i="1"/>
  <c r="AL727" i="1"/>
  <c r="AS727" i="1"/>
  <c r="R728" i="1"/>
  <c r="AK728" i="1"/>
  <c r="AL728" i="1"/>
  <c r="AS728" i="1"/>
  <c r="R729" i="1"/>
  <c r="AK729" i="1"/>
  <c r="AL729" i="1"/>
  <c r="AS729" i="1"/>
  <c r="R730" i="1"/>
  <c r="AK730" i="1"/>
  <c r="AL730" i="1"/>
  <c r="AS730" i="1"/>
  <c r="AY723" i="1"/>
  <c r="BA715" i="1"/>
  <c r="BC715" i="1"/>
  <c r="R731" i="1"/>
  <c r="AK731" i="1"/>
  <c r="AL731" i="1"/>
  <c r="AS731" i="1"/>
  <c r="AY731" i="1"/>
  <c r="R732" i="1"/>
  <c r="AK732" i="1"/>
  <c r="AL732" i="1"/>
  <c r="AS732" i="1"/>
  <c r="AY732" i="1"/>
  <c r="R733" i="1"/>
  <c r="AK733" i="1"/>
  <c r="AL733" i="1"/>
  <c r="AS733" i="1"/>
  <c r="AY733" i="1"/>
  <c r="R734" i="1"/>
  <c r="AK734" i="1"/>
  <c r="AL734" i="1"/>
  <c r="AS734" i="1"/>
  <c r="AY734" i="1"/>
  <c r="R735" i="1"/>
  <c r="AK735" i="1"/>
  <c r="AL735" i="1"/>
  <c r="AS735" i="1"/>
  <c r="AY735" i="1"/>
  <c r="BA731" i="1"/>
  <c r="BC731" i="1"/>
  <c r="R736" i="1"/>
  <c r="AK736" i="1"/>
  <c r="AL736" i="1"/>
  <c r="AS736" i="1"/>
  <c r="AY736" i="1"/>
  <c r="R737" i="1"/>
  <c r="AK737" i="1"/>
  <c r="AL737" i="1"/>
  <c r="AS737" i="1"/>
  <c r="AY737" i="1"/>
  <c r="R738" i="1"/>
  <c r="AK738" i="1"/>
  <c r="AL738" i="1"/>
  <c r="AS738" i="1"/>
  <c r="AY738" i="1"/>
  <c r="R739" i="1"/>
  <c r="AK739" i="1"/>
  <c r="AL739" i="1"/>
  <c r="AS739" i="1"/>
  <c r="AY739" i="1"/>
  <c r="BA736" i="1"/>
  <c r="BC736" i="1"/>
  <c r="R740" i="1"/>
  <c r="AK740" i="1"/>
  <c r="AL740" i="1"/>
  <c r="AS740" i="1"/>
  <c r="R741" i="1"/>
  <c r="AK741" i="1"/>
  <c r="AL741" i="1"/>
  <c r="AS741" i="1"/>
  <c r="R742" i="1"/>
  <c r="AK742" i="1"/>
  <c r="AL742" i="1"/>
  <c r="AS742" i="1"/>
  <c r="R743" i="1"/>
  <c r="AK743" i="1"/>
  <c r="AL743" i="1"/>
  <c r="AS743" i="1"/>
  <c r="R744" i="1"/>
  <c r="AK744" i="1"/>
  <c r="AL744" i="1"/>
  <c r="AS744" i="1"/>
  <c r="R745" i="1"/>
  <c r="AK745" i="1"/>
  <c r="AL745" i="1"/>
  <c r="AS745" i="1"/>
  <c r="R746" i="1"/>
  <c r="AK746" i="1"/>
  <c r="AL746" i="1"/>
  <c r="AS746" i="1"/>
  <c r="R747" i="1"/>
  <c r="AK747" i="1"/>
  <c r="AL747" i="1"/>
  <c r="AS747" i="1"/>
  <c r="AY740" i="1"/>
  <c r="R748" i="1"/>
  <c r="AK748" i="1"/>
  <c r="AL748" i="1"/>
  <c r="AS748" i="1"/>
  <c r="R749" i="1"/>
  <c r="AK749" i="1"/>
  <c r="AL749" i="1"/>
  <c r="AS749" i="1"/>
  <c r="R750" i="1"/>
  <c r="AK750" i="1"/>
  <c r="AL750" i="1"/>
  <c r="AS750" i="1"/>
  <c r="R751" i="1"/>
  <c r="AK751" i="1"/>
  <c r="AL751" i="1"/>
  <c r="AS751" i="1"/>
  <c r="R752" i="1"/>
  <c r="AK752" i="1"/>
  <c r="AL752" i="1"/>
  <c r="AS752" i="1"/>
  <c r="R753" i="1"/>
  <c r="AK753" i="1"/>
  <c r="AL753" i="1"/>
  <c r="AS753" i="1"/>
  <c r="R754" i="1"/>
  <c r="AK754" i="1"/>
  <c r="AL754" i="1"/>
  <c r="AS754" i="1"/>
  <c r="R755" i="1"/>
  <c r="AK755" i="1"/>
  <c r="AL755" i="1"/>
  <c r="AS755" i="1"/>
  <c r="AY748" i="1"/>
  <c r="R756" i="1"/>
  <c r="AK756" i="1"/>
  <c r="AL756" i="1"/>
  <c r="AS756" i="1"/>
  <c r="R757" i="1"/>
  <c r="AK757" i="1"/>
  <c r="AL757" i="1"/>
  <c r="AS757" i="1"/>
  <c r="R758" i="1"/>
  <c r="AK758" i="1"/>
  <c r="AL758" i="1"/>
  <c r="AS758" i="1"/>
  <c r="R759" i="1"/>
  <c r="AK759" i="1"/>
  <c r="AL759" i="1"/>
  <c r="AS759" i="1"/>
  <c r="R760" i="1"/>
  <c r="AK760" i="1"/>
  <c r="AL760" i="1"/>
  <c r="AS760" i="1"/>
  <c r="R761" i="1"/>
  <c r="AK761" i="1"/>
  <c r="AL761" i="1"/>
  <c r="AS761" i="1"/>
  <c r="R762" i="1"/>
  <c r="AK762" i="1"/>
  <c r="AL762" i="1"/>
  <c r="AS762" i="1"/>
  <c r="R763" i="1"/>
  <c r="AK763" i="1"/>
  <c r="AL763" i="1"/>
  <c r="AS763" i="1"/>
  <c r="AY756" i="1"/>
  <c r="R764" i="1"/>
  <c r="AK764" i="1"/>
  <c r="AL764" i="1"/>
  <c r="AS764" i="1"/>
  <c r="R765" i="1"/>
  <c r="AK765" i="1"/>
  <c r="AL765" i="1"/>
  <c r="AS765" i="1"/>
  <c r="R766" i="1"/>
  <c r="AK766" i="1"/>
  <c r="AL766" i="1"/>
  <c r="AS766" i="1"/>
  <c r="R767" i="1"/>
  <c r="AK767" i="1"/>
  <c r="AL767" i="1"/>
  <c r="AS767" i="1"/>
  <c r="R768" i="1"/>
  <c r="AK768" i="1"/>
  <c r="AL768" i="1"/>
  <c r="AS768" i="1"/>
  <c r="R769" i="1"/>
  <c r="AK769" i="1"/>
  <c r="AL769" i="1"/>
  <c r="AS769" i="1"/>
  <c r="R770" i="1"/>
  <c r="AK770" i="1"/>
  <c r="AL770" i="1"/>
  <c r="AS770" i="1"/>
  <c r="R771" i="1"/>
  <c r="AK771" i="1"/>
  <c r="AL771" i="1"/>
  <c r="AS771" i="1"/>
  <c r="AY764" i="1"/>
  <c r="R772" i="1"/>
  <c r="AK772" i="1"/>
  <c r="AL772" i="1"/>
  <c r="AS772" i="1"/>
  <c r="R773" i="1"/>
  <c r="AK773" i="1"/>
  <c r="AL773" i="1"/>
  <c r="AS773" i="1"/>
  <c r="R774" i="1"/>
  <c r="AK774" i="1"/>
  <c r="AL774" i="1"/>
  <c r="AS774" i="1"/>
  <c r="R775" i="1"/>
  <c r="AK775" i="1"/>
  <c r="AL775" i="1"/>
  <c r="AS775" i="1"/>
  <c r="R776" i="1"/>
  <c r="AK776" i="1"/>
  <c r="AL776" i="1"/>
  <c r="AS776" i="1"/>
  <c r="R777" i="1"/>
  <c r="AK777" i="1"/>
  <c r="AL777" i="1"/>
  <c r="AS777" i="1"/>
  <c r="R778" i="1"/>
  <c r="AK778" i="1"/>
  <c r="AL778" i="1"/>
  <c r="AS778" i="1"/>
  <c r="R779" i="1"/>
  <c r="AK779" i="1"/>
  <c r="AL779" i="1"/>
  <c r="AS779" i="1"/>
  <c r="AY772" i="1"/>
  <c r="R780" i="1"/>
  <c r="AK780" i="1"/>
  <c r="AL780" i="1"/>
  <c r="AS780" i="1"/>
  <c r="R781" i="1"/>
  <c r="AK781" i="1"/>
  <c r="AL781" i="1"/>
  <c r="AS781" i="1"/>
  <c r="R782" i="1"/>
  <c r="AK782" i="1"/>
  <c r="AL782" i="1"/>
  <c r="AS782" i="1"/>
  <c r="R783" i="1"/>
  <c r="AK783" i="1"/>
  <c r="AL783" i="1"/>
  <c r="AS783" i="1"/>
  <c r="R784" i="1"/>
  <c r="AK784" i="1"/>
  <c r="AL784" i="1"/>
  <c r="AS784" i="1"/>
  <c r="R785" i="1"/>
  <c r="AK785" i="1"/>
  <c r="AL785" i="1"/>
  <c r="AS785" i="1"/>
  <c r="R786" i="1"/>
  <c r="AK786" i="1"/>
  <c r="AL786" i="1"/>
  <c r="AS786" i="1"/>
  <c r="R787" i="1"/>
  <c r="AK787" i="1"/>
  <c r="AL787" i="1"/>
  <c r="AS787" i="1"/>
  <c r="AY780" i="1"/>
  <c r="BA740" i="1"/>
  <c r="BC740" i="1"/>
  <c r="R788" i="1"/>
  <c r="AK788" i="1"/>
  <c r="AL788" i="1"/>
  <c r="AS788" i="1"/>
  <c r="AY788" i="1"/>
  <c r="BA788" i="1"/>
  <c r="BC788" i="1"/>
  <c r="R789" i="1"/>
  <c r="AK789" i="1"/>
  <c r="AL789" i="1"/>
  <c r="AS789" i="1"/>
  <c r="AY789" i="1"/>
  <c r="BA789" i="1"/>
  <c r="BC789" i="1"/>
  <c r="R790" i="1"/>
  <c r="AK790" i="1"/>
  <c r="AL790" i="1"/>
  <c r="AS790" i="1"/>
  <c r="AY790" i="1"/>
  <c r="BA790" i="1"/>
  <c r="BC790" i="1"/>
  <c r="R791" i="1"/>
  <c r="AK791" i="1"/>
  <c r="AL791" i="1"/>
  <c r="AS791" i="1"/>
  <c r="R792" i="1"/>
  <c r="AK792" i="1"/>
  <c r="AL792" i="1"/>
  <c r="AS792" i="1"/>
  <c r="AY791" i="1"/>
  <c r="BA791" i="1"/>
  <c r="BC791" i="1"/>
  <c r="R793" i="1"/>
  <c r="AK793" i="1"/>
  <c r="AL793" i="1"/>
  <c r="AS793" i="1"/>
  <c r="R794" i="1"/>
  <c r="AK794" i="1"/>
  <c r="AL794" i="1"/>
  <c r="AS794" i="1"/>
  <c r="R795" i="1"/>
  <c r="AK795" i="1"/>
  <c r="AL795" i="1"/>
  <c r="AS795" i="1"/>
  <c r="R796" i="1"/>
  <c r="AK796" i="1"/>
  <c r="AL796" i="1"/>
  <c r="AS796" i="1"/>
  <c r="R797" i="1"/>
  <c r="AK797" i="1"/>
  <c r="AL797" i="1"/>
  <c r="AS797" i="1"/>
  <c r="R798" i="1"/>
  <c r="AK798" i="1"/>
  <c r="AL798" i="1"/>
  <c r="AS798" i="1"/>
  <c r="AY793" i="1"/>
  <c r="G799" i="1"/>
  <c r="R799" i="1"/>
  <c r="AK799" i="1"/>
  <c r="AL799" i="1"/>
  <c r="AS799" i="1"/>
  <c r="R800" i="1"/>
  <c r="AK800" i="1"/>
  <c r="AL800" i="1"/>
  <c r="AS800" i="1"/>
  <c r="R801" i="1"/>
  <c r="AK801" i="1"/>
  <c r="AL801" i="1"/>
  <c r="AS801" i="1"/>
  <c r="R802" i="1"/>
  <c r="AK802" i="1"/>
  <c r="AL802" i="1"/>
  <c r="AS802" i="1"/>
  <c r="G803" i="1"/>
  <c r="R803" i="1"/>
  <c r="AK803" i="1"/>
  <c r="AL803" i="1"/>
  <c r="AS803" i="1"/>
  <c r="R804" i="1"/>
  <c r="AK804" i="1"/>
  <c r="AL804" i="1"/>
  <c r="AS804" i="1"/>
  <c r="R805" i="1"/>
  <c r="AK805" i="1"/>
  <c r="AL805" i="1"/>
  <c r="AS805" i="1"/>
  <c r="F806" i="1"/>
  <c r="I806" i="1"/>
  <c r="R806" i="1"/>
  <c r="AK806" i="1"/>
  <c r="AL806" i="1"/>
  <c r="AS806" i="1"/>
  <c r="I807" i="1"/>
  <c r="G807" i="1"/>
  <c r="R807" i="1"/>
  <c r="AK807" i="1"/>
  <c r="AL807" i="1"/>
  <c r="AS807" i="1"/>
  <c r="AY799" i="1"/>
  <c r="R808" i="1"/>
  <c r="AK808" i="1"/>
  <c r="AL808" i="1"/>
  <c r="AS808" i="1"/>
  <c r="R809" i="1"/>
  <c r="AK809" i="1"/>
  <c r="AL809" i="1"/>
  <c r="AS809" i="1"/>
  <c r="R810" i="1"/>
  <c r="AK810" i="1"/>
  <c r="AL810" i="1"/>
  <c r="AS810" i="1"/>
  <c r="R811" i="1"/>
  <c r="AK811" i="1"/>
  <c r="AL811" i="1"/>
  <c r="AS811" i="1"/>
  <c r="G812" i="1"/>
  <c r="R812" i="1"/>
  <c r="AK812" i="1"/>
  <c r="AL812" i="1"/>
  <c r="AS812" i="1"/>
  <c r="R813" i="1"/>
  <c r="AK813" i="1"/>
  <c r="AL813" i="1"/>
  <c r="AS813" i="1"/>
  <c r="R814" i="1"/>
  <c r="AK814" i="1"/>
  <c r="AL814" i="1"/>
  <c r="AS814" i="1"/>
  <c r="F815" i="1"/>
  <c r="I815" i="1"/>
  <c r="R815" i="1"/>
  <c r="AK815" i="1"/>
  <c r="AL815" i="1"/>
  <c r="AS815" i="1"/>
  <c r="I816" i="1"/>
  <c r="G816" i="1"/>
  <c r="R816" i="1"/>
  <c r="AK816" i="1"/>
  <c r="AL816" i="1"/>
  <c r="AS816" i="1"/>
  <c r="AY808" i="1"/>
  <c r="BA793" i="1"/>
  <c r="BC793" i="1"/>
  <c r="R817" i="1"/>
  <c r="AK817" i="1"/>
  <c r="AL817" i="1"/>
  <c r="AS817" i="1"/>
  <c r="AY817" i="1"/>
  <c r="BA817" i="1"/>
  <c r="BC817" i="1"/>
  <c r="R818" i="1"/>
  <c r="AK818" i="1"/>
  <c r="AL818" i="1"/>
  <c r="AS818" i="1"/>
  <c r="AY818" i="1"/>
  <c r="R819" i="1"/>
  <c r="AK819" i="1"/>
  <c r="AL819" i="1"/>
  <c r="AS819" i="1"/>
  <c r="AY819" i="1"/>
  <c r="BA818" i="1"/>
  <c r="BC818" i="1"/>
  <c r="R820" i="1"/>
  <c r="AK820" i="1"/>
  <c r="AL820" i="1"/>
  <c r="AS820" i="1"/>
  <c r="AY820" i="1"/>
  <c r="R821" i="1"/>
  <c r="AK821" i="1"/>
  <c r="AL821" i="1"/>
  <c r="AS821" i="1"/>
  <c r="R822" i="1"/>
  <c r="AK822" i="1"/>
  <c r="AL822" i="1"/>
  <c r="AS822" i="1"/>
  <c r="R823" i="1"/>
  <c r="AK823" i="1"/>
  <c r="AL823" i="1"/>
  <c r="AS823" i="1"/>
  <c r="R824" i="1"/>
  <c r="AK824" i="1"/>
  <c r="AL824" i="1"/>
  <c r="AS824" i="1"/>
  <c r="R825" i="1"/>
  <c r="AK825" i="1"/>
  <c r="AL825" i="1"/>
  <c r="AS825" i="1"/>
  <c r="R826" i="1"/>
  <c r="AK826" i="1"/>
  <c r="AL826" i="1"/>
  <c r="AS826" i="1"/>
  <c r="R827" i="1"/>
  <c r="AK827" i="1"/>
  <c r="AL827" i="1"/>
  <c r="AS827" i="1"/>
  <c r="AY821" i="1"/>
  <c r="R828" i="1"/>
  <c r="AK828" i="1"/>
  <c r="AL828" i="1"/>
  <c r="AS828" i="1"/>
  <c r="R829" i="1"/>
  <c r="AK829" i="1"/>
  <c r="AL829" i="1"/>
  <c r="AS829" i="1"/>
  <c r="R830" i="1"/>
  <c r="AK830" i="1"/>
  <c r="AL830" i="1"/>
  <c r="AS830" i="1"/>
  <c r="R831" i="1"/>
  <c r="AK831" i="1"/>
  <c r="AL831" i="1"/>
  <c r="AS831" i="1"/>
  <c r="R832" i="1"/>
  <c r="AK832" i="1"/>
  <c r="AL832" i="1"/>
  <c r="AS832" i="1"/>
  <c r="R833" i="1"/>
  <c r="AK833" i="1"/>
  <c r="AL833" i="1"/>
  <c r="AS833" i="1"/>
  <c r="AY828" i="1"/>
  <c r="BA820" i="1"/>
  <c r="BC820" i="1"/>
  <c r="BE714" i="1"/>
  <c r="G9" i="1"/>
  <c r="K9" i="1"/>
  <c r="K20" i="3"/>
  <c r="R540" i="1"/>
  <c r="AK540" i="1"/>
  <c r="AL540" i="1"/>
  <c r="AS540" i="1"/>
  <c r="R541" i="1"/>
  <c r="AK541" i="1"/>
  <c r="AL541" i="1"/>
  <c r="AS541" i="1"/>
  <c r="R542" i="1"/>
  <c r="AK542" i="1"/>
  <c r="AL542" i="1"/>
  <c r="AS542" i="1"/>
  <c r="R543" i="1"/>
  <c r="AK543" i="1"/>
  <c r="AL543" i="1"/>
  <c r="AS543" i="1"/>
  <c r="R544" i="1"/>
  <c r="AK544" i="1"/>
  <c r="AL544" i="1"/>
  <c r="AS544" i="1"/>
  <c r="R545" i="1"/>
  <c r="AK545" i="1"/>
  <c r="AL545" i="1"/>
  <c r="AS545" i="1"/>
  <c r="R546" i="1"/>
  <c r="AK546" i="1"/>
  <c r="AL546" i="1"/>
  <c r="AS546" i="1"/>
  <c r="R547" i="1"/>
  <c r="AK547" i="1"/>
  <c r="AL547" i="1"/>
  <c r="AS547" i="1"/>
  <c r="R548" i="1"/>
  <c r="AK548" i="1"/>
  <c r="AL548" i="1"/>
  <c r="AS548" i="1"/>
  <c r="R549" i="1"/>
  <c r="AK549" i="1"/>
  <c r="AL549" i="1"/>
  <c r="AS549" i="1"/>
  <c r="R550" i="1"/>
  <c r="AK550" i="1"/>
  <c r="AL550" i="1"/>
  <c r="AS550" i="1"/>
  <c r="R551" i="1"/>
  <c r="AK551" i="1"/>
  <c r="AL551" i="1"/>
  <c r="AS551" i="1"/>
  <c r="R552" i="1"/>
  <c r="AK552" i="1"/>
  <c r="AL552" i="1"/>
  <c r="AS552" i="1"/>
  <c r="R553" i="1"/>
  <c r="AK553" i="1"/>
  <c r="AL553" i="1"/>
  <c r="AS553" i="1"/>
  <c r="R554" i="1"/>
  <c r="AK554" i="1"/>
  <c r="AL554" i="1"/>
  <c r="AS554" i="1"/>
  <c r="AY540" i="1"/>
  <c r="BA540" i="1"/>
  <c r="BC540" i="1"/>
  <c r="R555" i="1"/>
  <c r="AK555" i="1"/>
  <c r="AL555" i="1"/>
  <c r="AS555" i="1"/>
  <c r="R556" i="1"/>
  <c r="AK556" i="1"/>
  <c r="AL556" i="1"/>
  <c r="AS556" i="1"/>
  <c r="R557" i="1"/>
  <c r="AK557" i="1"/>
  <c r="AL557" i="1"/>
  <c r="AS557" i="1"/>
  <c r="R558" i="1"/>
  <c r="AK558" i="1"/>
  <c r="AL558" i="1"/>
  <c r="AS558" i="1"/>
  <c r="R559" i="1"/>
  <c r="AK559" i="1"/>
  <c r="AL559" i="1"/>
  <c r="AS559" i="1"/>
  <c r="R560" i="1"/>
  <c r="AK560" i="1"/>
  <c r="AL560" i="1"/>
  <c r="AS560" i="1"/>
  <c r="R561" i="1"/>
  <c r="AK561" i="1"/>
  <c r="AL561" i="1"/>
  <c r="AS561" i="1"/>
  <c r="R562" i="1"/>
  <c r="AK562" i="1"/>
  <c r="AL562" i="1"/>
  <c r="AS562" i="1"/>
  <c r="R563" i="1"/>
  <c r="AK563" i="1"/>
  <c r="AL563" i="1"/>
  <c r="AS563" i="1"/>
  <c r="R564" i="1"/>
  <c r="AK564" i="1"/>
  <c r="AL564" i="1"/>
  <c r="AS564" i="1"/>
  <c r="R565" i="1"/>
  <c r="AK565" i="1"/>
  <c r="AL565" i="1"/>
  <c r="AS565" i="1"/>
  <c r="R566" i="1"/>
  <c r="AK566" i="1"/>
  <c r="AL566" i="1"/>
  <c r="AS566" i="1"/>
  <c r="R567" i="1"/>
  <c r="AK567" i="1"/>
  <c r="AL567" i="1"/>
  <c r="AS567" i="1"/>
  <c r="R568" i="1"/>
  <c r="AK568" i="1"/>
  <c r="AL568" i="1"/>
  <c r="AS568" i="1"/>
  <c r="R569" i="1"/>
  <c r="AK569" i="1"/>
  <c r="AL569" i="1"/>
  <c r="AS569" i="1"/>
  <c r="R570" i="1"/>
  <c r="AK570" i="1"/>
  <c r="AL570" i="1"/>
  <c r="AS570" i="1"/>
  <c r="AY555" i="1"/>
  <c r="BA555" i="1"/>
  <c r="BC555" i="1"/>
  <c r="R571" i="1"/>
  <c r="AK571" i="1"/>
  <c r="AL571" i="1"/>
  <c r="AS571" i="1"/>
  <c r="R572" i="1"/>
  <c r="AK572" i="1"/>
  <c r="AL572" i="1"/>
  <c r="AS572" i="1"/>
  <c r="AY571" i="1"/>
  <c r="BA571" i="1"/>
  <c r="BC571" i="1"/>
  <c r="AK573" i="1"/>
  <c r="AL573" i="1"/>
  <c r="AS573" i="1"/>
  <c r="AK574" i="1"/>
  <c r="AL574" i="1"/>
  <c r="AS574" i="1"/>
  <c r="AK575" i="1"/>
  <c r="AL575" i="1"/>
  <c r="AS575" i="1"/>
  <c r="AK576" i="1"/>
  <c r="AL576" i="1"/>
  <c r="AS576" i="1"/>
  <c r="AK577" i="1"/>
  <c r="AL577" i="1"/>
  <c r="AS577" i="1"/>
  <c r="AK578" i="1"/>
  <c r="AL578" i="1"/>
  <c r="AS578" i="1"/>
  <c r="AK579" i="1"/>
  <c r="AL579" i="1"/>
  <c r="AS579" i="1"/>
  <c r="AK580" i="1"/>
  <c r="AL580" i="1"/>
  <c r="AS580" i="1"/>
  <c r="AK581" i="1"/>
  <c r="AL581" i="1"/>
  <c r="AS581" i="1"/>
  <c r="AK582" i="1"/>
  <c r="AL582" i="1"/>
  <c r="AS582" i="1"/>
  <c r="AK583" i="1"/>
  <c r="AL583" i="1"/>
  <c r="AS583" i="1"/>
  <c r="AK584" i="1"/>
  <c r="AL584" i="1"/>
  <c r="AS584" i="1"/>
  <c r="AK585" i="1"/>
  <c r="AL585" i="1"/>
  <c r="AS585" i="1"/>
  <c r="AK586" i="1"/>
  <c r="AL586" i="1"/>
  <c r="AS586" i="1"/>
  <c r="AK587" i="1"/>
  <c r="AL587" i="1"/>
  <c r="AS587" i="1"/>
  <c r="AY573" i="1"/>
  <c r="BA573" i="1"/>
  <c r="BC573" i="1"/>
  <c r="AK588" i="1"/>
  <c r="AL588" i="1"/>
  <c r="AS588" i="1"/>
  <c r="AK589" i="1"/>
  <c r="AL589" i="1"/>
  <c r="AS589" i="1"/>
  <c r="AK590" i="1"/>
  <c r="AL590" i="1"/>
  <c r="AS590" i="1"/>
  <c r="AK591" i="1"/>
  <c r="AL591" i="1"/>
  <c r="AS591" i="1"/>
  <c r="AK592" i="1"/>
  <c r="AL592" i="1"/>
  <c r="AS592" i="1"/>
  <c r="AK593" i="1"/>
  <c r="AL593" i="1"/>
  <c r="AS593" i="1"/>
  <c r="AK594" i="1"/>
  <c r="AL594" i="1"/>
  <c r="AS594" i="1"/>
  <c r="AK595" i="1"/>
  <c r="AL595" i="1"/>
  <c r="AS595" i="1"/>
  <c r="AK596" i="1"/>
  <c r="AL596" i="1"/>
  <c r="AS596" i="1"/>
  <c r="AY588" i="1"/>
  <c r="BA588" i="1"/>
  <c r="BC588" i="1"/>
  <c r="R597" i="1"/>
  <c r="AK597" i="1"/>
  <c r="AL597" i="1"/>
  <c r="AS597" i="1"/>
  <c r="AY597" i="1"/>
  <c r="BA597" i="1"/>
  <c r="BC597" i="1"/>
  <c r="R598" i="1"/>
  <c r="AK598" i="1"/>
  <c r="AL598" i="1"/>
  <c r="AS598" i="1"/>
  <c r="AY598" i="1"/>
  <c r="BA598" i="1"/>
  <c r="BC598" i="1"/>
  <c r="R599" i="1"/>
  <c r="AK599" i="1"/>
  <c r="AL599" i="1"/>
  <c r="AS599" i="1"/>
  <c r="AY599" i="1"/>
  <c r="BA599" i="1"/>
  <c r="BC599" i="1"/>
  <c r="R600" i="1"/>
  <c r="AK600" i="1"/>
  <c r="AL600" i="1"/>
  <c r="AS600" i="1"/>
  <c r="AY600" i="1"/>
  <c r="BA600" i="1"/>
  <c r="BC600" i="1"/>
  <c r="R601" i="1"/>
  <c r="AK601" i="1"/>
  <c r="AL601" i="1"/>
  <c r="AS601" i="1"/>
  <c r="R602" i="1"/>
  <c r="AK602" i="1"/>
  <c r="AL602" i="1"/>
  <c r="AS602" i="1"/>
  <c r="R603" i="1"/>
  <c r="AK603" i="1"/>
  <c r="AL603" i="1"/>
  <c r="AS603" i="1"/>
  <c r="R604" i="1"/>
  <c r="AK604" i="1"/>
  <c r="AL604" i="1"/>
  <c r="AS604" i="1"/>
  <c r="R605" i="1"/>
  <c r="AK605" i="1"/>
  <c r="AL605" i="1"/>
  <c r="AS605" i="1"/>
  <c r="AY601" i="1"/>
  <c r="BA601" i="1"/>
  <c r="BC601" i="1"/>
  <c r="R606" i="1"/>
  <c r="AK606" i="1"/>
  <c r="AL606" i="1"/>
  <c r="I606" i="1"/>
  <c r="AS606" i="1"/>
  <c r="R607" i="1"/>
  <c r="AK607" i="1"/>
  <c r="AL607" i="1"/>
  <c r="F607" i="1"/>
  <c r="I607" i="1"/>
  <c r="AS607" i="1"/>
  <c r="AY606" i="1"/>
  <c r="BA606" i="1"/>
  <c r="BC606" i="1"/>
  <c r="R608" i="1"/>
  <c r="AK608" i="1"/>
  <c r="AL608" i="1"/>
  <c r="AS608" i="1"/>
  <c r="R609" i="1"/>
  <c r="AK609" i="1"/>
  <c r="AL609" i="1"/>
  <c r="AS609" i="1"/>
  <c r="R610" i="1"/>
  <c r="AK610" i="1"/>
  <c r="AL610" i="1"/>
  <c r="AS610" i="1"/>
  <c r="R611" i="1"/>
  <c r="AK611" i="1"/>
  <c r="AL611" i="1"/>
  <c r="AS611" i="1"/>
  <c r="R612" i="1"/>
  <c r="AK612" i="1"/>
  <c r="AL612" i="1"/>
  <c r="AS612" i="1"/>
  <c r="R613" i="1"/>
  <c r="AK613" i="1"/>
  <c r="AL613" i="1"/>
  <c r="AS613" i="1"/>
  <c r="R614" i="1"/>
  <c r="AK614" i="1"/>
  <c r="AL614" i="1"/>
  <c r="AS614" i="1"/>
  <c r="R615" i="1"/>
  <c r="AK615" i="1"/>
  <c r="AL615" i="1"/>
  <c r="AS615" i="1"/>
  <c r="R616" i="1"/>
  <c r="AK616" i="1"/>
  <c r="AL616" i="1"/>
  <c r="AS616" i="1"/>
  <c r="R617" i="1"/>
  <c r="AK617" i="1"/>
  <c r="AL617" i="1"/>
  <c r="AS617" i="1"/>
  <c r="R618" i="1"/>
  <c r="AK618" i="1"/>
  <c r="AL618" i="1"/>
  <c r="AS618" i="1"/>
  <c r="R619" i="1"/>
  <c r="AK619" i="1"/>
  <c r="AL619" i="1"/>
  <c r="AS619" i="1"/>
  <c r="R620" i="1"/>
  <c r="AK620" i="1"/>
  <c r="AL620" i="1"/>
  <c r="AS620" i="1"/>
  <c r="R621" i="1"/>
  <c r="AK621" i="1"/>
  <c r="AL621" i="1"/>
  <c r="AS621" i="1"/>
  <c r="R622" i="1"/>
  <c r="AK622" i="1"/>
  <c r="AL622" i="1"/>
  <c r="AS622" i="1"/>
  <c r="R623" i="1"/>
  <c r="AK623" i="1"/>
  <c r="AL623" i="1"/>
  <c r="I623" i="1"/>
  <c r="AS623" i="1"/>
  <c r="AY608" i="1"/>
  <c r="BA608" i="1"/>
  <c r="BC608" i="1"/>
  <c r="R624" i="1"/>
  <c r="AK624" i="1"/>
  <c r="AL624" i="1"/>
  <c r="F624" i="1"/>
  <c r="I624" i="1"/>
  <c r="AS624" i="1"/>
  <c r="AY624" i="1"/>
  <c r="BA624" i="1"/>
  <c r="BC624" i="1"/>
  <c r="R625" i="1"/>
  <c r="AK625" i="1"/>
  <c r="AL625" i="1"/>
  <c r="AS625" i="1"/>
  <c r="R626" i="1"/>
  <c r="AK626" i="1"/>
  <c r="AL626" i="1"/>
  <c r="AS626" i="1"/>
  <c r="R627" i="1"/>
  <c r="AK627" i="1"/>
  <c r="AL627" i="1"/>
  <c r="AS627" i="1"/>
  <c r="R628" i="1"/>
  <c r="AK628" i="1"/>
  <c r="AL628" i="1"/>
  <c r="AS628" i="1"/>
  <c r="R629" i="1"/>
  <c r="AK629" i="1"/>
  <c r="AL629" i="1"/>
  <c r="AS629" i="1"/>
  <c r="R630" i="1"/>
  <c r="AK630" i="1"/>
  <c r="AL630" i="1"/>
  <c r="AS630" i="1"/>
  <c r="R631" i="1"/>
  <c r="AK631" i="1"/>
  <c r="AL631" i="1"/>
  <c r="AS631" i="1"/>
  <c r="R632" i="1"/>
  <c r="AK632" i="1"/>
  <c r="AL632" i="1"/>
  <c r="AS632" i="1"/>
  <c r="R633" i="1"/>
  <c r="AK633" i="1"/>
  <c r="AL633" i="1"/>
  <c r="AS633" i="1"/>
  <c r="R634" i="1"/>
  <c r="AK634" i="1"/>
  <c r="AL634" i="1"/>
  <c r="AS634" i="1"/>
  <c r="R635" i="1"/>
  <c r="AK635" i="1"/>
  <c r="AL635" i="1"/>
  <c r="AS635" i="1"/>
  <c r="R636" i="1"/>
  <c r="AK636" i="1"/>
  <c r="AL636" i="1"/>
  <c r="AS636" i="1"/>
  <c r="R637" i="1"/>
  <c r="AK637" i="1"/>
  <c r="AL637" i="1"/>
  <c r="AS637" i="1"/>
  <c r="R638" i="1"/>
  <c r="AK638" i="1"/>
  <c r="AL638" i="1"/>
  <c r="AS638" i="1"/>
  <c r="R639" i="1"/>
  <c r="AK639" i="1"/>
  <c r="AL639" i="1"/>
  <c r="AS639" i="1"/>
  <c r="R640" i="1"/>
  <c r="AK640" i="1"/>
  <c r="AL640" i="1"/>
  <c r="AS640" i="1"/>
  <c r="R641" i="1"/>
  <c r="AK641" i="1"/>
  <c r="AL641" i="1"/>
  <c r="I641" i="1"/>
  <c r="AS641" i="1"/>
  <c r="AY625" i="1"/>
  <c r="BA625" i="1"/>
  <c r="BC625" i="1"/>
  <c r="R642" i="1"/>
  <c r="AK642" i="1"/>
  <c r="AL642" i="1"/>
  <c r="I642" i="1"/>
  <c r="AS642" i="1"/>
  <c r="AY642" i="1"/>
  <c r="BA642" i="1"/>
  <c r="BC642" i="1"/>
  <c r="R643" i="1"/>
  <c r="AK643" i="1"/>
  <c r="AL643" i="1"/>
  <c r="F643" i="1"/>
  <c r="I643" i="1"/>
  <c r="AS643" i="1"/>
  <c r="AY643" i="1"/>
  <c r="BA643" i="1"/>
  <c r="BC643" i="1"/>
  <c r="R644" i="1"/>
  <c r="AK644" i="1"/>
  <c r="AL644" i="1"/>
  <c r="I644" i="1"/>
  <c r="AS644" i="1"/>
  <c r="AY644" i="1"/>
  <c r="BA644" i="1"/>
  <c r="BC644" i="1"/>
  <c r="R645" i="1"/>
  <c r="AK645" i="1"/>
  <c r="AL645" i="1"/>
  <c r="AS645" i="1"/>
  <c r="R646" i="1"/>
  <c r="AK646" i="1"/>
  <c r="AL646" i="1"/>
  <c r="AS646" i="1"/>
  <c r="R647" i="1"/>
  <c r="AK647" i="1"/>
  <c r="AL647" i="1"/>
  <c r="AS647" i="1"/>
  <c r="R648" i="1"/>
  <c r="AK648" i="1"/>
  <c r="AL648" i="1"/>
  <c r="AS648" i="1"/>
  <c r="R649" i="1"/>
  <c r="AK649" i="1"/>
  <c r="AL649" i="1"/>
  <c r="AS649" i="1"/>
  <c r="R650" i="1"/>
  <c r="AK650" i="1"/>
  <c r="AL650" i="1"/>
  <c r="AS650" i="1"/>
  <c r="R651" i="1"/>
  <c r="AK651" i="1"/>
  <c r="AL651" i="1"/>
  <c r="AS651" i="1"/>
  <c r="R652" i="1"/>
  <c r="AK652" i="1"/>
  <c r="AL652" i="1"/>
  <c r="AS652" i="1"/>
  <c r="R653" i="1"/>
  <c r="AK653" i="1"/>
  <c r="AL653" i="1"/>
  <c r="AS653" i="1"/>
  <c r="R654" i="1"/>
  <c r="AK654" i="1"/>
  <c r="AL654" i="1"/>
  <c r="AS654" i="1"/>
  <c r="AY645" i="1"/>
  <c r="BA645" i="1"/>
  <c r="BC645" i="1"/>
  <c r="R655" i="1"/>
  <c r="AK655" i="1"/>
  <c r="AL655" i="1"/>
  <c r="AS655" i="1"/>
  <c r="R656" i="1"/>
  <c r="AK656" i="1"/>
  <c r="AL656" i="1"/>
  <c r="AS656" i="1"/>
  <c r="AY655" i="1"/>
  <c r="BA655" i="1"/>
  <c r="BC655" i="1"/>
  <c r="R657" i="1"/>
  <c r="AK657" i="1"/>
  <c r="AL657" i="1"/>
  <c r="AS657" i="1"/>
  <c r="R658" i="1"/>
  <c r="AK658" i="1"/>
  <c r="AL658" i="1"/>
  <c r="AS658" i="1"/>
  <c r="R659" i="1"/>
  <c r="AK659" i="1"/>
  <c r="AL659" i="1"/>
  <c r="AS659" i="1"/>
  <c r="R660" i="1"/>
  <c r="AK660" i="1"/>
  <c r="AL660" i="1"/>
  <c r="AS660" i="1"/>
  <c r="R661" i="1"/>
  <c r="AK661" i="1"/>
  <c r="AL661" i="1"/>
  <c r="AS661" i="1"/>
  <c r="R662" i="1"/>
  <c r="AK662" i="1"/>
  <c r="AL662" i="1"/>
  <c r="AS662" i="1"/>
  <c r="R663" i="1"/>
  <c r="AK663" i="1"/>
  <c r="AL663" i="1"/>
  <c r="AS663" i="1"/>
  <c r="R664" i="1"/>
  <c r="AK664" i="1"/>
  <c r="AL664" i="1"/>
  <c r="AS664" i="1"/>
  <c r="R665" i="1"/>
  <c r="AK665" i="1"/>
  <c r="AL665" i="1"/>
  <c r="AS665" i="1"/>
  <c r="R666" i="1"/>
  <c r="AK666" i="1"/>
  <c r="AL666" i="1"/>
  <c r="AS666" i="1"/>
  <c r="AY657" i="1"/>
  <c r="BA657" i="1"/>
  <c r="BC657" i="1"/>
  <c r="R667" i="1"/>
  <c r="AK667" i="1"/>
  <c r="AL667" i="1"/>
  <c r="AS667" i="1"/>
  <c r="R668" i="1"/>
  <c r="AK668" i="1"/>
  <c r="AL668" i="1"/>
  <c r="AS668" i="1"/>
  <c r="R669" i="1"/>
  <c r="AK669" i="1"/>
  <c r="AL669" i="1"/>
  <c r="AS669" i="1"/>
  <c r="R670" i="1"/>
  <c r="AK670" i="1"/>
  <c r="AL670" i="1"/>
  <c r="AS670" i="1"/>
  <c r="R671" i="1"/>
  <c r="AK671" i="1"/>
  <c r="AL671" i="1"/>
  <c r="AS671" i="1"/>
  <c r="R672" i="1"/>
  <c r="AK672" i="1"/>
  <c r="AL672" i="1"/>
  <c r="AS672" i="1"/>
  <c r="R673" i="1"/>
  <c r="AK673" i="1"/>
  <c r="AL673" i="1"/>
  <c r="AS673" i="1"/>
  <c r="R674" i="1"/>
  <c r="AK674" i="1"/>
  <c r="AL674" i="1"/>
  <c r="AS674" i="1"/>
  <c r="AY667" i="1"/>
  <c r="BA667" i="1"/>
  <c r="BC667" i="1"/>
  <c r="R675" i="1"/>
  <c r="AK675" i="1"/>
  <c r="AL675" i="1"/>
  <c r="AS675" i="1"/>
  <c r="AY675" i="1"/>
  <c r="BA675" i="1"/>
  <c r="BC675" i="1"/>
  <c r="R676" i="1"/>
  <c r="AK676" i="1"/>
  <c r="AL676" i="1"/>
  <c r="AS676" i="1"/>
  <c r="AY676" i="1"/>
  <c r="BA676" i="1"/>
  <c r="BC676" i="1"/>
  <c r="R677" i="1"/>
  <c r="AK677" i="1"/>
  <c r="AL677" i="1"/>
  <c r="AS677" i="1"/>
  <c r="AY677" i="1"/>
  <c r="BA677" i="1"/>
  <c r="BC677" i="1"/>
  <c r="R678" i="1"/>
  <c r="AK678" i="1"/>
  <c r="AL678" i="1"/>
  <c r="AS678" i="1"/>
  <c r="AY678" i="1"/>
  <c r="BA678" i="1"/>
  <c r="BC678" i="1"/>
  <c r="R679" i="1"/>
  <c r="AK679" i="1"/>
  <c r="AL679" i="1"/>
  <c r="AS679" i="1"/>
  <c r="AY679" i="1"/>
  <c r="BA679" i="1"/>
  <c r="BC679" i="1"/>
  <c r="R680" i="1"/>
  <c r="AK680" i="1"/>
  <c r="AL680" i="1"/>
  <c r="AS680" i="1"/>
  <c r="AY680" i="1"/>
  <c r="BA680" i="1"/>
  <c r="BC680" i="1"/>
  <c r="R681" i="1"/>
  <c r="AK681" i="1"/>
  <c r="AL681" i="1"/>
  <c r="AS681" i="1"/>
  <c r="AY681" i="1"/>
  <c r="BA681" i="1"/>
  <c r="BC681" i="1"/>
  <c r="R682" i="1"/>
  <c r="AK682" i="1"/>
  <c r="AL682" i="1"/>
  <c r="AS682" i="1"/>
  <c r="AY682" i="1"/>
  <c r="BA682" i="1"/>
  <c r="BC682" i="1"/>
  <c r="R683" i="1"/>
  <c r="AK683" i="1"/>
  <c r="AL683" i="1"/>
  <c r="AS683" i="1"/>
  <c r="AY683" i="1"/>
  <c r="BA683" i="1"/>
  <c r="BC683" i="1"/>
  <c r="R684" i="1"/>
  <c r="AK684" i="1"/>
  <c r="AL684" i="1"/>
  <c r="AS684" i="1"/>
  <c r="AY684" i="1"/>
  <c r="BA684" i="1"/>
  <c r="BC684" i="1"/>
  <c r="R685" i="1"/>
  <c r="AK685" i="1"/>
  <c r="AL685" i="1"/>
  <c r="AS685" i="1"/>
  <c r="AY685" i="1"/>
  <c r="BA685" i="1"/>
  <c r="BC685" i="1"/>
  <c r="R686" i="1"/>
  <c r="AK686" i="1"/>
  <c r="AL686" i="1"/>
  <c r="AS686" i="1"/>
  <c r="AY686" i="1"/>
  <c r="BA686" i="1"/>
  <c r="BC686" i="1"/>
  <c r="R687" i="1"/>
  <c r="AK687" i="1"/>
  <c r="AL687" i="1"/>
  <c r="AS687" i="1"/>
  <c r="AY687" i="1"/>
  <c r="BA687" i="1"/>
  <c r="BC687" i="1"/>
  <c r="AK688" i="1"/>
  <c r="AL688" i="1"/>
  <c r="I688" i="1"/>
  <c r="AS688" i="1"/>
  <c r="AK689" i="1"/>
  <c r="AL689" i="1"/>
  <c r="I689" i="1"/>
  <c r="AS689" i="1"/>
  <c r="AK690" i="1"/>
  <c r="AL690" i="1"/>
  <c r="I690" i="1"/>
  <c r="AS690" i="1"/>
  <c r="R691" i="1"/>
  <c r="AK691" i="1"/>
  <c r="AL691" i="1"/>
  <c r="F691" i="1"/>
  <c r="I691" i="1"/>
  <c r="AS691" i="1"/>
  <c r="AY688" i="1"/>
  <c r="BA688" i="1"/>
  <c r="BC688" i="1"/>
  <c r="AK692" i="1"/>
  <c r="AL692" i="1"/>
  <c r="F692" i="1"/>
  <c r="I692" i="1"/>
  <c r="AS692" i="1"/>
  <c r="AK693" i="1"/>
  <c r="AL693" i="1"/>
  <c r="F693" i="1"/>
  <c r="I693" i="1"/>
  <c r="AS693" i="1"/>
  <c r="AK694" i="1"/>
  <c r="AL694" i="1"/>
  <c r="F694" i="1"/>
  <c r="I694" i="1"/>
  <c r="AS694" i="1"/>
  <c r="AK695" i="1"/>
  <c r="AL695" i="1"/>
  <c r="F695" i="1"/>
  <c r="I695" i="1"/>
  <c r="AS695" i="1"/>
  <c r="AY692" i="1"/>
  <c r="BA692" i="1"/>
  <c r="BC692" i="1"/>
  <c r="AK696" i="1"/>
  <c r="AL696" i="1"/>
  <c r="AS696" i="1"/>
  <c r="AY696" i="1"/>
  <c r="BA696" i="1"/>
  <c r="BC696" i="1"/>
  <c r="AK697" i="1"/>
  <c r="AL697" i="1"/>
  <c r="G697" i="1"/>
  <c r="F697" i="1"/>
  <c r="I697" i="1"/>
  <c r="AS697" i="1"/>
  <c r="AK698" i="1"/>
  <c r="AL698" i="1"/>
  <c r="G698" i="1"/>
  <c r="F698" i="1"/>
  <c r="I698" i="1"/>
  <c r="AS698" i="1"/>
  <c r="R699" i="1"/>
  <c r="AK699" i="1"/>
  <c r="AL699" i="1"/>
  <c r="G699" i="1"/>
  <c r="F699" i="1"/>
  <c r="I699" i="1"/>
  <c r="AS699" i="1"/>
  <c r="AK700" i="1"/>
  <c r="AL700" i="1"/>
  <c r="G700" i="1"/>
  <c r="F700" i="1"/>
  <c r="I700" i="1"/>
  <c r="AS700" i="1"/>
  <c r="AK701" i="1"/>
  <c r="AL701" i="1"/>
  <c r="G701" i="1"/>
  <c r="F701" i="1"/>
  <c r="I701" i="1"/>
  <c r="AS701" i="1"/>
  <c r="AY697" i="1"/>
  <c r="BA697" i="1"/>
  <c r="BC697" i="1"/>
  <c r="AK702" i="1"/>
  <c r="AL702" i="1"/>
  <c r="G702" i="1"/>
  <c r="F702" i="1"/>
  <c r="I702" i="1"/>
  <c r="AS702" i="1"/>
  <c r="AK703" i="1"/>
  <c r="AL703" i="1"/>
  <c r="G703" i="1"/>
  <c r="F703" i="1"/>
  <c r="I703" i="1"/>
  <c r="AS703" i="1"/>
  <c r="R704" i="1"/>
  <c r="AK704" i="1"/>
  <c r="AL704" i="1"/>
  <c r="G704" i="1"/>
  <c r="F704" i="1"/>
  <c r="I704" i="1"/>
  <c r="AS704" i="1"/>
  <c r="AY702" i="1"/>
  <c r="BA702" i="1"/>
  <c r="BC702" i="1"/>
  <c r="R705" i="1"/>
  <c r="AK705" i="1"/>
  <c r="AL705" i="1"/>
  <c r="G705" i="1"/>
  <c r="F705" i="1"/>
  <c r="I705" i="1"/>
  <c r="AS705" i="1"/>
  <c r="R706" i="1"/>
  <c r="AK706" i="1"/>
  <c r="AL706" i="1"/>
  <c r="G706" i="1"/>
  <c r="F706" i="1"/>
  <c r="I706" i="1"/>
  <c r="AS706" i="1"/>
  <c r="R707" i="1"/>
  <c r="AK707" i="1"/>
  <c r="AL707" i="1"/>
  <c r="G707" i="1"/>
  <c r="F707" i="1"/>
  <c r="I707" i="1"/>
  <c r="AS707" i="1"/>
  <c r="AK708" i="1"/>
  <c r="AL708" i="1"/>
  <c r="G708" i="1"/>
  <c r="F708" i="1"/>
  <c r="I708" i="1"/>
  <c r="AS708" i="1"/>
  <c r="AK709" i="1"/>
  <c r="AL709" i="1"/>
  <c r="F709" i="1"/>
  <c r="I709" i="1"/>
  <c r="AS709" i="1"/>
  <c r="AY705" i="1"/>
  <c r="BA705" i="1"/>
  <c r="BC705" i="1"/>
  <c r="R710" i="1"/>
  <c r="AK710" i="1"/>
  <c r="AL710" i="1"/>
  <c r="F710" i="1"/>
  <c r="I710" i="1"/>
  <c r="AS710" i="1"/>
  <c r="AY710" i="1"/>
  <c r="BA710" i="1"/>
  <c r="BC710" i="1"/>
  <c r="AK711" i="1"/>
  <c r="AL711" i="1"/>
  <c r="AS711" i="1"/>
  <c r="AY711" i="1"/>
  <c r="BA711" i="1"/>
  <c r="BC711" i="1"/>
  <c r="AK712" i="1"/>
  <c r="AL712" i="1"/>
  <c r="AS712" i="1"/>
  <c r="AY712" i="1"/>
  <c r="BA712" i="1"/>
  <c r="BC712" i="1"/>
  <c r="BE539" i="1"/>
  <c r="G8" i="1"/>
  <c r="K8" i="1"/>
  <c r="K19" i="3"/>
  <c r="AK452" i="1"/>
  <c r="AL452" i="1"/>
  <c r="AS452" i="1"/>
  <c r="AK453" i="1"/>
  <c r="AL453" i="1"/>
  <c r="AS453" i="1"/>
  <c r="AK454" i="1"/>
  <c r="AL454" i="1"/>
  <c r="AS454" i="1"/>
  <c r="AK455" i="1"/>
  <c r="AL455" i="1"/>
  <c r="AS455" i="1"/>
  <c r="AK456" i="1"/>
  <c r="AL456" i="1"/>
  <c r="AS456" i="1"/>
  <c r="AK457" i="1"/>
  <c r="AL457" i="1"/>
  <c r="AS457" i="1"/>
  <c r="AK458" i="1"/>
  <c r="AL458" i="1"/>
  <c r="AS458" i="1"/>
  <c r="AK459" i="1"/>
  <c r="AL459" i="1"/>
  <c r="AS459" i="1"/>
  <c r="AK460" i="1"/>
  <c r="AL460" i="1"/>
  <c r="AS460" i="1"/>
  <c r="AY452" i="1"/>
  <c r="BA452" i="1"/>
  <c r="BC452" i="1"/>
  <c r="AK461" i="1"/>
  <c r="AL461" i="1"/>
  <c r="AS461" i="1"/>
  <c r="AK462" i="1"/>
  <c r="AL462" i="1"/>
  <c r="AS462" i="1"/>
  <c r="AK463" i="1"/>
  <c r="AL463" i="1"/>
  <c r="AS463" i="1"/>
  <c r="AK464" i="1"/>
  <c r="AL464" i="1"/>
  <c r="AS464" i="1"/>
  <c r="AK465" i="1"/>
  <c r="AL465" i="1"/>
  <c r="AS465" i="1"/>
  <c r="AK466" i="1"/>
  <c r="AL466" i="1"/>
  <c r="AS466" i="1"/>
  <c r="AK467" i="1"/>
  <c r="AL467" i="1"/>
  <c r="AS467" i="1"/>
  <c r="AK468" i="1"/>
  <c r="AL468" i="1"/>
  <c r="AS468" i="1"/>
  <c r="AK469" i="1"/>
  <c r="AL469" i="1"/>
  <c r="AS469" i="1"/>
  <c r="AY461" i="1"/>
  <c r="BA461" i="1"/>
  <c r="BC461" i="1"/>
  <c r="AK470" i="1"/>
  <c r="AL470" i="1"/>
  <c r="AS470" i="1"/>
  <c r="AK471" i="1"/>
  <c r="AL471" i="1"/>
  <c r="AS471" i="1"/>
  <c r="AK472" i="1"/>
  <c r="AL472" i="1"/>
  <c r="AS472" i="1"/>
  <c r="AK473" i="1"/>
  <c r="AL473" i="1"/>
  <c r="AS473" i="1"/>
  <c r="AK474" i="1"/>
  <c r="AL474" i="1"/>
  <c r="AS474" i="1"/>
  <c r="AK475" i="1"/>
  <c r="AL475" i="1"/>
  <c r="AS475" i="1"/>
  <c r="AK476" i="1"/>
  <c r="AL476" i="1"/>
  <c r="AS476" i="1"/>
  <c r="AK477" i="1"/>
  <c r="AL477" i="1"/>
  <c r="AS477" i="1"/>
  <c r="AK478" i="1"/>
  <c r="AL478" i="1"/>
  <c r="AS478" i="1"/>
  <c r="AK479" i="1"/>
  <c r="AL479" i="1"/>
  <c r="AS479" i="1"/>
  <c r="AY470" i="1"/>
  <c r="BA470" i="1"/>
  <c r="BC470" i="1"/>
  <c r="AK480" i="1"/>
  <c r="AL480" i="1"/>
  <c r="AS480" i="1"/>
  <c r="AK481" i="1"/>
  <c r="AL481" i="1"/>
  <c r="AS481" i="1"/>
  <c r="AK482" i="1"/>
  <c r="AL482" i="1"/>
  <c r="AS482" i="1"/>
  <c r="AK483" i="1"/>
  <c r="AL483" i="1"/>
  <c r="AS483" i="1"/>
  <c r="AK484" i="1"/>
  <c r="AL484" i="1"/>
  <c r="AS484" i="1"/>
  <c r="AK485" i="1"/>
  <c r="AL485" i="1"/>
  <c r="AS485" i="1"/>
  <c r="AK486" i="1"/>
  <c r="AL486" i="1"/>
  <c r="AS486" i="1"/>
  <c r="AK487" i="1"/>
  <c r="AL487" i="1"/>
  <c r="AS487" i="1"/>
  <c r="AK488" i="1"/>
  <c r="AL488" i="1"/>
  <c r="AS488" i="1"/>
  <c r="AY480" i="1"/>
  <c r="BA480" i="1"/>
  <c r="BC480" i="1"/>
  <c r="AK489" i="1"/>
  <c r="AL489" i="1"/>
  <c r="AS489" i="1"/>
  <c r="AK490" i="1"/>
  <c r="AL490" i="1"/>
  <c r="AS490" i="1"/>
  <c r="AK491" i="1"/>
  <c r="AL491" i="1"/>
  <c r="AS491" i="1"/>
  <c r="AK492" i="1"/>
  <c r="AL492" i="1"/>
  <c r="AS492" i="1"/>
  <c r="AK493" i="1"/>
  <c r="AL493" i="1"/>
  <c r="AS493" i="1"/>
  <c r="AK494" i="1"/>
  <c r="AL494" i="1"/>
  <c r="AS494" i="1"/>
  <c r="AK495" i="1"/>
  <c r="AL495" i="1"/>
  <c r="AS495" i="1"/>
  <c r="AK496" i="1"/>
  <c r="AL496" i="1"/>
  <c r="AS496" i="1"/>
  <c r="AY489" i="1"/>
  <c r="BA489" i="1"/>
  <c r="BC489" i="1"/>
  <c r="AK497" i="1"/>
  <c r="AL497" i="1"/>
  <c r="AS497" i="1"/>
  <c r="AK498" i="1"/>
  <c r="AL498" i="1"/>
  <c r="AS498" i="1"/>
  <c r="AK499" i="1"/>
  <c r="AL499" i="1"/>
  <c r="AS499" i="1"/>
  <c r="AK500" i="1"/>
  <c r="AL500" i="1"/>
  <c r="AS500" i="1"/>
  <c r="AK501" i="1"/>
  <c r="AL501" i="1"/>
  <c r="AS501" i="1"/>
  <c r="AK502" i="1"/>
  <c r="AL502" i="1"/>
  <c r="AS502" i="1"/>
  <c r="AK503" i="1"/>
  <c r="AL503" i="1"/>
  <c r="AS503" i="1"/>
  <c r="AK504" i="1"/>
  <c r="AL504" i="1"/>
  <c r="AS504" i="1"/>
  <c r="AK505" i="1"/>
  <c r="AL505" i="1"/>
  <c r="AS505" i="1"/>
  <c r="AY497" i="1"/>
  <c r="BA497" i="1"/>
  <c r="BC497" i="1"/>
  <c r="AK506" i="1"/>
  <c r="AL506" i="1"/>
  <c r="AS506" i="1"/>
  <c r="AK507" i="1"/>
  <c r="AL507" i="1"/>
  <c r="AS507" i="1"/>
  <c r="AK508" i="1"/>
  <c r="AL508" i="1"/>
  <c r="AS508" i="1"/>
  <c r="AK509" i="1"/>
  <c r="AL509" i="1"/>
  <c r="AS509" i="1"/>
  <c r="AK510" i="1"/>
  <c r="AL510" i="1"/>
  <c r="AS510" i="1"/>
  <c r="AK511" i="1"/>
  <c r="AL511" i="1"/>
  <c r="AS511" i="1"/>
  <c r="AK512" i="1"/>
  <c r="AL512" i="1"/>
  <c r="AS512" i="1"/>
  <c r="AK513" i="1"/>
  <c r="AL513" i="1"/>
  <c r="AS513" i="1"/>
  <c r="AK514" i="1"/>
  <c r="AL514" i="1"/>
  <c r="AS514" i="1"/>
  <c r="AK515" i="1"/>
  <c r="AL515" i="1"/>
  <c r="AS515" i="1"/>
  <c r="AK516" i="1"/>
  <c r="AL516" i="1"/>
  <c r="AS516" i="1"/>
  <c r="AY506" i="1"/>
  <c r="BA506" i="1"/>
  <c r="BC506" i="1"/>
  <c r="AK517" i="1"/>
  <c r="AL517" i="1"/>
  <c r="AS517" i="1"/>
  <c r="AK518" i="1"/>
  <c r="AL518" i="1"/>
  <c r="AS518" i="1"/>
  <c r="AK519" i="1"/>
  <c r="AL519" i="1"/>
  <c r="AS519" i="1"/>
  <c r="AY517" i="1"/>
  <c r="BA517" i="1"/>
  <c r="BC517" i="1"/>
  <c r="AK520" i="1"/>
  <c r="AL520" i="1"/>
  <c r="AS520" i="1"/>
  <c r="AK521" i="1"/>
  <c r="AL521" i="1"/>
  <c r="AS521" i="1"/>
  <c r="AK522" i="1"/>
  <c r="AL522" i="1"/>
  <c r="AS522" i="1"/>
  <c r="AK523" i="1"/>
  <c r="AL523" i="1"/>
  <c r="AS523" i="1"/>
  <c r="AK524" i="1"/>
  <c r="AL524" i="1"/>
  <c r="AS524" i="1"/>
  <c r="AK525" i="1"/>
  <c r="AL525" i="1"/>
  <c r="AS525" i="1"/>
  <c r="AK526" i="1"/>
  <c r="AL526" i="1"/>
  <c r="AS526" i="1"/>
  <c r="AK527" i="1"/>
  <c r="AL527" i="1"/>
  <c r="AS527" i="1"/>
  <c r="AY520" i="1"/>
  <c r="BA520" i="1"/>
  <c r="BC520" i="1"/>
  <c r="AK528" i="1"/>
  <c r="AL528" i="1"/>
  <c r="AS528" i="1"/>
  <c r="AK529" i="1"/>
  <c r="AL529" i="1"/>
  <c r="AS529" i="1"/>
  <c r="AK530" i="1"/>
  <c r="AL530" i="1"/>
  <c r="AS530" i="1"/>
  <c r="AK531" i="1"/>
  <c r="AL531" i="1"/>
  <c r="AS531" i="1"/>
  <c r="AK532" i="1"/>
  <c r="AL532" i="1"/>
  <c r="AS532" i="1"/>
  <c r="AK533" i="1"/>
  <c r="AL533" i="1"/>
  <c r="AS533" i="1"/>
  <c r="AY528" i="1"/>
  <c r="BA528" i="1"/>
  <c r="BC528" i="1"/>
  <c r="AK534" i="1"/>
  <c r="AL534" i="1"/>
  <c r="AS534" i="1"/>
  <c r="AK535" i="1"/>
  <c r="AL535" i="1"/>
  <c r="AS535" i="1"/>
  <c r="AK536" i="1"/>
  <c r="AL536" i="1"/>
  <c r="AS536" i="1"/>
  <c r="AK537" i="1"/>
  <c r="AL537" i="1"/>
  <c r="AS537" i="1"/>
  <c r="AY534" i="1"/>
  <c r="BA534" i="1"/>
  <c r="BC534" i="1"/>
  <c r="BE451" i="1"/>
  <c r="G7" i="1"/>
  <c r="K7" i="1"/>
  <c r="K18" i="3"/>
  <c r="AK198" i="1"/>
  <c r="AL198" i="1"/>
  <c r="I198" i="1"/>
  <c r="AS198" i="1"/>
  <c r="AY198" i="1"/>
  <c r="AK199" i="1"/>
  <c r="AL199" i="1"/>
  <c r="I199" i="1"/>
  <c r="AS199" i="1"/>
  <c r="AY199" i="1"/>
  <c r="AK200" i="1"/>
  <c r="AL200" i="1"/>
  <c r="I200" i="1"/>
  <c r="AS200" i="1"/>
  <c r="AY200" i="1"/>
  <c r="AK201" i="1"/>
  <c r="AL201" i="1"/>
  <c r="I201" i="1"/>
  <c r="AS201" i="1"/>
  <c r="AY201" i="1"/>
  <c r="AK202" i="1"/>
  <c r="AL202" i="1"/>
  <c r="I202" i="1"/>
  <c r="AS202" i="1"/>
  <c r="AY202" i="1"/>
  <c r="AK203" i="1"/>
  <c r="AL203" i="1"/>
  <c r="I203" i="1"/>
  <c r="AS203" i="1"/>
  <c r="AY203" i="1"/>
  <c r="BA198" i="1"/>
  <c r="BC198" i="1"/>
  <c r="AK204" i="1"/>
  <c r="AL204" i="1"/>
  <c r="I204" i="1"/>
  <c r="AS204" i="1"/>
  <c r="AK205" i="1"/>
  <c r="AL205" i="1"/>
  <c r="I205" i="1"/>
  <c r="AS205" i="1"/>
  <c r="AK206" i="1"/>
  <c r="AL206" i="1"/>
  <c r="I206" i="1"/>
  <c r="AS206" i="1"/>
  <c r="AK207" i="1"/>
  <c r="AL207" i="1"/>
  <c r="I207" i="1"/>
  <c r="AS207" i="1"/>
  <c r="AK208" i="1"/>
  <c r="AL208" i="1"/>
  <c r="I208" i="1"/>
  <c r="AS208" i="1"/>
  <c r="AY204" i="1"/>
  <c r="BA204" i="1"/>
  <c r="BC204" i="1"/>
  <c r="AK209" i="1"/>
  <c r="AL209" i="1"/>
  <c r="I209" i="1"/>
  <c r="AS209" i="1"/>
  <c r="AY209" i="1"/>
  <c r="AK210" i="1"/>
  <c r="AL210" i="1"/>
  <c r="I210" i="1"/>
  <c r="AS210" i="1"/>
  <c r="AY210" i="1"/>
  <c r="BA209" i="1"/>
  <c r="BC209" i="1"/>
  <c r="AK211" i="1"/>
  <c r="AL211" i="1"/>
  <c r="I211" i="1"/>
  <c r="AS211" i="1"/>
  <c r="AY211" i="1"/>
  <c r="AK212" i="1"/>
  <c r="AL212" i="1"/>
  <c r="I212" i="1"/>
  <c r="AS212" i="1"/>
  <c r="AY212" i="1"/>
  <c r="AK213" i="1"/>
  <c r="AL213" i="1"/>
  <c r="I213" i="1"/>
  <c r="AS213" i="1"/>
  <c r="AK214" i="1"/>
  <c r="AL214" i="1"/>
  <c r="AS214" i="1"/>
  <c r="AK215" i="1"/>
  <c r="AL215" i="1"/>
  <c r="AS215" i="1"/>
  <c r="AK216" i="1"/>
  <c r="AL216" i="1"/>
  <c r="AS216" i="1"/>
  <c r="AK217" i="1"/>
  <c r="AL217" i="1"/>
  <c r="AS217" i="1"/>
  <c r="AK218" i="1"/>
  <c r="AL218" i="1"/>
  <c r="AS218" i="1"/>
  <c r="AK219" i="1"/>
  <c r="AL219" i="1"/>
  <c r="AS219" i="1"/>
  <c r="AK220" i="1"/>
  <c r="AL220" i="1"/>
  <c r="AS220" i="1"/>
  <c r="AK221" i="1"/>
  <c r="AL221" i="1"/>
  <c r="AS221" i="1"/>
  <c r="AK222" i="1"/>
  <c r="AL222" i="1"/>
  <c r="AS222" i="1"/>
  <c r="AK223" i="1"/>
  <c r="AL223" i="1"/>
  <c r="AS223" i="1"/>
  <c r="AK224" i="1"/>
  <c r="AL224" i="1"/>
  <c r="AS224" i="1"/>
  <c r="AK225" i="1"/>
  <c r="AL225" i="1"/>
  <c r="AS225" i="1"/>
  <c r="AK226" i="1"/>
  <c r="AL226" i="1"/>
  <c r="AS226" i="1"/>
  <c r="AK227" i="1"/>
  <c r="AL227" i="1"/>
  <c r="AS227" i="1"/>
  <c r="AK228" i="1"/>
  <c r="AL228" i="1"/>
  <c r="AS228" i="1"/>
  <c r="AK229" i="1"/>
  <c r="AL229" i="1"/>
  <c r="AS229" i="1"/>
  <c r="AK230" i="1"/>
  <c r="AL230" i="1"/>
  <c r="AS230" i="1"/>
  <c r="AK231" i="1"/>
  <c r="AL231" i="1"/>
  <c r="AS231" i="1"/>
  <c r="AK232" i="1"/>
  <c r="AL232" i="1"/>
  <c r="AS232" i="1"/>
  <c r="AY213" i="1"/>
  <c r="BA211" i="1"/>
  <c r="BC211" i="1"/>
  <c r="AK233" i="1"/>
  <c r="AL233" i="1"/>
  <c r="I233" i="1"/>
  <c r="AS233" i="1"/>
  <c r="AY233" i="1"/>
  <c r="AK234" i="1"/>
  <c r="AL234" i="1"/>
  <c r="I234" i="1"/>
  <c r="AS234" i="1"/>
  <c r="AY234" i="1"/>
  <c r="AK235" i="1"/>
  <c r="AL235" i="1"/>
  <c r="I235" i="1"/>
  <c r="AS235" i="1"/>
  <c r="AY235" i="1"/>
  <c r="BA233" i="1"/>
  <c r="BC233" i="1"/>
  <c r="AK236" i="1"/>
  <c r="AL236" i="1"/>
  <c r="I236" i="1"/>
  <c r="AS236" i="1"/>
  <c r="AY236" i="1"/>
  <c r="AK237" i="1"/>
  <c r="AL237" i="1"/>
  <c r="I237" i="1"/>
  <c r="AS237" i="1"/>
  <c r="AY237" i="1"/>
  <c r="AK238" i="1"/>
  <c r="AL238" i="1"/>
  <c r="I238" i="1"/>
  <c r="AS238" i="1"/>
  <c r="AY238" i="1"/>
  <c r="BA236" i="1"/>
  <c r="BC236" i="1"/>
  <c r="AK239" i="1"/>
  <c r="AL239" i="1"/>
  <c r="I239" i="1"/>
  <c r="AS239" i="1"/>
  <c r="AY239" i="1"/>
  <c r="AK240" i="1"/>
  <c r="AL240" i="1"/>
  <c r="I240" i="1"/>
  <c r="AS240" i="1"/>
  <c r="AY240" i="1"/>
  <c r="BA239" i="1"/>
  <c r="BC239" i="1"/>
  <c r="AK241" i="1"/>
  <c r="AL241" i="1"/>
  <c r="I241" i="1"/>
  <c r="AS241" i="1"/>
  <c r="AY241" i="1"/>
  <c r="AK242" i="1"/>
  <c r="AL242" i="1"/>
  <c r="I242" i="1"/>
  <c r="AS242" i="1"/>
  <c r="AY242" i="1"/>
  <c r="AK243" i="1"/>
  <c r="AL243" i="1"/>
  <c r="I243" i="1"/>
  <c r="AS243" i="1"/>
  <c r="AY243" i="1"/>
  <c r="BA241" i="1"/>
  <c r="BC241" i="1"/>
  <c r="AK244" i="1"/>
  <c r="AL244" i="1"/>
  <c r="AS244" i="1"/>
  <c r="AK245" i="1"/>
  <c r="AL245" i="1"/>
  <c r="AS245" i="1"/>
  <c r="AK246" i="1"/>
  <c r="AL246" i="1"/>
  <c r="AS246" i="1"/>
  <c r="AK247" i="1"/>
  <c r="AL247" i="1"/>
  <c r="AS247" i="1"/>
  <c r="AK248" i="1"/>
  <c r="AL248" i="1"/>
  <c r="AS248" i="1"/>
  <c r="AK249" i="1"/>
  <c r="AL249" i="1"/>
  <c r="AS249" i="1"/>
  <c r="AK250" i="1"/>
  <c r="AL250" i="1"/>
  <c r="AS250" i="1"/>
  <c r="AK251" i="1"/>
  <c r="AL251" i="1"/>
  <c r="AS251" i="1"/>
  <c r="AK252" i="1"/>
  <c r="AL252" i="1"/>
  <c r="AS252" i="1"/>
  <c r="AK253" i="1"/>
  <c r="AL253" i="1"/>
  <c r="AS253" i="1"/>
  <c r="AK254" i="1"/>
  <c r="AL254" i="1"/>
  <c r="AS254" i="1"/>
  <c r="AK255" i="1"/>
  <c r="AL255" i="1"/>
  <c r="AS255" i="1"/>
  <c r="AK256" i="1"/>
  <c r="AL256" i="1"/>
  <c r="AS256" i="1"/>
  <c r="AK257" i="1"/>
  <c r="AL257" i="1"/>
  <c r="AS257" i="1"/>
  <c r="AK258" i="1"/>
  <c r="AL258" i="1"/>
  <c r="AS258" i="1"/>
  <c r="AK259" i="1"/>
  <c r="AL259" i="1"/>
  <c r="AS259" i="1"/>
  <c r="AK260" i="1"/>
  <c r="AL260" i="1"/>
  <c r="AS260" i="1"/>
  <c r="AK261" i="1"/>
  <c r="AL261" i="1"/>
  <c r="AS261" i="1"/>
  <c r="AK262" i="1"/>
  <c r="AL262" i="1"/>
  <c r="I262" i="1"/>
  <c r="AS262" i="1"/>
  <c r="AK263" i="1"/>
  <c r="AL263" i="1"/>
  <c r="I263" i="1"/>
  <c r="AS263" i="1"/>
  <c r="AK264" i="1"/>
  <c r="AL264" i="1"/>
  <c r="I264" i="1"/>
  <c r="AS264" i="1"/>
  <c r="AY244" i="1"/>
  <c r="BA244" i="1"/>
  <c r="BC244" i="1"/>
  <c r="AK265" i="1"/>
  <c r="AL265" i="1"/>
  <c r="I265" i="1"/>
  <c r="AS265" i="1"/>
  <c r="AK266" i="1"/>
  <c r="AL266" i="1"/>
  <c r="I266" i="1"/>
  <c r="AS266" i="1"/>
  <c r="AK267" i="1"/>
  <c r="AL267" i="1"/>
  <c r="I267" i="1"/>
  <c r="AS267" i="1"/>
  <c r="AY265" i="1"/>
  <c r="AK268" i="1"/>
  <c r="AL268" i="1"/>
  <c r="I268" i="1"/>
  <c r="AS268" i="1"/>
  <c r="AY268" i="1"/>
  <c r="BA265" i="1"/>
  <c r="BC265" i="1"/>
  <c r="AK269" i="1"/>
  <c r="AL269" i="1"/>
  <c r="I269" i="1"/>
  <c r="AS269" i="1"/>
  <c r="AK270" i="1"/>
  <c r="AL270" i="1"/>
  <c r="I270" i="1"/>
  <c r="AS270" i="1"/>
  <c r="AY269" i="1"/>
  <c r="AK271" i="1"/>
  <c r="AL271" i="1"/>
  <c r="I271" i="1"/>
  <c r="AS271" i="1"/>
  <c r="AK272" i="1"/>
  <c r="AL272" i="1"/>
  <c r="I272" i="1"/>
  <c r="AS272" i="1"/>
  <c r="AK273" i="1"/>
  <c r="AL273" i="1"/>
  <c r="I273" i="1"/>
  <c r="AS273" i="1"/>
  <c r="AK274" i="1"/>
  <c r="AL274" i="1"/>
  <c r="I274" i="1"/>
  <c r="AS274" i="1"/>
  <c r="AK275" i="1"/>
  <c r="AL275" i="1"/>
  <c r="AS275" i="1"/>
  <c r="AK276" i="1"/>
  <c r="AL276" i="1"/>
  <c r="AS276" i="1"/>
  <c r="AY271" i="1"/>
  <c r="AK277" i="1"/>
  <c r="AL277" i="1"/>
  <c r="AS277" i="1"/>
  <c r="AY277" i="1"/>
  <c r="BA269" i="1"/>
  <c r="BC269" i="1"/>
  <c r="AK278" i="1"/>
  <c r="AL278" i="1"/>
  <c r="I278" i="1"/>
  <c r="AS278" i="1"/>
  <c r="AK279" i="1"/>
  <c r="AL279" i="1"/>
  <c r="I279" i="1"/>
  <c r="AS279" i="1"/>
  <c r="AY278" i="1"/>
  <c r="AK280" i="1"/>
  <c r="AL280" i="1"/>
  <c r="I280" i="1"/>
  <c r="AS280" i="1"/>
  <c r="AK281" i="1"/>
  <c r="AL281" i="1"/>
  <c r="I281" i="1"/>
  <c r="AS281" i="1"/>
  <c r="AY280" i="1"/>
  <c r="AK282" i="1"/>
  <c r="AL282" i="1"/>
  <c r="I282" i="1"/>
  <c r="AS282" i="1"/>
  <c r="AK283" i="1"/>
  <c r="AL283" i="1"/>
  <c r="I283" i="1"/>
  <c r="AS283" i="1"/>
  <c r="AK284" i="1"/>
  <c r="AL284" i="1"/>
  <c r="I284" i="1"/>
  <c r="AS284" i="1"/>
  <c r="AK285" i="1"/>
  <c r="AL285" i="1"/>
  <c r="I285" i="1"/>
  <c r="AS285" i="1"/>
  <c r="AK286" i="1"/>
  <c r="AL286" i="1"/>
  <c r="I286" i="1"/>
  <c r="AS286" i="1"/>
  <c r="AK287" i="1"/>
  <c r="AL287" i="1"/>
  <c r="I287" i="1"/>
  <c r="AS287" i="1"/>
  <c r="AK288" i="1"/>
  <c r="AL288" i="1"/>
  <c r="AS288" i="1"/>
  <c r="AK289" i="1"/>
  <c r="AL289" i="1"/>
  <c r="AS289" i="1"/>
  <c r="AK290" i="1"/>
  <c r="AL290" i="1"/>
  <c r="AS290" i="1"/>
  <c r="AK291" i="1"/>
  <c r="AL291" i="1"/>
  <c r="AS291" i="1"/>
  <c r="AK292" i="1"/>
  <c r="AL292" i="1"/>
  <c r="AS292" i="1"/>
  <c r="AK293" i="1"/>
  <c r="AL293" i="1"/>
  <c r="AS293" i="1"/>
  <c r="AK294" i="1"/>
  <c r="AL294" i="1"/>
  <c r="AS294" i="1"/>
  <c r="AK295" i="1"/>
  <c r="AL295" i="1"/>
  <c r="AS295" i="1"/>
  <c r="AK296" i="1"/>
  <c r="AL296" i="1"/>
  <c r="AS296" i="1"/>
  <c r="AK297" i="1"/>
  <c r="AL297" i="1"/>
  <c r="AS297" i="1"/>
  <c r="AK298" i="1"/>
  <c r="AL298" i="1"/>
  <c r="AS298" i="1"/>
  <c r="AK299" i="1"/>
  <c r="AL299" i="1"/>
  <c r="AS299" i="1"/>
  <c r="AK300" i="1"/>
  <c r="AL300" i="1"/>
  <c r="AS300" i="1"/>
  <c r="AK301" i="1"/>
  <c r="AL301" i="1"/>
  <c r="AS301" i="1"/>
  <c r="AK302" i="1"/>
  <c r="AL302" i="1"/>
  <c r="AS302" i="1"/>
  <c r="AK303" i="1"/>
  <c r="AL303" i="1"/>
  <c r="AS303" i="1"/>
  <c r="AK304" i="1"/>
  <c r="AL304" i="1"/>
  <c r="AS304" i="1"/>
  <c r="AY282" i="1"/>
  <c r="BA278" i="1"/>
  <c r="BC278" i="1"/>
  <c r="AK305" i="1"/>
  <c r="AL305" i="1"/>
  <c r="I305" i="1"/>
  <c r="AS305" i="1"/>
  <c r="AK306" i="1"/>
  <c r="AL306" i="1"/>
  <c r="I306" i="1"/>
  <c r="AS306" i="1"/>
  <c r="AK307" i="1"/>
  <c r="AL307" i="1"/>
  <c r="I307" i="1"/>
  <c r="AS307" i="1"/>
  <c r="AK308" i="1"/>
  <c r="AL308" i="1"/>
  <c r="I308" i="1"/>
  <c r="AS308" i="1"/>
  <c r="AY305" i="1"/>
  <c r="AK309" i="1"/>
  <c r="AL309" i="1"/>
  <c r="I309" i="1"/>
  <c r="AS309" i="1"/>
  <c r="AK310" i="1"/>
  <c r="AL310" i="1"/>
  <c r="I310" i="1"/>
  <c r="AS310" i="1"/>
  <c r="AY309" i="1"/>
  <c r="AK311" i="1"/>
  <c r="AL311" i="1"/>
  <c r="I311" i="1"/>
  <c r="AS311" i="1"/>
  <c r="AK312" i="1"/>
  <c r="AL312" i="1"/>
  <c r="I312" i="1"/>
  <c r="AS312" i="1"/>
  <c r="AK313" i="1"/>
  <c r="AL313" i="1"/>
  <c r="I313" i="1"/>
  <c r="AS313" i="1"/>
  <c r="AY311" i="1"/>
  <c r="AK314" i="1"/>
  <c r="AL314" i="1"/>
  <c r="I314" i="1"/>
  <c r="AS314" i="1"/>
  <c r="AY314" i="1"/>
  <c r="BA305" i="1"/>
  <c r="BC305" i="1"/>
  <c r="AK315" i="1"/>
  <c r="AL315" i="1"/>
  <c r="I315" i="1"/>
  <c r="AS315" i="1"/>
  <c r="AY315" i="1"/>
  <c r="BA315" i="1"/>
  <c r="BC315" i="1"/>
  <c r="AK316" i="1"/>
  <c r="AL316" i="1"/>
  <c r="AS316" i="1"/>
  <c r="AK317" i="1"/>
  <c r="AL317" i="1"/>
  <c r="AS317" i="1"/>
  <c r="AK318" i="1"/>
  <c r="AL318" i="1"/>
  <c r="AS318" i="1"/>
  <c r="AK319" i="1"/>
  <c r="AL319" i="1"/>
  <c r="AS319" i="1"/>
  <c r="AK320" i="1"/>
  <c r="AL320" i="1"/>
  <c r="AS320" i="1"/>
  <c r="AK321" i="1"/>
  <c r="AL321" i="1"/>
  <c r="AS321" i="1"/>
  <c r="AK322" i="1"/>
  <c r="AL322" i="1"/>
  <c r="AS322" i="1"/>
  <c r="AK323" i="1"/>
  <c r="AL323" i="1"/>
  <c r="AS323" i="1"/>
  <c r="AK324" i="1"/>
  <c r="AL324" i="1"/>
  <c r="AS324" i="1"/>
  <c r="AK325" i="1"/>
  <c r="AL325" i="1"/>
  <c r="AS325" i="1"/>
  <c r="AK326" i="1"/>
  <c r="AL326" i="1"/>
  <c r="AS326" i="1"/>
  <c r="AK327" i="1"/>
  <c r="AL327" i="1"/>
  <c r="AS327" i="1"/>
  <c r="AK328" i="1"/>
  <c r="AL328" i="1"/>
  <c r="AS328" i="1"/>
  <c r="AK329" i="1"/>
  <c r="AL329" i="1"/>
  <c r="AS329" i="1"/>
  <c r="AK330" i="1"/>
  <c r="AL330" i="1"/>
  <c r="AS330" i="1"/>
  <c r="AK331" i="1"/>
  <c r="AL331" i="1"/>
  <c r="AS331" i="1"/>
  <c r="AK332" i="1"/>
  <c r="AL332" i="1"/>
  <c r="AS332" i="1"/>
  <c r="AK333" i="1"/>
  <c r="AL333" i="1"/>
  <c r="AS333" i="1"/>
  <c r="AK334" i="1"/>
  <c r="AL334" i="1"/>
  <c r="AS334" i="1"/>
  <c r="AK335" i="1"/>
  <c r="AL335" i="1"/>
  <c r="AS335" i="1"/>
  <c r="AK336" i="1"/>
  <c r="AL336" i="1"/>
  <c r="AS336" i="1"/>
  <c r="AK337" i="1"/>
  <c r="AL337" i="1"/>
  <c r="I337" i="1"/>
  <c r="AS337" i="1"/>
  <c r="AK338" i="1"/>
  <c r="AL338" i="1"/>
  <c r="I338" i="1"/>
  <c r="AS338" i="1"/>
  <c r="AK339" i="1"/>
  <c r="AL339" i="1"/>
  <c r="I339" i="1"/>
  <c r="AS339" i="1"/>
  <c r="AK340" i="1"/>
  <c r="AL340" i="1"/>
  <c r="I340" i="1"/>
  <c r="AS340" i="1"/>
  <c r="AK341" i="1"/>
  <c r="AL341" i="1"/>
  <c r="I341" i="1"/>
  <c r="AS341" i="1"/>
  <c r="AK342" i="1"/>
  <c r="AL342" i="1"/>
  <c r="I342" i="1"/>
  <c r="AS342" i="1"/>
  <c r="AK343" i="1"/>
  <c r="AL343" i="1"/>
  <c r="I343" i="1"/>
  <c r="AS343" i="1"/>
  <c r="AK344" i="1"/>
  <c r="AL344" i="1"/>
  <c r="I344" i="1"/>
  <c r="AS344" i="1"/>
  <c r="AY316" i="1"/>
  <c r="AK345" i="1"/>
  <c r="AL345" i="1"/>
  <c r="I345" i="1"/>
  <c r="AS345" i="1"/>
  <c r="AK346" i="1"/>
  <c r="AL346" i="1"/>
  <c r="I346" i="1"/>
  <c r="AS346" i="1"/>
  <c r="AK347" i="1"/>
  <c r="AL347" i="1"/>
  <c r="I347" i="1"/>
  <c r="AS347" i="1"/>
  <c r="AY345" i="1"/>
  <c r="AK348" i="1"/>
  <c r="AL348" i="1"/>
  <c r="I348" i="1"/>
  <c r="AS348" i="1"/>
  <c r="AK349" i="1"/>
  <c r="AL349" i="1"/>
  <c r="I349" i="1"/>
  <c r="AS349" i="1"/>
  <c r="AY348" i="1"/>
  <c r="BA316" i="1"/>
  <c r="BC316" i="1"/>
  <c r="AK350" i="1"/>
  <c r="AL350" i="1"/>
  <c r="I350" i="1"/>
  <c r="AS350" i="1"/>
  <c r="AK351" i="1"/>
  <c r="AL351" i="1"/>
  <c r="I351" i="1"/>
  <c r="AS351" i="1"/>
  <c r="AK352" i="1"/>
  <c r="AL352" i="1"/>
  <c r="I352" i="1"/>
  <c r="AS352" i="1"/>
  <c r="AK353" i="1"/>
  <c r="AL353" i="1"/>
  <c r="I353" i="1"/>
  <c r="AS353" i="1"/>
  <c r="AY350" i="1"/>
  <c r="AK354" i="1"/>
  <c r="AL354" i="1"/>
  <c r="I354" i="1"/>
  <c r="AS354" i="1"/>
  <c r="AK355" i="1"/>
  <c r="AL355" i="1"/>
  <c r="I355" i="1"/>
  <c r="AS355" i="1"/>
  <c r="AK356" i="1"/>
  <c r="AL356" i="1"/>
  <c r="I356" i="1"/>
  <c r="AS356" i="1"/>
  <c r="AK357" i="1"/>
  <c r="AL357" i="1"/>
  <c r="I357" i="1"/>
  <c r="AS357" i="1"/>
  <c r="AK358" i="1"/>
  <c r="AL358" i="1"/>
  <c r="I358" i="1"/>
  <c r="AS358" i="1"/>
  <c r="AK359" i="1"/>
  <c r="AL359" i="1"/>
  <c r="I359" i="1"/>
  <c r="AS359" i="1"/>
  <c r="AY354" i="1"/>
  <c r="AK360" i="1"/>
  <c r="AL360" i="1"/>
  <c r="I360" i="1"/>
  <c r="AS360" i="1"/>
  <c r="AK361" i="1"/>
  <c r="AL361" i="1"/>
  <c r="I361" i="1"/>
  <c r="AS361" i="1"/>
  <c r="AK362" i="1"/>
  <c r="AL362" i="1"/>
  <c r="I362" i="1"/>
  <c r="AS362" i="1"/>
  <c r="AK363" i="1"/>
  <c r="AL363" i="1"/>
  <c r="I363" i="1"/>
  <c r="AS363" i="1"/>
  <c r="AK364" i="1"/>
  <c r="AL364" i="1"/>
  <c r="I364" i="1"/>
  <c r="AS364" i="1"/>
  <c r="AK365" i="1"/>
  <c r="AL365" i="1"/>
  <c r="I365" i="1"/>
  <c r="AS365" i="1"/>
  <c r="AK366" i="1"/>
  <c r="AL366" i="1"/>
  <c r="I366" i="1"/>
  <c r="AS366" i="1"/>
  <c r="AY360" i="1"/>
  <c r="BA350" i="1"/>
  <c r="BC350" i="1"/>
  <c r="AK367" i="1"/>
  <c r="AL367" i="1"/>
  <c r="I367" i="1"/>
  <c r="AS367" i="1"/>
  <c r="AY367" i="1"/>
  <c r="BA367" i="1"/>
  <c r="BC367" i="1"/>
  <c r="AK368" i="1"/>
  <c r="AL368" i="1"/>
  <c r="I368" i="1"/>
  <c r="AS368" i="1"/>
  <c r="AK369" i="1"/>
  <c r="AL369" i="1"/>
  <c r="I369" i="1"/>
  <c r="AS369" i="1"/>
  <c r="AY368" i="1"/>
  <c r="BA368" i="1"/>
  <c r="BC368" i="1"/>
  <c r="AK370" i="1"/>
  <c r="AL370" i="1"/>
  <c r="I370" i="1"/>
  <c r="AS370" i="1"/>
  <c r="AK371" i="1"/>
  <c r="AL371" i="1"/>
  <c r="I371" i="1"/>
  <c r="AS371" i="1"/>
  <c r="AK372" i="1"/>
  <c r="AL372" i="1"/>
  <c r="I372" i="1"/>
  <c r="AS372" i="1"/>
  <c r="AY370" i="1"/>
  <c r="BA370" i="1"/>
  <c r="BC370" i="1"/>
  <c r="AK373" i="1"/>
  <c r="AL373" i="1"/>
  <c r="G373" i="1"/>
  <c r="AS373" i="1"/>
  <c r="AK374" i="1"/>
  <c r="AL374" i="1"/>
  <c r="G374" i="1"/>
  <c r="AS374" i="1"/>
  <c r="AY373" i="1"/>
  <c r="BA373" i="1"/>
  <c r="BC373" i="1"/>
  <c r="AK375" i="1"/>
  <c r="AL375" i="1"/>
  <c r="G375" i="1"/>
  <c r="AS375" i="1"/>
  <c r="AK376" i="1"/>
  <c r="AL376" i="1"/>
  <c r="G376" i="1"/>
  <c r="AS376" i="1"/>
  <c r="AK377" i="1"/>
  <c r="AL377" i="1"/>
  <c r="G377" i="1"/>
  <c r="AS377" i="1"/>
  <c r="AK378" i="1"/>
  <c r="AL378" i="1"/>
  <c r="G378" i="1"/>
  <c r="AS378" i="1"/>
  <c r="AK379" i="1"/>
  <c r="AL379" i="1"/>
  <c r="G379" i="1"/>
  <c r="AS379" i="1"/>
  <c r="AK380" i="1"/>
  <c r="AL380" i="1"/>
  <c r="G380" i="1"/>
  <c r="AS380" i="1"/>
  <c r="AK381" i="1"/>
  <c r="AL381" i="1"/>
  <c r="G381" i="1"/>
  <c r="AS381" i="1"/>
  <c r="AK382" i="1"/>
  <c r="AL382" i="1"/>
  <c r="G382" i="1"/>
  <c r="AS382" i="1"/>
  <c r="AK383" i="1"/>
  <c r="AL383" i="1"/>
  <c r="G383" i="1"/>
  <c r="AS383" i="1"/>
  <c r="AK384" i="1"/>
  <c r="AL384" i="1"/>
  <c r="G384" i="1"/>
  <c r="AS384" i="1"/>
  <c r="AK385" i="1"/>
  <c r="AL385" i="1"/>
  <c r="G385" i="1"/>
  <c r="AS385" i="1"/>
  <c r="AK386" i="1"/>
  <c r="AL386" i="1"/>
  <c r="G386" i="1"/>
  <c r="AS386" i="1"/>
  <c r="AK387" i="1"/>
  <c r="AL387" i="1"/>
  <c r="G387" i="1"/>
  <c r="AS387" i="1"/>
  <c r="AK388" i="1"/>
  <c r="AL388" i="1"/>
  <c r="G388" i="1"/>
  <c r="AS388" i="1"/>
  <c r="AK389" i="1"/>
  <c r="AL389" i="1"/>
  <c r="G389" i="1"/>
  <c r="AS389" i="1"/>
  <c r="AK390" i="1"/>
  <c r="AL390" i="1"/>
  <c r="G390" i="1"/>
  <c r="AS390" i="1"/>
  <c r="AK391" i="1"/>
  <c r="AL391" i="1"/>
  <c r="G391" i="1"/>
  <c r="AS391" i="1"/>
  <c r="AK392" i="1"/>
  <c r="AL392" i="1"/>
  <c r="G392" i="1"/>
  <c r="AS392" i="1"/>
  <c r="AK393" i="1"/>
  <c r="AL393" i="1"/>
  <c r="G393" i="1"/>
  <c r="AS393" i="1"/>
  <c r="AK394" i="1"/>
  <c r="AL394" i="1"/>
  <c r="G394" i="1"/>
  <c r="AS394" i="1"/>
  <c r="AK395" i="1"/>
  <c r="AL395" i="1"/>
  <c r="G395" i="1"/>
  <c r="AS395" i="1"/>
  <c r="AK396" i="1"/>
  <c r="AL396" i="1"/>
  <c r="G396" i="1"/>
  <c r="AS396" i="1"/>
  <c r="AK397" i="1"/>
  <c r="AL397" i="1"/>
  <c r="G397" i="1"/>
  <c r="AS397" i="1"/>
  <c r="AK398" i="1"/>
  <c r="AL398" i="1"/>
  <c r="G398" i="1"/>
  <c r="AS398" i="1"/>
  <c r="AK399" i="1"/>
  <c r="AL399" i="1"/>
  <c r="G399" i="1"/>
  <c r="AS399" i="1"/>
  <c r="AK400" i="1"/>
  <c r="AL400" i="1"/>
  <c r="G400" i="1"/>
  <c r="AS400" i="1"/>
  <c r="AY375" i="1"/>
  <c r="BA375" i="1"/>
  <c r="BC375" i="1"/>
  <c r="AK401" i="1"/>
  <c r="AL401" i="1"/>
  <c r="G401" i="1"/>
  <c r="AS401" i="1"/>
  <c r="AK402" i="1"/>
  <c r="AL402" i="1"/>
  <c r="G402" i="1"/>
  <c r="AS402" i="1"/>
  <c r="AK403" i="1"/>
  <c r="AL403" i="1"/>
  <c r="G403" i="1"/>
  <c r="AS403" i="1"/>
  <c r="AY401" i="1"/>
  <c r="BA401" i="1"/>
  <c r="BC401" i="1"/>
  <c r="AK404" i="1"/>
  <c r="AL404" i="1"/>
  <c r="AS404" i="1"/>
  <c r="AK405" i="1"/>
  <c r="AL405" i="1"/>
  <c r="AS405" i="1"/>
  <c r="AK406" i="1"/>
  <c r="AL406" i="1"/>
  <c r="AS406" i="1"/>
  <c r="AK407" i="1"/>
  <c r="AL407" i="1"/>
  <c r="AS407" i="1"/>
  <c r="AK408" i="1"/>
  <c r="AL408" i="1"/>
  <c r="AS408" i="1"/>
  <c r="AK409" i="1"/>
  <c r="AL409" i="1"/>
  <c r="AS409" i="1"/>
  <c r="AK410" i="1"/>
  <c r="AL410" i="1"/>
  <c r="AS410" i="1"/>
  <c r="AK411" i="1"/>
  <c r="AL411" i="1"/>
  <c r="AS411" i="1"/>
  <c r="AK412" i="1"/>
  <c r="AL412" i="1"/>
  <c r="AS412" i="1"/>
  <c r="AK413" i="1"/>
  <c r="AL413" i="1"/>
  <c r="AS413" i="1"/>
  <c r="AK414" i="1"/>
  <c r="AL414" i="1"/>
  <c r="AS414" i="1"/>
  <c r="AK415" i="1"/>
  <c r="AL415" i="1"/>
  <c r="AS415" i="1"/>
  <c r="AK416" i="1"/>
  <c r="AL416" i="1"/>
  <c r="AS416" i="1"/>
  <c r="AK417" i="1"/>
  <c r="AL417" i="1"/>
  <c r="AS417" i="1"/>
  <c r="AK418" i="1"/>
  <c r="AL418" i="1"/>
  <c r="AS418" i="1"/>
  <c r="AK419" i="1"/>
  <c r="AL419" i="1"/>
  <c r="AS419" i="1"/>
  <c r="AK420" i="1"/>
  <c r="AL420" i="1"/>
  <c r="AS420" i="1"/>
  <c r="AK421" i="1"/>
  <c r="AL421" i="1"/>
  <c r="AS421" i="1"/>
  <c r="AY404" i="1"/>
  <c r="BA404" i="1"/>
  <c r="BC404" i="1"/>
  <c r="AK422" i="1"/>
  <c r="AL422" i="1"/>
  <c r="I422" i="1"/>
  <c r="AS422" i="1"/>
  <c r="AK423" i="1"/>
  <c r="AL423" i="1"/>
  <c r="I423" i="1"/>
  <c r="AS423" i="1"/>
  <c r="AY422" i="1"/>
  <c r="BA422" i="1"/>
  <c r="BC422" i="1"/>
  <c r="AK424" i="1"/>
  <c r="AL424" i="1"/>
  <c r="AS424" i="1"/>
  <c r="AK425" i="1"/>
  <c r="AL425" i="1"/>
  <c r="AS425" i="1"/>
  <c r="AK426" i="1"/>
  <c r="AL426" i="1"/>
  <c r="AS426" i="1"/>
  <c r="AK427" i="1"/>
  <c r="AL427" i="1"/>
  <c r="AS427" i="1"/>
  <c r="AK428" i="1"/>
  <c r="AL428" i="1"/>
  <c r="AS428" i="1"/>
  <c r="AK429" i="1"/>
  <c r="AL429" i="1"/>
  <c r="AS429" i="1"/>
  <c r="AK430" i="1"/>
  <c r="AL430" i="1"/>
  <c r="AS430" i="1"/>
  <c r="AK431" i="1"/>
  <c r="AL431" i="1"/>
  <c r="AS431" i="1"/>
  <c r="AK432" i="1"/>
  <c r="AL432" i="1"/>
  <c r="AS432" i="1"/>
  <c r="AK433" i="1"/>
  <c r="AL433" i="1"/>
  <c r="AS433" i="1"/>
  <c r="AK434" i="1"/>
  <c r="AL434" i="1"/>
  <c r="AS434" i="1"/>
  <c r="AK435" i="1"/>
  <c r="AL435" i="1"/>
  <c r="AS435" i="1"/>
  <c r="AK436" i="1"/>
  <c r="AL436" i="1"/>
  <c r="AS436" i="1"/>
  <c r="AK437" i="1"/>
  <c r="AL437" i="1"/>
  <c r="AS437" i="1"/>
  <c r="AK438" i="1"/>
  <c r="AL438" i="1"/>
  <c r="AS438" i="1"/>
  <c r="AK439" i="1"/>
  <c r="AL439" i="1"/>
  <c r="AS439" i="1"/>
  <c r="AK440" i="1"/>
  <c r="AL440" i="1"/>
  <c r="AS440" i="1"/>
  <c r="AK441" i="1"/>
  <c r="AL441" i="1"/>
  <c r="AS441" i="1"/>
  <c r="AK442" i="1"/>
  <c r="AL442" i="1"/>
  <c r="AS442" i="1"/>
  <c r="AK443" i="1"/>
  <c r="AL443" i="1"/>
  <c r="I443" i="1"/>
  <c r="AS443" i="1"/>
  <c r="AK444" i="1"/>
  <c r="AL444" i="1"/>
  <c r="I444" i="1"/>
  <c r="AS444" i="1"/>
  <c r="AK445" i="1"/>
  <c r="AL445" i="1"/>
  <c r="I445" i="1"/>
  <c r="AS445" i="1"/>
  <c r="AY424" i="1"/>
  <c r="BA424" i="1"/>
  <c r="BC424" i="1"/>
  <c r="AK446" i="1"/>
  <c r="AL446" i="1"/>
  <c r="I446" i="1"/>
  <c r="AS446" i="1"/>
  <c r="AK447" i="1"/>
  <c r="AL447" i="1"/>
  <c r="AS447" i="1"/>
  <c r="AY446" i="1"/>
  <c r="BA446" i="1"/>
  <c r="BC446" i="1"/>
  <c r="AK448" i="1"/>
  <c r="AL448" i="1"/>
  <c r="I448" i="1"/>
  <c r="AS448" i="1"/>
  <c r="AY448" i="1"/>
  <c r="BA448" i="1"/>
  <c r="BC448" i="1"/>
  <c r="AK449" i="1"/>
  <c r="AL449" i="1"/>
  <c r="I449" i="1"/>
  <c r="AS449" i="1"/>
  <c r="AY449" i="1"/>
  <c r="BA449" i="1"/>
  <c r="BC449" i="1"/>
  <c r="BE197" i="1"/>
  <c r="G6" i="1"/>
  <c r="K6" i="1"/>
  <c r="K17" i="3"/>
  <c r="R55" i="1"/>
  <c r="AK55" i="1"/>
  <c r="AL55" i="1"/>
  <c r="AS55" i="1"/>
  <c r="R56" i="1"/>
  <c r="AK56" i="1"/>
  <c r="AL56" i="1"/>
  <c r="AS56" i="1"/>
  <c r="R57" i="1"/>
  <c r="AK57" i="1"/>
  <c r="AL57" i="1"/>
  <c r="AS57" i="1"/>
  <c r="R58" i="1"/>
  <c r="AK58" i="1"/>
  <c r="AL58" i="1"/>
  <c r="AS58" i="1"/>
  <c r="R59" i="1"/>
  <c r="AK59" i="1"/>
  <c r="AL59" i="1"/>
  <c r="AS59" i="1"/>
  <c r="R60" i="1"/>
  <c r="AK60" i="1"/>
  <c r="AL60" i="1"/>
  <c r="AS60" i="1"/>
  <c r="R61" i="1"/>
  <c r="AK61" i="1"/>
  <c r="AL61" i="1"/>
  <c r="AS61" i="1"/>
  <c r="R62" i="1"/>
  <c r="AK62" i="1"/>
  <c r="AL62" i="1"/>
  <c r="AS62" i="1"/>
  <c r="R63" i="1"/>
  <c r="AK63" i="1"/>
  <c r="AL63" i="1"/>
  <c r="AS63" i="1"/>
  <c r="R64" i="1"/>
  <c r="AK64" i="1"/>
  <c r="AL64" i="1"/>
  <c r="AS64" i="1"/>
  <c r="R65" i="1"/>
  <c r="AK65" i="1"/>
  <c r="AL65" i="1"/>
  <c r="G65" i="1"/>
  <c r="F65" i="1"/>
  <c r="I65" i="1"/>
  <c r="AS65" i="1"/>
  <c r="R66" i="1"/>
  <c r="AK66" i="1"/>
  <c r="AL66" i="1"/>
  <c r="AS66" i="1"/>
  <c r="AY55" i="1"/>
  <c r="R67" i="1"/>
  <c r="AK67" i="1"/>
  <c r="AL67" i="1"/>
  <c r="G67" i="1"/>
  <c r="F67" i="1"/>
  <c r="I67" i="1"/>
  <c r="AS67" i="1"/>
  <c r="R68" i="1"/>
  <c r="AK68" i="1"/>
  <c r="AL68" i="1"/>
  <c r="AS68" i="1"/>
  <c r="AY67" i="1"/>
  <c r="R69" i="1"/>
  <c r="AK69" i="1"/>
  <c r="AL69" i="1"/>
  <c r="G69" i="1"/>
  <c r="F69" i="1"/>
  <c r="I69" i="1"/>
  <c r="AS69" i="1"/>
  <c r="R70" i="1"/>
  <c r="AK70" i="1"/>
  <c r="AL70" i="1"/>
  <c r="AS70" i="1"/>
  <c r="AY69" i="1"/>
  <c r="R71" i="1"/>
  <c r="AK71" i="1"/>
  <c r="AL71" i="1"/>
  <c r="G71" i="1"/>
  <c r="F71" i="1"/>
  <c r="I71" i="1"/>
  <c r="AS71" i="1"/>
  <c r="R72" i="1"/>
  <c r="AK72" i="1"/>
  <c r="AL72" i="1"/>
  <c r="AS72" i="1"/>
  <c r="AY71" i="1"/>
  <c r="R73" i="1"/>
  <c r="AK73" i="1"/>
  <c r="AL73" i="1"/>
  <c r="G73" i="1"/>
  <c r="F73" i="1"/>
  <c r="I73" i="1"/>
  <c r="AS73" i="1"/>
  <c r="R74" i="1"/>
  <c r="AK74" i="1"/>
  <c r="AL74" i="1"/>
  <c r="AS74" i="1"/>
  <c r="R75" i="1"/>
  <c r="AK75" i="1"/>
  <c r="AL75" i="1"/>
  <c r="AS75" i="1"/>
  <c r="R76" i="1"/>
  <c r="AK76" i="1"/>
  <c r="AL76" i="1"/>
  <c r="AS76" i="1"/>
  <c r="R77" i="1"/>
  <c r="AK77" i="1"/>
  <c r="AL77" i="1"/>
  <c r="AS77" i="1"/>
  <c r="R78" i="1"/>
  <c r="AK78" i="1"/>
  <c r="AL78" i="1"/>
  <c r="AS78" i="1"/>
  <c r="R79" i="1"/>
  <c r="AK79" i="1"/>
  <c r="AL79" i="1"/>
  <c r="AS79" i="1"/>
  <c r="R80" i="1"/>
  <c r="AK80" i="1"/>
  <c r="AL80" i="1"/>
  <c r="AS80" i="1"/>
  <c r="R81" i="1"/>
  <c r="AK81" i="1"/>
  <c r="AL81" i="1"/>
  <c r="AS81" i="1"/>
  <c r="R82" i="1"/>
  <c r="AK82" i="1"/>
  <c r="AL82" i="1"/>
  <c r="AS82" i="1"/>
  <c r="R83" i="1"/>
  <c r="AK83" i="1"/>
  <c r="AL83" i="1"/>
  <c r="AS83" i="1"/>
  <c r="R84" i="1"/>
  <c r="AK84" i="1"/>
  <c r="AL84" i="1"/>
  <c r="AS84" i="1"/>
  <c r="R85" i="1"/>
  <c r="AK85" i="1"/>
  <c r="AL85" i="1"/>
  <c r="AS85" i="1"/>
  <c r="R86" i="1"/>
  <c r="AK86" i="1"/>
  <c r="AL86" i="1"/>
  <c r="AS86" i="1"/>
  <c r="AY73" i="1"/>
  <c r="BA55" i="1"/>
  <c r="BC55" i="1"/>
  <c r="R87" i="1"/>
  <c r="AK87" i="1"/>
  <c r="AL87" i="1"/>
  <c r="AS87" i="1"/>
  <c r="R88" i="1"/>
  <c r="AK88" i="1"/>
  <c r="AL88" i="1"/>
  <c r="AS88" i="1"/>
  <c r="R89" i="1"/>
  <c r="AK89" i="1"/>
  <c r="AL89" i="1"/>
  <c r="AS89" i="1"/>
  <c r="R90" i="1"/>
  <c r="AK90" i="1"/>
  <c r="AL90" i="1"/>
  <c r="AS90" i="1"/>
  <c r="R91" i="1"/>
  <c r="AK91" i="1"/>
  <c r="AL91" i="1"/>
  <c r="AS91" i="1"/>
  <c r="R92" i="1"/>
  <c r="AK92" i="1"/>
  <c r="AL92" i="1"/>
  <c r="AS92" i="1"/>
  <c r="R93" i="1"/>
  <c r="AK93" i="1"/>
  <c r="AL93" i="1"/>
  <c r="AS93" i="1"/>
  <c r="AY87" i="1"/>
  <c r="BA87" i="1"/>
  <c r="BC87" i="1"/>
  <c r="R94" i="1"/>
  <c r="AK94" i="1"/>
  <c r="AL94" i="1"/>
  <c r="AS94" i="1"/>
  <c r="R95" i="1"/>
  <c r="AK95" i="1"/>
  <c r="AL95" i="1"/>
  <c r="AS95" i="1"/>
  <c r="R96" i="1"/>
  <c r="AK96" i="1"/>
  <c r="AL96" i="1"/>
  <c r="AS96" i="1"/>
  <c r="R97" i="1"/>
  <c r="AK97" i="1"/>
  <c r="AL97" i="1"/>
  <c r="AS97" i="1"/>
  <c r="R98" i="1"/>
  <c r="AK98" i="1"/>
  <c r="AL98" i="1"/>
  <c r="AS98" i="1"/>
  <c r="R99" i="1"/>
  <c r="AK99" i="1"/>
  <c r="AL99" i="1"/>
  <c r="AS99" i="1"/>
  <c r="R100" i="1"/>
  <c r="AK100" i="1"/>
  <c r="AL100" i="1"/>
  <c r="AS100" i="1"/>
  <c r="R101" i="1"/>
  <c r="AK101" i="1"/>
  <c r="AL101" i="1"/>
  <c r="AS101" i="1"/>
  <c r="R102" i="1"/>
  <c r="AK102" i="1"/>
  <c r="AL102" i="1"/>
  <c r="AS102" i="1"/>
  <c r="N103" i="1"/>
  <c r="R103" i="1"/>
  <c r="AK103" i="1"/>
  <c r="AL103" i="1"/>
  <c r="AS103" i="1"/>
  <c r="AY94" i="1"/>
  <c r="N104" i="1"/>
  <c r="R104" i="1"/>
  <c r="AK104" i="1"/>
  <c r="AL104" i="1"/>
  <c r="AS104" i="1"/>
  <c r="AY104" i="1"/>
  <c r="N105" i="1"/>
  <c r="R105" i="1"/>
  <c r="AK105" i="1"/>
  <c r="AL105" i="1"/>
  <c r="AS105" i="1"/>
  <c r="AY105" i="1"/>
  <c r="N106" i="1"/>
  <c r="R106" i="1"/>
  <c r="AK106" i="1"/>
  <c r="AL106" i="1"/>
  <c r="AS106" i="1"/>
  <c r="AY106" i="1"/>
  <c r="BA94" i="1"/>
  <c r="BC94" i="1"/>
  <c r="N107" i="1"/>
  <c r="R107" i="1"/>
  <c r="AK107" i="1"/>
  <c r="AL107" i="1"/>
  <c r="AS107" i="1"/>
  <c r="R108" i="1"/>
  <c r="AK108" i="1"/>
  <c r="AL108" i="1"/>
  <c r="G108" i="1"/>
  <c r="F108" i="1"/>
  <c r="I108" i="1"/>
  <c r="AS108" i="1"/>
  <c r="R109" i="1"/>
  <c r="AK109" i="1"/>
  <c r="AL109" i="1"/>
  <c r="AS109" i="1"/>
  <c r="AY107" i="1"/>
  <c r="N110" i="1"/>
  <c r="R110" i="1"/>
  <c r="AK110" i="1"/>
  <c r="AL110" i="1"/>
  <c r="AS110" i="1"/>
  <c r="R111" i="1"/>
  <c r="AK111" i="1"/>
  <c r="AL111" i="1"/>
  <c r="G111" i="1"/>
  <c r="F111" i="1"/>
  <c r="I111" i="1"/>
  <c r="AS111" i="1"/>
  <c r="R112" i="1"/>
  <c r="AK112" i="1"/>
  <c r="AL112" i="1"/>
  <c r="AS112" i="1"/>
  <c r="AY110" i="1"/>
  <c r="N113" i="1"/>
  <c r="R113" i="1"/>
  <c r="AK113" i="1"/>
  <c r="AL113" i="1"/>
  <c r="AS113" i="1"/>
  <c r="R114" i="1"/>
  <c r="AK114" i="1"/>
  <c r="AL114" i="1"/>
  <c r="G114" i="1"/>
  <c r="F114" i="1"/>
  <c r="I114" i="1"/>
  <c r="AS114" i="1"/>
  <c r="R115" i="1"/>
  <c r="AK115" i="1"/>
  <c r="AL115" i="1"/>
  <c r="AS115" i="1"/>
  <c r="AY113" i="1"/>
  <c r="N116" i="1"/>
  <c r="R116" i="1"/>
  <c r="AK116" i="1"/>
  <c r="AL116" i="1"/>
  <c r="AS116" i="1"/>
  <c r="R117" i="1"/>
  <c r="AK117" i="1"/>
  <c r="AL117" i="1"/>
  <c r="G117" i="1"/>
  <c r="F117" i="1"/>
  <c r="I117" i="1"/>
  <c r="AS117" i="1"/>
  <c r="R118" i="1"/>
  <c r="AK118" i="1"/>
  <c r="AL118" i="1"/>
  <c r="AS118" i="1"/>
  <c r="AY116" i="1"/>
  <c r="R119" i="1"/>
  <c r="AK119" i="1"/>
  <c r="AL119" i="1"/>
  <c r="G119" i="1"/>
  <c r="F119" i="1"/>
  <c r="I119" i="1"/>
  <c r="AS119" i="1"/>
  <c r="R120" i="1"/>
  <c r="AK120" i="1"/>
  <c r="AL120" i="1"/>
  <c r="AS120" i="1"/>
  <c r="AY119" i="1"/>
  <c r="BA107" i="1"/>
  <c r="BC107" i="1"/>
  <c r="N121" i="1"/>
  <c r="R121" i="1"/>
  <c r="AK121" i="1"/>
  <c r="AL121" i="1"/>
  <c r="AS121" i="1"/>
  <c r="AY121" i="1"/>
  <c r="N122" i="1"/>
  <c r="R122" i="1"/>
  <c r="AK122" i="1"/>
  <c r="AL122" i="1"/>
  <c r="AS122" i="1"/>
  <c r="AY122" i="1"/>
  <c r="N123" i="1"/>
  <c r="R123" i="1"/>
  <c r="AK123" i="1"/>
  <c r="AL123" i="1"/>
  <c r="AS123" i="1"/>
  <c r="AY123" i="1"/>
  <c r="BA121" i="1"/>
  <c r="BC121" i="1"/>
  <c r="N124" i="1"/>
  <c r="R124" i="1"/>
  <c r="AK124" i="1"/>
  <c r="AL124" i="1"/>
  <c r="AS124" i="1"/>
  <c r="AY124" i="1"/>
  <c r="N125" i="1"/>
  <c r="R125" i="1"/>
  <c r="AK125" i="1"/>
  <c r="AL125" i="1"/>
  <c r="AS125" i="1"/>
  <c r="AY125" i="1"/>
  <c r="N126" i="1"/>
  <c r="R126" i="1"/>
  <c r="AK126" i="1"/>
  <c r="AL126" i="1"/>
  <c r="AS126" i="1"/>
  <c r="AY126" i="1"/>
  <c r="N127" i="1"/>
  <c r="R127" i="1"/>
  <c r="AK127" i="1"/>
  <c r="AL127" i="1"/>
  <c r="AS127" i="1"/>
  <c r="AY127" i="1"/>
  <c r="BA124" i="1"/>
  <c r="BC124" i="1"/>
  <c r="R128" i="1"/>
  <c r="AK128" i="1"/>
  <c r="AL128" i="1"/>
  <c r="G128" i="1"/>
  <c r="F128" i="1"/>
  <c r="I128" i="1"/>
  <c r="AS128" i="1"/>
  <c r="R129" i="1"/>
  <c r="AK129" i="1"/>
  <c r="AL129" i="1"/>
  <c r="AS129" i="1"/>
  <c r="AY128" i="1"/>
  <c r="R130" i="1"/>
  <c r="AK130" i="1"/>
  <c r="AL130" i="1"/>
  <c r="G130" i="1"/>
  <c r="F130" i="1"/>
  <c r="I130" i="1"/>
  <c r="AS130" i="1"/>
  <c r="R131" i="1"/>
  <c r="AK131" i="1"/>
  <c r="AL131" i="1"/>
  <c r="AS131" i="1"/>
  <c r="AY130" i="1"/>
  <c r="R132" i="1"/>
  <c r="AK132" i="1"/>
  <c r="AL132" i="1"/>
  <c r="G132" i="1"/>
  <c r="F132" i="1"/>
  <c r="I132" i="1"/>
  <c r="AS132" i="1"/>
  <c r="R133" i="1"/>
  <c r="AK133" i="1"/>
  <c r="AL133" i="1"/>
  <c r="AS133" i="1"/>
  <c r="AY132" i="1"/>
  <c r="R134" i="1"/>
  <c r="AK134" i="1"/>
  <c r="AL134" i="1"/>
  <c r="G134" i="1"/>
  <c r="F134" i="1"/>
  <c r="I134" i="1"/>
  <c r="AS134" i="1"/>
  <c r="R135" i="1"/>
  <c r="AK135" i="1"/>
  <c r="AL135" i="1"/>
  <c r="AS135" i="1"/>
  <c r="AY134" i="1"/>
  <c r="R136" i="1"/>
  <c r="AK136" i="1"/>
  <c r="AL136" i="1"/>
  <c r="G136" i="1"/>
  <c r="F136" i="1"/>
  <c r="I136" i="1"/>
  <c r="AS136" i="1"/>
  <c r="R137" i="1"/>
  <c r="AK137" i="1"/>
  <c r="AL137" i="1"/>
  <c r="AS137" i="1"/>
  <c r="AY136" i="1"/>
  <c r="BA128" i="1"/>
  <c r="BC128" i="1"/>
  <c r="R138" i="1"/>
  <c r="AK138" i="1"/>
  <c r="AL138" i="1"/>
  <c r="AS138" i="1"/>
  <c r="R139" i="1"/>
  <c r="AK139" i="1"/>
  <c r="AL139" i="1"/>
  <c r="AS139" i="1"/>
  <c r="R140" i="1"/>
  <c r="AK140" i="1"/>
  <c r="AL140" i="1"/>
  <c r="AS140" i="1"/>
  <c r="R141" i="1"/>
  <c r="AK141" i="1"/>
  <c r="AL141" i="1"/>
  <c r="AS141" i="1"/>
  <c r="R142" i="1"/>
  <c r="AK142" i="1"/>
  <c r="AL142" i="1"/>
  <c r="AS142" i="1"/>
  <c r="R143" i="1"/>
  <c r="AK143" i="1"/>
  <c r="AL143" i="1"/>
  <c r="AS143" i="1"/>
  <c r="R144" i="1"/>
  <c r="AK144" i="1"/>
  <c r="AL144" i="1"/>
  <c r="AS144" i="1"/>
  <c r="R145" i="1"/>
  <c r="AK145" i="1"/>
  <c r="AL145" i="1"/>
  <c r="AS145" i="1"/>
  <c r="R146" i="1"/>
  <c r="AK146" i="1"/>
  <c r="AL146" i="1"/>
  <c r="AS146" i="1"/>
  <c r="R147" i="1"/>
  <c r="AK147" i="1"/>
  <c r="AL147" i="1"/>
  <c r="AS147" i="1"/>
  <c r="N148" i="1"/>
  <c r="R148" i="1"/>
  <c r="AK148" i="1"/>
  <c r="AL148" i="1"/>
  <c r="AS148" i="1"/>
  <c r="R149" i="1"/>
  <c r="AK149" i="1"/>
  <c r="AL149" i="1"/>
  <c r="AS149" i="1"/>
  <c r="R150" i="1"/>
  <c r="AK150" i="1"/>
  <c r="AL150" i="1"/>
  <c r="AS150" i="1"/>
  <c r="R151" i="1"/>
  <c r="AK151" i="1"/>
  <c r="AL151" i="1"/>
  <c r="AS151" i="1"/>
  <c r="AY138" i="1"/>
  <c r="BA138" i="1"/>
  <c r="BC138" i="1"/>
  <c r="R152" i="1"/>
  <c r="AK152" i="1"/>
  <c r="AL152" i="1"/>
  <c r="AS152" i="1"/>
  <c r="R153" i="1"/>
  <c r="AK153" i="1"/>
  <c r="AL153" i="1"/>
  <c r="AS153" i="1"/>
  <c r="R154" i="1"/>
  <c r="AK154" i="1"/>
  <c r="AL154" i="1"/>
  <c r="AS154" i="1"/>
  <c r="R155" i="1"/>
  <c r="AK155" i="1"/>
  <c r="AL155" i="1"/>
  <c r="AS155" i="1"/>
  <c r="R156" i="1"/>
  <c r="AK156" i="1"/>
  <c r="AL156" i="1"/>
  <c r="AS156" i="1"/>
  <c r="R157" i="1"/>
  <c r="AK157" i="1"/>
  <c r="AL157" i="1"/>
  <c r="AS157" i="1"/>
  <c r="N158" i="1"/>
  <c r="R158" i="1"/>
  <c r="AK158" i="1"/>
  <c r="AL158" i="1"/>
  <c r="AS158" i="1"/>
  <c r="R159" i="1"/>
  <c r="AK159" i="1"/>
  <c r="AL159" i="1"/>
  <c r="AS159" i="1"/>
  <c r="R160" i="1"/>
  <c r="AK160" i="1"/>
  <c r="AL160" i="1"/>
  <c r="AS160" i="1"/>
  <c r="AY152" i="1"/>
  <c r="BA152" i="1"/>
  <c r="BC152" i="1"/>
  <c r="N161" i="1"/>
  <c r="R161" i="1"/>
  <c r="AK161" i="1"/>
  <c r="AL161" i="1"/>
  <c r="AS161" i="1"/>
  <c r="AY161" i="1"/>
  <c r="BA161" i="1"/>
  <c r="BC161" i="1"/>
  <c r="R162" i="1"/>
  <c r="AK162" i="1"/>
  <c r="AL162" i="1"/>
  <c r="AS162" i="1"/>
  <c r="R163" i="1"/>
  <c r="AK163" i="1"/>
  <c r="AL163" i="1"/>
  <c r="AS163" i="1"/>
  <c r="R164" i="1"/>
  <c r="AK164" i="1"/>
  <c r="AL164" i="1"/>
  <c r="AS164" i="1"/>
  <c r="R165" i="1"/>
  <c r="AK165" i="1"/>
  <c r="AL165" i="1"/>
  <c r="AS165" i="1"/>
  <c r="N166" i="1"/>
  <c r="R166" i="1"/>
  <c r="AK166" i="1"/>
  <c r="AL166" i="1"/>
  <c r="AS166" i="1"/>
  <c r="N167" i="1"/>
  <c r="R167" i="1"/>
  <c r="AK167" i="1"/>
  <c r="AL167" i="1"/>
  <c r="AS167" i="1"/>
  <c r="AY162" i="1"/>
  <c r="BA162" i="1"/>
  <c r="BC162" i="1"/>
  <c r="R168" i="1"/>
  <c r="AK168" i="1"/>
  <c r="AL168" i="1"/>
  <c r="AS168" i="1"/>
  <c r="R169" i="1"/>
  <c r="AK169" i="1"/>
  <c r="AL169" i="1"/>
  <c r="AS169" i="1"/>
  <c r="R170" i="1"/>
  <c r="AK170" i="1"/>
  <c r="AL170" i="1"/>
  <c r="AS170" i="1"/>
  <c r="R171" i="1"/>
  <c r="AK171" i="1"/>
  <c r="AL171" i="1"/>
  <c r="AS171" i="1"/>
  <c r="R172" i="1"/>
  <c r="AK172" i="1"/>
  <c r="AL172" i="1"/>
  <c r="AS172" i="1"/>
  <c r="R173" i="1"/>
  <c r="AK173" i="1"/>
  <c r="AL173" i="1"/>
  <c r="AS173" i="1"/>
  <c r="R174" i="1"/>
  <c r="AK174" i="1"/>
  <c r="AL174" i="1"/>
  <c r="AS174" i="1"/>
  <c r="R175" i="1"/>
  <c r="AK175" i="1"/>
  <c r="AL175" i="1"/>
  <c r="AS175" i="1"/>
  <c r="R176" i="1"/>
  <c r="AK176" i="1"/>
  <c r="AL176" i="1"/>
  <c r="AS176" i="1"/>
  <c r="AY168" i="1"/>
  <c r="BA168" i="1"/>
  <c r="BC168" i="1"/>
  <c r="R177" i="1"/>
  <c r="AK177" i="1"/>
  <c r="AL177" i="1"/>
  <c r="AS177" i="1"/>
  <c r="R178" i="1"/>
  <c r="AK178" i="1"/>
  <c r="AL178" i="1"/>
  <c r="AS178" i="1"/>
  <c r="R179" i="1"/>
  <c r="AK179" i="1"/>
  <c r="AL179" i="1"/>
  <c r="AS179" i="1"/>
  <c r="R180" i="1"/>
  <c r="AK180" i="1"/>
  <c r="AL180" i="1"/>
  <c r="AS180" i="1"/>
  <c r="R181" i="1"/>
  <c r="AK181" i="1"/>
  <c r="AL181" i="1"/>
  <c r="AS181" i="1"/>
  <c r="R182" i="1"/>
  <c r="AK182" i="1"/>
  <c r="AL182" i="1"/>
  <c r="AS182" i="1"/>
  <c r="R183" i="1"/>
  <c r="AK183" i="1"/>
  <c r="AL183" i="1"/>
  <c r="AS183" i="1"/>
  <c r="R184" i="1"/>
  <c r="AK184" i="1"/>
  <c r="AL184" i="1"/>
  <c r="AS184" i="1"/>
  <c r="R185" i="1"/>
  <c r="AK185" i="1"/>
  <c r="AL185" i="1"/>
  <c r="AS185" i="1"/>
  <c r="R186" i="1"/>
  <c r="AK186" i="1"/>
  <c r="AL186" i="1"/>
  <c r="AS186" i="1"/>
  <c r="AY177" i="1"/>
  <c r="BA177" i="1"/>
  <c r="BC177" i="1"/>
  <c r="R187" i="1"/>
  <c r="AK187" i="1"/>
  <c r="AL187" i="1"/>
  <c r="AS187" i="1"/>
  <c r="R188" i="1"/>
  <c r="AK188" i="1"/>
  <c r="AL188" i="1"/>
  <c r="AS188" i="1"/>
  <c r="R189" i="1"/>
  <c r="AK189" i="1"/>
  <c r="AL189" i="1"/>
  <c r="AS189" i="1"/>
  <c r="R190" i="1"/>
  <c r="AK190" i="1"/>
  <c r="AL190" i="1"/>
  <c r="AS190" i="1"/>
  <c r="R191" i="1"/>
  <c r="AK191" i="1"/>
  <c r="AL191" i="1"/>
  <c r="AS191" i="1"/>
  <c r="R192" i="1"/>
  <c r="AK192" i="1"/>
  <c r="AL192" i="1"/>
  <c r="AS192" i="1"/>
  <c r="R193" i="1"/>
  <c r="AK193" i="1"/>
  <c r="AL193" i="1"/>
  <c r="AS193" i="1"/>
  <c r="R194" i="1"/>
  <c r="AK194" i="1"/>
  <c r="AL194" i="1"/>
  <c r="AS194" i="1"/>
  <c r="R195" i="1"/>
  <c r="AK195" i="1"/>
  <c r="AL195" i="1"/>
  <c r="AS195" i="1"/>
  <c r="AY187" i="1"/>
  <c r="BA187" i="1"/>
  <c r="BC187" i="1"/>
  <c r="BE54" i="1"/>
  <c r="G5" i="1"/>
  <c r="K5" i="1"/>
  <c r="K16" i="3"/>
  <c r="O715" i="1"/>
  <c r="AG715" i="1"/>
  <c r="O716" i="1"/>
  <c r="AG716" i="1"/>
  <c r="O717" i="1"/>
  <c r="AG717" i="1"/>
  <c r="O718" i="1"/>
  <c r="AG718" i="1"/>
  <c r="O719" i="1"/>
  <c r="AG719" i="1"/>
  <c r="O720" i="1"/>
  <c r="AG720" i="1"/>
  <c r="O721" i="1"/>
  <c r="AG721" i="1"/>
  <c r="O722" i="1"/>
  <c r="AG722" i="1"/>
  <c r="O723" i="1"/>
  <c r="AG723" i="1"/>
  <c r="O724" i="1"/>
  <c r="AG724" i="1"/>
  <c r="O725" i="1"/>
  <c r="AG725" i="1"/>
  <c r="O726" i="1"/>
  <c r="AG726" i="1"/>
  <c r="O727" i="1"/>
  <c r="AG727" i="1"/>
  <c r="O728" i="1"/>
  <c r="AG728" i="1"/>
  <c r="O729" i="1"/>
  <c r="AG729" i="1"/>
  <c r="O730" i="1"/>
  <c r="AG730" i="1"/>
  <c r="O731" i="1"/>
  <c r="AG731" i="1"/>
  <c r="O732" i="1"/>
  <c r="AG732" i="1"/>
  <c r="O733" i="1"/>
  <c r="AG733" i="1"/>
  <c r="O734" i="1"/>
  <c r="AG734" i="1"/>
  <c r="O735" i="1"/>
  <c r="AG735" i="1"/>
  <c r="O736" i="1"/>
  <c r="AG736" i="1"/>
  <c r="O737" i="1"/>
  <c r="AG737" i="1"/>
  <c r="O738" i="1"/>
  <c r="AG738" i="1"/>
  <c r="O739" i="1"/>
  <c r="AG739" i="1"/>
  <c r="O740" i="1"/>
  <c r="AG740" i="1"/>
  <c r="O741" i="1"/>
  <c r="AG741" i="1"/>
  <c r="O742" i="1"/>
  <c r="AG742" i="1"/>
  <c r="O743" i="1"/>
  <c r="AG743" i="1"/>
  <c r="O744" i="1"/>
  <c r="AG744" i="1"/>
  <c r="O745" i="1"/>
  <c r="AG745" i="1"/>
  <c r="O746" i="1"/>
  <c r="AG746" i="1"/>
  <c r="O747" i="1"/>
  <c r="AG747" i="1"/>
  <c r="O748" i="1"/>
  <c r="AG748" i="1"/>
  <c r="O749" i="1"/>
  <c r="AG749" i="1"/>
  <c r="O750" i="1"/>
  <c r="AG750" i="1"/>
  <c r="O751" i="1"/>
  <c r="AG751" i="1"/>
  <c r="O752" i="1"/>
  <c r="AG752" i="1"/>
  <c r="O753" i="1"/>
  <c r="AG753" i="1"/>
  <c r="O754" i="1"/>
  <c r="AG754" i="1"/>
  <c r="O755" i="1"/>
  <c r="AG755" i="1"/>
  <c r="O756" i="1"/>
  <c r="AG756" i="1"/>
  <c r="O757" i="1"/>
  <c r="AG757" i="1"/>
  <c r="O758" i="1"/>
  <c r="AG758" i="1"/>
  <c r="O759" i="1"/>
  <c r="AG759" i="1"/>
  <c r="O760" i="1"/>
  <c r="AG760" i="1"/>
  <c r="O761" i="1"/>
  <c r="AG761" i="1"/>
  <c r="O762" i="1"/>
  <c r="AG762" i="1"/>
  <c r="O763" i="1"/>
  <c r="AG763" i="1"/>
  <c r="O764" i="1"/>
  <c r="AG764" i="1"/>
  <c r="O765" i="1"/>
  <c r="AG765" i="1"/>
  <c r="O766" i="1"/>
  <c r="AG766" i="1"/>
  <c r="O767" i="1"/>
  <c r="AG767" i="1"/>
  <c r="O768" i="1"/>
  <c r="AG768" i="1"/>
  <c r="O769" i="1"/>
  <c r="AG769" i="1"/>
  <c r="O770" i="1"/>
  <c r="AG770" i="1"/>
  <c r="O771" i="1"/>
  <c r="AG771" i="1"/>
  <c r="O772" i="1"/>
  <c r="AG772" i="1"/>
  <c r="O773" i="1"/>
  <c r="AG773" i="1"/>
  <c r="O774" i="1"/>
  <c r="AG774" i="1"/>
  <c r="O775" i="1"/>
  <c r="AG775" i="1"/>
  <c r="O776" i="1"/>
  <c r="AG776" i="1"/>
  <c r="O777" i="1"/>
  <c r="AG777" i="1"/>
  <c r="O778" i="1"/>
  <c r="AG778" i="1"/>
  <c r="O779" i="1"/>
  <c r="AG779" i="1"/>
  <c r="O780" i="1"/>
  <c r="AG780" i="1"/>
  <c r="O781" i="1"/>
  <c r="AG781" i="1"/>
  <c r="O782" i="1"/>
  <c r="AG782" i="1"/>
  <c r="O783" i="1"/>
  <c r="AG783" i="1"/>
  <c r="O784" i="1"/>
  <c r="AG784" i="1"/>
  <c r="O785" i="1"/>
  <c r="AG785" i="1"/>
  <c r="O786" i="1"/>
  <c r="AG786" i="1"/>
  <c r="O787" i="1"/>
  <c r="AG787" i="1"/>
  <c r="O788" i="1"/>
  <c r="AG788" i="1"/>
  <c r="O789" i="1"/>
  <c r="AG789" i="1"/>
  <c r="O790" i="1"/>
  <c r="AG790" i="1"/>
  <c r="O791" i="1"/>
  <c r="AG791" i="1"/>
  <c r="O792" i="1"/>
  <c r="AG792" i="1"/>
  <c r="O793" i="1"/>
  <c r="AG793" i="1"/>
  <c r="O794" i="1"/>
  <c r="AG794" i="1"/>
  <c r="O795" i="1"/>
  <c r="AG795" i="1"/>
  <c r="O796" i="1"/>
  <c r="AG796" i="1"/>
  <c r="O797" i="1"/>
  <c r="AG797" i="1"/>
  <c r="O798" i="1"/>
  <c r="AG798" i="1"/>
  <c r="O799" i="1"/>
  <c r="AG799" i="1"/>
  <c r="O800" i="1"/>
  <c r="AG800" i="1"/>
  <c r="O801" i="1"/>
  <c r="AG801" i="1"/>
  <c r="O802" i="1"/>
  <c r="AG802" i="1"/>
  <c r="O803" i="1"/>
  <c r="AG803" i="1"/>
  <c r="O804" i="1"/>
  <c r="AG804" i="1"/>
  <c r="O805" i="1"/>
  <c r="AG805" i="1"/>
  <c r="O806" i="1"/>
  <c r="AG806" i="1"/>
  <c r="O807" i="1"/>
  <c r="AG807" i="1"/>
  <c r="O808" i="1"/>
  <c r="AG808" i="1"/>
  <c r="O809" i="1"/>
  <c r="AG809" i="1"/>
  <c r="O810" i="1"/>
  <c r="AG810" i="1"/>
  <c r="O811" i="1"/>
  <c r="AG811" i="1"/>
  <c r="O812" i="1"/>
  <c r="AG812" i="1"/>
  <c r="O813" i="1"/>
  <c r="AG813" i="1"/>
  <c r="O814" i="1"/>
  <c r="AG814" i="1"/>
  <c r="O815" i="1"/>
  <c r="AG815" i="1"/>
  <c r="O816" i="1"/>
  <c r="AG816" i="1"/>
  <c r="O817" i="1"/>
  <c r="AG817" i="1"/>
  <c r="O818" i="1"/>
  <c r="AG818" i="1"/>
  <c r="O819" i="1"/>
  <c r="AG819" i="1"/>
  <c r="O820" i="1"/>
  <c r="AG820" i="1"/>
  <c r="O821" i="1"/>
  <c r="AG821" i="1"/>
  <c r="O822" i="1"/>
  <c r="AG822" i="1"/>
  <c r="O823" i="1"/>
  <c r="AG823" i="1"/>
  <c r="O824" i="1"/>
  <c r="AG824" i="1"/>
  <c r="O825" i="1"/>
  <c r="AG825" i="1"/>
  <c r="O826" i="1"/>
  <c r="AG826" i="1"/>
  <c r="O827" i="1"/>
  <c r="AG827" i="1"/>
  <c r="O828" i="1"/>
  <c r="AG828" i="1"/>
  <c r="O829" i="1"/>
  <c r="AG829" i="1"/>
  <c r="O830" i="1"/>
  <c r="AG830" i="1"/>
  <c r="O831" i="1"/>
  <c r="AG831" i="1"/>
  <c r="O832" i="1"/>
  <c r="AG832" i="1"/>
  <c r="O833" i="1"/>
  <c r="AG833" i="1"/>
  <c r="AI714" i="1"/>
  <c r="E9" i="1"/>
  <c r="I9" i="1"/>
  <c r="J20" i="3"/>
  <c r="O540" i="1"/>
  <c r="AG540" i="1"/>
  <c r="O541" i="1"/>
  <c r="AG541" i="1"/>
  <c r="O542" i="1"/>
  <c r="AG542" i="1"/>
  <c r="O543" i="1"/>
  <c r="AG543" i="1"/>
  <c r="O544" i="1"/>
  <c r="AG544" i="1"/>
  <c r="O545" i="1"/>
  <c r="AG545" i="1"/>
  <c r="O546" i="1"/>
  <c r="AG546" i="1"/>
  <c r="O547" i="1"/>
  <c r="AG547" i="1"/>
  <c r="O548" i="1"/>
  <c r="AG548" i="1"/>
  <c r="O549" i="1"/>
  <c r="AG549" i="1"/>
  <c r="O550" i="1"/>
  <c r="AG550" i="1"/>
  <c r="O551" i="1"/>
  <c r="AG551" i="1"/>
  <c r="O552" i="1"/>
  <c r="AG552" i="1"/>
  <c r="O553" i="1"/>
  <c r="AG553" i="1"/>
  <c r="O554" i="1"/>
  <c r="AG554" i="1"/>
  <c r="O555" i="1"/>
  <c r="AG555" i="1"/>
  <c r="O556" i="1"/>
  <c r="AG556" i="1"/>
  <c r="O557" i="1"/>
  <c r="AG557" i="1"/>
  <c r="O558" i="1"/>
  <c r="AG558" i="1"/>
  <c r="O559" i="1"/>
  <c r="AG559" i="1"/>
  <c r="O560" i="1"/>
  <c r="AG560" i="1"/>
  <c r="O561" i="1"/>
  <c r="AG561" i="1"/>
  <c r="O562" i="1"/>
  <c r="AG562" i="1"/>
  <c r="O563" i="1"/>
  <c r="AG563" i="1"/>
  <c r="O564" i="1"/>
  <c r="AG564" i="1"/>
  <c r="O565" i="1"/>
  <c r="AG565" i="1"/>
  <c r="O566" i="1"/>
  <c r="AG566" i="1"/>
  <c r="O567" i="1"/>
  <c r="AG567" i="1"/>
  <c r="O568" i="1"/>
  <c r="AG568" i="1"/>
  <c r="O569" i="1"/>
  <c r="AG569" i="1"/>
  <c r="O570" i="1"/>
  <c r="AG570" i="1"/>
  <c r="O571" i="1"/>
  <c r="AG571" i="1"/>
  <c r="O572" i="1"/>
  <c r="AG572" i="1"/>
  <c r="O573" i="1"/>
  <c r="AG573" i="1"/>
  <c r="O574" i="1"/>
  <c r="AG574" i="1"/>
  <c r="O575" i="1"/>
  <c r="AG575" i="1"/>
  <c r="O576" i="1"/>
  <c r="AG576" i="1"/>
  <c r="O577" i="1"/>
  <c r="AG577" i="1"/>
  <c r="O578" i="1"/>
  <c r="AG578" i="1"/>
  <c r="O579" i="1"/>
  <c r="AG579" i="1"/>
  <c r="O580" i="1"/>
  <c r="AG580" i="1"/>
  <c r="O581" i="1"/>
  <c r="AG581" i="1"/>
  <c r="O582" i="1"/>
  <c r="AG582" i="1"/>
  <c r="O583" i="1"/>
  <c r="AG583" i="1"/>
  <c r="O584" i="1"/>
  <c r="AG584" i="1"/>
  <c r="O585" i="1"/>
  <c r="AG585" i="1"/>
  <c r="O586" i="1"/>
  <c r="AG586" i="1"/>
  <c r="O587" i="1"/>
  <c r="AG587" i="1"/>
  <c r="O588" i="1"/>
  <c r="AG588" i="1"/>
  <c r="O589" i="1"/>
  <c r="AG589" i="1"/>
  <c r="O590" i="1"/>
  <c r="AG590" i="1"/>
  <c r="O591" i="1"/>
  <c r="AG591" i="1"/>
  <c r="O592" i="1"/>
  <c r="AG592" i="1"/>
  <c r="O593" i="1"/>
  <c r="AG593" i="1"/>
  <c r="O594" i="1"/>
  <c r="AG594" i="1"/>
  <c r="O595" i="1"/>
  <c r="AG595" i="1"/>
  <c r="O596" i="1"/>
  <c r="AG596" i="1"/>
  <c r="O597" i="1"/>
  <c r="AG597" i="1"/>
  <c r="O598" i="1"/>
  <c r="AG598" i="1"/>
  <c r="O599" i="1"/>
  <c r="AG599" i="1"/>
  <c r="O600" i="1"/>
  <c r="AG600" i="1"/>
  <c r="O601" i="1"/>
  <c r="AG601" i="1"/>
  <c r="O602" i="1"/>
  <c r="AG602" i="1"/>
  <c r="O603" i="1"/>
  <c r="AG603" i="1"/>
  <c r="O604" i="1"/>
  <c r="AG604" i="1"/>
  <c r="O605" i="1"/>
  <c r="AG605" i="1"/>
  <c r="O606" i="1"/>
  <c r="AG606" i="1"/>
  <c r="O607" i="1"/>
  <c r="AG607" i="1"/>
  <c r="O608" i="1"/>
  <c r="AG608" i="1"/>
  <c r="O609" i="1"/>
  <c r="AG609" i="1"/>
  <c r="O610" i="1"/>
  <c r="AG610" i="1"/>
  <c r="O611" i="1"/>
  <c r="AG611" i="1"/>
  <c r="O612" i="1"/>
  <c r="AG612" i="1"/>
  <c r="O613" i="1"/>
  <c r="AG613" i="1"/>
  <c r="O614" i="1"/>
  <c r="AG614" i="1"/>
  <c r="O615" i="1"/>
  <c r="AG615" i="1"/>
  <c r="O616" i="1"/>
  <c r="AG616" i="1"/>
  <c r="O617" i="1"/>
  <c r="AG617" i="1"/>
  <c r="O618" i="1"/>
  <c r="AG618" i="1"/>
  <c r="O619" i="1"/>
  <c r="AG619" i="1"/>
  <c r="O620" i="1"/>
  <c r="AG620" i="1"/>
  <c r="O621" i="1"/>
  <c r="AG621" i="1"/>
  <c r="O622" i="1"/>
  <c r="AG622" i="1"/>
  <c r="O623" i="1"/>
  <c r="AG623" i="1"/>
  <c r="O624" i="1"/>
  <c r="AG624" i="1"/>
  <c r="O625" i="1"/>
  <c r="AG625" i="1"/>
  <c r="O626" i="1"/>
  <c r="AG626" i="1"/>
  <c r="O627" i="1"/>
  <c r="AG627" i="1"/>
  <c r="O628" i="1"/>
  <c r="AG628" i="1"/>
  <c r="O629" i="1"/>
  <c r="AG629" i="1"/>
  <c r="O630" i="1"/>
  <c r="AG630" i="1"/>
  <c r="O631" i="1"/>
  <c r="AG631" i="1"/>
  <c r="O632" i="1"/>
  <c r="AG632" i="1"/>
  <c r="O633" i="1"/>
  <c r="AG633" i="1"/>
  <c r="O634" i="1"/>
  <c r="AG634" i="1"/>
  <c r="O635" i="1"/>
  <c r="AG635" i="1"/>
  <c r="O636" i="1"/>
  <c r="AG636" i="1"/>
  <c r="O637" i="1"/>
  <c r="AG637" i="1"/>
  <c r="O638" i="1"/>
  <c r="AG638" i="1"/>
  <c r="O639" i="1"/>
  <c r="AG639" i="1"/>
  <c r="O640" i="1"/>
  <c r="AG640" i="1"/>
  <c r="O641" i="1"/>
  <c r="AG641" i="1"/>
  <c r="O642" i="1"/>
  <c r="AG642" i="1"/>
  <c r="O643" i="1"/>
  <c r="AG643" i="1"/>
  <c r="O644" i="1"/>
  <c r="AG644" i="1"/>
  <c r="O645" i="1"/>
  <c r="AG645" i="1"/>
  <c r="O646" i="1"/>
  <c r="AG646" i="1"/>
  <c r="O647" i="1"/>
  <c r="AG647" i="1"/>
  <c r="O648" i="1"/>
  <c r="AG648" i="1"/>
  <c r="O649" i="1"/>
  <c r="AG649" i="1"/>
  <c r="O650" i="1"/>
  <c r="AG650" i="1"/>
  <c r="O651" i="1"/>
  <c r="AG651" i="1"/>
  <c r="O652" i="1"/>
  <c r="AG652" i="1"/>
  <c r="O653" i="1"/>
  <c r="AG653" i="1"/>
  <c r="O654" i="1"/>
  <c r="AG654" i="1"/>
  <c r="O655" i="1"/>
  <c r="AG655" i="1"/>
  <c r="O656" i="1"/>
  <c r="AG656" i="1"/>
  <c r="O657" i="1"/>
  <c r="AG657" i="1"/>
  <c r="O658" i="1"/>
  <c r="AG658" i="1"/>
  <c r="O659" i="1"/>
  <c r="AG659" i="1"/>
  <c r="O660" i="1"/>
  <c r="AG660" i="1"/>
  <c r="O661" i="1"/>
  <c r="AG661" i="1"/>
  <c r="O662" i="1"/>
  <c r="AG662" i="1"/>
  <c r="O663" i="1"/>
  <c r="AG663" i="1"/>
  <c r="O664" i="1"/>
  <c r="AG664" i="1"/>
  <c r="O665" i="1"/>
  <c r="AG665" i="1"/>
  <c r="O666" i="1"/>
  <c r="AG666" i="1"/>
  <c r="O667" i="1"/>
  <c r="AG667" i="1"/>
  <c r="O668" i="1"/>
  <c r="AG668" i="1"/>
  <c r="O669" i="1"/>
  <c r="AG669" i="1"/>
  <c r="O670" i="1"/>
  <c r="AG670" i="1"/>
  <c r="O671" i="1"/>
  <c r="AG671" i="1"/>
  <c r="O672" i="1"/>
  <c r="AG672" i="1"/>
  <c r="O673" i="1"/>
  <c r="AG673" i="1"/>
  <c r="O674" i="1"/>
  <c r="AG674" i="1"/>
  <c r="O675" i="1"/>
  <c r="AG675" i="1"/>
  <c r="O676" i="1"/>
  <c r="AG676" i="1"/>
  <c r="O677" i="1"/>
  <c r="AG677" i="1"/>
  <c r="O678" i="1"/>
  <c r="AG678" i="1"/>
  <c r="O679" i="1"/>
  <c r="AG679" i="1"/>
  <c r="O680" i="1"/>
  <c r="AG680" i="1"/>
  <c r="O681" i="1"/>
  <c r="AG681" i="1"/>
  <c r="O682" i="1"/>
  <c r="AG682" i="1"/>
  <c r="O683" i="1"/>
  <c r="AG683" i="1"/>
  <c r="O684" i="1"/>
  <c r="AG684" i="1"/>
  <c r="O685" i="1"/>
  <c r="AG685" i="1"/>
  <c r="O686" i="1"/>
  <c r="AG686" i="1"/>
  <c r="O687" i="1"/>
  <c r="AG687" i="1"/>
  <c r="O688" i="1"/>
  <c r="AG688" i="1"/>
  <c r="O689" i="1"/>
  <c r="AG689" i="1"/>
  <c r="O690" i="1"/>
  <c r="AG690" i="1"/>
  <c r="O691" i="1"/>
  <c r="AG691" i="1"/>
  <c r="O692" i="1"/>
  <c r="AG692" i="1"/>
  <c r="O693" i="1"/>
  <c r="AG693" i="1"/>
  <c r="O694" i="1"/>
  <c r="AG694" i="1"/>
  <c r="O695" i="1"/>
  <c r="AG695" i="1"/>
  <c r="O696" i="1"/>
  <c r="AG696" i="1"/>
  <c r="O697" i="1"/>
  <c r="AG697" i="1"/>
  <c r="O698" i="1"/>
  <c r="AG698" i="1"/>
  <c r="O699" i="1"/>
  <c r="AG699" i="1"/>
  <c r="O700" i="1"/>
  <c r="AG700" i="1"/>
  <c r="O701" i="1"/>
  <c r="AG701" i="1"/>
  <c r="O702" i="1"/>
  <c r="AG702" i="1"/>
  <c r="O703" i="1"/>
  <c r="AG703" i="1"/>
  <c r="O704" i="1"/>
  <c r="AG704" i="1"/>
  <c r="O705" i="1"/>
  <c r="AG705" i="1"/>
  <c r="O706" i="1"/>
  <c r="AG706" i="1"/>
  <c r="O707" i="1"/>
  <c r="AG707" i="1"/>
  <c r="O708" i="1"/>
  <c r="AG708" i="1"/>
  <c r="O709" i="1"/>
  <c r="AG709" i="1"/>
  <c r="O710" i="1"/>
  <c r="AG710" i="1"/>
  <c r="O711" i="1"/>
  <c r="AG711" i="1"/>
  <c r="O712" i="1"/>
  <c r="AG712" i="1"/>
  <c r="AI539" i="1"/>
  <c r="E8" i="1"/>
  <c r="I8" i="1"/>
  <c r="J19" i="3"/>
  <c r="O452" i="1"/>
  <c r="AG452" i="1"/>
  <c r="O453" i="1"/>
  <c r="AG453" i="1"/>
  <c r="O454" i="1"/>
  <c r="AG454" i="1"/>
  <c r="O455" i="1"/>
  <c r="AG455" i="1"/>
  <c r="O456" i="1"/>
  <c r="AG456" i="1"/>
  <c r="O457" i="1"/>
  <c r="AG457" i="1"/>
  <c r="O458" i="1"/>
  <c r="AG458" i="1"/>
  <c r="O459" i="1"/>
  <c r="AG459" i="1"/>
  <c r="O460" i="1"/>
  <c r="AG460" i="1"/>
  <c r="O461" i="1"/>
  <c r="AG461" i="1"/>
  <c r="O462" i="1"/>
  <c r="AG462" i="1"/>
  <c r="O463" i="1"/>
  <c r="AG463" i="1"/>
  <c r="O464" i="1"/>
  <c r="AG464" i="1"/>
  <c r="O465" i="1"/>
  <c r="AG465" i="1"/>
  <c r="O466" i="1"/>
  <c r="AG466" i="1"/>
  <c r="O467" i="1"/>
  <c r="AG467" i="1"/>
  <c r="O468" i="1"/>
  <c r="AG468" i="1"/>
  <c r="O469" i="1"/>
  <c r="AG469" i="1"/>
  <c r="O470" i="1"/>
  <c r="AG470" i="1"/>
  <c r="O471" i="1"/>
  <c r="AG471" i="1"/>
  <c r="O472" i="1"/>
  <c r="AG472" i="1"/>
  <c r="O473" i="1"/>
  <c r="AG473" i="1"/>
  <c r="O474" i="1"/>
  <c r="AG474" i="1"/>
  <c r="O475" i="1"/>
  <c r="AG475" i="1"/>
  <c r="O476" i="1"/>
  <c r="AG476" i="1"/>
  <c r="O477" i="1"/>
  <c r="AG477" i="1"/>
  <c r="O478" i="1"/>
  <c r="AG478" i="1"/>
  <c r="O479" i="1"/>
  <c r="AG479" i="1"/>
  <c r="O480" i="1"/>
  <c r="AG480" i="1"/>
  <c r="O481" i="1"/>
  <c r="AG481" i="1"/>
  <c r="O482" i="1"/>
  <c r="AG482" i="1"/>
  <c r="O483" i="1"/>
  <c r="AG483" i="1"/>
  <c r="O484" i="1"/>
  <c r="AG484" i="1"/>
  <c r="O485" i="1"/>
  <c r="AG485" i="1"/>
  <c r="O486" i="1"/>
  <c r="AG486" i="1"/>
  <c r="O487" i="1"/>
  <c r="AG487" i="1"/>
  <c r="O488" i="1"/>
  <c r="AG488" i="1"/>
  <c r="O489" i="1"/>
  <c r="AG489" i="1"/>
  <c r="O490" i="1"/>
  <c r="AG490" i="1"/>
  <c r="O491" i="1"/>
  <c r="AG491" i="1"/>
  <c r="O492" i="1"/>
  <c r="AG492" i="1"/>
  <c r="O493" i="1"/>
  <c r="AG493" i="1"/>
  <c r="O494" i="1"/>
  <c r="AG494" i="1"/>
  <c r="O495" i="1"/>
  <c r="AG495" i="1"/>
  <c r="O496" i="1"/>
  <c r="AG496" i="1"/>
  <c r="O497" i="1"/>
  <c r="AG497" i="1"/>
  <c r="O498" i="1"/>
  <c r="AG498" i="1"/>
  <c r="O499" i="1"/>
  <c r="AG499" i="1"/>
  <c r="O500" i="1"/>
  <c r="AG500" i="1"/>
  <c r="O501" i="1"/>
  <c r="AG501" i="1"/>
  <c r="O502" i="1"/>
  <c r="AG502" i="1"/>
  <c r="O503" i="1"/>
  <c r="AG503" i="1"/>
  <c r="O504" i="1"/>
  <c r="AG504" i="1"/>
  <c r="O505" i="1"/>
  <c r="AG505" i="1"/>
  <c r="O506" i="1"/>
  <c r="AG506" i="1"/>
  <c r="O507" i="1"/>
  <c r="AG507" i="1"/>
  <c r="O508" i="1"/>
  <c r="AG508" i="1"/>
  <c r="O509" i="1"/>
  <c r="AG509" i="1"/>
  <c r="O510" i="1"/>
  <c r="AG510" i="1"/>
  <c r="O511" i="1"/>
  <c r="AG511" i="1"/>
  <c r="O512" i="1"/>
  <c r="AG512" i="1"/>
  <c r="O513" i="1"/>
  <c r="AG513" i="1"/>
  <c r="O514" i="1"/>
  <c r="AG514" i="1"/>
  <c r="O515" i="1"/>
  <c r="AG515" i="1"/>
  <c r="O516" i="1"/>
  <c r="AG516" i="1"/>
  <c r="O517" i="1"/>
  <c r="AG517" i="1"/>
  <c r="O518" i="1"/>
  <c r="AG518" i="1"/>
  <c r="O519" i="1"/>
  <c r="AG519" i="1"/>
  <c r="O520" i="1"/>
  <c r="AG520" i="1"/>
  <c r="O521" i="1"/>
  <c r="AG521" i="1"/>
  <c r="O522" i="1"/>
  <c r="AG522" i="1"/>
  <c r="O523" i="1"/>
  <c r="AG523" i="1"/>
  <c r="O524" i="1"/>
  <c r="AG524" i="1"/>
  <c r="O525" i="1"/>
  <c r="AG525" i="1"/>
  <c r="O526" i="1"/>
  <c r="AG526" i="1"/>
  <c r="O527" i="1"/>
  <c r="AG527" i="1"/>
  <c r="O528" i="1"/>
  <c r="AG528" i="1"/>
  <c r="O529" i="1"/>
  <c r="AG529" i="1"/>
  <c r="O530" i="1"/>
  <c r="AG530" i="1"/>
  <c r="O531" i="1"/>
  <c r="AG531" i="1"/>
  <c r="O532" i="1"/>
  <c r="AG532" i="1"/>
  <c r="O533" i="1"/>
  <c r="AG533" i="1"/>
  <c r="O534" i="1"/>
  <c r="AG534" i="1"/>
  <c r="O535" i="1"/>
  <c r="AG535" i="1"/>
  <c r="O536" i="1"/>
  <c r="AG536" i="1"/>
  <c r="O537" i="1"/>
  <c r="AG537" i="1"/>
  <c r="AI451" i="1"/>
  <c r="E7" i="1"/>
  <c r="I7" i="1"/>
  <c r="J18" i="3"/>
  <c r="O198" i="1"/>
  <c r="AG198" i="1"/>
  <c r="O199" i="1"/>
  <c r="AG199" i="1"/>
  <c r="O200" i="1"/>
  <c r="AG200" i="1"/>
  <c r="O201" i="1"/>
  <c r="AG201" i="1"/>
  <c r="O202" i="1"/>
  <c r="AG202" i="1"/>
  <c r="O203" i="1"/>
  <c r="AG203" i="1"/>
  <c r="O204" i="1"/>
  <c r="AG204" i="1"/>
  <c r="O205" i="1"/>
  <c r="AG205" i="1"/>
  <c r="O206" i="1"/>
  <c r="AG206" i="1"/>
  <c r="O207" i="1"/>
  <c r="AG207" i="1"/>
  <c r="O208" i="1"/>
  <c r="AG208" i="1"/>
  <c r="O209" i="1"/>
  <c r="AG209" i="1"/>
  <c r="O210" i="1"/>
  <c r="AG210" i="1"/>
  <c r="O211" i="1"/>
  <c r="AG211" i="1"/>
  <c r="O212" i="1"/>
  <c r="AG212" i="1"/>
  <c r="O213" i="1"/>
  <c r="AG213" i="1"/>
  <c r="O214" i="1"/>
  <c r="AG214" i="1"/>
  <c r="O215" i="1"/>
  <c r="AG215" i="1"/>
  <c r="O216" i="1"/>
  <c r="AG216" i="1"/>
  <c r="O217" i="1"/>
  <c r="AG217" i="1"/>
  <c r="O218" i="1"/>
  <c r="AG218" i="1"/>
  <c r="O219" i="1"/>
  <c r="AG219" i="1"/>
  <c r="O220" i="1"/>
  <c r="AG220" i="1"/>
  <c r="O221" i="1"/>
  <c r="AG221" i="1"/>
  <c r="O222" i="1"/>
  <c r="AG222" i="1"/>
  <c r="O223" i="1"/>
  <c r="AG223" i="1"/>
  <c r="O224" i="1"/>
  <c r="AG224" i="1"/>
  <c r="O225" i="1"/>
  <c r="AG225" i="1"/>
  <c r="O226" i="1"/>
  <c r="AG226" i="1"/>
  <c r="O227" i="1"/>
  <c r="AG227" i="1"/>
  <c r="O228" i="1"/>
  <c r="AG228" i="1"/>
  <c r="O229" i="1"/>
  <c r="AG229" i="1"/>
  <c r="O230" i="1"/>
  <c r="AG230" i="1"/>
  <c r="O231" i="1"/>
  <c r="AG231" i="1"/>
  <c r="O232" i="1"/>
  <c r="AG232" i="1"/>
  <c r="O233" i="1"/>
  <c r="AG233" i="1"/>
  <c r="O234" i="1"/>
  <c r="AG234" i="1"/>
  <c r="O235" i="1"/>
  <c r="AG235" i="1"/>
  <c r="O236" i="1"/>
  <c r="AG236" i="1"/>
  <c r="O237" i="1"/>
  <c r="AG237" i="1"/>
  <c r="O238" i="1"/>
  <c r="AG238" i="1"/>
  <c r="O239" i="1"/>
  <c r="AG239" i="1"/>
  <c r="O240" i="1"/>
  <c r="AG240" i="1"/>
  <c r="O241" i="1"/>
  <c r="AG241" i="1"/>
  <c r="O242" i="1"/>
  <c r="AG242" i="1"/>
  <c r="O243" i="1"/>
  <c r="AG243" i="1"/>
  <c r="O244" i="1"/>
  <c r="AG244" i="1"/>
  <c r="O245" i="1"/>
  <c r="AG245" i="1"/>
  <c r="O246" i="1"/>
  <c r="AG246" i="1"/>
  <c r="O247" i="1"/>
  <c r="AG247" i="1"/>
  <c r="O248" i="1"/>
  <c r="AG248" i="1"/>
  <c r="O249" i="1"/>
  <c r="AG249" i="1"/>
  <c r="O250" i="1"/>
  <c r="AG250" i="1"/>
  <c r="O251" i="1"/>
  <c r="AG251" i="1"/>
  <c r="O252" i="1"/>
  <c r="AG252" i="1"/>
  <c r="O253" i="1"/>
  <c r="AG253" i="1"/>
  <c r="O254" i="1"/>
  <c r="AG254" i="1"/>
  <c r="O255" i="1"/>
  <c r="AG255" i="1"/>
  <c r="O256" i="1"/>
  <c r="AG256" i="1"/>
  <c r="O257" i="1"/>
  <c r="AG257" i="1"/>
  <c r="O258" i="1"/>
  <c r="AG258" i="1"/>
  <c r="O259" i="1"/>
  <c r="AG259" i="1"/>
  <c r="O260" i="1"/>
  <c r="AG260" i="1"/>
  <c r="O261" i="1"/>
  <c r="AG261" i="1"/>
  <c r="O262" i="1"/>
  <c r="AG262" i="1"/>
  <c r="O263" i="1"/>
  <c r="AG263" i="1"/>
  <c r="O264" i="1"/>
  <c r="AG264" i="1"/>
  <c r="O265" i="1"/>
  <c r="AG265" i="1"/>
  <c r="O266" i="1"/>
  <c r="AG266" i="1"/>
  <c r="O267" i="1"/>
  <c r="AG267" i="1"/>
  <c r="O268" i="1"/>
  <c r="AG268" i="1"/>
  <c r="O269" i="1"/>
  <c r="AG269" i="1"/>
  <c r="O270" i="1"/>
  <c r="AG270" i="1"/>
  <c r="O271" i="1"/>
  <c r="AG271" i="1"/>
  <c r="O272" i="1"/>
  <c r="AG272" i="1"/>
  <c r="O273" i="1"/>
  <c r="AG273" i="1"/>
  <c r="O274" i="1"/>
  <c r="AG274" i="1"/>
  <c r="O275" i="1"/>
  <c r="AG275" i="1"/>
  <c r="O276" i="1"/>
  <c r="AG276" i="1"/>
  <c r="O277" i="1"/>
  <c r="AG277" i="1"/>
  <c r="O278" i="1"/>
  <c r="AG278" i="1"/>
  <c r="O279" i="1"/>
  <c r="AG279" i="1"/>
  <c r="O280" i="1"/>
  <c r="AG280" i="1"/>
  <c r="O281" i="1"/>
  <c r="AG281" i="1"/>
  <c r="O282" i="1"/>
  <c r="AG282" i="1"/>
  <c r="O283" i="1"/>
  <c r="AG283" i="1"/>
  <c r="O284" i="1"/>
  <c r="AG284" i="1"/>
  <c r="O285" i="1"/>
  <c r="AG285" i="1"/>
  <c r="O286" i="1"/>
  <c r="AG286" i="1"/>
  <c r="O287" i="1"/>
  <c r="AG287" i="1"/>
  <c r="O288" i="1"/>
  <c r="AG288" i="1"/>
  <c r="O289" i="1"/>
  <c r="AG289" i="1"/>
  <c r="O290" i="1"/>
  <c r="AG290" i="1"/>
  <c r="O291" i="1"/>
  <c r="AG291" i="1"/>
  <c r="O292" i="1"/>
  <c r="AG292" i="1"/>
  <c r="O293" i="1"/>
  <c r="AG293" i="1"/>
  <c r="O294" i="1"/>
  <c r="AG294" i="1"/>
  <c r="O295" i="1"/>
  <c r="AG295" i="1"/>
  <c r="O296" i="1"/>
  <c r="AG296" i="1"/>
  <c r="O297" i="1"/>
  <c r="AG297" i="1"/>
  <c r="O298" i="1"/>
  <c r="AG298" i="1"/>
  <c r="O299" i="1"/>
  <c r="AG299" i="1"/>
  <c r="O300" i="1"/>
  <c r="AG300" i="1"/>
  <c r="O301" i="1"/>
  <c r="AG301" i="1"/>
  <c r="O302" i="1"/>
  <c r="AG302" i="1"/>
  <c r="O303" i="1"/>
  <c r="AG303" i="1"/>
  <c r="O304" i="1"/>
  <c r="AG304" i="1"/>
  <c r="O305" i="1"/>
  <c r="AG305" i="1"/>
  <c r="O306" i="1"/>
  <c r="AG306" i="1"/>
  <c r="O307" i="1"/>
  <c r="AG307" i="1"/>
  <c r="O308" i="1"/>
  <c r="AG308" i="1"/>
  <c r="O309" i="1"/>
  <c r="AG309" i="1"/>
  <c r="O310" i="1"/>
  <c r="AG310" i="1"/>
  <c r="O311" i="1"/>
  <c r="AG311" i="1"/>
  <c r="O312" i="1"/>
  <c r="AG312" i="1"/>
  <c r="O313" i="1"/>
  <c r="AG313" i="1"/>
  <c r="O314" i="1"/>
  <c r="AG314" i="1"/>
  <c r="O315" i="1"/>
  <c r="AG315" i="1"/>
  <c r="O316" i="1"/>
  <c r="AG316" i="1"/>
  <c r="O317" i="1"/>
  <c r="AG317" i="1"/>
  <c r="O318" i="1"/>
  <c r="AG318" i="1"/>
  <c r="O319" i="1"/>
  <c r="AG319" i="1"/>
  <c r="O320" i="1"/>
  <c r="AG320" i="1"/>
  <c r="O321" i="1"/>
  <c r="AG321" i="1"/>
  <c r="O322" i="1"/>
  <c r="AG322" i="1"/>
  <c r="O323" i="1"/>
  <c r="AG323" i="1"/>
  <c r="O324" i="1"/>
  <c r="AG324" i="1"/>
  <c r="O325" i="1"/>
  <c r="AG325" i="1"/>
  <c r="O326" i="1"/>
  <c r="AG326" i="1"/>
  <c r="O327" i="1"/>
  <c r="AG327" i="1"/>
  <c r="O328" i="1"/>
  <c r="AG328" i="1"/>
  <c r="O329" i="1"/>
  <c r="AG329" i="1"/>
  <c r="O330" i="1"/>
  <c r="AG330" i="1"/>
  <c r="O331" i="1"/>
  <c r="AG331" i="1"/>
  <c r="O332" i="1"/>
  <c r="AG332" i="1"/>
  <c r="O333" i="1"/>
  <c r="AG333" i="1"/>
  <c r="O334" i="1"/>
  <c r="AG334" i="1"/>
  <c r="O335" i="1"/>
  <c r="AG335" i="1"/>
  <c r="O336" i="1"/>
  <c r="AG336" i="1"/>
  <c r="O337" i="1"/>
  <c r="AG337" i="1"/>
  <c r="O338" i="1"/>
  <c r="AG338" i="1"/>
  <c r="O339" i="1"/>
  <c r="AG339" i="1"/>
  <c r="O340" i="1"/>
  <c r="AG340" i="1"/>
  <c r="O341" i="1"/>
  <c r="AG341" i="1"/>
  <c r="O342" i="1"/>
  <c r="AG342" i="1"/>
  <c r="O343" i="1"/>
  <c r="AG343" i="1"/>
  <c r="O344" i="1"/>
  <c r="AG344" i="1"/>
  <c r="O345" i="1"/>
  <c r="AG345" i="1"/>
  <c r="O346" i="1"/>
  <c r="AG346" i="1"/>
  <c r="O347" i="1"/>
  <c r="AG347" i="1"/>
  <c r="O348" i="1"/>
  <c r="AG348" i="1"/>
  <c r="O349" i="1"/>
  <c r="AG349" i="1"/>
  <c r="O350" i="1"/>
  <c r="AG350" i="1"/>
  <c r="O351" i="1"/>
  <c r="AG351" i="1"/>
  <c r="O352" i="1"/>
  <c r="AG352" i="1"/>
  <c r="O353" i="1"/>
  <c r="AG353" i="1"/>
  <c r="O354" i="1"/>
  <c r="AG354" i="1"/>
  <c r="O355" i="1"/>
  <c r="AG355" i="1"/>
  <c r="O356" i="1"/>
  <c r="AG356" i="1"/>
  <c r="O357" i="1"/>
  <c r="AG357" i="1"/>
  <c r="O358" i="1"/>
  <c r="AG358" i="1"/>
  <c r="O359" i="1"/>
  <c r="AG359" i="1"/>
  <c r="O360" i="1"/>
  <c r="AG360" i="1"/>
  <c r="O361" i="1"/>
  <c r="AG361" i="1"/>
  <c r="O362" i="1"/>
  <c r="AG362" i="1"/>
  <c r="O363" i="1"/>
  <c r="AG363" i="1"/>
  <c r="O364" i="1"/>
  <c r="AG364" i="1"/>
  <c r="O365" i="1"/>
  <c r="AG365" i="1"/>
  <c r="O366" i="1"/>
  <c r="AG366" i="1"/>
  <c r="O367" i="1"/>
  <c r="AG367" i="1"/>
  <c r="O368" i="1"/>
  <c r="AG368" i="1"/>
  <c r="O369" i="1"/>
  <c r="AG369" i="1"/>
  <c r="O370" i="1"/>
  <c r="AG370" i="1"/>
  <c r="O371" i="1"/>
  <c r="AG371" i="1"/>
  <c r="O372" i="1"/>
  <c r="AG372" i="1"/>
  <c r="O373" i="1"/>
  <c r="AG373" i="1"/>
  <c r="O374" i="1"/>
  <c r="AG374" i="1"/>
  <c r="O375" i="1"/>
  <c r="AG375" i="1"/>
  <c r="O376" i="1"/>
  <c r="AG376" i="1"/>
  <c r="O377" i="1"/>
  <c r="AG377" i="1"/>
  <c r="O378" i="1"/>
  <c r="AG378" i="1"/>
  <c r="O379" i="1"/>
  <c r="AG379" i="1"/>
  <c r="O380" i="1"/>
  <c r="AG380" i="1"/>
  <c r="O381" i="1"/>
  <c r="AG381" i="1"/>
  <c r="O382" i="1"/>
  <c r="AG382" i="1"/>
  <c r="O383" i="1"/>
  <c r="AG383" i="1"/>
  <c r="O384" i="1"/>
  <c r="AG384" i="1"/>
  <c r="O385" i="1"/>
  <c r="AG385" i="1"/>
  <c r="O386" i="1"/>
  <c r="AG386" i="1"/>
  <c r="O387" i="1"/>
  <c r="AG387" i="1"/>
  <c r="O388" i="1"/>
  <c r="AG388" i="1"/>
  <c r="O389" i="1"/>
  <c r="AG389" i="1"/>
  <c r="O390" i="1"/>
  <c r="AG390" i="1"/>
  <c r="O391" i="1"/>
  <c r="AG391" i="1"/>
  <c r="O392" i="1"/>
  <c r="AG392" i="1"/>
  <c r="O393" i="1"/>
  <c r="AG393" i="1"/>
  <c r="O394" i="1"/>
  <c r="AG394" i="1"/>
  <c r="O395" i="1"/>
  <c r="AG395" i="1"/>
  <c r="O396" i="1"/>
  <c r="AG396" i="1"/>
  <c r="O397" i="1"/>
  <c r="AG397" i="1"/>
  <c r="O398" i="1"/>
  <c r="AG398" i="1"/>
  <c r="O399" i="1"/>
  <c r="AG399" i="1"/>
  <c r="O400" i="1"/>
  <c r="AG400" i="1"/>
  <c r="O401" i="1"/>
  <c r="AG401" i="1"/>
  <c r="O402" i="1"/>
  <c r="AG402" i="1"/>
  <c r="O403" i="1"/>
  <c r="AG403" i="1"/>
  <c r="O404" i="1"/>
  <c r="AG404" i="1"/>
  <c r="O405" i="1"/>
  <c r="AG405" i="1"/>
  <c r="O406" i="1"/>
  <c r="AG406" i="1"/>
  <c r="O407" i="1"/>
  <c r="AG407" i="1"/>
  <c r="O408" i="1"/>
  <c r="AG408" i="1"/>
  <c r="O409" i="1"/>
  <c r="AG409" i="1"/>
  <c r="O410" i="1"/>
  <c r="AG410" i="1"/>
  <c r="O411" i="1"/>
  <c r="AG411" i="1"/>
  <c r="O412" i="1"/>
  <c r="AG412" i="1"/>
  <c r="O413" i="1"/>
  <c r="AG413" i="1"/>
  <c r="O414" i="1"/>
  <c r="AG414" i="1"/>
  <c r="O415" i="1"/>
  <c r="AG415" i="1"/>
  <c r="O416" i="1"/>
  <c r="AG416" i="1"/>
  <c r="O417" i="1"/>
  <c r="AG417" i="1"/>
  <c r="O418" i="1"/>
  <c r="AG418" i="1"/>
  <c r="O419" i="1"/>
  <c r="AG419" i="1"/>
  <c r="O420" i="1"/>
  <c r="AG420" i="1"/>
  <c r="O421" i="1"/>
  <c r="AG421" i="1"/>
  <c r="O422" i="1"/>
  <c r="AG422" i="1"/>
  <c r="O423" i="1"/>
  <c r="AG423" i="1"/>
  <c r="O424" i="1"/>
  <c r="AG424" i="1"/>
  <c r="O425" i="1"/>
  <c r="AG425" i="1"/>
  <c r="O426" i="1"/>
  <c r="AG426" i="1"/>
  <c r="O427" i="1"/>
  <c r="AG427" i="1"/>
  <c r="O428" i="1"/>
  <c r="AG428" i="1"/>
  <c r="O429" i="1"/>
  <c r="AG429" i="1"/>
  <c r="O430" i="1"/>
  <c r="AG430" i="1"/>
  <c r="O431" i="1"/>
  <c r="AG431" i="1"/>
  <c r="O432" i="1"/>
  <c r="AG432" i="1"/>
  <c r="O433" i="1"/>
  <c r="AG433" i="1"/>
  <c r="O434" i="1"/>
  <c r="AG434" i="1"/>
  <c r="O435" i="1"/>
  <c r="AG435" i="1"/>
  <c r="O436" i="1"/>
  <c r="AG436" i="1"/>
  <c r="O437" i="1"/>
  <c r="AG437" i="1"/>
  <c r="O438" i="1"/>
  <c r="AG438" i="1"/>
  <c r="O439" i="1"/>
  <c r="AG439" i="1"/>
  <c r="O440" i="1"/>
  <c r="AG440" i="1"/>
  <c r="O441" i="1"/>
  <c r="AG441" i="1"/>
  <c r="O442" i="1"/>
  <c r="AG442" i="1"/>
  <c r="O443" i="1"/>
  <c r="AG443" i="1"/>
  <c r="O444" i="1"/>
  <c r="AG444" i="1"/>
  <c r="O445" i="1"/>
  <c r="AG445" i="1"/>
  <c r="O446" i="1"/>
  <c r="AG446" i="1"/>
  <c r="O447" i="1"/>
  <c r="AG447" i="1"/>
  <c r="O448" i="1"/>
  <c r="AG448" i="1"/>
  <c r="O449" i="1"/>
  <c r="AG449" i="1"/>
  <c r="AI197" i="1"/>
  <c r="E6" i="1"/>
  <c r="I6" i="1"/>
  <c r="J17" i="3"/>
  <c r="O55" i="1"/>
  <c r="AG55" i="1"/>
  <c r="O56" i="1"/>
  <c r="AG56" i="1"/>
  <c r="O57" i="1"/>
  <c r="AG57" i="1"/>
  <c r="O58" i="1"/>
  <c r="AG58" i="1"/>
  <c r="O59" i="1"/>
  <c r="AG59" i="1"/>
  <c r="O60" i="1"/>
  <c r="AG60" i="1"/>
  <c r="O61" i="1"/>
  <c r="AG61" i="1"/>
  <c r="O62" i="1"/>
  <c r="AG62" i="1"/>
  <c r="O63" i="1"/>
  <c r="AG63" i="1"/>
  <c r="O64" i="1"/>
  <c r="AG64" i="1"/>
  <c r="O65" i="1"/>
  <c r="AG65" i="1"/>
  <c r="O66" i="1"/>
  <c r="AG66" i="1"/>
  <c r="O67" i="1"/>
  <c r="AG67" i="1"/>
  <c r="O68" i="1"/>
  <c r="AG68" i="1"/>
  <c r="O69" i="1"/>
  <c r="AG69" i="1"/>
  <c r="O70" i="1"/>
  <c r="AG70" i="1"/>
  <c r="O71" i="1"/>
  <c r="AG71" i="1"/>
  <c r="O72" i="1"/>
  <c r="AG72" i="1"/>
  <c r="O73" i="1"/>
  <c r="AG73" i="1"/>
  <c r="O74" i="1"/>
  <c r="AG74" i="1"/>
  <c r="O75" i="1"/>
  <c r="AG75" i="1"/>
  <c r="O76" i="1"/>
  <c r="AG76" i="1"/>
  <c r="O77" i="1"/>
  <c r="AG77" i="1"/>
  <c r="O78" i="1"/>
  <c r="AG78" i="1"/>
  <c r="O79" i="1"/>
  <c r="AG79" i="1"/>
  <c r="O80" i="1"/>
  <c r="AG80" i="1"/>
  <c r="O81" i="1"/>
  <c r="AG81" i="1"/>
  <c r="O82" i="1"/>
  <c r="AG82" i="1"/>
  <c r="O83" i="1"/>
  <c r="AG83" i="1"/>
  <c r="O84" i="1"/>
  <c r="AG84" i="1"/>
  <c r="O85" i="1"/>
  <c r="AG85" i="1"/>
  <c r="O86" i="1"/>
  <c r="AG86" i="1"/>
  <c r="O87" i="1"/>
  <c r="AG87" i="1"/>
  <c r="O88" i="1"/>
  <c r="AG88" i="1"/>
  <c r="O89" i="1"/>
  <c r="AG89" i="1"/>
  <c r="O90" i="1"/>
  <c r="AG90" i="1"/>
  <c r="O91" i="1"/>
  <c r="AG91" i="1"/>
  <c r="O92" i="1"/>
  <c r="AG92" i="1"/>
  <c r="O93" i="1"/>
  <c r="AG93" i="1"/>
  <c r="O94" i="1"/>
  <c r="AG94" i="1"/>
  <c r="O95" i="1"/>
  <c r="AG95" i="1"/>
  <c r="O96" i="1"/>
  <c r="AG96" i="1"/>
  <c r="O97" i="1"/>
  <c r="AG97" i="1"/>
  <c r="O98" i="1"/>
  <c r="AG98" i="1"/>
  <c r="O99" i="1"/>
  <c r="AG99" i="1"/>
  <c r="O100" i="1"/>
  <c r="AG100" i="1"/>
  <c r="O101" i="1"/>
  <c r="AG101" i="1"/>
  <c r="O102" i="1"/>
  <c r="AG102" i="1"/>
  <c r="AG103" i="1"/>
  <c r="AG104" i="1"/>
  <c r="AG105" i="1"/>
  <c r="AG106" i="1"/>
  <c r="AG107" i="1"/>
  <c r="O108" i="1"/>
  <c r="AG108" i="1"/>
  <c r="O109" i="1"/>
  <c r="AG109" i="1"/>
  <c r="AG110" i="1"/>
  <c r="O111" i="1"/>
  <c r="AG111" i="1"/>
  <c r="O112" i="1"/>
  <c r="AG112" i="1"/>
  <c r="AG113" i="1"/>
  <c r="O114" i="1"/>
  <c r="AG114" i="1"/>
  <c r="O115" i="1"/>
  <c r="AG115" i="1"/>
  <c r="AG116" i="1"/>
  <c r="O117" i="1"/>
  <c r="AG117" i="1"/>
  <c r="O118" i="1"/>
  <c r="AG118" i="1"/>
  <c r="O119" i="1"/>
  <c r="AG119" i="1"/>
  <c r="O120" i="1"/>
  <c r="AG120" i="1"/>
  <c r="AG121" i="1"/>
  <c r="AG122" i="1"/>
  <c r="AG123" i="1"/>
  <c r="AG124" i="1"/>
  <c r="AG125" i="1"/>
  <c r="AG126" i="1"/>
  <c r="AG127" i="1"/>
  <c r="O128" i="1"/>
  <c r="AG128" i="1"/>
  <c r="O129" i="1"/>
  <c r="AG129" i="1"/>
  <c r="O130" i="1"/>
  <c r="AG130" i="1"/>
  <c r="O131" i="1"/>
  <c r="AG131" i="1"/>
  <c r="O132" i="1"/>
  <c r="AG132" i="1"/>
  <c r="O133" i="1"/>
  <c r="AG133" i="1"/>
  <c r="O134" i="1"/>
  <c r="AG134" i="1"/>
  <c r="O135" i="1"/>
  <c r="AG135" i="1"/>
  <c r="O136" i="1"/>
  <c r="AG136" i="1"/>
  <c r="O137" i="1"/>
  <c r="AG137" i="1"/>
  <c r="O138" i="1"/>
  <c r="AG138" i="1"/>
  <c r="O139" i="1"/>
  <c r="AG139" i="1"/>
  <c r="O140" i="1"/>
  <c r="AG140" i="1"/>
  <c r="O141" i="1"/>
  <c r="AG141" i="1"/>
  <c r="O142" i="1"/>
  <c r="AG142" i="1"/>
  <c r="O143" i="1"/>
  <c r="AG143" i="1"/>
  <c r="O144" i="1"/>
  <c r="AG144" i="1"/>
  <c r="O145" i="1"/>
  <c r="AG145" i="1"/>
  <c r="O146" i="1"/>
  <c r="AG146" i="1"/>
  <c r="O147" i="1"/>
  <c r="AG147" i="1"/>
  <c r="AG148" i="1"/>
  <c r="O149" i="1"/>
  <c r="AG149" i="1"/>
  <c r="O150" i="1"/>
  <c r="AG150" i="1"/>
  <c r="O151" i="1"/>
  <c r="AG151" i="1"/>
  <c r="O152" i="1"/>
  <c r="AG152" i="1"/>
  <c r="O153" i="1"/>
  <c r="AG153" i="1"/>
  <c r="O154" i="1"/>
  <c r="AG154" i="1"/>
  <c r="O155" i="1"/>
  <c r="AG155" i="1"/>
  <c r="O156" i="1"/>
  <c r="AG156" i="1"/>
  <c r="O157" i="1"/>
  <c r="AG157" i="1"/>
  <c r="O158" i="1"/>
  <c r="AG158" i="1"/>
  <c r="O159" i="1"/>
  <c r="AG159" i="1"/>
  <c r="O160" i="1"/>
  <c r="AG160" i="1"/>
  <c r="AG161" i="1"/>
  <c r="O162" i="1"/>
  <c r="AG162" i="1"/>
  <c r="O163" i="1"/>
  <c r="AG163" i="1"/>
  <c r="O164" i="1"/>
  <c r="AG164" i="1"/>
  <c r="O165" i="1"/>
  <c r="AG165" i="1"/>
  <c r="O166" i="1"/>
  <c r="AG166" i="1"/>
  <c r="O167" i="1"/>
  <c r="AG167" i="1"/>
  <c r="O168" i="1"/>
  <c r="AG168" i="1"/>
  <c r="O169" i="1"/>
  <c r="AG169" i="1"/>
  <c r="O170" i="1"/>
  <c r="AG170" i="1"/>
  <c r="O171" i="1"/>
  <c r="AG171" i="1"/>
  <c r="O172" i="1"/>
  <c r="AG172" i="1"/>
  <c r="O173" i="1"/>
  <c r="AG173" i="1"/>
  <c r="O174" i="1"/>
  <c r="AG174" i="1"/>
  <c r="O175" i="1"/>
  <c r="AG175" i="1"/>
  <c r="O176" i="1"/>
  <c r="AG176" i="1"/>
  <c r="O177" i="1"/>
  <c r="AG177" i="1"/>
  <c r="O178" i="1"/>
  <c r="AG178" i="1"/>
  <c r="O179" i="1"/>
  <c r="AG179" i="1"/>
  <c r="O180" i="1"/>
  <c r="AG180" i="1"/>
  <c r="O181" i="1"/>
  <c r="AG181" i="1"/>
  <c r="O182" i="1"/>
  <c r="AG182" i="1"/>
  <c r="O183" i="1"/>
  <c r="AG183" i="1"/>
  <c r="O184" i="1"/>
  <c r="AG184" i="1"/>
  <c r="O185" i="1"/>
  <c r="AG185" i="1"/>
  <c r="O186" i="1"/>
  <c r="AG186" i="1"/>
  <c r="O187" i="1"/>
  <c r="AG187" i="1"/>
  <c r="O188" i="1"/>
  <c r="AG188" i="1"/>
  <c r="O189" i="1"/>
  <c r="AG189" i="1"/>
  <c r="O190" i="1"/>
  <c r="AG190" i="1"/>
  <c r="O191" i="1"/>
  <c r="AG191" i="1"/>
  <c r="O192" i="1"/>
  <c r="AG192" i="1"/>
  <c r="O193" i="1"/>
  <c r="AG193" i="1"/>
  <c r="O194" i="1"/>
  <c r="AG194" i="1"/>
  <c r="O195" i="1"/>
  <c r="AG195" i="1"/>
  <c r="AI54" i="1"/>
  <c r="E5" i="1"/>
  <c r="I5" i="1"/>
  <c r="J16" i="3"/>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I22" i="1"/>
  <c r="E4" i="1"/>
  <c r="I4" i="1"/>
  <c r="J15" i="3"/>
  <c r="AI16" i="1"/>
  <c r="E3" i="1"/>
  <c r="I3" i="1"/>
  <c r="J14" i="3"/>
  <c r="AR540" i="1"/>
  <c r="AR541" i="1"/>
  <c r="AR542" i="1"/>
  <c r="AR543" i="1"/>
  <c r="AR544" i="1"/>
  <c r="AR545" i="1"/>
  <c r="AR546" i="1"/>
  <c r="AR547" i="1"/>
  <c r="AR548" i="1"/>
  <c r="AR549" i="1"/>
  <c r="AR550" i="1"/>
  <c r="AR551" i="1"/>
  <c r="AR552" i="1"/>
  <c r="AR553" i="1"/>
  <c r="AR554" i="1"/>
  <c r="AX540" i="1"/>
  <c r="AZ540" i="1"/>
  <c r="BB540" i="1"/>
  <c r="AR555" i="1"/>
  <c r="AR556" i="1"/>
  <c r="AR557" i="1"/>
  <c r="AR558" i="1"/>
  <c r="AR559" i="1"/>
  <c r="AR560" i="1"/>
  <c r="AR561" i="1"/>
  <c r="AR562" i="1"/>
  <c r="AR563" i="1"/>
  <c r="AR564" i="1"/>
  <c r="AR565" i="1"/>
  <c r="AR566" i="1"/>
  <c r="AR567" i="1"/>
  <c r="AR568" i="1"/>
  <c r="AR569" i="1"/>
  <c r="AR570" i="1"/>
  <c r="AX555" i="1"/>
  <c r="AZ555" i="1"/>
  <c r="BB555" i="1"/>
  <c r="AR571" i="1"/>
  <c r="AR572" i="1"/>
  <c r="AX571" i="1"/>
  <c r="AZ571" i="1"/>
  <c r="BB571" i="1"/>
  <c r="AR573" i="1"/>
  <c r="AR574" i="1"/>
  <c r="AR575" i="1"/>
  <c r="AR576" i="1"/>
  <c r="AR577" i="1"/>
  <c r="AR578" i="1"/>
  <c r="AR579" i="1"/>
  <c r="AR580" i="1"/>
  <c r="AR581" i="1"/>
  <c r="AR582" i="1"/>
  <c r="AR583" i="1"/>
  <c r="AR584" i="1"/>
  <c r="AR585" i="1"/>
  <c r="AR586" i="1"/>
  <c r="AR587" i="1"/>
  <c r="AX573" i="1"/>
  <c r="AZ573" i="1"/>
  <c r="BB573" i="1"/>
  <c r="AR588" i="1"/>
  <c r="AR589" i="1"/>
  <c r="AR590" i="1"/>
  <c r="AR591" i="1"/>
  <c r="AR592" i="1"/>
  <c r="AR593" i="1"/>
  <c r="AR594" i="1"/>
  <c r="AR595" i="1"/>
  <c r="AR596" i="1"/>
  <c r="AX588" i="1"/>
  <c r="AZ588" i="1"/>
  <c r="BB588" i="1"/>
  <c r="AR597" i="1"/>
  <c r="AX597" i="1"/>
  <c r="AZ597" i="1"/>
  <c r="BB597" i="1"/>
  <c r="AR598" i="1"/>
  <c r="AX598" i="1"/>
  <c r="AZ598" i="1"/>
  <c r="BB598" i="1"/>
  <c r="AR599" i="1"/>
  <c r="AX599" i="1"/>
  <c r="AZ599" i="1"/>
  <c r="BB599" i="1"/>
  <c r="AR600" i="1"/>
  <c r="AX600" i="1"/>
  <c r="AZ600" i="1"/>
  <c r="BB600" i="1"/>
  <c r="AR601" i="1"/>
  <c r="AR602" i="1"/>
  <c r="AR603" i="1"/>
  <c r="AR604" i="1"/>
  <c r="AR605" i="1"/>
  <c r="AX601" i="1"/>
  <c r="AZ601" i="1"/>
  <c r="BB601" i="1"/>
  <c r="AR606" i="1"/>
  <c r="AR607" i="1"/>
  <c r="AX606" i="1"/>
  <c r="AZ606" i="1"/>
  <c r="BB606" i="1"/>
  <c r="AR608" i="1"/>
  <c r="AR609" i="1"/>
  <c r="AR610" i="1"/>
  <c r="AR611" i="1"/>
  <c r="AR612" i="1"/>
  <c r="AR613" i="1"/>
  <c r="AR614" i="1"/>
  <c r="AR615" i="1"/>
  <c r="AR616" i="1"/>
  <c r="AR617" i="1"/>
  <c r="AR618" i="1"/>
  <c r="AR619" i="1"/>
  <c r="AR620" i="1"/>
  <c r="AR621" i="1"/>
  <c r="AR622" i="1"/>
  <c r="AR623" i="1"/>
  <c r="AX608" i="1"/>
  <c r="AZ608" i="1"/>
  <c r="BB608" i="1"/>
  <c r="AR624" i="1"/>
  <c r="AX624" i="1"/>
  <c r="AZ624" i="1"/>
  <c r="BB624" i="1"/>
  <c r="AR625" i="1"/>
  <c r="AR626" i="1"/>
  <c r="AR627" i="1"/>
  <c r="AR628" i="1"/>
  <c r="AR629" i="1"/>
  <c r="AR630" i="1"/>
  <c r="AR631" i="1"/>
  <c r="AR632" i="1"/>
  <c r="AR633" i="1"/>
  <c r="AR634" i="1"/>
  <c r="AR635" i="1"/>
  <c r="AR636" i="1"/>
  <c r="AR637" i="1"/>
  <c r="AR638" i="1"/>
  <c r="AR639" i="1"/>
  <c r="AR640" i="1"/>
  <c r="AR641" i="1"/>
  <c r="AX625" i="1"/>
  <c r="AZ625" i="1"/>
  <c r="BB625" i="1"/>
  <c r="AR642" i="1"/>
  <c r="AX642" i="1"/>
  <c r="AZ642" i="1"/>
  <c r="BB642" i="1"/>
  <c r="AR643" i="1"/>
  <c r="AX643" i="1"/>
  <c r="AZ643" i="1"/>
  <c r="BB643" i="1"/>
  <c r="AR644" i="1"/>
  <c r="AX644" i="1"/>
  <c r="AZ644" i="1"/>
  <c r="BB644" i="1"/>
  <c r="AR645" i="1"/>
  <c r="AR646" i="1"/>
  <c r="AR647" i="1"/>
  <c r="AR648" i="1"/>
  <c r="AR649" i="1"/>
  <c r="AR650" i="1"/>
  <c r="AR651" i="1"/>
  <c r="AR652" i="1"/>
  <c r="AR653" i="1"/>
  <c r="AR654" i="1"/>
  <c r="AX645" i="1"/>
  <c r="AZ645" i="1"/>
  <c r="BB645" i="1"/>
  <c r="AR655" i="1"/>
  <c r="AR656" i="1"/>
  <c r="AX655" i="1"/>
  <c r="AZ655" i="1"/>
  <c r="BB655" i="1"/>
  <c r="AR657" i="1"/>
  <c r="AR658" i="1"/>
  <c r="AR659" i="1"/>
  <c r="AR660" i="1"/>
  <c r="AR661" i="1"/>
  <c r="AR662" i="1"/>
  <c r="AR663" i="1"/>
  <c r="AR664" i="1"/>
  <c r="AR665" i="1"/>
  <c r="AR666" i="1"/>
  <c r="AX657" i="1"/>
  <c r="AZ657" i="1"/>
  <c r="BB657" i="1"/>
  <c r="AR667" i="1"/>
  <c r="AR668" i="1"/>
  <c r="AR669" i="1"/>
  <c r="AR670" i="1"/>
  <c r="AR671" i="1"/>
  <c r="AR672" i="1"/>
  <c r="AR673" i="1"/>
  <c r="AR674" i="1"/>
  <c r="AX667" i="1"/>
  <c r="AZ667" i="1"/>
  <c r="BB667" i="1"/>
  <c r="AR675" i="1"/>
  <c r="AX675" i="1"/>
  <c r="AZ675" i="1"/>
  <c r="BB675" i="1"/>
  <c r="AR676" i="1"/>
  <c r="AX676" i="1"/>
  <c r="AZ676" i="1"/>
  <c r="BB676" i="1"/>
  <c r="AR677" i="1"/>
  <c r="AX677" i="1"/>
  <c r="AZ677" i="1"/>
  <c r="BB677" i="1"/>
  <c r="AR678" i="1"/>
  <c r="AX678" i="1"/>
  <c r="AZ678" i="1"/>
  <c r="BB678" i="1"/>
  <c r="AR679" i="1"/>
  <c r="AX679" i="1"/>
  <c r="AZ679" i="1"/>
  <c r="BB679" i="1"/>
  <c r="AR680" i="1"/>
  <c r="AX680" i="1"/>
  <c r="AZ680" i="1"/>
  <c r="BB680" i="1"/>
  <c r="AR681" i="1"/>
  <c r="AX681" i="1"/>
  <c r="AZ681" i="1"/>
  <c r="BB681" i="1"/>
  <c r="AR682" i="1"/>
  <c r="AX682" i="1"/>
  <c r="AZ682" i="1"/>
  <c r="BB682" i="1"/>
  <c r="AR683" i="1"/>
  <c r="AX683" i="1"/>
  <c r="AZ683" i="1"/>
  <c r="BB683" i="1"/>
  <c r="AR684" i="1"/>
  <c r="AX684" i="1"/>
  <c r="AZ684" i="1"/>
  <c r="BB684" i="1"/>
  <c r="AR685" i="1"/>
  <c r="AX685" i="1"/>
  <c r="AZ685" i="1"/>
  <c r="BB685" i="1"/>
  <c r="AR686" i="1"/>
  <c r="AX686" i="1"/>
  <c r="AZ686" i="1"/>
  <c r="BB686" i="1"/>
  <c r="AR687" i="1"/>
  <c r="AX687" i="1"/>
  <c r="AZ687" i="1"/>
  <c r="BB687" i="1"/>
  <c r="AR688" i="1"/>
  <c r="AR689" i="1"/>
  <c r="AR690" i="1"/>
  <c r="AR691" i="1"/>
  <c r="AX688" i="1"/>
  <c r="AZ688" i="1"/>
  <c r="BB688" i="1"/>
  <c r="AR692" i="1"/>
  <c r="AR693" i="1"/>
  <c r="AR694" i="1"/>
  <c r="AR695" i="1"/>
  <c r="AX692" i="1"/>
  <c r="AZ692" i="1"/>
  <c r="BB692" i="1"/>
  <c r="AR696" i="1"/>
  <c r="AX696" i="1"/>
  <c r="AZ696" i="1"/>
  <c r="BB696" i="1"/>
  <c r="AR697" i="1"/>
  <c r="AR698" i="1"/>
  <c r="AR699" i="1"/>
  <c r="AR700" i="1"/>
  <c r="AR701" i="1"/>
  <c r="AX697" i="1"/>
  <c r="AZ697" i="1"/>
  <c r="BB697" i="1"/>
  <c r="AR702" i="1"/>
  <c r="AR703" i="1"/>
  <c r="AR704" i="1"/>
  <c r="AX702" i="1"/>
  <c r="AZ702" i="1"/>
  <c r="BB702" i="1"/>
  <c r="AR705" i="1"/>
  <c r="AR706" i="1"/>
  <c r="AR707" i="1"/>
  <c r="AR708" i="1"/>
  <c r="AR709" i="1"/>
  <c r="AX705" i="1"/>
  <c r="AZ705" i="1"/>
  <c r="BB705" i="1"/>
  <c r="AR710" i="1"/>
  <c r="AX710" i="1"/>
  <c r="AZ710" i="1"/>
  <c r="BB710" i="1"/>
  <c r="AR711" i="1"/>
  <c r="AX711" i="1"/>
  <c r="AZ711" i="1"/>
  <c r="BB711" i="1"/>
  <c r="AR712" i="1"/>
  <c r="AX712" i="1"/>
  <c r="AZ712" i="1"/>
  <c r="BB712" i="1"/>
  <c r="BD539"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7" i="1"/>
  <c r="O988" i="1"/>
  <c r="O989" i="1"/>
  <c r="O990" i="1"/>
  <c r="O991" i="1"/>
  <c r="O992" i="1"/>
  <c r="O993" i="1"/>
  <c r="O994" i="1"/>
  <c r="O995" i="1"/>
  <c r="O996" i="1"/>
  <c r="O997" i="1"/>
  <c r="O998" i="1"/>
  <c r="O999" i="1"/>
  <c r="O1000" i="1"/>
  <c r="O1001" i="1"/>
  <c r="O1002" i="1"/>
  <c r="O1003" i="1"/>
  <c r="O1004" i="1"/>
  <c r="O1005" i="1"/>
  <c r="O1006"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B11" i="1"/>
  <c r="O836" i="1"/>
  <c r="O837" i="1"/>
  <c r="O838" i="1"/>
  <c r="O839" i="1"/>
  <c r="O840" i="1"/>
  <c r="O841" i="1"/>
  <c r="O842" i="1"/>
  <c r="O843" i="1"/>
  <c r="O844" i="1"/>
  <c r="O845" i="1"/>
  <c r="O846" i="1"/>
  <c r="O847" i="1"/>
  <c r="O852" i="1"/>
  <c r="O853" i="1"/>
  <c r="O854" i="1"/>
  <c r="O855" i="1"/>
  <c r="O856" i="1"/>
  <c r="O857" i="1"/>
  <c r="O858" i="1"/>
  <c r="O859" i="1"/>
  <c r="O860" i="1"/>
  <c r="O861" i="1"/>
  <c r="O862" i="1"/>
  <c r="O863" i="1"/>
  <c r="O864" i="1"/>
  <c r="O865" i="1"/>
  <c r="O866" i="1"/>
  <c r="O867" i="1"/>
  <c r="O868" i="1"/>
  <c r="O869" i="1"/>
  <c r="O870" i="1"/>
  <c r="B10" i="1"/>
  <c r="B9" i="1"/>
  <c r="B8" i="1"/>
  <c r="B7" i="1"/>
  <c r="B6" i="1"/>
  <c r="B5" i="1"/>
  <c r="B4" i="1"/>
  <c r="B3"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H835" i="1"/>
  <c r="E10" i="1"/>
  <c r="I10" i="1"/>
  <c r="AR373" i="1"/>
  <c r="AM873" i="1"/>
  <c r="AK874" i="1"/>
  <c r="AM874" i="1"/>
  <c r="AK875" i="1"/>
  <c r="AM875" i="1"/>
  <c r="AK876" i="1"/>
  <c r="AM876" i="1"/>
  <c r="AK877" i="1"/>
  <c r="AM877" i="1"/>
  <c r="AK878" i="1"/>
  <c r="AM878" i="1"/>
  <c r="AK879" i="1"/>
  <c r="AM879" i="1"/>
  <c r="AK880" i="1"/>
  <c r="AM880" i="1"/>
  <c r="AK881" i="1"/>
  <c r="AM881" i="1"/>
  <c r="AK882" i="1"/>
  <c r="AM882" i="1"/>
  <c r="AK883" i="1"/>
  <c r="AM883" i="1"/>
  <c r="AK884" i="1"/>
  <c r="AM884" i="1"/>
  <c r="AM885" i="1"/>
  <c r="AM886" i="1"/>
  <c r="AM887" i="1"/>
  <c r="AM888" i="1"/>
  <c r="AK889" i="1"/>
  <c r="AM889" i="1"/>
  <c r="AM890" i="1"/>
  <c r="AK891" i="1"/>
  <c r="AM891" i="1"/>
  <c r="AM892" i="1"/>
  <c r="AM893" i="1"/>
  <c r="AK894" i="1"/>
  <c r="AM894" i="1"/>
  <c r="AM895" i="1"/>
  <c r="AM896" i="1"/>
  <c r="AM897" i="1"/>
  <c r="AM898" i="1"/>
  <c r="AM899" i="1"/>
  <c r="AM900" i="1"/>
  <c r="AM901" i="1"/>
  <c r="AM902" i="1"/>
  <c r="AM903" i="1"/>
  <c r="AM904" i="1"/>
  <c r="AM905" i="1"/>
  <c r="AM906" i="1"/>
  <c r="AM907" i="1"/>
  <c r="AM908" i="1"/>
  <c r="AM909" i="1"/>
  <c r="AM910" i="1"/>
  <c r="AM911" i="1"/>
  <c r="AM912" i="1"/>
  <c r="AM913" i="1"/>
  <c r="AM914" i="1"/>
  <c r="AM915" i="1"/>
  <c r="AM916" i="1"/>
  <c r="AM917" i="1"/>
  <c r="AM918" i="1"/>
  <c r="AM919" i="1"/>
  <c r="AM920" i="1"/>
  <c r="AM921" i="1"/>
  <c r="AM922" i="1"/>
  <c r="AM923" i="1"/>
  <c r="AM924" i="1"/>
  <c r="AM925" i="1"/>
  <c r="AM926" i="1"/>
  <c r="AM927" i="1"/>
  <c r="AM928" i="1"/>
  <c r="AM929" i="1"/>
  <c r="AM930" i="1"/>
  <c r="AM931" i="1"/>
  <c r="AM932" i="1"/>
  <c r="AM933" i="1"/>
  <c r="AM934" i="1"/>
  <c r="AM935" i="1"/>
  <c r="AM936" i="1"/>
  <c r="AM937" i="1"/>
  <c r="AM938" i="1"/>
  <c r="AM939" i="1"/>
  <c r="AM940" i="1"/>
  <c r="AM941" i="1"/>
  <c r="AM942" i="1"/>
  <c r="AM943" i="1"/>
  <c r="AM944" i="1"/>
  <c r="AM945" i="1"/>
  <c r="AM946" i="1"/>
  <c r="AM947" i="1"/>
  <c r="AM948" i="1"/>
  <c r="AM949" i="1"/>
  <c r="AM950" i="1"/>
  <c r="AM951" i="1"/>
  <c r="AM952" i="1"/>
  <c r="AM953" i="1"/>
  <c r="AM954" i="1"/>
  <c r="AM955" i="1"/>
  <c r="AM956" i="1"/>
  <c r="AM957" i="1"/>
  <c r="AM958" i="1"/>
  <c r="AM959" i="1"/>
  <c r="AM960" i="1"/>
  <c r="AM961" i="1"/>
  <c r="AM962" i="1"/>
  <c r="AM963" i="1"/>
  <c r="AM964" i="1"/>
  <c r="AM965" i="1"/>
  <c r="AM966" i="1"/>
  <c r="AM967" i="1"/>
  <c r="AM968" i="1"/>
  <c r="AM969" i="1"/>
  <c r="AM970" i="1"/>
  <c r="AM971" i="1"/>
  <c r="AM972" i="1"/>
  <c r="AM973" i="1"/>
  <c r="AM974" i="1"/>
  <c r="AM975" i="1"/>
  <c r="AM976" i="1"/>
  <c r="AM977" i="1"/>
  <c r="AM978" i="1"/>
  <c r="AM979" i="1"/>
  <c r="AM980" i="1"/>
  <c r="AK981" i="1"/>
  <c r="AM981" i="1"/>
  <c r="AK982" i="1"/>
  <c r="AM982" i="1"/>
  <c r="AK983" i="1"/>
  <c r="AM983" i="1"/>
  <c r="AK984" i="1"/>
  <c r="AM984" i="1"/>
  <c r="AK985" i="1"/>
  <c r="AM985" i="1"/>
  <c r="AM986" i="1"/>
  <c r="AK987" i="1"/>
  <c r="AM987" i="1"/>
  <c r="AM988" i="1"/>
  <c r="AK989" i="1"/>
  <c r="AM989" i="1"/>
  <c r="AM990" i="1"/>
  <c r="AM991" i="1"/>
  <c r="AM992" i="1"/>
  <c r="AM993" i="1"/>
  <c r="AM994" i="1"/>
  <c r="AM995" i="1"/>
  <c r="AM996" i="1"/>
  <c r="AM997" i="1"/>
  <c r="AM998" i="1"/>
  <c r="AM999" i="1"/>
  <c r="AM1000" i="1"/>
  <c r="AM1001" i="1"/>
  <c r="AM1002" i="1"/>
  <c r="AM1003" i="1"/>
  <c r="AM1004" i="1"/>
  <c r="AM1005" i="1"/>
  <c r="AM1006" i="1"/>
  <c r="AM1007" i="1"/>
  <c r="AM1008" i="1"/>
  <c r="AM1009" i="1"/>
  <c r="AM1010" i="1"/>
  <c r="AM1011" i="1"/>
  <c r="AM1012" i="1"/>
  <c r="AK1013" i="1"/>
  <c r="AM1013" i="1"/>
  <c r="AM1014" i="1"/>
  <c r="AM1015" i="1"/>
  <c r="AM1016" i="1"/>
  <c r="AM1017" i="1"/>
  <c r="AM1018" i="1"/>
  <c r="AM1019" i="1"/>
  <c r="AM1020" i="1"/>
  <c r="AM1021" i="1"/>
  <c r="AM1022" i="1"/>
  <c r="AM1023" i="1"/>
  <c r="AM1024" i="1"/>
  <c r="AM1025" i="1"/>
  <c r="AM1026" i="1"/>
  <c r="AM1027" i="1"/>
  <c r="AM1028" i="1"/>
  <c r="AM1029" i="1"/>
  <c r="AM1030" i="1"/>
  <c r="AK1031" i="1"/>
  <c r="AM1031" i="1"/>
  <c r="AK1032" i="1"/>
  <c r="AM1032" i="1"/>
  <c r="AK1033" i="1"/>
  <c r="AM1033" i="1"/>
  <c r="AK1034" i="1"/>
  <c r="AM1034" i="1"/>
  <c r="AK1035" i="1"/>
  <c r="AM1035" i="1"/>
  <c r="AM1036" i="1"/>
  <c r="AM1037" i="1"/>
  <c r="AM1038" i="1"/>
  <c r="AM1039" i="1"/>
  <c r="AM1040" i="1"/>
  <c r="AM1041" i="1"/>
  <c r="AM1042" i="1"/>
  <c r="AM1043" i="1"/>
  <c r="AM1044" i="1"/>
  <c r="AM1045" i="1"/>
  <c r="AM1046" i="1"/>
  <c r="AM1047" i="1"/>
  <c r="AM1048" i="1"/>
  <c r="AM1049" i="1"/>
  <c r="AM1050" i="1"/>
  <c r="AM1051" i="1"/>
  <c r="AM1052" i="1"/>
  <c r="AM1053" i="1"/>
  <c r="AM1054" i="1"/>
  <c r="AK1055" i="1"/>
  <c r="AM1055" i="1"/>
  <c r="AK1056" i="1"/>
  <c r="AM1056" i="1"/>
  <c r="AK1057" i="1"/>
  <c r="AM1057" i="1"/>
  <c r="AK1058" i="1"/>
  <c r="AM1058" i="1"/>
  <c r="AK1059" i="1"/>
  <c r="AM1059" i="1"/>
  <c r="AK1060" i="1"/>
  <c r="AM1060" i="1"/>
  <c r="AK1061" i="1"/>
  <c r="AM1061" i="1"/>
  <c r="AM1062" i="1"/>
  <c r="AM1063" i="1"/>
  <c r="AM1064" i="1"/>
  <c r="AM1065" i="1"/>
  <c r="AM1066" i="1"/>
  <c r="AM1067" i="1"/>
  <c r="AK1068" i="1"/>
  <c r="AM1068" i="1"/>
  <c r="AK1069" i="1"/>
  <c r="AM1069" i="1"/>
  <c r="AM1070" i="1"/>
  <c r="AM1071" i="1"/>
  <c r="AM1072" i="1"/>
  <c r="AK1073" i="1"/>
  <c r="AM1073" i="1"/>
  <c r="AK1074" i="1"/>
  <c r="AM1074" i="1"/>
  <c r="AK1075" i="1"/>
  <c r="AM1075" i="1"/>
  <c r="AK1076" i="1"/>
  <c r="AM1076" i="1"/>
  <c r="AK1077" i="1"/>
  <c r="AM1077" i="1"/>
  <c r="AK1078" i="1"/>
  <c r="AM1078" i="1"/>
  <c r="AK1079" i="1"/>
  <c r="AM1079" i="1"/>
  <c r="AM1080" i="1"/>
  <c r="AM1081" i="1"/>
  <c r="AM1082" i="1"/>
  <c r="AM1083" i="1"/>
  <c r="AK1084" i="1"/>
  <c r="AM1084" i="1"/>
  <c r="AK1085" i="1"/>
  <c r="AM1085" i="1"/>
  <c r="AK1086" i="1"/>
  <c r="AM1086" i="1"/>
  <c r="AO872" i="1"/>
  <c r="F11" i="1"/>
  <c r="J11" i="1"/>
  <c r="AN715" i="1"/>
  <c r="AN716" i="1"/>
  <c r="AN717" i="1"/>
  <c r="AN718" i="1"/>
  <c r="AN719" i="1"/>
  <c r="AN720" i="1"/>
  <c r="AN721" i="1"/>
  <c r="AN722" i="1"/>
  <c r="AN723" i="1"/>
  <c r="AN724" i="1"/>
  <c r="AN725" i="1"/>
  <c r="AN726" i="1"/>
  <c r="AN727" i="1"/>
  <c r="AN728" i="1"/>
  <c r="AN729" i="1"/>
  <c r="AN730" i="1"/>
  <c r="AN731" i="1"/>
  <c r="AN732" i="1"/>
  <c r="AN733" i="1"/>
  <c r="AN734" i="1"/>
  <c r="AN735" i="1"/>
  <c r="AN736" i="1"/>
  <c r="AN737" i="1"/>
  <c r="AN738" i="1"/>
  <c r="AN739" i="1"/>
  <c r="AN740" i="1"/>
  <c r="AN741" i="1"/>
  <c r="AN742" i="1"/>
  <c r="AN743" i="1"/>
  <c r="AN744" i="1"/>
  <c r="AN745" i="1"/>
  <c r="AN746" i="1"/>
  <c r="AN747" i="1"/>
  <c r="AN748" i="1"/>
  <c r="AN749" i="1"/>
  <c r="AN750" i="1"/>
  <c r="AN751" i="1"/>
  <c r="AN752" i="1"/>
  <c r="AN753" i="1"/>
  <c r="AN754" i="1"/>
  <c r="AN755" i="1"/>
  <c r="AN756" i="1"/>
  <c r="AN757" i="1"/>
  <c r="AN758" i="1"/>
  <c r="AN759" i="1"/>
  <c r="AN760" i="1"/>
  <c r="AN761" i="1"/>
  <c r="AN762" i="1"/>
  <c r="AN763" i="1"/>
  <c r="AN764" i="1"/>
  <c r="AN765" i="1"/>
  <c r="AN766" i="1"/>
  <c r="AN767" i="1"/>
  <c r="AN768" i="1"/>
  <c r="AN769" i="1"/>
  <c r="AN770" i="1"/>
  <c r="AN771" i="1"/>
  <c r="AN772" i="1"/>
  <c r="AN773" i="1"/>
  <c r="AN774" i="1"/>
  <c r="AN775" i="1"/>
  <c r="AN776" i="1"/>
  <c r="AN777" i="1"/>
  <c r="AN778" i="1"/>
  <c r="AN779" i="1"/>
  <c r="AN780" i="1"/>
  <c r="AN781" i="1"/>
  <c r="AN782" i="1"/>
  <c r="AN783" i="1"/>
  <c r="AN784" i="1"/>
  <c r="AN785" i="1"/>
  <c r="AN786" i="1"/>
  <c r="AN787" i="1"/>
  <c r="AN788" i="1"/>
  <c r="AN789" i="1"/>
  <c r="AN790" i="1"/>
  <c r="AN791" i="1"/>
  <c r="AN792" i="1"/>
  <c r="AN793" i="1"/>
  <c r="AN794" i="1"/>
  <c r="AN795" i="1"/>
  <c r="AN796" i="1"/>
  <c r="AN797" i="1"/>
  <c r="AN798" i="1"/>
  <c r="AN799" i="1"/>
  <c r="AN800" i="1"/>
  <c r="AN801" i="1"/>
  <c r="AN802" i="1"/>
  <c r="AN803" i="1"/>
  <c r="AN804" i="1"/>
  <c r="AN805" i="1"/>
  <c r="AN806" i="1"/>
  <c r="AN807" i="1"/>
  <c r="AN808" i="1"/>
  <c r="AN809" i="1"/>
  <c r="AN810" i="1"/>
  <c r="AN811" i="1"/>
  <c r="AN812" i="1"/>
  <c r="AN813" i="1"/>
  <c r="AN814" i="1"/>
  <c r="AN815" i="1"/>
  <c r="AN816" i="1"/>
  <c r="AN817" i="1"/>
  <c r="AN818" i="1"/>
  <c r="AN819" i="1"/>
  <c r="AN820" i="1"/>
  <c r="AN821" i="1"/>
  <c r="AN822" i="1"/>
  <c r="AN823" i="1"/>
  <c r="AN824" i="1"/>
  <c r="AN825" i="1"/>
  <c r="AN826" i="1"/>
  <c r="AN827" i="1"/>
  <c r="AN828" i="1"/>
  <c r="AN829" i="1"/>
  <c r="AN830" i="1"/>
  <c r="AN831" i="1"/>
  <c r="AN832" i="1"/>
  <c r="AN833" i="1"/>
  <c r="AP714" i="1"/>
  <c r="F9" i="1"/>
  <c r="J9" i="1"/>
  <c r="AN540" i="1"/>
  <c r="AN541" i="1"/>
  <c r="AN542" i="1"/>
  <c r="AN543" i="1"/>
  <c r="AN544" i="1"/>
  <c r="AN545" i="1"/>
  <c r="AN546" i="1"/>
  <c r="AN547" i="1"/>
  <c r="AN548" i="1"/>
  <c r="AN549" i="1"/>
  <c r="AN550" i="1"/>
  <c r="AN551" i="1"/>
  <c r="AN552" i="1"/>
  <c r="AN553" i="1"/>
  <c r="AN554" i="1"/>
  <c r="AN555" i="1"/>
  <c r="AN556" i="1"/>
  <c r="AN557" i="1"/>
  <c r="AN558" i="1"/>
  <c r="AN559" i="1"/>
  <c r="AN560" i="1"/>
  <c r="AN561" i="1"/>
  <c r="AN562" i="1"/>
  <c r="AN563" i="1"/>
  <c r="AN564" i="1"/>
  <c r="AN565" i="1"/>
  <c r="AN566" i="1"/>
  <c r="AN567" i="1"/>
  <c r="AN568" i="1"/>
  <c r="AN569" i="1"/>
  <c r="AN570" i="1"/>
  <c r="AN571" i="1"/>
  <c r="AN572" i="1"/>
  <c r="AN573" i="1"/>
  <c r="AN574" i="1"/>
  <c r="AN575" i="1"/>
  <c r="AN576" i="1"/>
  <c r="AN577" i="1"/>
  <c r="AN578" i="1"/>
  <c r="AN579" i="1"/>
  <c r="AN580" i="1"/>
  <c r="AN581" i="1"/>
  <c r="AN582" i="1"/>
  <c r="AN583" i="1"/>
  <c r="AN584" i="1"/>
  <c r="AN585" i="1"/>
  <c r="AN586" i="1"/>
  <c r="AN587" i="1"/>
  <c r="AN588" i="1"/>
  <c r="AN589" i="1"/>
  <c r="AN590" i="1"/>
  <c r="AN591" i="1"/>
  <c r="AN592" i="1"/>
  <c r="AN593" i="1"/>
  <c r="AN594" i="1"/>
  <c r="AN595" i="1"/>
  <c r="AN596" i="1"/>
  <c r="AN597" i="1"/>
  <c r="AN598" i="1"/>
  <c r="AN599" i="1"/>
  <c r="AN600" i="1"/>
  <c r="AN601" i="1"/>
  <c r="AN602" i="1"/>
  <c r="AN603" i="1"/>
  <c r="AN604" i="1"/>
  <c r="AN605" i="1"/>
  <c r="AN606" i="1"/>
  <c r="AN607" i="1"/>
  <c r="AN608" i="1"/>
  <c r="AN609" i="1"/>
  <c r="AN610" i="1"/>
  <c r="AN611" i="1"/>
  <c r="AN612" i="1"/>
  <c r="AN613" i="1"/>
  <c r="AN614" i="1"/>
  <c r="AN615" i="1"/>
  <c r="AN616" i="1"/>
  <c r="AN617" i="1"/>
  <c r="AN618" i="1"/>
  <c r="AN619" i="1"/>
  <c r="AN620" i="1"/>
  <c r="AN621" i="1"/>
  <c r="AN622" i="1"/>
  <c r="AN623" i="1"/>
  <c r="AN624" i="1"/>
  <c r="AN625" i="1"/>
  <c r="AN626" i="1"/>
  <c r="AN627" i="1"/>
  <c r="AN628" i="1"/>
  <c r="AN629" i="1"/>
  <c r="AN630" i="1"/>
  <c r="AN631" i="1"/>
  <c r="AN632" i="1"/>
  <c r="AN633" i="1"/>
  <c r="AN634" i="1"/>
  <c r="AN635" i="1"/>
  <c r="AN636" i="1"/>
  <c r="AN637" i="1"/>
  <c r="AN638" i="1"/>
  <c r="AN639" i="1"/>
  <c r="AN640" i="1"/>
  <c r="AN641" i="1"/>
  <c r="AN642" i="1"/>
  <c r="AN643" i="1"/>
  <c r="AN644" i="1"/>
  <c r="AN645" i="1"/>
  <c r="AN646" i="1"/>
  <c r="AN647" i="1"/>
  <c r="AN648" i="1"/>
  <c r="AN649" i="1"/>
  <c r="AN650" i="1"/>
  <c r="AN651" i="1"/>
  <c r="AN652" i="1"/>
  <c r="AN653" i="1"/>
  <c r="AN654" i="1"/>
  <c r="AN655" i="1"/>
  <c r="AN656" i="1"/>
  <c r="AN657" i="1"/>
  <c r="AN658" i="1"/>
  <c r="AN659" i="1"/>
  <c r="AN660" i="1"/>
  <c r="AN661" i="1"/>
  <c r="AN662" i="1"/>
  <c r="AN663" i="1"/>
  <c r="AN664" i="1"/>
  <c r="AN665" i="1"/>
  <c r="AN666" i="1"/>
  <c r="AN667" i="1"/>
  <c r="AN668" i="1"/>
  <c r="AN669" i="1"/>
  <c r="AN670" i="1"/>
  <c r="AN671" i="1"/>
  <c r="AN672" i="1"/>
  <c r="AN673" i="1"/>
  <c r="AN674" i="1"/>
  <c r="AN675" i="1"/>
  <c r="AN676" i="1"/>
  <c r="AN677" i="1"/>
  <c r="AN678" i="1"/>
  <c r="AN679" i="1"/>
  <c r="AN680" i="1"/>
  <c r="AN681" i="1"/>
  <c r="AN682" i="1"/>
  <c r="AN683" i="1"/>
  <c r="AN684" i="1"/>
  <c r="AN685" i="1"/>
  <c r="AN686" i="1"/>
  <c r="AN687" i="1"/>
  <c r="AN688" i="1"/>
  <c r="AN689" i="1"/>
  <c r="AN690" i="1"/>
  <c r="AN691" i="1"/>
  <c r="AN692" i="1"/>
  <c r="AN693" i="1"/>
  <c r="AN694" i="1"/>
  <c r="AN695" i="1"/>
  <c r="AN696" i="1"/>
  <c r="AN697" i="1"/>
  <c r="AN698" i="1"/>
  <c r="AN699" i="1"/>
  <c r="AN700" i="1"/>
  <c r="AN701" i="1"/>
  <c r="AN702" i="1"/>
  <c r="AN703" i="1"/>
  <c r="AN704" i="1"/>
  <c r="AN705" i="1"/>
  <c r="AN706" i="1"/>
  <c r="AN707" i="1"/>
  <c r="AN708" i="1"/>
  <c r="AN709" i="1"/>
  <c r="AN710" i="1"/>
  <c r="AN711" i="1"/>
  <c r="AN712" i="1"/>
  <c r="AP539" i="1"/>
  <c r="F8" i="1"/>
  <c r="J8" i="1"/>
  <c r="AN452" i="1"/>
  <c r="AN453" i="1"/>
  <c r="AN454" i="1"/>
  <c r="AN455" i="1"/>
  <c r="AN456" i="1"/>
  <c r="AN457" i="1"/>
  <c r="AN458" i="1"/>
  <c r="AN459" i="1"/>
  <c r="AN460" i="1"/>
  <c r="AN461" i="1"/>
  <c r="AN462" i="1"/>
  <c r="AN463" i="1"/>
  <c r="AN464" i="1"/>
  <c r="AN465" i="1"/>
  <c r="AN466" i="1"/>
  <c r="AN467" i="1"/>
  <c r="AN468" i="1"/>
  <c r="AN469" i="1"/>
  <c r="AN470" i="1"/>
  <c r="AN471" i="1"/>
  <c r="AN472" i="1"/>
  <c r="AN473" i="1"/>
  <c r="AN474" i="1"/>
  <c r="AN475" i="1"/>
  <c r="AN476" i="1"/>
  <c r="AN477" i="1"/>
  <c r="AN478" i="1"/>
  <c r="AN479" i="1"/>
  <c r="AN480" i="1"/>
  <c r="AN481" i="1"/>
  <c r="AN482" i="1"/>
  <c r="AN483" i="1"/>
  <c r="AN484" i="1"/>
  <c r="AN485" i="1"/>
  <c r="AN486" i="1"/>
  <c r="AN487" i="1"/>
  <c r="AN488" i="1"/>
  <c r="AN489" i="1"/>
  <c r="AN490" i="1"/>
  <c r="AN491" i="1"/>
  <c r="AN492" i="1"/>
  <c r="AN493" i="1"/>
  <c r="AN494" i="1"/>
  <c r="AN495" i="1"/>
  <c r="AN496" i="1"/>
  <c r="AN497" i="1"/>
  <c r="AN498" i="1"/>
  <c r="AN499" i="1"/>
  <c r="AN500" i="1"/>
  <c r="AN501" i="1"/>
  <c r="AN502" i="1"/>
  <c r="AN503" i="1"/>
  <c r="AN504" i="1"/>
  <c r="AN505" i="1"/>
  <c r="AN506" i="1"/>
  <c r="AN507" i="1"/>
  <c r="AN508" i="1"/>
  <c r="AN509" i="1"/>
  <c r="AN510" i="1"/>
  <c r="AN511" i="1"/>
  <c r="AN512" i="1"/>
  <c r="AN513" i="1"/>
  <c r="AN514" i="1"/>
  <c r="AN515" i="1"/>
  <c r="AN516" i="1"/>
  <c r="AN517" i="1"/>
  <c r="AN518" i="1"/>
  <c r="AN519" i="1"/>
  <c r="AN520" i="1"/>
  <c r="AN521" i="1"/>
  <c r="AN522" i="1"/>
  <c r="AN523" i="1"/>
  <c r="AN524" i="1"/>
  <c r="AN525" i="1"/>
  <c r="AN526" i="1"/>
  <c r="AN527" i="1"/>
  <c r="AN528" i="1"/>
  <c r="AN529" i="1"/>
  <c r="AN530" i="1"/>
  <c r="AN531" i="1"/>
  <c r="AN532" i="1"/>
  <c r="AN533" i="1"/>
  <c r="AN534" i="1"/>
  <c r="AN535" i="1"/>
  <c r="AN536" i="1"/>
  <c r="AN537" i="1"/>
  <c r="AP451" i="1"/>
  <c r="F7" i="1"/>
  <c r="J7" i="1"/>
  <c r="AN198" i="1"/>
  <c r="AN199" i="1"/>
  <c r="AN200" i="1"/>
  <c r="AN201" i="1"/>
  <c r="AN202" i="1"/>
  <c r="AN203" i="1"/>
  <c r="AN204" i="1"/>
  <c r="AN205" i="1"/>
  <c r="AN206" i="1"/>
  <c r="AN207" i="1"/>
  <c r="AN208" i="1"/>
  <c r="AN209" i="1"/>
  <c r="AN210" i="1"/>
  <c r="AN211" i="1"/>
  <c r="AN212" i="1"/>
  <c r="AN213" i="1"/>
  <c r="AN214" i="1"/>
  <c r="AN215" i="1"/>
  <c r="AN216" i="1"/>
  <c r="AN217" i="1"/>
  <c r="AN218" i="1"/>
  <c r="AN219" i="1"/>
  <c r="AN220" i="1"/>
  <c r="AN221" i="1"/>
  <c r="AN222" i="1"/>
  <c r="AN223" i="1"/>
  <c r="AN224" i="1"/>
  <c r="AN225" i="1"/>
  <c r="AN226" i="1"/>
  <c r="AN227" i="1"/>
  <c r="AN228" i="1"/>
  <c r="AN229" i="1"/>
  <c r="AN230"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259" i="1"/>
  <c r="AN260" i="1"/>
  <c r="AN261" i="1"/>
  <c r="AN262" i="1"/>
  <c r="AN263" i="1"/>
  <c r="AN264" i="1"/>
  <c r="AN265" i="1"/>
  <c r="AN266" i="1"/>
  <c r="AN267" i="1"/>
  <c r="AN268" i="1"/>
  <c r="AN269" i="1"/>
  <c r="AN270" i="1"/>
  <c r="AN271" i="1"/>
  <c r="AN272" i="1"/>
  <c r="AN273" i="1"/>
  <c r="AN274" i="1"/>
  <c r="AN275" i="1"/>
  <c r="AN276" i="1"/>
  <c r="AN277" i="1"/>
  <c r="AN278" i="1"/>
  <c r="AN279" i="1"/>
  <c r="AN280" i="1"/>
  <c r="AN281" i="1"/>
  <c r="AN282" i="1"/>
  <c r="AN283" i="1"/>
  <c r="AN284" i="1"/>
  <c r="AN285" i="1"/>
  <c r="AN286" i="1"/>
  <c r="AN287" i="1"/>
  <c r="AN288" i="1"/>
  <c r="AN289" i="1"/>
  <c r="AN290" i="1"/>
  <c r="AN291" i="1"/>
  <c r="AN292" i="1"/>
  <c r="AN293" i="1"/>
  <c r="AN294" i="1"/>
  <c r="AN295" i="1"/>
  <c r="AN296" i="1"/>
  <c r="AN297" i="1"/>
  <c r="AN298" i="1"/>
  <c r="AN299" i="1"/>
  <c r="AN300" i="1"/>
  <c r="AN301" i="1"/>
  <c r="AN302" i="1"/>
  <c r="AN303" i="1"/>
  <c r="AN304" i="1"/>
  <c r="AN305" i="1"/>
  <c r="AN306" i="1"/>
  <c r="AN307" i="1"/>
  <c r="AN308" i="1"/>
  <c r="AN309" i="1"/>
  <c r="AN310" i="1"/>
  <c r="AN311" i="1"/>
  <c r="AN312" i="1"/>
  <c r="AN313" i="1"/>
  <c r="AN314" i="1"/>
  <c r="AN315" i="1"/>
  <c r="AN316" i="1"/>
  <c r="AN317" i="1"/>
  <c r="AN318" i="1"/>
  <c r="AN319" i="1"/>
  <c r="AN320" i="1"/>
  <c r="AN321" i="1"/>
  <c r="AN322" i="1"/>
  <c r="AN323" i="1"/>
  <c r="AN324" i="1"/>
  <c r="AN325" i="1"/>
  <c r="AN326" i="1"/>
  <c r="AN327" i="1"/>
  <c r="AN328" i="1"/>
  <c r="AN329" i="1"/>
  <c r="AN330" i="1"/>
  <c r="AN331" i="1"/>
  <c r="AN332" i="1"/>
  <c r="AN333" i="1"/>
  <c r="AN334" i="1"/>
  <c r="AN335" i="1"/>
  <c r="AN336" i="1"/>
  <c r="AN337" i="1"/>
  <c r="AN338" i="1"/>
  <c r="AN339" i="1"/>
  <c r="AN340" i="1"/>
  <c r="AN341" i="1"/>
  <c r="AN342" i="1"/>
  <c r="AN343" i="1"/>
  <c r="AN344" i="1"/>
  <c r="AN345" i="1"/>
  <c r="AN346" i="1"/>
  <c r="AN347" i="1"/>
  <c r="AN348" i="1"/>
  <c r="AN349" i="1"/>
  <c r="AN350" i="1"/>
  <c r="AN351" i="1"/>
  <c r="AN352" i="1"/>
  <c r="AN353" i="1"/>
  <c r="AN354" i="1"/>
  <c r="AN355" i="1"/>
  <c r="AN356" i="1"/>
  <c r="AN357" i="1"/>
  <c r="AN358" i="1"/>
  <c r="AN359" i="1"/>
  <c r="AN360" i="1"/>
  <c r="AN361" i="1"/>
  <c r="AN362" i="1"/>
  <c r="AN363" i="1"/>
  <c r="AN364" i="1"/>
  <c r="AN365" i="1"/>
  <c r="AN366" i="1"/>
  <c r="AN367" i="1"/>
  <c r="AN368" i="1"/>
  <c r="AN369" i="1"/>
  <c r="AN370" i="1"/>
  <c r="AN371" i="1"/>
  <c r="AN372" i="1"/>
  <c r="AN373" i="1"/>
  <c r="AN374" i="1"/>
  <c r="AN375" i="1"/>
  <c r="AN376" i="1"/>
  <c r="AN377" i="1"/>
  <c r="AN378" i="1"/>
  <c r="AN379" i="1"/>
  <c r="AN380" i="1"/>
  <c r="AN381" i="1"/>
  <c r="AN382" i="1"/>
  <c r="AN383" i="1"/>
  <c r="AN384" i="1"/>
  <c r="AN385" i="1"/>
  <c r="AN386" i="1"/>
  <c r="AN387" i="1"/>
  <c r="AN388" i="1"/>
  <c r="AN389" i="1"/>
  <c r="AN390" i="1"/>
  <c r="AN391" i="1"/>
  <c r="AN392" i="1"/>
  <c r="AN393" i="1"/>
  <c r="AN394" i="1"/>
  <c r="AN395" i="1"/>
  <c r="AN396" i="1"/>
  <c r="AN397" i="1"/>
  <c r="AN398" i="1"/>
  <c r="AN399" i="1"/>
  <c r="AN400" i="1"/>
  <c r="AN401" i="1"/>
  <c r="AN402" i="1"/>
  <c r="AN403" i="1"/>
  <c r="AN404" i="1"/>
  <c r="AN405" i="1"/>
  <c r="AN406" i="1"/>
  <c r="AN407" i="1"/>
  <c r="AN408" i="1"/>
  <c r="AN409" i="1"/>
  <c r="AN410" i="1"/>
  <c r="AN411" i="1"/>
  <c r="AN412" i="1"/>
  <c r="AN413" i="1"/>
  <c r="AN414" i="1"/>
  <c r="AN415" i="1"/>
  <c r="AN416" i="1"/>
  <c r="AN417" i="1"/>
  <c r="AN418" i="1"/>
  <c r="AN419" i="1"/>
  <c r="AN420" i="1"/>
  <c r="AN421" i="1"/>
  <c r="AN422" i="1"/>
  <c r="AN423" i="1"/>
  <c r="AN424" i="1"/>
  <c r="AN425" i="1"/>
  <c r="AN426" i="1"/>
  <c r="AN427" i="1"/>
  <c r="AN428" i="1"/>
  <c r="AN429" i="1"/>
  <c r="AN430" i="1"/>
  <c r="AN431" i="1"/>
  <c r="AN432" i="1"/>
  <c r="AN433" i="1"/>
  <c r="AN434" i="1"/>
  <c r="AN435" i="1"/>
  <c r="AN436" i="1"/>
  <c r="AN437" i="1"/>
  <c r="AN438" i="1"/>
  <c r="AN439" i="1"/>
  <c r="AN440" i="1"/>
  <c r="AN441" i="1"/>
  <c r="AN442" i="1"/>
  <c r="AN443" i="1"/>
  <c r="AN444" i="1"/>
  <c r="AN445" i="1"/>
  <c r="AN446" i="1"/>
  <c r="AN447" i="1"/>
  <c r="AN448" i="1"/>
  <c r="AN449" i="1"/>
  <c r="AP197" i="1"/>
  <c r="F6" i="1"/>
  <c r="J6"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P54" i="1"/>
  <c r="F5" i="1"/>
  <c r="J5"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H54" i="1"/>
  <c r="AL17" i="1"/>
  <c r="AS17" i="1"/>
  <c r="AL18" i="1"/>
  <c r="AS18" i="1"/>
  <c r="AL19" i="1"/>
  <c r="AS19" i="1"/>
  <c r="AL20" i="1"/>
  <c r="AS20" i="1"/>
  <c r="BJ16" i="1"/>
  <c r="AL873" i="1"/>
  <c r="AS873" i="1"/>
  <c r="AY873" i="1"/>
  <c r="BA873" i="1"/>
  <c r="BC873" i="1"/>
  <c r="AL885" i="1"/>
  <c r="AS885" i="1"/>
  <c r="AL886" i="1"/>
  <c r="AS886" i="1"/>
  <c r="AL887" i="1"/>
  <c r="AS887" i="1"/>
  <c r="AL888" i="1"/>
  <c r="AS888" i="1"/>
  <c r="AY885" i="1"/>
  <c r="BA885" i="1"/>
  <c r="BC885" i="1"/>
  <c r="AL890" i="1"/>
  <c r="AS890" i="1"/>
  <c r="AY889" i="1"/>
  <c r="BA889" i="1"/>
  <c r="BC889" i="1"/>
  <c r="AL892" i="1"/>
  <c r="AS892" i="1"/>
  <c r="AY892" i="1"/>
  <c r="BA892" i="1"/>
  <c r="BC892" i="1"/>
  <c r="AL893" i="1"/>
  <c r="AS893" i="1"/>
  <c r="AY893" i="1"/>
  <c r="BA893" i="1"/>
  <c r="BC893" i="1"/>
  <c r="AL895" i="1"/>
  <c r="AS895" i="1"/>
  <c r="AL896" i="1"/>
  <c r="AS896" i="1"/>
  <c r="AL897" i="1"/>
  <c r="AS897" i="1"/>
  <c r="AL898" i="1"/>
  <c r="AS898" i="1"/>
  <c r="AL899" i="1"/>
  <c r="AS899" i="1"/>
  <c r="AL900" i="1"/>
  <c r="AS900" i="1"/>
  <c r="AY895" i="1"/>
  <c r="BA895" i="1"/>
  <c r="BC895" i="1"/>
  <c r="AL901" i="1"/>
  <c r="AS901" i="1"/>
  <c r="AY901" i="1"/>
  <c r="BA901" i="1"/>
  <c r="BC901" i="1"/>
  <c r="AL902" i="1"/>
  <c r="AS902" i="1"/>
  <c r="AL903" i="1"/>
  <c r="AS903" i="1"/>
  <c r="AY902" i="1"/>
  <c r="BA902" i="1"/>
  <c r="BC902" i="1"/>
  <c r="AL904" i="1"/>
  <c r="AS904" i="1"/>
  <c r="AL905" i="1"/>
  <c r="AS905" i="1"/>
  <c r="AL906" i="1"/>
  <c r="AS906" i="1"/>
  <c r="AL907" i="1"/>
  <c r="AS907" i="1"/>
  <c r="AL908" i="1"/>
  <c r="AS908" i="1"/>
  <c r="AL909" i="1"/>
  <c r="AS909" i="1"/>
  <c r="AL910" i="1"/>
  <c r="AS910" i="1"/>
  <c r="AL911" i="1"/>
  <c r="AS911" i="1"/>
  <c r="AL912" i="1"/>
  <c r="AS912" i="1"/>
  <c r="AL913" i="1"/>
  <c r="AS913" i="1"/>
  <c r="AL914" i="1"/>
  <c r="AS914" i="1"/>
  <c r="AL915" i="1"/>
  <c r="AS915" i="1"/>
  <c r="AL916" i="1"/>
  <c r="AS916" i="1"/>
  <c r="AL917" i="1"/>
  <c r="AS917" i="1"/>
  <c r="AY904" i="1"/>
  <c r="BA904" i="1"/>
  <c r="BC904" i="1"/>
  <c r="AL918" i="1"/>
  <c r="AS918" i="1"/>
  <c r="AL919" i="1"/>
  <c r="AS919" i="1"/>
  <c r="AY918" i="1"/>
  <c r="BA918" i="1"/>
  <c r="BC918" i="1"/>
  <c r="AL920" i="1"/>
  <c r="AS920" i="1"/>
  <c r="AY920" i="1"/>
  <c r="BA920" i="1"/>
  <c r="BC920" i="1"/>
  <c r="AL921" i="1"/>
  <c r="AS921" i="1"/>
  <c r="AL922" i="1"/>
  <c r="AS922" i="1"/>
  <c r="AL923" i="1"/>
  <c r="AS923" i="1"/>
  <c r="AL924" i="1"/>
  <c r="AS924" i="1"/>
  <c r="AL925" i="1"/>
  <c r="AS925" i="1"/>
  <c r="AL926" i="1"/>
  <c r="AS926" i="1"/>
  <c r="AL927" i="1"/>
  <c r="AS927" i="1"/>
  <c r="AL928" i="1"/>
  <c r="AS928" i="1"/>
  <c r="AL929" i="1"/>
  <c r="AS929" i="1"/>
  <c r="AL930" i="1"/>
  <c r="AS930" i="1"/>
  <c r="AL931" i="1"/>
  <c r="AS931" i="1"/>
  <c r="AL932" i="1"/>
  <c r="AS932" i="1"/>
  <c r="AL933" i="1"/>
  <c r="AS933" i="1"/>
  <c r="AL934" i="1"/>
  <c r="AS934" i="1"/>
  <c r="AL935" i="1"/>
  <c r="AS935" i="1"/>
  <c r="AL936" i="1"/>
  <c r="AS936" i="1"/>
  <c r="AL937" i="1"/>
  <c r="AS937" i="1"/>
  <c r="AL938" i="1"/>
  <c r="AS938" i="1"/>
  <c r="AL939" i="1"/>
  <c r="AS939" i="1"/>
  <c r="AL940" i="1"/>
  <c r="AS940" i="1"/>
  <c r="AL941" i="1"/>
  <c r="AS941" i="1"/>
  <c r="AL942" i="1"/>
  <c r="AS942" i="1"/>
  <c r="AL943" i="1"/>
  <c r="AS943" i="1"/>
  <c r="AL944" i="1"/>
  <c r="AS944" i="1"/>
  <c r="AL945" i="1"/>
  <c r="AS945" i="1"/>
  <c r="AL946" i="1"/>
  <c r="AS946" i="1"/>
  <c r="AL947" i="1"/>
  <c r="AS947" i="1"/>
  <c r="AL948" i="1"/>
  <c r="AS948" i="1"/>
  <c r="AL949" i="1"/>
  <c r="AS949" i="1"/>
  <c r="AY921" i="1"/>
  <c r="BA921" i="1"/>
  <c r="BC921" i="1"/>
  <c r="AL950" i="1"/>
  <c r="AS950" i="1"/>
  <c r="AL951" i="1"/>
  <c r="AS951" i="1"/>
  <c r="AL952" i="1"/>
  <c r="AS952" i="1"/>
  <c r="AY950" i="1"/>
  <c r="BA950" i="1"/>
  <c r="BC950" i="1"/>
  <c r="AL953" i="1"/>
  <c r="AS953" i="1"/>
  <c r="AY953" i="1"/>
  <c r="BA953" i="1"/>
  <c r="BC953" i="1"/>
  <c r="AL954" i="1"/>
  <c r="AS954" i="1"/>
  <c r="AY954" i="1"/>
  <c r="BA954" i="1"/>
  <c r="BC954" i="1"/>
  <c r="AL955" i="1"/>
  <c r="AS955" i="1"/>
  <c r="AL956" i="1"/>
  <c r="AS956" i="1"/>
  <c r="AL957" i="1"/>
  <c r="AS957" i="1"/>
  <c r="AL958" i="1"/>
  <c r="AS958" i="1"/>
  <c r="AL959" i="1"/>
  <c r="AS959" i="1"/>
  <c r="AL960" i="1"/>
  <c r="AS960" i="1"/>
  <c r="AL961" i="1"/>
  <c r="AS961" i="1"/>
  <c r="AL962" i="1"/>
  <c r="AS962" i="1"/>
  <c r="AL963" i="1"/>
  <c r="AS963" i="1"/>
  <c r="AL964" i="1"/>
  <c r="AS964" i="1"/>
  <c r="AL965" i="1"/>
  <c r="AS965" i="1"/>
  <c r="AL966" i="1"/>
  <c r="AS966" i="1"/>
  <c r="AL967" i="1"/>
  <c r="AS967" i="1"/>
  <c r="AL968" i="1"/>
  <c r="AS968" i="1"/>
  <c r="AL969" i="1"/>
  <c r="AS969" i="1"/>
  <c r="AL970" i="1"/>
  <c r="AS970" i="1"/>
  <c r="AL971" i="1"/>
  <c r="AS971" i="1"/>
  <c r="AL972" i="1"/>
  <c r="AS972" i="1"/>
  <c r="AL973" i="1"/>
  <c r="AS973" i="1"/>
  <c r="AL974" i="1"/>
  <c r="AS974" i="1"/>
  <c r="AL975" i="1"/>
  <c r="AS975" i="1"/>
  <c r="AL976" i="1"/>
  <c r="AS976" i="1"/>
  <c r="AL977" i="1"/>
  <c r="AS977" i="1"/>
  <c r="AY955" i="1"/>
  <c r="BA955" i="1"/>
  <c r="BC955" i="1"/>
  <c r="AL978" i="1"/>
  <c r="AS978" i="1"/>
  <c r="AY978" i="1"/>
  <c r="BA978" i="1"/>
  <c r="BC978" i="1"/>
  <c r="AL979" i="1"/>
  <c r="AS979" i="1"/>
  <c r="AY979" i="1"/>
  <c r="BA979" i="1"/>
  <c r="BC979" i="1"/>
  <c r="AL980" i="1"/>
  <c r="AS980" i="1"/>
  <c r="AL986" i="1"/>
  <c r="AS986" i="1"/>
  <c r="AY980" i="1"/>
  <c r="BA980" i="1"/>
  <c r="BC980" i="1"/>
  <c r="AL988" i="1"/>
  <c r="AS988" i="1"/>
  <c r="AY987" i="1"/>
  <c r="BA987" i="1"/>
  <c r="BC987" i="1"/>
  <c r="AL990" i="1"/>
  <c r="AS990" i="1"/>
  <c r="AL991" i="1"/>
  <c r="AS991" i="1"/>
  <c r="AL992" i="1"/>
  <c r="AS992" i="1"/>
  <c r="AL993" i="1"/>
  <c r="AS993" i="1"/>
  <c r="AL994" i="1"/>
  <c r="AS994" i="1"/>
  <c r="AL995" i="1"/>
  <c r="AS995" i="1"/>
  <c r="AL996" i="1"/>
  <c r="AS996" i="1"/>
  <c r="AL997" i="1"/>
  <c r="AS997" i="1"/>
  <c r="AL998" i="1"/>
  <c r="AS998" i="1"/>
  <c r="AL999" i="1"/>
  <c r="AS999" i="1"/>
  <c r="AL1000" i="1"/>
  <c r="AS1000" i="1"/>
  <c r="AL1001" i="1"/>
  <c r="AS1001" i="1"/>
  <c r="AL1002" i="1"/>
  <c r="AS1002" i="1"/>
  <c r="AL1003" i="1"/>
  <c r="AS1003" i="1"/>
  <c r="AL1004" i="1"/>
  <c r="AS1004" i="1"/>
  <c r="AL1005" i="1"/>
  <c r="AS1005" i="1"/>
  <c r="AL1006" i="1"/>
  <c r="AS1006" i="1"/>
  <c r="AL1007" i="1"/>
  <c r="AS1007" i="1"/>
  <c r="AL1008" i="1"/>
  <c r="AS1008" i="1"/>
  <c r="AY989" i="1"/>
  <c r="BA989" i="1"/>
  <c r="BC989" i="1"/>
  <c r="AL1009" i="1"/>
  <c r="AS1009" i="1"/>
  <c r="AY1009" i="1"/>
  <c r="BA1009" i="1"/>
  <c r="BC1009" i="1"/>
  <c r="AL1010" i="1"/>
  <c r="AS1010" i="1"/>
  <c r="AL1011" i="1"/>
  <c r="AS1011" i="1"/>
  <c r="AL1012" i="1"/>
  <c r="AS1012" i="1"/>
  <c r="AY1010" i="1"/>
  <c r="BA1010" i="1"/>
  <c r="BC1010" i="1"/>
  <c r="AL1014" i="1"/>
  <c r="AS1014" i="1"/>
  <c r="AL1015" i="1"/>
  <c r="AS1015" i="1"/>
  <c r="AL1016" i="1"/>
  <c r="AS1016" i="1"/>
  <c r="AL1017" i="1"/>
  <c r="AS1017" i="1"/>
  <c r="AL1018" i="1"/>
  <c r="AS1018" i="1"/>
  <c r="AL1019" i="1"/>
  <c r="AS1019" i="1"/>
  <c r="AL1020" i="1"/>
  <c r="AS1020" i="1"/>
  <c r="AL1021" i="1"/>
  <c r="AS1021" i="1"/>
  <c r="AL1022" i="1"/>
  <c r="AS1022" i="1"/>
  <c r="AL1023" i="1"/>
  <c r="AS1023" i="1"/>
  <c r="AL1024" i="1"/>
  <c r="AS1024" i="1"/>
  <c r="AL1025" i="1"/>
  <c r="AS1025" i="1"/>
  <c r="AL1026" i="1"/>
  <c r="AS1026" i="1"/>
  <c r="AL1027" i="1"/>
  <c r="AS1027" i="1"/>
  <c r="AL1028" i="1"/>
  <c r="AS1028" i="1"/>
  <c r="AL1029" i="1"/>
  <c r="AS1029" i="1"/>
  <c r="AY1014" i="1"/>
  <c r="BA1014" i="1"/>
  <c r="BC1014" i="1"/>
  <c r="AL1030" i="1"/>
  <c r="AS1030" i="1"/>
  <c r="AL1036" i="1"/>
  <c r="AS1036" i="1"/>
  <c r="AL1037" i="1"/>
  <c r="AS1037" i="1"/>
  <c r="AL1038" i="1"/>
  <c r="AS1038" i="1"/>
  <c r="AL1039" i="1"/>
  <c r="AS1039" i="1"/>
  <c r="AL1040" i="1"/>
  <c r="AS1040" i="1"/>
  <c r="AL1041" i="1"/>
  <c r="AS1041" i="1"/>
  <c r="AL1042" i="1"/>
  <c r="AS1042" i="1"/>
  <c r="AL1043" i="1"/>
  <c r="AS1043" i="1"/>
  <c r="AY1030" i="1"/>
  <c r="BA1030" i="1"/>
  <c r="BC1030" i="1"/>
  <c r="AL1044" i="1"/>
  <c r="AS1044" i="1"/>
  <c r="AL1045" i="1"/>
  <c r="AS1045" i="1"/>
  <c r="AL1046" i="1"/>
  <c r="AS1046" i="1"/>
  <c r="AL1047" i="1"/>
  <c r="AS1047" i="1"/>
  <c r="AL1048" i="1"/>
  <c r="AS1048" i="1"/>
  <c r="AL1049" i="1"/>
  <c r="AS1049" i="1"/>
  <c r="AL1050" i="1"/>
  <c r="AS1050" i="1"/>
  <c r="AL1051" i="1"/>
  <c r="AS1051" i="1"/>
  <c r="AL1052" i="1"/>
  <c r="AS1052" i="1"/>
  <c r="AL1053" i="1"/>
  <c r="AS1053" i="1"/>
  <c r="AL1054" i="1"/>
  <c r="AS1054" i="1"/>
  <c r="AY1044" i="1"/>
  <c r="BA1044" i="1"/>
  <c r="BC1044" i="1"/>
  <c r="AL1062" i="1"/>
  <c r="AS1062" i="1"/>
  <c r="AL1063" i="1"/>
  <c r="AS1063" i="1"/>
  <c r="AL1064" i="1"/>
  <c r="AS1064" i="1"/>
  <c r="AL1065" i="1"/>
  <c r="AS1065" i="1"/>
  <c r="AY1058" i="1"/>
  <c r="BA1058" i="1"/>
  <c r="BC1058" i="1"/>
  <c r="AL1066" i="1"/>
  <c r="AS1066" i="1"/>
  <c r="AL1067" i="1"/>
  <c r="AS1067" i="1"/>
  <c r="AY1066" i="1"/>
  <c r="BA1066" i="1"/>
  <c r="BC1066" i="1"/>
  <c r="AL1070" i="1"/>
  <c r="AS1070" i="1"/>
  <c r="AL1071" i="1"/>
  <c r="AS1071" i="1"/>
  <c r="AL1072" i="1"/>
  <c r="AS1072" i="1"/>
  <c r="AY1070" i="1"/>
  <c r="BA1070" i="1"/>
  <c r="BC1070" i="1"/>
  <c r="AL1080" i="1"/>
  <c r="AS1080" i="1"/>
  <c r="AL1081" i="1"/>
  <c r="AS1081" i="1"/>
  <c r="AL1082" i="1"/>
  <c r="AS1082" i="1"/>
  <c r="AL1083" i="1"/>
  <c r="AS1083" i="1"/>
  <c r="AY1080" i="1"/>
  <c r="BA1080" i="1"/>
  <c r="BC1080" i="1"/>
  <c r="BG872" i="1"/>
  <c r="BH872" i="1"/>
  <c r="BJ872" i="1"/>
  <c r="BI872" i="1"/>
  <c r="BI835" i="1"/>
  <c r="BE16" i="1"/>
  <c r="BG539" i="1"/>
  <c r="BH539" i="1"/>
  <c r="BJ539" i="1"/>
  <c r="BI539" i="1"/>
  <c r="BJ451" i="1"/>
  <c r="AR452" i="1"/>
  <c r="AR453" i="1"/>
  <c r="AR454" i="1"/>
  <c r="AR455" i="1"/>
  <c r="AR456" i="1"/>
  <c r="AR457" i="1"/>
  <c r="AR458" i="1"/>
  <c r="AR459" i="1"/>
  <c r="AR460" i="1"/>
  <c r="AX452" i="1"/>
  <c r="AZ452" i="1"/>
  <c r="BB452" i="1"/>
  <c r="AR461" i="1"/>
  <c r="AR462" i="1"/>
  <c r="AR463" i="1"/>
  <c r="AR464" i="1"/>
  <c r="AR465" i="1"/>
  <c r="AR466" i="1"/>
  <c r="AR467" i="1"/>
  <c r="AR468" i="1"/>
  <c r="AR469" i="1"/>
  <c r="AX461" i="1"/>
  <c r="AZ461" i="1"/>
  <c r="BB461" i="1"/>
  <c r="AR470" i="1"/>
  <c r="AR471" i="1"/>
  <c r="AR472" i="1"/>
  <c r="AR473" i="1"/>
  <c r="AR474" i="1"/>
  <c r="AR475" i="1"/>
  <c r="AR476" i="1"/>
  <c r="AR477" i="1"/>
  <c r="AR478" i="1"/>
  <c r="AR479" i="1"/>
  <c r="AX470" i="1"/>
  <c r="AZ470" i="1"/>
  <c r="BB470" i="1"/>
  <c r="AR480" i="1"/>
  <c r="AR481" i="1"/>
  <c r="AR482" i="1"/>
  <c r="AR483" i="1"/>
  <c r="AR484" i="1"/>
  <c r="AR485" i="1"/>
  <c r="AR486" i="1"/>
  <c r="AR487" i="1"/>
  <c r="AR488" i="1"/>
  <c r="AX480" i="1"/>
  <c r="AZ480" i="1"/>
  <c r="BB480" i="1"/>
  <c r="AR489" i="1"/>
  <c r="AR490" i="1"/>
  <c r="AR491" i="1"/>
  <c r="AR492" i="1"/>
  <c r="AR493" i="1"/>
  <c r="AR494" i="1"/>
  <c r="AR495" i="1"/>
  <c r="AR496" i="1"/>
  <c r="AX489" i="1"/>
  <c r="AZ489" i="1"/>
  <c r="BB489" i="1"/>
  <c r="AR497" i="1"/>
  <c r="AR498" i="1"/>
  <c r="AR499" i="1"/>
  <c r="AR500" i="1"/>
  <c r="AR501" i="1"/>
  <c r="AR502" i="1"/>
  <c r="AR503" i="1"/>
  <c r="AR504" i="1"/>
  <c r="AR505" i="1"/>
  <c r="AX497" i="1"/>
  <c r="AZ497" i="1"/>
  <c r="BB497" i="1"/>
  <c r="AR506" i="1"/>
  <c r="AR507" i="1"/>
  <c r="AR508" i="1"/>
  <c r="AR509" i="1"/>
  <c r="AR510" i="1"/>
  <c r="AR511" i="1"/>
  <c r="AR512" i="1"/>
  <c r="AR513" i="1"/>
  <c r="AR514" i="1"/>
  <c r="AR515" i="1"/>
  <c r="AR516" i="1"/>
  <c r="AX506" i="1"/>
  <c r="AZ506" i="1"/>
  <c r="BB506" i="1"/>
  <c r="AR517" i="1"/>
  <c r="AR518" i="1"/>
  <c r="AR519" i="1"/>
  <c r="AX517" i="1"/>
  <c r="AZ517" i="1"/>
  <c r="BB517" i="1"/>
  <c r="AR520" i="1"/>
  <c r="AR521" i="1"/>
  <c r="AR522" i="1"/>
  <c r="AR523" i="1"/>
  <c r="AR524" i="1"/>
  <c r="AR525" i="1"/>
  <c r="AR526" i="1"/>
  <c r="AR527" i="1"/>
  <c r="AX520" i="1"/>
  <c r="AZ520" i="1"/>
  <c r="BB520" i="1"/>
  <c r="AR528" i="1"/>
  <c r="AR529" i="1"/>
  <c r="AR530" i="1"/>
  <c r="AR531" i="1"/>
  <c r="AR532" i="1"/>
  <c r="AR533" i="1"/>
  <c r="AX528" i="1"/>
  <c r="AZ528" i="1"/>
  <c r="BB528" i="1"/>
  <c r="AR534" i="1"/>
  <c r="AR535" i="1"/>
  <c r="AR536" i="1"/>
  <c r="AR537" i="1"/>
  <c r="AX534" i="1"/>
  <c r="AZ534" i="1"/>
  <c r="BB534" i="1"/>
  <c r="BI451" i="1"/>
  <c r="AR198" i="1"/>
  <c r="AX198" i="1"/>
  <c r="AR199" i="1"/>
  <c r="AX199" i="1"/>
  <c r="AR200" i="1"/>
  <c r="AX200" i="1"/>
  <c r="AR201" i="1"/>
  <c r="AX201" i="1"/>
  <c r="AR202" i="1"/>
  <c r="AX202" i="1"/>
  <c r="AR203" i="1"/>
  <c r="AX203" i="1"/>
  <c r="AZ198" i="1"/>
  <c r="BB198" i="1"/>
  <c r="AR204" i="1"/>
  <c r="AR205" i="1"/>
  <c r="AR206" i="1"/>
  <c r="AR207" i="1"/>
  <c r="AR208" i="1"/>
  <c r="AX204" i="1"/>
  <c r="AZ204" i="1"/>
  <c r="BB204" i="1"/>
  <c r="AR209" i="1"/>
  <c r="AX209" i="1"/>
  <c r="AR210" i="1"/>
  <c r="AX210" i="1"/>
  <c r="AZ209" i="1"/>
  <c r="BB209" i="1"/>
  <c r="AR211" i="1"/>
  <c r="AX211" i="1"/>
  <c r="AR212" i="1"/>
  <c r="AX212" i="1"/>
  <c r="AR213" i="1"/>
  <c r="AR214" i="1"/>
  <c r="AR215" i="1"/>
  <c r="AR216" i="1"/>
  <c r="AR217" i="1"/>
  <c r="AR218" i="1"/>
  <c r="AR219" i="1"/>
  <c r="AR220" i="1"/>
  <c r="AR221" i="1"/>
  <c r="AR222" i="1"/>
  <c r="AR223" i="1"/>
  <c r="AR224" i="1"/>
  <c r="AR225" i="1"/>
  <c r="AR226" i="1"/>
  <c r="AR227" i="1"/>
  <c r="AR228" i="1"/>
  <c r="AR229" i="1"/>
  <c r="AR230" i="1"/>
  <c r="AR231" i="1"/>
  <c r="AR232" i="1"/>
  <c r="AX213" i="1"/>
  <c r="AZ211" i="1"/>
  <c r="BB211" i="1"/>
  <c r="AR233" i="1"/>
  <c r="AX233" i="1"/>
  <c r="AR234" i="1"/>
  <c r="AX234" i="1"/>
  <c r="AR235" i="1"/>
  <c r="AX235" i="1"/>
  <c r="AZ233" i="1"/>
  <c r="BB233" i="1"/>
  <c r="AR236" i="1"/>
  <c r="AX236" i="1"/>
  <c r="AR237" i="1"/>
  <c r="AX237" i="1"/>
  <c r="AR238" i="1"/>
  <c r="AX238" i="1"/>
  <c r="AZ236" i="1"/>
  <c r="BB236" i="1"/>
  <c r="AR239" i="1"/>
  <c r="AX239" i="1"/>
  <c r="AR240" i="1"/>
  <c r="AX240" i="1"/>
  <c r="AZ239" i="1"/>
  <c r="BB239" i="1"/>
  <c r="AR241" i="1"/>
  <c r="AX241" i="1"/>
  <c r="AR242" i="1"/>
  <c r="AX242" i="1"/>
  <c r="AR243" i="1"/>
  <c r="AX243" i="1"/>
  <c r="AZ241" i="1"/>
  <c r="BB241" i="1"/>
  <c r="AR244" i="1"/>
  <c r="AR245" i="1"/>
  <c r="AR246" i="1"/>
  <c r="AR247" i="1"/>
  <c r="AR248" i="1"/>
  <c r="AR249" i="1"/>
  <c r="AR250" i="1"/>
  <c r="AR251" i="1"/>
  <c r="AR252" i="1"/>
  <c r="AR253" i="1"/>
  <c r="AR254" i="1"/>
  <c r="AR255" i="1"/>
  <c r="AR256" i="1"/>
  <c r="AR257" i="1"/>
  <c r="AR258" i="1"/>
  <c r="AR259" i="1"/>
  <c r="AR260" i="1"/>
  <c r="AR261" i="1"/>
  <c r="AR262" i="1"/>
  <c r="AR263" i="1"/>
  <c r="AR264" i="1"/>
  <c r="AX244" i="1"/>
  <c r="AZ244" i="1"/>
  <c r="BB244" i="1"/>
  <c r="AR265" i="1"/>
  <c r="AR266" i="1"/>
  <c r="AR267" i="1"/>
  <c r="AX265" i="1"/>
  <c r="AR268" i="1"/>
  <c r="AX268" i="1"/>
  <c r="AZ265" i="1"/>
  <c r="BB265" i="1"/>
  <c r="AR269" i="1"/>
  <c r="AR270" i="1"/>
  <c r="AX269" i="1"/>
  <c r="AR271" i="1"/>
  <c r="AR272" i="1"/>
  <c r="AR273" i="1"/>
  <c r="AR274" i="1"/>
  <c r="AR275" i="1"/>
  <c r="AR276" i="1"/>
  <c r="AX271" i="1"/>
  <c r="AR277" i="1"/>
  <c r="AX277" i="1"/>
  <c r="AZ269" i="1"/>
  <c r="BB269" i="1"/>
  <c r="AR278" i="1"/>
  <c r="AR279" i="1"/>
  <c r="AX278" i="1"/>
  <c r="AR280" i="1"/>
  <c r="AR281" i="1"/>
  <c r="AX280" i="1"/>
  <c r="AR282" i="1"/>
  <c r="AR283" i="1"/>
  <c r="AR284" i="1"/>
  <c r="AR285" i="1"/>
  <c r="AR286" i="1"/>
  <c r="AR287" i="1"/>
  <c r="AR288" i="1"/>
  <c r="AR289" i="1"/>
  <c r="AR290" i="1"/>
  <c r="AR291" i="1"/>
  <c r="AR292" i="1"/>
  <c r="AR293" i="1"/>
  <c r="AR294" i="1"/>
  <c r="AR295" i="1"/>
  <c r="AR296" i="1"/>
  <c r="AR297" i="1"/>
  <c r="AR298" i="1"/>
  <c r="AR299" i="1"/>
  <c r="AR300" i="1"/>
  <c r="AR301" i="1"/>
  <c r="AR302" i="1"/>
  <c r="AR303" i="1"/>
  <c r="AR304" i="1"/>
  <c r="AX282" i="1"/>
  <c r="AZ278" i="1"/>
  <c r="BB278" i="1"/>
  <c r="AR305" i="1"/>
  <c r="AR306" i="1"/>
  <c r="AR307" i="1"/>
  <c r="AR308" i="1"/>
  <c r="AX305" i="1"/>
  <c r="AR309" i="1"/>
  <c r="AR310" i="1"/>
  <c r="AX309" i="1"/>
  <c r="AR311" i="1"/>
  <c r="AR312" i="1"/>
  <c r="AR313" i="1"/>
  <c r="AX311" i="1"/>
  <c r="AR314" i="1"/>
  <c r="AX314" i="1"/>
  <c r="AZ305" i="1"/>
  <c r="BB305" i="1"/>
  <c r="AR315" i="1"/>
  <c r="AX315" i="1"/>
  <c r="AZ315" i="1"/>
  <c r="BB315" i="1"/>
  <c r="AR316" i="1"/>
  <c r="AR317" i="1"/>
  <c r="AR318" i="1"/>
  <c r="AR319" i="1"/>
  <c r="AR320" i="1"/>
  <c r="AR321" i="1"/>
  <c r="AR322" i="1"/>
  <c r="AR323" i="1"/>
  <c r="AR324" i="1"/>
  <c r="AR325" i="1"/>
  <c r="AR326" i="1"/>
  <c r="AR327" i="1"/>
  <c r="AR328" i="1"/>
  <c r="AR329" i="1"/>
  <c r="AR330" i="1"/>
  <c r="AR331" i="1"/>
  <c r="AR332" i="1"/>
  <c r="AR333" i="1"/>
  <c r="AR334" i="1"/>
  <c r="AR335" i="1"/>
  <c r="AR336" i="1"/>
  <c r="AR337" i="1"/>
  <c r="AR338" i="1"/>
  <c r="AR339" i="1"/>
  <c r="AR340" i="1"/>
  <c r="AR341" i="1"/>
  <c r="AR342" i="1"/>
  <c r="AR343" i="1"/>
  <c r="AR344" i="1"/>
  <c r="AX316" i="1"/>
  <c r="AR345" i="1"/>
  <c r="AR346" i="1"/>
  <c r="AR347" i="1"/>
  <c r="AX345" i="1"/>
  <c r="AR348" i="1"/>
  <c r="AR349" i="1"/>
  <c r="AX348" i="1"/>
  <c r="AZ316" i="1"/>
  <c r="BB316" i="1"/>
  <c r="AR350" i="1"/>
  <c r="AR351" i="1"/>
  <c r="AR352" i="1"/>
  <c r="AR353" i="1"/>
  <c r="AX350" i="1"/>
  <c r="AR354" i="1"/>
  <c r="AR355" i="1"/>
  <c r="AR356" i="1"/>
  <c r="AR357" i="1"/>
  <c r="AR358" i="1"/>
  <c r="AR359" i="1"/>
  <c r="AX354" i="1"/>
  <c r="AR360" i="1"/>
  <c r="AR361" i="1"/>
  <c r="AR362" i="1"/>
  <c r="AR363" i="1"/>
  <c r="AR364" i="1"/>
  <c r="AR365" i="1"/>
  <c r="AR366" i="1"/>
  <c r="AX360" i="1"/>
  <c r="AZ350" i="1"/>
  <c r="BB350" i="1"/>
  <c r="AR367" i="1"/>
  <c r="AX367" i="1"/>
  <c r="AZ367" i="1"/>
  <c r="BB367" i="1"/>
  <c r="AR368" i="1"/>
  <c r="AR369" i="1"/>
  <c r="AX368" i="1"/>
  <c r="AZ368" i="1"/>
  <c r="BB368" i="1"/>
  <c r="AR370" i="1"/>
  <c r="AR371" i="1"/>
  <c r="AR372" i="1"/>
  <c r="AX370" i="1"/>
  <c r="AZ370" i="1"/>
  <c r="BB370" i="1"/>
  <c r="AR374" i="1"/>
  <c r="AX373" i="1"/>
  <c r="AZ373" i="1"/>
  <c r="BB373" i="1"/>
  <c r="AR375" i="1"/>
  <c r="AR376" i="1"/>
  <c r="AR377" i="1"/>
  <c r="AR378" i="1"/>
  <c r="AR379" i="1"/>
  <c r="AR380" i="1"/>
  <c r="AR381" i="1"/>
  <c r="AR382" i="1"/>
  <c r="AR383" i="1"/>
  <c r="AR384" i="1"/>
  <c r="AR385" i="1"/>
  <c r="AR386" i="1"/>
  <c r="AR387" i="1"/>
  <c r="AR388" i="1"/>
  <c r="AR389" i="1"/>
  <c r="AR390" i="1"/>
  <c r="AR391" i="1"/>
  <c r="AR392" i="1"/>
  <c r="AR393" i="1"/>
  <c r="AR394" i="1"/>
  <c r="AR395" i="1"/>
  <c r="AR396" i="1"/>
  <c r="AR397" i="1"/>
  <c r="AR398" i="1"/>
  <c r="AR399" i="1"/>
  <c r="AR400" i="1"/>
  <c r="AX375" i="1"/>
  <c r="AZ375" i="1"/>
  <c r="BB375" i="1"/>
  <c r="AR401" i="1"/>
  <c r="AR402" i="1"/>
  <c r="AR403" i="1"/>
  <c r="AX401" i="1"/>
  <c r="AZ401" i="1"/>
  <c r="BB401" i="1"/>
  <c r="AR404" i="1"/>
  <c r="AR405" i="1"/>
  <c r="AR406" i="1"/>
  <c r="AR407" i="1"/>
  <c r="AR408" i="1"/>
  <c r="AR409" i="1"/>
  <c r="AR410" i="1"/>
  <c r="AR411" i="1"/>
  <c r="AR412" i="1"/>
  <c r="AR413" i="1"/>
  <c r="AR414" i="1"/>
  <c r="AR415" i="1"/>
  <c r="AR416" i="1"/>
  <c r="AR417" i="1"/>
  <c r="AR418" i="1"/>
  <c r="AR419" i="1"/>
  <c r="AR420" i="1"/>
  <c r="AR421" i="1"/>
  <c r="AX404" i="1"/>
  <c r="AZ404" i="1"/>
  <c r="BB404" i="1"/>
  <c r="AR422" i="1"/>
  <c r="AR423" i="1"/>
  <c r="AX422" i="1"/>
  <c r="AZ422" i="1"/>
  <c r="BB422" i="1"/>
  <c r="AR424" i="1"/>
  <c r="AR425" i="1"/>
  <c r="AR426" i="1"/>
  <c r="AR427" i="1"/>
  <c r="AR428" i="1"/>
  <c r="AR429" i="1"/>
  <c r="AR430" i="1"/>
  <c r="AR431" i="1"/>
  <c r="AR432" i="1"/>
  <c r="AR433" i="1"/>
  <c r="AR434" i="1"/>
  <c r="AR435" i="1"/>
  <c r="AR436" i="1"/>
  <c r="AR437" i="1"/>
  <c r="AR438" i="1"/>
  <c r="AR439" i="1"/>
  <c r="AR440" i="1"/>
  <c r="AR441" i="1"/>
  <c r="AR442" i="1"/>
  <c r="AR443" i="1"/>
  <c r="AR444" i="1"/>
  <c r="AR445" i="1"/>
  <c r="AX424" i="1"/>
  <c r="AZ424" i="1"/>
  <c r="BB424" i="1"/>
  <c r="AR446" i="1"/>
  <c r="AR447" i="1"/>
  <c r="AX446" i="1"/>
  <c r="AZ446" i="1"/>
  <c r="BB446" i="1"/>
  <c r="AR448" i="1"/>
  <c r="AX448" i="1"/>
  <c r="AZ448" i="1"/>
  <c r="BB448" i="1"/>
  <c r="AR449" i="1"/>
  <c r="AX449" i="1"/>
  <c r="AZ449" i="1"/>
  <c r="BB449" i="1"/>
  <c r="BG197" i="1"/>
  <c r="BH197" i="1"/>
  <c r="BJ197" i="1"/>
  <c r="BI197" i="1"/>
  <c r="BJ54" i="1"/>
  <c r="AR55" i="1"/>
  <c r="AR56" i="1"/>
  <c r="AR57" i="1"/>
  <c r="AR58" i="1"/>
  <c r="AR59" i="1"/>
  <c r="AR60" i="1"/>
  <c r="AR61" i="1"/>
  <c r="AR62" i="1"/>
  <c r="AR63" i="1"/>
  <c r="AR64" i="1"/>
  <c r="AR65" i="1"/>
  <c r="AR66" i="1"/>
  <c r="AX55" i="1"/>
  <c r="AR67" i="1"/>
  <c r="AR68" i="1"/>
  <c r="AX67" i="1"/>
  <c r="AR69" i="1"/>
  <c r="AR70" i="1"/>
  <c r="AX69" i="1"/>
  <c r="AR71" i="1"/>
  <c r="AR72" i="1"/>
  <c r="AX71" i="1"/>
  <c r="AR73" i="1"/>
  <c r="AR74" i="1"/>
  <c r="AR75" i="1"/>
  <c r="AR76" i="1"/>
  <c r="AR77" i="1"/>
  <c r="AR78" i="1"/>
  <c r="AR79" i="1"/>
  <c r="AR80" i="1"/>
  <c r="AR81" i="1"/>
  <c r="AR82" i="1"/>
  <c r="AR83" i="1"/>
  <c r="AR84" i="1"/>
  <c r="AR85" i="1"/>
  <c r="AR86" i="1"/>
  <c r="AX73" i="1"/>
  <c r="AZ55" i="1"/>
  <c r="BB55" i="1"/>
  <c r="AR87" i="1"/>
  <c r="AR88" i="1"/>
  <c r="AR89" i="1"/>
  <c r="AR90" i="1"/>
  <c r="AR91" i="1"/>
  <c r="AR92" i="1"/>
  <c r="AR93" i="1"/>
  <c r="AX87" i="1"/>
  <c r="AZ87" i="1"/>
  <c r="BB87" i="1"/>
  <c r="AR94" i="1"/>
  <c r="AR95" i="1"/>
  <c r="AR96" i="1"/>
  <c r="AR97" i="1"/>
  <c r="AR98" i="1"/>
  <c r="AR99" i="1"/>
  <c r="AR100" i="1"/>
  <c r="AR101" i="1"/>
  <c r="AR102" i="1"/>
  <c r="AR103" i="1"/>
  <c r="AX94" i="1"/>
  <c r="AR104" i="1"/>
  <c r="AX104" i="1"/>
  <c r="AR105" i="1"/>
  <c r="AX105" i="1"/>
  <c r="AR106" i="1"/>
  <c r="AX106" i="1"/>
  <c r="AZ94" i="1"/>
  <c r="BB94" i="1"/>
  <c r="AR107" i="1"/>
  <c r="AR108" i="1"/>
  <c r="AR109" i="1"/>
  <c r="AX107" i="1"/>
  <c r="AR110" i="1"/>
  <c r="AR111" i="1"/>
  <c r="AR112" i="1"/>
  <c r="AX110" i="1"/>
  <c r="AR113" i="1"/>
  <c r="AR114" i="1"/>
  <c r="AR115" i="1"/>
  <c r="AX113" i="1"/>
  <c r="AR116" i="1"/>
  <c r="AR117" i="1"/>
  <c r="AR118" i="1"/>
  <c r="AX116" i="1"/>
  <c r="AR119" i="1"/>
  <c r="AR120" i="1"/>
  <c r="AX119" i="1"/>
  <c r="AZ107" i="1"/>
  <c r="BB107" i="1"/>
  <c r="AR121" i="1"/>
  <c r="AX121" i="1"/>
  <c r="AR122" i="1"/>
  <c r="AX122" i="1"/>
  <c r="AR123" i="1"/>
  <c r="AX123" i="1"/>
  <c r="AZ121" i="1"/>
  <c r="BB121" i="1"/>
  <c r="AR124" i="1"/>
  <c r="AX124" i="1"/>
  <c r="AR125" i="1"/>
  <c r="AX125" i="1"/>
  <c r="AR126" i="1"/>
  <c r="AX126" i="1"/>
  <c r="AR127" i="1"/>
  <c r="AX127" i="1"/>
  <c r="AZ124" i="1"/>
  <c r="BB124" i="1"/>
  <c r="AR128" i="1"/>
  <c r="AR129" i="1"/>
  <c r="AX128" i="1"/>
  <c r="AR130" i="1"/>
  <c r="AR131" i="1"/>
  <c r="AX130" i="1"/>
  <c r="AR132" i="1"/>
  <c r="AR133" i="1"/>
  <c r="AX132" i="1"/>
  <c r="AR134" i="1"/>
  <c r="AR135" i="1"/>
  <c r="AX134" i="1"/>
  <c r="AR136" i="1"/>
  <c r="AR137" i="1"/>
  <c r="AX136" i="1"/>
  <c r="AZ128" i="1"/>
  <c r="BB128" i="1"/>
  <c r="AR138" i="1"/>
  <c r="AR139" i="1"/>
  <c r="AR140" i="1"/>
  <c r="AR141" i="1"/>
  <c r="AR142" i="1"/>
  <c r="AR143" i="1"/>
  <c r="AR144" i="1"/>
  <c r="AR145" i="1"/>
  <c r="AR146" i="1"/>
  <c r="AR147" i="1"/>
  <c r="AR148" i="1"/>
  <c r="AR149" i="1"/>
  <c r="AR150" i="1"/>
  <c r="AR151" i="1"/>
  <c r="AX138" i="1"/>
  <c r="AZ138" i="1"/>
  <c r="BB138" i="1"/>
  <c r="AR152" i="1"/>
  <c r="AR153" i="1"/>
  <c r="AR154" i="1"/>
  <c r="AR155" i="1"/>
  <c r="AR156" i="1"/>
  <c r="AR157" i="1"/>
  <c r="AR158" i="1"/>
  <c r="AR159" i="1"/>
  <c r="AR160" i="1"/>
  <c r="AX152" i="1"/>
  <c r="AZ152" i="1"/>
  <c r="BB152" i="1"/>
  <c r="AR161" i="1"/>
  <c r="AX161" i="1"/>
  <c r="AZ161" i="1"/>
  <c r="BB161" i="1"/>
  <c r="AR162" i="1"/>
  <c r="AR163" i="1"/>
  <c r="AR164" i="1"/>
  <c r="AR165" i="1"/>
  <c r="AR166" i="1"/>
  <c r="AR167" i="1"/>
  <c r="AX162" i="1"/>
  <c r="AZ162" i="1"/>
  <c r="BB162" i="1"/>
  <c r="AR168" i="1"/>
  <c r="AR169" i="1"/>
  <c r="AR170" i="1"/>
  <c r="AR171" i="1"/>
  <c r="AR172" i="1"/>
  <c r="AR173" i="1"/>
  <c r="AR174" i="1"/>
  <c r="AR175" i="1"/>
  <c r="AR176" i="1"/>
  <c r="AX168" i="1"/>
  <c r="AZ168" i="1"/>
  <c r="BB168" i="1"/>
  <c r="AR177" i="1"/>
  <c r="AR178" i="1"/>
  <c r="AR179" i="1"/>
  <c r="AR180" i="1"/>
  <c r="AR181" i="1"/>
  <c r="AR182" i="1"/>
  <c r="AR183" i="1"/>
  <c r="AR184" i="1"/>
  <c r="AR185" i="1"/>
  <c r="AR186" i="1"/>
  <c r="AX177" i="1"/>
  <c r="AZ177" i="1"/>
  <c r="BB177" i="1"/>
  <c r="AR187" i="1"/>
  <c r="AR188" i="1"/>
  <c r="AR189" i="1"/>
  <c r="AR190" i="1"/>
  <c r="AR191" i="1"/>
  <c r="AR192" i="1"/>
  <c r="AR193" i="1"/>
  <c r="AR194" i="1"/>
  <c r="AR195" i="1"/>
  <c r="AX187" i="1"/>
  <c r="AZ187" i="1"/>
  <c r="BB187" i="1"/>
  <c r="BI54" i="1"/>
  <c r="AL23" i="1"/>
  <c r="AS23" i="1"/>
  <c r="BC23" i="1"/>
  <c r="AL24" i="1"/>
  <c r="AS24" i="1"/>
  <c r="BC24" i="1"/>
  <c r="AL25" i="1"/>
  <c r="AS25" i="1"/>
  <c r="BC25" i="1"/>
  <c r="AL26" i="1"/>
  <c r="AS26" i="1"/>
  <c r="BC26" i="1"/>
  <c r="AL27" i="1"/>
  <c r="AS27" i="1"/>
  <c r="BC27" i="1"/>
  <c r="AL28" i="1"/>
  <c r="AS28" i="1"/>
  <c r="BC28" i="1"/>
  <c r="AL29" i="1"/>
  <c r="AS29" i="1"/>
  <c r="BC29" i="1"/>
  <c r="AL30" i="1"/>
  <c r="AS30" i="1"/>
  <c r="BC30" i="1"/>
  <c r="AL31" i="1"/>
  <c r="AS31" i="1"/>
  <c r="BC31" i="1"/>
  <c r="AL32" i="1"/>
  <c r="AS32" i="1"/>
  <c r="BC32" i="1"/>
  <c r="AL33" i="1"/>
  <c r="AS33" i="1"/>
  <c r="BC33" i="1"/>
  <c r="AL34" i="1"/>
  <c r="AS34" i="1"/>
  <c r="BC34" i="1"/>
  <c r="AL35" i="1"/>
  <c r="AS35" i="1"/>
  <c r="BC35" i="1"/>
  <c r="AL36" i="1"/>
  <c r="AS36" i="1"/>
  <c r="BC36" i="1"/>
  <c r="AL37" i="1"/>
  <c r="AS37" i="1"/>
  <c r="BC37" i="1"/>
  <c r="AL38" i="1"/>
  <c r="AS38" i="1"/>
  <c r="BC38" i="1"/>
  <c r="AL39" i="1"/>
  <c r="AS39" i="1"/>
  <c r="BC39" i="1"/>
  <c r="AL40" i="1"/>
  <c r="AS40" i="1"/>
  <c r="BC40" i="1"/>
  <c r="AL41" i="1"/>
  <c r="AS41" i="1"/>
  <c r="BC41" i="1"/>
  <c r="AL42" i="1"/>
  <c r="AS42" i="1"/>
  <c r="BC42" i="1"/>
  <c r="AL43" i="1"/>
  <c r="AS43" i="1"/>
  <c r="BC43" i="1"/>
  <c r="AL44" i="1"/>
  <c r="AS44" i="1"/>
  <c r="BC44" i="1"/>
  <c r="AL45" i="1"/>
  <c r="AS45" i="1"/>
  <c r="BC45" i="1"/>
  <c r="AL46" i="1"/>
  <c r="AS46" i="1"/>
  <c r="BC46" i="1"/>
  <c r="AL47" i="1"/>
  <c r="AS47" i="1"/>
  <c r="BC47" i="1"/>
  <c r="AL48" i="1"/>
  <c r="AS48" i="1"/>
  <c r="BC48" i="1"/>
  <c r="AL49" i="1"/>
  <c r="AS49" i="1"/>
  <c r="BC49" i="1"/>
  <c r="AL50" i="1"/>
  <c r="AS50" i="1"/>
  <c r="BC50" i="1"/>
  <c r="AL51" i="1"/>
  <c r="AS51" i="1"/>
  <c r="BC51" i="1"/>
  <c r="AL52" i="1"/>
  <c r="AS52" i="1"/>
  <c r="BC52" i="1"/>
  <c r="BJ22" i="1"/>
  <c r="BJ714" i="1"/>
  <c r="AR715" i="1"/>
  <c r="AR716" i="1"/>
  <c r="AR717" i="1"/>
  <c r="AR718" i="1"/>
  <c r="AR719" i="1"/>
  <c r="AR720" i="1"/>
  <c r="AR721" i="1"/>
  <c r="AR722" i="1"/>
  <c r="AX715" i="1"/>
  <c r="AR723" i="1"/>
  <c r="AR724" i="1"/>
  <c r="AR725" i="1"/>
  <c r="AR726" i="1"/>
  <c r="AR727" i="1"/>
  <c r="AR728" i="1"/>
  <c r="AR729" i="1"/>
  <c r="AR730" i="1"/>
  <c r="AX723" i="1"/>
  <c r="AZ715" i="1"/>
  <c r="BB715" i="1"/>
  <c r="AR731" i="1"/>
  <c r="AX731" i="1"/>
  <c r="AR732" i="1"/>
  <c r="AX732" i="1"/>
  <c r="AR733" i="1"/>
  <c r="AX733" i="1"/>
  <c r="AR734" i="1"/>
  <c r="AX734" i="1"/>
  <c r="AR735" i="1"/>
  <c r="AX735" i="1"/>
  <c r="AZ731" i="1"/>
  <c r="BB731" i="1"/>
  <c r="AR736" i="1"/>
  <c r="AX736" i="1"/>
  <c r="AR737" i="1"/>
  <c r="AX737" i="1"/>
  <c r="AR738" i="1"/>
  <c r="AX738" i="1"/>
  <c r="AR739" i="1"/>
  <c r="AX739" i="1"/>
  <c r="AZ736" i="1"/>
  <c r="BB736" i="1"/>
  <c r="AR740" i="1"/>
  <c r="AR741" i="1"/>
  <c r="AR742" i="1"/>
  <c r="AR743" i="1"/>
  <c r="AR744" i="1"/>
  <c r="AR745" i="1"/>
  <c r="AR746" i="1"/>
  <c r="AR747" i="1"/>
  <c r="AX740" i="1"/>
  <c r="AR748" i="1"/>
  <c r="AR749" i="1"/>
  <c r="AR750" i="1"/>
  <c r="AR751" i="1"/>
  <c r="AR752" i="1"/>
  <c r="AR753" i="1"/>
  <c r="AR754" i="1"/>
  <c r="AR755" i="1"/>
  <c r="AX748" i="1"/>
  <c r="AR756" i="1"/>
  <c r="AR757" i="1"/>
  <c r="AR758" i="1"/>
  <c r="AR759" i="1"/>
  <c r="AR760" i="1"/>
  <c r="AR761" i="1"/>
  <c r="AR762" i="1"/>
  <c r="AR763" i="1"/>
  <c r="AX756" i="1"/>
  <c r="AR764" i="1"/>
  <c r="AR765" i="1"/>
  <c r="AR766" i="1"/>
  <c r="AR767" i="1"/>
  <c r="AR768" i="1"/>
  <c r="AR769" i="1"/>
  <c r="AR770" i="1"/>
  <c r="AR771" i="1"/>
  <c r="AX764" i="1"/>
  <c r="AR772" i="1"/>
  <c r="AR773" i="1"/>
  <c r="AR774" i="1"/>
  <c r="AR775" i="1"/>
  <c r="AR776" i="1"/>
  <c r="AR777" i="1"/>
  <c r="AR778" i="1"/>
  <c r="AR779" i="1"/>
  <c r="AX772" i="1"/>
  <c r="AR780" i="1"/>
  <c r="AR781" i="1"/>
  <c r="AR782" i="1"/>
  <c r="AR783" i="1"/>
  <c r="AR784" i="1"/>
  <c r="AR785" i="1"/>
  <c r="AR786" i="1"/>
  <c r="AR787" i="1"/>
  <c r="AX780" i="1"/>
  <c r="AZ740" i="1"/>
  <c r="BB740" i="1"/>
  <c r="AR788" i="1"/>
  <c r="AX788" i="1"/>
  <c r="AZ788" i="1"/>
  <c r="BB788" i="1"/>
  <c r="AR789" i="1"/>
  <c r="AX789" i="1"/>
  <c r="AZ789" i="1"/>
  <c r="BB789" i="1"/>
  <c r="AR790" i="1"/>
  <c r="AX790" i="1"/>
  <c r="AZ790" i="1"/>
  <c r="BB790" i="1"/>
  <c r="AR791" i="1"/>
  <c r="AR792" i="1"/>
  <c r="AX791" i="1"/>
  <c r="AZ791" i="1"/>
  <c r="BB791" i="1"/>
  <c r="AR793" i="1"/>
  <c r="AR794" i="1"/>
  <c r="AR795" i="1"/>
  <c r="AR796" i="1"/>
  <c r="AR797" i="1"/>
  <c r="AR798" i="1"/>
  <c r="AX793" i="1"/>
  <c r="AR799" i="1"/>
  <c r="AR800" i="1"/>
  <c r="AR801" i="1"/>
  <c r="AR802" i="1"/>
  <c r="AR803" i="1"/>
  <c r="AR804" i="1"/>
  <c r="AR805" i="1"/>
  <c r="AR806" i="1"/>
  <c r="AR807" i="1"/>
  <c r="AX799" i="1"/>
  <c r="AR808" i="1"/>
  <c r="AR809" i="1"/>
  <c r="AR810" i="1"/>
  <c r="AR811" i="1"/>
  <c r="AR812" i="1"/>
  <c r="AR813" i="1"/>
  <c r="AR814" i="1"/>
  <c r="AR815" i="1"/>
  <c r="AR816" i="1"/>
  <c r="AX808" i="1"/>
  <c r="AZ793" i="1"/>
  <c r="BB793" i="1"/>
  <c r="AR817" i="1"/>
  <c r="AX817" i="1"/>
  <c r="AZ817" i="1"/>
  <c r="BB817" i="1"/>
  <c r="AR818" i="1"/>
  <c r="AX818" i="1"/>
  <c r="AR819" i="1"/>
  <c r="AX819" i="1"/>
  <c r="AZ818" i="1"/>
  <c r="BB818" i="1"/>
  <c r="AR820" i="1"/>
  <c r="AX820" i="1"/>
  <c r="AR821" i="1"/>
  <c r="AR822" i="1"/>
  <c r="AR823" i="1"/>
  <c r="AR824" i="1"/>
  <c r="AR825" i="1"/>
  <c r="AR826" i="1"/>
  <c r="AR827" i="1"/>
  <c r="AX821" i="1"/>
  <c r="AR828" i="1"/>
  <c r="AR829" i="1"/>
  <c r="AR830" i="1"/>
  <c r="AR831" i="1"/>
  <c r="AR832" i="1"/>
  <c r="AR833" i="1"/>
  <c r="AX828" i="1"/>
  <c r="AZ820" i="1"/>
  <c r="BB820" i="1"/>
  <c r="BI714" i="1"/>
  <c r="AL836" i="1"/>
  <c r="AS836" i="1"/>
  <c r="AY836" i="1"/>
  <c r="BA836" i="1"/>
  <c r="BC836" i="1"/>
  <c r="AL837" i="1"/>
  <c r="AS837" i="1"/>
  <c r="AL838" i="1"/>
  <c r="AS838" i="1"/>
  <c r="AL839" i="1"/>
  <c r="AS839" i="1"/>
  <c r="AL840" i="1"/>
  <c r="AS840" i="1"/>
  <c r="AL841" i="1"/>
  <c r="AS841" i="1"/>
  <c r="AY837" i="1"/>
  <c r="BA837" i="1"/>
  <c r="BC837" i="1"/>
  <c r="AL842" i="1"/>
  <c r="AS842" i="1"/>
  <c r="AL843" i="1"/>
  <c r="AS843" i="1"/>
  <c r="AL844" i="1"/>
  <c r="AS844" i="1"/>
  <c r="AL845" i="1"/>
  <c r="AS845" i="1"/>
  <c r="AL846" i="1"/>
  <c r="AS846" i="1"/>
  <c r="AY842" i="1"/>
  <c r="BA842" i="1"/>
  <c r="BC842" i="1"/>
  <c r="AL847" i="1"/>
  <c r="AS847" i="1"/>
  <c r="AY847" i="1"/>
  <c r="BA847" i="1"/>
  <c r="BC847" i="1"/>
  <c r="AL848" i="1"/>
  <c r="AS848" i="1"/>
  <c r="AY848" i="1"/>
  <c r="BA848" i="1"/>
  <c r="BC848" i="1"/>
  <c r="AL849" i="1"/>
  <c r="AS849" i="1"/>
  <c r="AY849" i="1"/>
  <c r="BA849" i="1"/>
  <c r="BC849" i="1"/>
  <c r="AL850" i="1"/>
  <c r="AS850" i="1"/>
  <c r="AY850" i="1"/>
  <c r="BA850" i="1"/>
  <c r="BC850" i="1"/>
  <c r="AL851" i="1"/>
  <c r="AS851" i="1"/>
  <c r="AY851" i="1"/>
  <c r="BA851" i="1"/>
  <c r="BC851" i="1"/>
  <c r="AL852" i="1"/>
  <c r="AS852" i="1"/>
  <c r="AY852" i="1"/>
  <c r="BA852" i="1"/>
  <c r="BC852" i="1"/>
  <c r="AL853" i="1"/>
  <c r="AS853" i="1"/>
  <c r="AL854" i="1"/>
  <c r="AS854" i="1"/>
  <c r="AL855" i="1"/>
  <c r="AS855" i="1"/>
  <c r="AL856" i="1"/>
  <c r="AS856" i="1"/>
  <c r="AY853" i="1"/>
  <c r="BA853" i="1"/>
  <c r="BC853" i="1"/>
  <c r="AL857" i="1"/>
  <c r="AS857" i="1"/>
  <c r="AL858" i="1"/>
  <c r="AS858" i="1"/>
  <c r="AL859" i="1"/>
  <c r="AS859" i="1"/>
  <c r="AL860" i="1"/>
  <c r="AS860" i="1"/>
  <c r="AY857" i="1"/>
  <c r="BA857" i="1"/>
  <c r="BC857" i="1"/>
  <c r="AL861" i="1"/>
  <c r="AS861" i="1"/>
  <c r="AL862" i="1"/>
  <c r="AS862" i="1"/>
  <c r="AL863" i="1"/>
  <c r="AS863" i="1"/>
  <c r="AL864" i="1"/>
  <c r="AS864" i="1"/>
  <c r="AL865" i="1"/>
  <c r="AS865" i="1"/>
  <c r="AY861" i="1"/>
  <c r="BA861" i="1"/>
  <c r="BC861" i="1"/>
  <c r="AL866" i="1"/>
  <c r="AS866" i="1"/>
  <c r="AL867" i="1"/>
  <c r="AS867" i="1"/>
  <c r="AL868" i="1"/>
  <c r="AS868" i="1"/>
  <c r="AL869" i="1"/>
  <c r="AS869" i="1"/>
  <c r="AL870" i="1"/>
  <c r="AS870" i="1"/>
  <c r="AY866" i="1"/>
  <c r="BA866" i="1"/>
  <c r="BC866" i="1"/>
  <c r="BJ835" i="1"/>
  <c r="BG835" i="1"/>
  <c r="BG714" i="1"/>
  <c r="AU715" i="1"/>
  <c r="AU716" i="1"/>
  <c r="AU717" i="1"/>
  <c r="AU718" i="1"/>
  <c r="AU719" i="1"/>
  <c r="AU720" i="1"/>
  <c r="AU721" i="1"/>
  <c r="AU722" i="1"/>
  <c r="AU723" i="1"/>
  <c r="AU724" i="1"/>
  <c r="AU725" i="1"/>
  <c r="AU726" i="1"/>
  <c r="AU727" i="1"/>
  <c r="AU728" i="1"/>
  <c r="AU729" i="1"/>
  <c r="AU730" i="1"/>
  <c r="AU731" i="1"/>
  <c r="AU732" i="1"/>
  <c r="AU733" i="1"/>
  <c r="AU734" i="1"/>
  <c r="AU735" i="1"/>
  <c r="AU736" i="1"/>
  <c r="AU737" i="1"/>
  <c r="AU738" i="1"/>
  <c r="AU739" i="1"/>
  <c r="AU740" i="1"/>
  <c r="AU741" i="1"/>
  <c r="AU742" i="1"/>
  <c r="AU743" i="1"/>
  <c r="AU744" i="1"/>
  <c r="AU745" i="1"/>
  <c r="AU746" i="1"/>
  <c r="AU747" i="1"/>
  <c r="AU748" i="1"/>
  <c r="AU749" i="1"/>
  <c r="AU750" i="1"/>
  <c r="AU751" i="1"/>
  <c r="AU752" i="1"/>
  <c r="AU753" i="1"/>
  <c r="AU754" i="1"/>
  <c r="AU755" i="1"/>
  <c r="AU756" i="1"/>
  <c r="AU757" i="1"/>
  <c r="AU758" i="1"/>
  <c r="AU759" i="1"/>
  <c r="AU760" i="1"/>
  <c r="AU761" i="1"/>
  <c r="AU762" i="1"/>
  <c r="AU763" i="1"/>
  <c r="AU764" i="1"/>
  <c r="AU765" i="1"/>
  <c r="AU766" i="1"/>
  <c r="AU767" i="1"/>
  <c r="AU768" i="1"/>
  <c r="AU769" i="1"/>
  <c r="AU770" i="1"/>
  <c r="AU771" i="1"/>
  <c r="AU772" i="1"/>
  <c r="AU773" i="1"/>
  <c r="AU774" i="1"/>
  <c r="AU775" i="1"/>
  <c r="AU776" i="1"/>
  <c r="AU777" i="1"/>
  <c r="AU778" i="1"/>
  <c r="AU779" i="1"/>
  <c r="AU780" i="1"/>
  <c r="AU781" i="1"/>
  <c r="AU782" i="1"/>
  <c r="AU783" i="1"/>
  <c r="AU784" i="1"/>
  <c r="AU785" i="1"/>
  <c r="AU786" i="1"/>
  <c r="AU787" i="1"/>
  <c r="AU788" i="1"/>
  <c r="AU789" i="1"/>
  <c r="AU790" i="1"/>
  <c r="AU791" i="1"/>
  <c r="AU792" i="1"/>
  <c r="AU793" i="1"/>
  <c r="AU794" i="1"/>
  <c r="AU795" i="1"/>
  <c r="AU796" i="1"/>
  <c r="AU797" i="1"/>
  <c r="AU798" i="1"/>
  <c r="AU799" i="1"/>
  <c r="AU800" i="1"/>
  <c r="AU801" i="1"/>
  <c r="AU802" i="1"/>
  <c r="AU803" i="1"/>
  <c r="AU804" i="1"/>
  <c r="AU805" i="1"/>
  <c r="AU806" i="1"/>
  <c r="AU807" i="1"/>
  <c r="AU808" i="1"/>
  <c r="AU809" i="1"/>
  <c r="AU810" i="1"/>
  <c r="AU811" i="1"/>
  <c r="AU812" i="1"/>
  <c r="AU813" i="1"/>
  <c r="AU814" i="1"/>
  <c r="AU815" i="1"/>
  <c r="AU816" i="1"/>
  <c r="AU817" i="1"/>
  <c r="AU818" i="1"/>
  <c r="AU819" i="1"/>
  <c r="AU820" i="1"/>
  <c r="AU821" i="1"/>
  <c r="AU822" i="1"/>
  <c r="AU823" i="1"/>
  <c r="AU824" i="1"/>
  <c r="AU825" i="1"/>
  <c r="AU826" i="1"/>
  <c r="AU827" i="1"/>
  <c r="AU828" i="1"/>
  <c r="AU829" i="1"/>
  <c r="AU830" i="1"/>
  <c r="AU831" i="1"/>
  <c r="AU832" i="1"/>
  <c r="AU833" i="1"/>
  <c r="AT715" i="1"/>
  <c r="AT716" i="1"/>
  <c r="AT717" i="1"/>
  <c r="AT718" i="1"/>
  <c r="AT719" i="1"/>
  <c r="AT720" i="1"/>
  <c r="AT721" i="1"/>
  <c r="AT722" i="1"/>
  <c r="AT723" i="1"/>
  <c r="AT724" i="1"/>
  <c r="AT725" i="1"/>
  <c r="AT726" i="1"/>
  <c r="AT727" i="1"/>
  <c r="AT728" i="1"/>
  <c r="AT729" i="1"/>
  <c r="AT730" i="1"/>
  <c r="AT731" i="1"/>
  <c r="AT732" i="1"/>
  <c r="AT733" i="1"/>
  <c r="AT734" i="1"/>
  <c r="AT735" i="1"/>
  <c r="AT736" i="1"/>
  <c r="AT737" i="1"/>
  <c r="AT738" i="1"/>
  <c r="AT739" i="1"/>
  <c r="AT740" i="1"/>
  <c r="AT741" i="1"/>
  <c r="AT742" i="1"/>
  <c r="AT743" i="1"/>
  <c r="AT744" i="1"/>
  <c r="AT745" i="1"/>
  <c r="AT746" i="1"/>
  <c r="AT747" i="1"/>
  <c r="AT748" i="1"/>
  <c r="AT749" i="1"/>
  <c r="AT750" i="1"/>
  <c r="AT751" i="1"/>
  <c r="AT752" i="1"/>
  <c r="AT753" i="1"/>
  <c r="AT754" i="1"/>
  <c r="AT755" i="1"/>
  <c r="AT756" i="1"/>
  <c r="AT757" i="1"/>
  <c r="AT758" i="1"/>
  <c r="AT759" i="1"/>
  <c r="AT760" i="1"/>
  <c r="AT761" i="1"/>
  <c r="AT762" i="1"/>
  <c r="AT763" i="1"/>
  <c r="AT764" i="1"/>
  <c r="AT765" i="1"/>
  <c r="AT766" i="1"/>
  <c r="AT767" i="1"/>
  <c r="AT768" i="1"/>
  <c r="AT769" i="1"/>
  <c r="AT770" i="1"/>
  <c r="AT771" i="1"/>
  <c r="AT772" i="1"/>
  <c r="AT773" i="1"/>
  <c r="AT774" i="1"/>
  <c r="AT775" i="1"/>
  <c r="AT776" i="1"/>
  <c r="AT777" i="1"/>
  <c r="AT778" i="1"/>
  <c r="AT779" i="1"/>
  <c r="AT780" i="1"/>
  <c r="AT781" i="1"/>
  <c r="AT782" i="1"/>
  <c r="AT783" i="1"/>
  <c r="AT784" i="1"/>
  <c r="AT785" i="1"/>
  <c r="AT786" i="1"/>
  <c r="AT787" i="1"/>
  <c r="AT788" i="1"/>
  <c r="AT789" i="1"/>
  <c r="AT790" i="1"/>
  <c r="AT791" i="1"/>
  <c r="AT792" i="1"/>
  <c r="AT793" i="1"/>
  <c r="AT794" i="1"/>
  <c r="AT795" i="1"/>
  <c r="AT796" i="1"/>
  <c r="AT797" i="1"/>
  <c r="AT798" i="1"/>
  <c r="AT799" i="1"/>
  <c r="AT800" i="1"/>
  <c r="AT801" i="1"/>
  <c r="AT802" i="1"/>
  <c r="AT803" i="1"/>
  <c r="AT804" i="1"/>
  <c r="AT805" i="1"/>
  <c r="AT806" i="1"/>
  <c r="AT807" i="1"/>
  <c r="AT808" i="1"/>
  <c r="AT809" i="1"/>
  <c r="AT810" i="1"/>
  <c r="AT811" i="1"/>
  <c r="AT812" i="1"/>
  <c r="AT813" i="1"/>
  <c r="AT814" i="1"/>
  <c r="AT815" i="1"/>
  <c r="AT816" i="1"/>
  <c r="AT817" i="1"/>
  <c r="AT818" i="1"/>
  <c r="AT819" i="1"/>
  <c r="AT820" i="1"/>
  <c r="AT821" i="1"/>
  <c r="AT822" i="1"/>
  <c r="AT823" i="1"/>
  <c r="AT824" i="1"/>
  <c r="AT825" i="1"/>
  <c r="AT826" i="1"/>
  <c r="AT827" i="1"/>
  <c r="AT828" i="1"/>
  <c r="AT829" i="1"/>
  <c r="AT830" i="1"/>
  <c r="AT831" i="1"/>
  <c r="AT832" i="1"/>
  <c r="AT833" i="1"/>
  <c r="BG22" i="1"/>
  <c r="BG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U116" i="1"/>
  <c r="AU117" i="1"/>
  <c r="AU118" i="1"/>
  <c r="AU119" i="1"/>
  <c r="AU120" i="1"/>
  <c r="AU121" i="1"/>
  <c r="AU122" i="1"/>
  <c r="AU123" i="1"/>
  <c r="AU124" i="1"/>
  <c r="AU125" i="1"/>
  <c r="AU126" i="1"/>
  <c r="AU127" i="1"/>
  <c r="AU128" i="1"/>
  <c r="AU129" i="1"/>
  <c r="AU130" i="1"/>
  <c r="AU131" i="1"/>
  <c r="AU132" i="1"/>
  <c r="AU133" i="1"/>
  <c r="AU134" i="1"/>
  <c r="AU135" i="1"/>
  <c r="AU136" i="1"/>
  <c r="AU137" i="1"/>
  <c r="AU138" i="1"/>
  <c r="AU139" i="1"/>
  <c r="AU140"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0" i="1"/>
  <c r="AT121" i="1"/>
  <c r="AT122" i="1"/>
  <c r="AT123" i="1"/>
  <c r="AT124" i="1"/>
  <c r="AT125" i="1"/>
  <c r="AT126" i="1"/>
  <c r="AT127" i="1"/>
  <c r="AT128" i="1"/>
  <c r="AT129" i="1"/>
  <c r="AT130" i="1"/>
  <c r="AT131" i="1"/>
  <c r="AT132" i="1"/>
  <c r="AT133" i="1"/>
  <c r="AT134" i="1"/>
  <c r="AT135" i="1"/>
  <c r="AT136" i="1"/>
  <c r="AT137" i="1"/>
  <c r="AT138" i="1"/>
  <c r="AT139" i="1"/>
  <c r="AT140" i="1"/>
  <c r="BG451" i="1"/>
  <c r="AU452" i="1"/>
  <c r="AU453" i="1"/>
  <c r="AU454" i="1"/>
  <c r="AU455" i="1"/>
  <c r="AU456" i="1"/>
  <c r="AU457" i="1"/>
  <c r="AU458" i="1"/>
  <c r="AU459" i="1"/>
  <c r="AU460" i="1"/>
  <c r="AU461" i="1"/>
  <c r="AU462" i="1"/>
  <c r="AU463" i="1"/>
  <c r="AU464" i="1"/>
  <c r="AU465" i="1"/>
  <c r="AU466" i="1"/>
  <c r="AU467" i="1"/>
  <c r="AU468" i="1"/>
  <c r="AU469" i="1"/>
  <c r="AU470" i="1"/>
  <c r="AU471" i="1"/>
  <c r="AU472" i="1"/>
  <c r="AU473" i="1"/>
  <c r="AU474" i="1"/>
  <c r="AU475" i="1"/>
  <c r="AU476" i="1"/>
  <c r="AU477" i="1"/>
  <c r="AU478" i="1"/>
  <c r="AU479" i="1"/>
  <c r="AU480" i="1"/>
  <c r="AU481" i="1"/>
  <c r="AU482" i="1"/>
  <c r="AU483" i="1"/>
  <c r="AU484" i="1"/>
  <c r="AU485" i="1"/>
  <c r="AU486" i="1"/>
  <c r="AU487" i="1"/>
  <c r="AU488" i="1"/>
  <c r="AU489" i="1"/>
  <c r="AU490" i="1"/>
  <c r="AU491" i="1"/>
  <c r="AU492" i="1"/>
  <c r="AU493" i="1"/>
  <c r="AU494" i="1"/>
  <c r="AU495" i="1"/>
  <c r="AU496" i="1"/>
  <c r="AU497" i="1"/>
  <c r="AU498" i="1"/>
  <c r="AU499" i="1"/>
  <c r="AU500" i="1"/>
  <c r="AU501" i="1"/>
  <c r="AU502" i="1"/>
  <c r="AU503" i="1"/>
  <c r="AU504" i="1"/>
  <c r="AU505" i="1"/>
  <c r="AU506" i="1"/>
  <c r="AU507" i="1"/>
  <c r="AU508" i="1"/>
  <c r="AU509" i="1"/>
  <c r="AU510" i="1"/>
  <c r="AU511" i="1"/>
  <c r="AU512" i="1"/>
  <c r="AU513" i="1"/>
  <c r="AU514" i="1"/>
  <c r="AU515" i="1"/>
  <c r="AU516" i="1"/>
  <c r="AU517" i="1"/>
  <c r="AU518" i="1"/>
  <c r="AU519" i="1"/>
  <c r="AU520" i="1"/>
  <c r="AU521" i="1"/>
  <c r="AU522" i="1"/>
  <c r="AU523" i="1"/>
  <c r="AU524" i="1"/>
  <c r="AU525" i="1"/>
  <c r="AU526" i="1"/>
  <c r="AU527" i="1"/>
  <c r="AU528" i="1"/>
  <c r="AU529" i="1"/>
  <c r="AU530" i="1"/>
  <c r="AU531" i="1"/>
  <c r="AU532" i="1"/>
  <c r="AU533" i="1"/>
  <c r="AU534" i="1"/>
  <c r="AU535" i="1"/>
  <c r="AU536" i="1"/>
  <c r="AU537" i="1"/>
  <c r="AU141" i="1"/>
  <c r="AU142" i="1"/>
  <c r="AU143" i="1"/>
  <c r="AU144" i="1"/>
  <c r="AU145" i="1"/>
  <c r="AU146" i="1"/>
  <c r="AU147" i="1"/>
  <c r="AU148" i="1"/>
  <c r="AU149" i="1"/>
  <c r="AU150" i="1"/>
  <c r="AU151" i="1"/>
  <c r="AU152" i="1"/>
  <c r="AU153" i="1"/>
  <c r="AU154" i="1"/>
  <c r="AU155" i="1"/>
  <c r="AU156" i="1"/>
  <c r="AU157" i="1"/>
  <c r="AU158" i="1"/>
  <c r="AU159" i="1"/>
  <c r="AU160" i="1"/>
  <c r="AU161" i="1"/>
  <c r="AU162" i="1"/>
  <c r="AU163" i="1"/>
  <c r="AU164" i="1"/>
  <c r="AU165" i="1"/>
  <c r="AU166" i="1"/>
  <c r="AU167" i="1"/>
  <c r="AU168" i="1"/>
  <c r="AU169" i="1"/>
  <c r="AU170" i="1"/>
  <c r="AU171" i="1"/>
  <c r="AU172" i="1"/>
  <c r="AU173" i="1"/>
  <c r="AU174" i="1"/>
  <c r="AU175" i="1"/>
  <c r="AU176" i="1"/>
  <c r="AU177" i="1"/>
  <c r="AU178" i="1"/>
  <c r="AU179" i="1"/>
  <c r="AU180" i="1"/>
  <c r="AU181" i="1"/>
  <c r="AT452" i="1"/>
  <c r="AT453" i="1"/>
  <c r="AT454" i="1"/>
  <c r="AT455" i="1"/>
  <c r="AT456" i="1"/>
  <c r="AT457" i="1"/>
  <c r="AT458" i="1"/>
  <c r="AT459" i="1"/>
  <c r="AT460" i="1"/>
  <c r="AT461" i="1"/>
  <c r="AT462" i="1"/>
  <c r="AT463" i="1"/>
  <c r="AT464" i="1"/>
  <c r="AT465" i="1"/>
  <c r="AT466" i="1"/>
  <c r="AT467" i="1"/>
  <c r="AT468" i="1"/>
  <c r="AT469" i="1"/>
  <c r="AT470" i="1"/>
  <c r="AT471" i="1"/>
  <c r="AT472" i="1"/>
  <c r="AT473" i="1"/>
  <c r="AT474" i="1"/>
  <c r="AT475" i="1"/>
  <c r="AT476" i="1"/>
  <c r="AT477" i="1"/>
  <c r="AT478" i="1"/>
  <c r="AT479" i="1"/>
  <c r="AT480" i="1"/>
  <c r="AT481" i="1"/>
  <c r="AT482" i="1"/>
  <c r="AT483" i="1"/>
  <c r="AT484" i="1"/>
  <c r="AT485" i="1"/>
  <c r="AT486" i="1"/>
  <c r="AT487" i="1"/>
  <c r="AT488" i="1"/>
  <c r="AT489" i="1"/>
  <c r="AT490" i="1"/>
  <c r="AT491" i="1"/>
  <c r="AT492" i="1"/>
  <c r="AT493" i="1"/>
  <c r="AT494" i="1"/>
  <c r="AT495" i="1"/>
  <c r="AT496" i="1"/>
  <c r="AT497" i="1"/>
  <c r="AT498" i="1"/>
  <c r="AT499" i="1"/>
  <c r="AT500" i="1"/>
  <c r="AT501" i="1"/>
  <c r="AT502" i="1"/>
  <c r="AT503" i="1"/>
  <c r="AT504" i="1"/>
  <c r="AT505" i="1"/>
  <c r="AT506" i="1"/>
  <c r="AT507" i="1"/>
  <c r="AT508" i="1"/>
  <c r="AT509" i="1"/>
  <c r="AT510" i="1"/>
  <c r="AT511" i="1"/>
  <c r="AT512" i="1"/>
  <c r="AT513" i="1"/>
  <c r="AT514" i="1"/>
  <c r="AT515" i="1"/>
  <c r="AT516" i="1"/>
  <c r="AT517" i="1"/>
  <c r="AT518" i="1"/>
  <c r="AT519" i="1"/>
  <c r="AT520" i="1"/>
  <c r="AT521" i="1"/>
  <c r="AT522" i="1"/>
  <c r="AT523" i="1"/>
  <c r="AT524" i="1"/>
  <c r="AT525" i="1"/>
  <c r="AT526" i="1"/>
  <c r="AT527" i="1"/>
  <c r="AT528" i="1"/>
  <c r="AT529" i="1"/>
  <c r="AT530" i="1"/>
  <c r="AT531" i="1"/>
  <c r="AT532" i="1"/>
  <c r="AT533" i="1"/>
  <c r="AT534" i="1"/>
  <c r="AT535" i="1"/>
  <c r="AT536" i="1"/>
  <c r="AT537" i="1"/>
  <c r="AT141" i="1"/>
  <c r="AT142" i="1"/>
  <c r="AT143" i="1"/>
  <c r="AT144" i="1"/>
  <c r="AT145" i="1"/>
  <c r="AT146" i="1"/>
  <c r="AT147" i="1"/>
  <c r="AT148" i="1"/>
  <c r="AT149" i="1"/>
  <c r="AT150" i="1"/>
  <c r="AT151" i="1"/>
  <c r="AT152" i="1"/>
  <c r="AT153" i="1"/>
  <c r="AT154" i="1"/>
  <c r="AT155" i="1"/>
  <c r="AT156" i="1"/>
  <c r="AT157" i="1"/>
  <c r="AT158" i="1"/>
  <c r="AT159" i="1"/>
  <c r="AT160" i="1"/>
  <c r="AT161" i="1"/>
  <c r="AT162" i="1"/>
  <c r="AT163" i="1"/>
  <c r="AT164" i="1"/>
  <c r="AT165" i="1"/>
  <c r="AT166" i="1"/>
  <c r="AT167" i="1"/>
  <c r="AT168" i="1"/>
  <c r="AT169" i="1"/>
  <c r="AT170" i="1"/>
  <c r="AT171" i="1"/>
  <c r="AT172" i="1"/>
  <c r="AT173" i="1"/>
  <c r="AT174" i="1"/>
  <c r="AT175" i="1"/>
  <c r="AT176" i="1"/>
  <c r="AT177" i="1"/>
  <c r="AT178" i="1"/>
  <c r="AT179" i="1"/>
  <c r="AT180" i="1"/>
  <c r="AT181" i="1"/>
  <c r="AG873" i="1"/>
  <c r="AG874" i="1"/>
  <c r="AG875" i="1"/>
  <c r="AG876" i="1"/>
  <c r="AG877" i="1"/>
  <c r="AG878" i="1"/>
  <c r="AG879" i="1"/>
  <c r="AG880" i="1"/>
  <c r="AG881" i="1"/>
  <c r="AG882" i="1"/>
  <c r="AG883" i="1"/>
  <c r="AG884" i="1"/>
  <c r="AG885" i="1"/>
  <c r="AG886" i="1"/>
  <c r="AG887" i="1"/>
  <c r="AG888" i="1"/>
  <c r="AG889" i="1"/>
  <c r="AG890" i="1"/>
  <c r="AG891" i="1"/>
  <c r="AG892" i="1"/>
  <c r="AG893" i="1"/>
  <c r="AG894" i="1"/>
  <c r="AG895" i="1"/>
  <c r="AG896" i="1"/>
  <c r="AG897" i="1"/>
  <c r="AG898" i="1"/>
  <c r="AG899" i="1"/>
  <c r="AG900" i="1"/>
  <c r="AG901" i="1"/>
  <c r="AG902" i="1"/>
  <c r="AG903" i="1"/>
  <c r="AG904" i="1"/>
  <c r="AG905" i="1"/>
  <c r="AG906" i="1"/>
  <c r="AG907" i="1"/>
  <c r="AG908" i="1"/>
  <c r="AG909" i="1"/>
  <c r="AG910" i="1"/>
  <c r="AG911" i="1"/>
  <c r="AG912" i="1"/>
  <c r="AG913" i="1"/>
  <c r="AG914" i="1"/>
  <c r="AG915" i="1"/>
  <c r="AG916" i="1"/>
  <c r="AG917" i="1"/>
  <c r="AG918" i="1"/>
  <c r="AG919" i="1"/>
  <c r="AG920" i="1"/>
  <c r="AG921" i="1"/>
  <c r="AG922" i="1"/>
  <c r="AG923" i="1"/>
  <c r="AG924" i="1"/>
  <c r="AG925" i="1"/>
  <c r="AG926" i="1"/>
  <c r="AG927" i="1"/>
  <c r="AG928" i="1"/>
  <c r="AG929" i="1"/>
  <c r="AG930" i="1"/>
  <c r="AG931" i="1"/>
  <c r="AG932" i="1"/>
  <c r="AG933" i="1"/>
  <c r="AG934" i="1"/>
  <c r="AG935" i="1"/>
  <c r="AG936" i="1"/>
  <c r="AG937" i="1"/>
  <c r="AG938" i="1"/>
  <c r="AG939" i="1"/>
  <c r="AG940" i="1"/>
  <c r="AG941" i="1"/>
  <c r="AG942" i="1"/>
  <c r="AG943" i="1"/>
  <c r="AG944" i="1"/>
  <c r="AG945" i="1"/>
  <c r="AG946" i="1"/>
  <c r="AG947" i="1"/>
  <c r="AG948" i="1"/>
  <c r="AG949" i="1"/>
  <c r="AG950" i="1"/>
  <c r="AG951" i="1"/>
  <c r="AG952" i="1"/>
  <c r="AG953" i="1"/>
  <c r="AG954" i="1"/>
  <c r="AG955" i="1"/>
  <c r="AG956" i="1"/>
  <c r="AG957" i="1"/>
  <c r="AG958" i="1"/>
  <c r="AG959" i="1"/>
  <c r="AG960" i="1"/>
  <c r="AG961" i="1"/>
  <c r="AG962" i="1"/>
  <c r="AG963" i="1"/>
  <c r="AG964" i="1"/>
  <c r="AG965" i="1"/>
  <c r="AG966" i="1"/>
  <c r="AG967" i="1"/>
  <c r="AG968" i="1"/>
  <c r="AG969" i="1"/>
  <c r="AG970" i="1"/>
  <c r="AG971" i="1"/>
  <c r="AG972" i="1"/>
  <c r="AG973" i="1"/>
  <c r="AG974" i="1"/>
  <c r="AG975" i="1"/>
  <c r="AG976" i="1"/>
  <c r="AG977" i="1"/>
  <c r="AG978" i="1"/>
  <c r="AG979" i="1"/>
  <c r="AG980" i="1"/>
  <c r="AG981" i="1"/>
  <c r="AG982" i="1"/>
  <c r="AG983" i="1"/>
  <c r="AG984" i="1"/>
  <c r="AG985" i="1"/>
  <c r="AG986" i="1"/>
  <c r="AG987" i="1"/>
  <c r="AG988" i="1"/>
  <c r="AG989" i="1"/>
  <c r="AG990" i="1"/>
  <c r="AG991" i="1"/>
  <c r="AG992" i="1"/>
  <c r="AG993" i="1"/>
  <c r="AG994" i="1"/>
  <c r="AG995" i="1"/>
  <c r="AG996" i="1"/>
  <c r="AG997" i="1"/>
  <c r="AG998" i="1"/>
  <c r="AG999" i="1"/>
  <c r="AG1000" i="1"/>
  <c r="AG1001" i="1"/>
  <c r="AG1002" i="1"/>
  <c r="AG1003" i="1"/>
  <c r="AG1004" i="1"/>
  <c r="AG1005" i="1"/>
  <c r="AG1006" i="1"/>
  <c r="AG1007" i="1"/>
  <c r="AG1008" i="1"/>
  <c r="AG1009" i="1"/>
  <c r="AG1010" i="1"/>
  <c r="AG1011" i="1"/>
  <c r="AG1012" i="1"/>
  <c r="AG1013" i="1"/>
  <c r="AG1014" i="1"/>
  <c r="AG1015" i="1"/>
  <c r="AG1016" i="1"/>
  <c r="AG1017" i="1"/>
  <c r="AG1018" i="1"/>
  <c r="AG1019" i="1"/>
  <c r="AG1020" i="1"/>
  <c r="AG1021" i="1"/>
  <c r="AG1022" i="1"/>
  <c r="AG1023" i="1"/>
  <c r="AG1024" i="1"/>
  <c r="AG1025" i="1"/>
  <c r="AG1026" i="1"/>
  <c r="AG1027" i="1"/>
  <c r="AG1028" i="1"/>
  <c r="AG1029" i="1"/>
  <c r="AG1030" i="1"/>
  <c r="AG1031" i="1"/>
  <c r="AG1032" i="1"/>
  <c r="AG1033" i="1"/>
  <c r="AG1034" i="1"/>
  <c r="AG1035" i="1"/>
  <c r="AG1036" i="1"/>
  <c r="AG1037" i="1"/>
  <c r="AG1038" i="1"/>
  <c r="AG1039" i="1"/>
  <c r="AG1040" i="1"/>
  <c r="AG1041" i="1"/>
  <c r="AG1042" i="1"/>
  <c r="AG1043" i="1"/>
  <c r="AG1044" i="1"/>
  <c r="AG1045" i="1"/>
  <c r="AG1046" i="1"/>
  <c r="AG1047" i="1"/>
  <c r="AG1048" i="1"/>
  <c r="AG1049" i="1"/>
  <c r="AG1050" i="1"/>
  <c r="AG1051" i="1"/>
  <c r="AG1052" i="1"/>
  <c r="AG1053" i="1"/>
  <c r="AG1054" i="1"/>
  <c r="AG1055" i="1"/>
  <c r="AG1056" i="1"/>
  <c r="AG1057" i="1"/>
  <c r="AG1058" i="1"/>
  <c r="AG1059" i="1"/>
  <c r="AG1060" i="1"/>
  <c r="AG1061" i="1"/>
  <c r="AG1062" i="1"/>
  <c r="AG1063" i="1"/>
  <c r="AG1064" i="1"/>
  <c r="AG1065" i="1"/>
  <c r="AG1066" i="1"/>
  <c r="AG1067" i="1"/>
  <c r="AG1068" i="1"/>
  <c r="AG1069" i="1"/>
  <c r="AG1070" i="1"/>
  <c r="AG1071" i="1"/>
  <c r="AG1072" i="1"/>
  <c r="AG1073" i="1"/>
  <c r="AG1074" i="1"/>
  <c r="AG1075" i="1"/>
  <c r="AG1076" i="1"/>
  <c r="AG1077" i="1"/>
  <c r="AG1078" i="1"/>
  <c r="AG1079" i="1"/>
  <c r="AG1080" i="1"/>
  <c r="AG1081" i="1"/>
  <c r="AG1082" i="1"/>
  <c r="AG1083" i="1"/>
  <c r="AG1084" i="1"/>
  <c r="AG1085" i="1"/>
  <c r="AG1086" i="1"/>
  <c r="AI872" i="1"/>
  <c r="AU873" i="1"/>
  <c r="AU885" i="1"/>
  <c r="AU886" i="1"/>
  <c r="AU887" i="1"/>
  <c r="AU888" i="1"/>
  <c r="AU890" i="1"/>
  <c r="AU892" i="1"/>
  <c r="AU893" i="1"/>
  <c r="AU895" i="1"/>
  <c r="AU896" i="1"/>
  <c r="AU897" i="1"/>
  <c r="AU898" i="1"/>
  <c r="AU899" i="1"/>
  <c r="AU900" i="1"/>
  <c r="AU901" i="1"/>
  <c r="AU902" i="1"/>
  <c r="AU903" i="1"/>
  <c r="AU904" i="1"/>
  <c r="AU905" i="1"/>
  <c r="AU906" i="1"/>
  <c r="AU907" i="1"/>
  <c r="AU908" i="1"/>
  <c r="AU909" i="1"/>
  <c r="AU910" i="1"/>
  <c r="AU911" i="1"/>
  <c r="AU912" i="1"/>
  <c r="AU913" i="1"/>
  <c r="AU914" i="1"/>
  <c r="AU915" i="1"/>
  <c r="AU916" i="1"/>
  <c r="AU917" i="1"/>
  <c r="AU918" i="1"/>
  <c r="AU919" i="1"/>
  <c r="AU920" i="1"/>
  <c r="AU921" i="1"/>
  <c r="AU922" i="1"/>
  <c r="AU923" i="1"/>
  <c r="AU924" i="1"/>
  <c r="AU925" i="1"/>
  <c r="AU926" i="1"/>
  <c r="AU927" i="1"/>
  <c r="AU928" i="1"/>
  <c r="AU929" i="1"/>
  <c r="AU930" i="1"/>
  <c r="AU931" i="1"/>
  <c r="AU932" i="1"/>
  <c r="AU933" i="1"/>
  <c r="AU934" i="1"/>
  <c r="AU935" i="1"/>
  <c r="AU936" i="1"/>
  <c r="AU937" i="1"/>
  <c r="AU938" i="1"/>
  <c r="AU939" i="1"/>
  <c r="AU940" i="1"/>
  <c r="AU941" i="1"/>
  <c r="AU942" i="1"/>
  <c r="AU943" i="1"/>
  <c r="AU944" i="1"/>
  <c r="AU945" i="1"/>
  <c r="AU946" i="1"/>
  <c r="AU947" i="1"/>
  <c r="AU948" i="1"/>
  <c r="AU949" i="1"/>
  <c r="AU950" i="1"/>
  <c r="AU951" i="1"/>
  <c r="AU952" i="1"/>
  <c r="AU953" i="1"/>
  <c r="AU954" i="1"/>
  <c r="AU955" i="1"/>
  <c r="AU956" i="1"/>
  <c r="AU957" i="1"/>
  <c r="AU958" i="1"/>
  <c r="AU959" i="1"/>
  <c r="AU960" i="1"/>
  <c r="AU961" i="1"/>
  <c r="AU962" i="1"/>
  <c r="AU963" i="1"/>
  <c r="AU964" i="1"/>
  <c r="AU965" i="1"/>
  <c r="AU966" i="1"/>
  <c r="AU967" i="1"/>
  <c r="AU968" i="1"/>
  <c r="AU969" i="1"/>
  <c r="AU970" i="1"/>
  <c r="AU971" i="1"/>
  <c r="AU972" i="1"/>
  <c r="AU973" i="1"/>
  <c r="AU974" i="1"/>
  <c r="AU975" i="1"/>
  <c r="AU976" i="1"/>
  <c r="AU977" i="1"/>
  <c r="AU978" i="1"/>
  <c r="AU979" i="1"/>
  <c r="AU980" i="1"/>
  <c r="AU986" i="1"/>
  <c r="AU988" i="1"/>
  <c r="AU990" i="1"/>
  <c r="AU991" i="1"/>
  <c r="AU992" i="1"/>
  <c r="AU993" i="1"/>
  <c r="AU994" i="1"/>
  <c r="AU995" i="1"/>
  <c r="AU996" i="1"/>
  <c r="AU997" i="1"/>
  <c r="AU998" i="1"/>
  <c r="AU999" i="1"/>
  <c r="AU1000" i="1"/>
  <c r="AU1001" i="1"/>
  <c r="AU1002" i="1"/>
  <c r="AU1003" i="1"/>
  <c r="AU1004" i="1"/>
  <c r="AU1005" i="1"/>
  <c r="AU1006" i="1"/>
  <c r="AU1007" i="1"/>
  <c r="AU1008" i="1"/>
  <c r="AU1009" i="1"/>
  <c r="AU1010" i="1"/>
  <c r="AU1011" i="1"/>
  <c r="AU1012" i="1"/>
  <c r="AU1014" i="1"/>
  <c r="AU1015" i="1"/>
  <c r="AU1016" i="1"/>
  <c r="AU1017" i="1"/>
  <c r="AU1018" i="1"/>
  <c r="AU1019" i="1"/>
  <c r="AU1020" i="1"/>
  <c r="AU1021" i="1"/>
  <c r="AU1022" i="1"/>
  <c r="AU1023" i="1"/>
  <c r="AU1024" i="1"/>
  <c r="AU1025" i="1"/>
  <c r="AU1026" i="1"/>
  <c r="AU1027" i="1"/>
  <c r="AU1028" i="1"/>
  <c r="AU1029" i="1"/>
  <c r="AU1030" i="1"/>
  <c r="AU1036" i="1"/>
  <c r="AU1037" i="1"/>
  <c r="AU1038" i="1"/>
  <c r="AU1039" i="1"/>
  <c r="AU1040" i="1"/>
  <c r="AU1041" i="1"/>
  <c r="AU1042" i="1"/>
  <c r="AU1043" i="1"/>
  <c r="AU1044" i="1"/>
  <c r="AU1045" i="1"/>
  <c r="AT873" i="1"/>
  <c r="AT885" i="1"/>
  <c r="AT886" i="1"/>
  <c r="AT887" i="1"/>
  <c r="AT888" i="1"/>
  <c r="AT890" i="1"/>
  <c r="AT892" i="1"/>
  <c r="AT893" i="1"/>
  <c r="AT895" i="1"/>
  <c r="AT896" i="1"/>
  <c r="AT897" i="1"/>
  <c r="AT898" i="1"/>
  <c r="AT899" i="1"/>
  <c r="AT900" i="1"/>
  <c r="AT901" i="1"/>
  <c r="AT902" i="1"/>
  <c r="AT903" i="1"/>
  <c r="AT904" i="1"/>
  <c r="AT905" i="1"/>
  <c r="AT906" i="1"/>
  <c r="AT907" i="1"/>
  <c r="AT908" i="1"/>
  <c r="AT909" i="1"/>
  <c r="AT910" i="1"/>
  <c r="AT911" i="1"/>
  <c r="AT912" i="1"/>
  <c r="AT913" i="1"/>
  <c r="AT914" i="1"/>
  <c r="AT915" i="1"/>
  <c r="AT916" i="1"/>
  <c r="AT917" i="1"/>
  <c r="AT918" i="1"/>
  <c r="AT919" i="1"/>
  <c r="AT920" i="1"/>
  <c r="AT921" i="1"/>
  <c r="AT922" i="1"/>
  <c r="AT923" i="1"/>
  <c r="AT924" i="1"/>
  <c r="AT925" i="1"/>
  <c r="AT926" i="1"/>
  <c r="AT927" i="1"/>
  <c r="AT928" i="1"/>
  <c r="AT929" i="1"/>
  <c r="AT930" i="1"/>
  <c r="AT931" i="1"/>
  <c r="AT932" i="1"/>
  <c r="AT933" i="1"/>
  <c r="AT934" i="1"/>
  <c r="AT935" i="1"/>
  <c r="AT936" i="1"/>
  <c r="AT937" i="1"/>
  <c r="AT938" i="1"/>
  <c r="AT939" i="1"/>
  <c r="AT940" i="1"/>
  <c r="AT941" i="1"/>
  <c r="AT942" i="1"/>
  <c r="AT943" i="1"/>
  <c r="AT944" i="1"/>
  <c r="AT945" i="1"/>
  <c r="AT946" i="1"/>
  <c r="AT947" i="1"/>
  <c r="AT948" i="1"/>
  <c r="AT949" i="1"/>
  <c r="AT950" i="1"/>
  <c r="AT951" i="1"/>
  <c r="AT952" i="1"/>
  <c r="AT953" i="1"/>
  <c r="AT954" i="1"/>
  <c r="AT955" i="1"/>
  <c r="AT956" i="1"/>
  <c r="AT957" i="1"/>
  <c r="AT958" i="1"/>
  <c r="AT959" i="1"/>
  <c r="AT960" i="1"/>
  <c r="AT961" i="1"/>
  <c r="AT962" i="1"/>
  <c r="AT963" i="1"/>
  <c r="AT964" i="1"/>
  <c r="AT965" i="1"/>
  <c r="AT966" i="1"/>
  <c r="AT967" i="1"/>
  <c r="AT968" i="1"/>
  <c r="AT969" i="1"/>
  <c r="AT970" i="1"/>
  <c r="AT971" i="1"/>
  <c r="AT972" i="1"/>
  <c r="AT973" i="1"/>
  <c r="AT974" i="1"/>
  <c r="AT975" i="1"/>
  <c r="AT976" i="1"/>
  <c r="AT977" i="1"/>
  <c r="AT978" i="1"/>
  <c r="AT979" i="1"/>
  <c r="AT980" i="1"/>
  <c r="AT986" i="1"/>
  <c r="AT988" i="1"/>
  <c r="AT990" i="1"/>
  <c r="AT991" i="1"/>
  <c r="AT992" i="1"/>
  <c r="AT993" i="1"/>
  <c r="AT994" i="1"/>
  <c r="AT995" i="1"/>
  <c r="AT996" i="1"/>
  <c r="AT997" i="1"/>
  <c r="AT998" i="1"/>
  <c r="AT999" i="1"/>
  <c r="AT1000" i="1"/>
  <c r="AT1001" i="1"/>
  <c r="AT1002" i="1"/>
  <c r="AT1003" i="1"/>
  <c r="AT1004" i="1"/>
  <c r="AT1005" i="1"/>
  <c r="AT1006" i="1"/>
  <c r="AT1007" i="1"/>
  <c r="AT1008" i="1"/>
  <c r="AT1009" i="1"/>
  <c r="AT1010" i="1"/>
  <c r="AT1011" i="1"/>
  <c r="AT1012" i="1"/>
  <c r="AT1014" i="1"/>
  <c r="AT1015" i="1"/>
  <c r="AT1016" i="1"/>
  <c r="AT1017" i="1"/>
  <c r="AT1018" i="1"/>
  <c r="AT1019" i="1"/>
  <c r="AT1020" i="1"/>
  <c r="AT1021" i="1"/>
  <c r="AT1022" i="1"/>
  <c r="AT1023" i="1"/>
  <c r="AT1024" i="1"/>
  <c r="AT1025" i="1"/>
  <c r="AT1026" i="1"/>
  <c r="AT1027" i="1"/>
  <c r="AT1028" i="1"/>
  <c r="AT1029" i="1"/>
  <c r="AT1030" i="1"/>
  <c r="AT1036" i="1"/>
  <c r="AT1037" i="1"/>
  <c r="AT1038" i="1"/>
  <c r="AT1039" i="1"/>
  <c r="AT1040" i="1"/>
  <c r="AT1041" i="1"/>
  <c r="AT1042" i="1"/>
  <c r="AT1043" i="1"/>
  <c r="AT1044" i="1"/>
  <c r="AT1045" i="1"/>
  <c r="AU540" i="1"/>
  <c r="AU541" i="1"/>
  <c r="AU542" i="1"/>
  <c r="AU543" i="1"/>
  <c r="AU544" i="1"/>
  <c r="AU545" i="1"/>
  <c r="AU546" i="1"/>
  <c r="AU547" i="1"/>
  <c r="AU548" i="1"/>
  <c r="AU549" i="1"/>
  <c r="AU550" i="1"/>
  <c r="AU551" i="1"/>
  <c r="AU552" i="1"/>
  <c r="AU553" i="1"/>
  <c r="AU554" i="1"/>
  <c r="AU555" i="1"/>
  <c r="AU556" i="1"/>
  <c r="AU557" i="1"/>
  <c r="AU558" i="1"/>
  <c r="AU559" i="1"/>
  <c r="AU560" i="1"/>
  <c r="AU561" i="1"/>
  <c r="AU562" i="1"/>
  <c r="AU563" i="1"/>
  <c r="AU564" i="1"/>
  <c r="AU565" i="1"/>
  <c r="AU566" i="1"/>
  <c r="AU567" i="1"/>
  <c r="AU568" i="1"/>
  <c r="AU569" i="1"/>
  <c r="AU570" i="1"/>
  <c r="AU571" i="1"/>
  <c r="AU572" i="1"/>
  <c r="AU573" i="1"/>
  <c r="AU574" i="1"/>
  <c r="AU575" i="1"/>
  <c r="AU576" i="1"/>
  <c r="AU577" i="1"/>
  <c r="AU578" i="1"/>
  <c r="AU579" i="1"/>
  <c r="AU580" i="1"/>
  <c r="AU581" i="1"/>
  <c r="AU582" i="1"/>
  <c r="AU583" i="1"/>
  <c r="AU584" i="1"/>
  <c r="AU585" i="1"/>
  <c r="AU586" i="1"/>
  <c r="AU587" i="1"/>
  <c r="AU588" i="1"/>
  <c r="AU589" i="1"/>
  <c r="AU590" i="1"/>
  <c r="AU591" i="1"/>
  <c r="AU592" i="1"/>
  <c r="AU593" i="1"/>
  <c r="AU594" i="1"/>
  <c r="AU595" i="1"/>
  <c r="AU596" i="1"/>
  <c r="AU597" i="1"/>
  <c r="AU598" i="1"/>
  <c r="AU599" i="1"/>
  <c r="AU600" i="1"/>
  <c r="AU601" i="1"/>
  <c r="AU602" i="1"/>
  <c r="AU603" i="1"/>
  <c r="AU604" i="1"/>
  <c r="AU605" i="1"/>
  <c r="AU606" i="1"/>
  <c r="AU607" i="1"/>
  <c r="AU608" i="1"/>
  <c r="AU609" i="1"/>
  <c r="AU610" i="1"/>
  <c r="AU611" i="1"/>
  <c r="AU612" i="1"/>
  <c r="AU613" i="1"/>
  <c r="AU614" i="1"/>
  <c r="AU615" i="1"/>
  <c r="AU616" i="1"/>
  <c r="AU617" i="1"/>
  <c r="AU618" i="1"/>
  <c r="AU619" i="1"/>
  <c r="AU620" i="1"/>
  <c r="AU621" i="1"/>
  <c r="AU622" i="1"/>
  <c r="AU623" i="1"/>
  <c r="AU624" i="1"/>
  <c r="AU625" i="1"/>
  <c r="AU626" i="1"/>
  <c r="AU627" i="1"/>
  <c r="AU628" i="1"/>
  <c r="AU629" i="1"/>
  <c r="AU630" i="1"/>
  <c r="AU631" i="1"/>
  <c r="AU632" i="1"/>
  <c r="AU633" i="1"/>
  <c r="AU634" i="1"/>
  <c r="AU635" i="1"/>
  <c r="AU636" i="1"/>
  <c r="AU637" i="1"/>
  <c r="AU638" i="1"/>
  <c r="AU639" i="1"/>
  <c r="AU640" i="1"/>
  <c r="AU641" i="1"/>
  <c r="AU642" i="1"/>
  <c r="AU643" i="1"/>
  <c r="AU644" i="1"/>
  <c r="AU645" i="1"/>
  <c r="AU646" i="1"/>
  <c r="AU647" i="1"/>
  <c r="AU648" i="1"/>
  <c r="AU649" i="1"/>
  <c r="AU650" i="1"/>
  <c r="AU651" i="1"/>
  <c r="AU652" i="1"/>
  <c r="AU653" i="1"/>
  <c r="AU654" i="1"/>
  <c r="AU655" i="1"/>
  <c r="AU656" i="1"/>
  <c r="AU657" i="1"/>
  <c r="AU658" i="1"/>
  <c r="AU659" i="1"/>
  <c r="AU660" i="1"/>
  <c r="AU661" i="1"/>
  <c r="AU662" i="1"/>
  <c r="AU663" i="1"/>
  <c r="AU664" i="1"/>
  <c r="AU665" i="1"/>
  <c r="AU666" i="1"/>
  <c r="AU667" i="1"/>
  <c r="AU668" i="1"/>
  <c r="AU669" i="1"/>
  <c r="AU670" i="1"/>
  <c r="AU671" i="1"/>
  <c r="AU672" i="1"/>
  <c r="AU673" i="1"/>
  <c r="AU674" i="1"/>
  <c r="AU675" i="1"/>
  <c r="AU676" i="1"/>
  <c r="AU677" i="1"/>
  <c r="AU678" i="1"/>
  <c r="AU679" i="1"/>
  <c r="AU680" i="1"/>
  <c r="AU681" i="1"/>
  <c r="AU682" i="1"/>
  <c r="AU683" i="1"/>
  <c r="AU684" i="1"/>
  <c r="AU685" i="1"/>
  <c r="AU686" i="1"/>
  <c r="AU687" i="1"/>
  <c r="AU688" i="1"/>
  <c r="AU689" i="1"/>
  <c r="AU690" i="1"/>
  <c r="AU691" i="1"/>
  <c r="AU692" i="1"/>
  <c r="AU693" i="1"/>
  <c r="AU694" i="1"/>
  <c r="AU695" i="1"/>
  <c r="AU696" i="1"/>
  <c r="AU697" i="1"/>
  <c r="AU698" i="1"/>
  <c r="AU699" i="1"/>
  <c r="AU700" i="1"/>
  <c r="AU701" i="1"/>
  <c r="AU702" i="1"/>
  <c r="AU703" i="1"/>
  <c r="AU704" i="1"/>
  <c r="AU705" i="1"/>
  <c r="AU706" i="1"/>
  <c r="AU707" i="1"/>
  <c r="AU708" i="1"/>
  <c r="AU709" i="1"/>
  <c r="AU710" i="1"/>
  <c r="AU711" i="1"/>
  <c r="AU712" i="1"/>
  <c r="AT540" i="1"/>
  <c r="AT541" i="1"/>
  <c r="AT542" i="1"/>
  <c r="AT543" i="1"/>
  <c r="AT544" i="1"/>
  <c r="AT545" i="1"/>
  <c r="AT546" i="1"/>
  <c r="AT547" i="1"/>
  <c r="AT548" i="1"/>
  <c r="AT549" i="1"/>
  <c r="AT550" i="1"/>
  <c r="AT551" i="1"/>
  <c r="AT552" i="1"/>
  <c r="AT553" i="1"/>
  <c r="AT554" i="1"/>
  <c r="AT555" i="1"/>
  <c r="AT556" i="1"/>
  <c r="AT557" i="1"/>
  <c r="AT558" i="1"/>
  <c r="AT559" i="1"/>
  <c r="AT560" i="1"/>
  <c r="AT561" i="1"/>
  <c r="AT562" i="1"/>
  <c r="AT563" i="1"/>
  <c r="AT564" i="1"/>
  <c r="AT565" i="1"/>
  <c r="AT566" i="1"/>
  <c r="AT567" i="1"/>
  <c r="AT568" i="1"/>
  <c r="AT569" i="1"/>
  <c r="AT570" i="1"/>
  <c r="AT571" i="1"/>
  <c r="AT572" i="1"/>
  <c r="AT573" i="1"/>
  <c r="AT574" i="1"/>
  <c r="AT575" i="1"/>
  <c r="AT576" i="1"/>
  <c r="AT577" i="1"/>
  <c r="AT578" i="1"/>
  <c r="AT579" i="1"/>
  <c r="AT580" i="1"/>
  <c r="AT581" i="1"/>
  <c r="AT582" i="1"/>
  <c r="AT583" i="1"/>
  <c r="AT584" i="1"/>
  <c r="AT585" i="1"/>
  <c r="AT586" i="1"/>
  <c r="AT587" i="1"/>
  <c r="AT588" i="1"/>
  <c r="AT589" i="1"/>
  <c r="AT590" i="1"/>
  <c r="AT591" i="1"/>
  <c r="AT592" i="1"/>
  <c r="AT593" i="1"/>
  <c r="AT594" i="1"/>
  <c r="AT595" i="1"/>
  <c r="AT596" i="1"/>
  <c r="AT597" i="1"/>
  <c r="AT598" i="1"/>
  <c r="AT599" i="1"/>
  <c r="AT600" i="1"/>
  <c r="AT601" i="1"/>
  <c r="AT602" i="1"/>
  <c r="AT603" i="1"/>
  <c r="AT604" i="1"/>
  <c r="AT605" i="1"/>
  <c r="AT606" i="1"/>
  <c r="AT607" i="1"/>
  <c r="AT608" i="1"/>
  <c r="AT609" i="1"/>
  <c r="AT610" i="1"/>
  <c r="AT611" i="1"/>
  <c r="AT612" i="1"/>
  <c r="AT613" i="1"/>
  <c r="AT614" i="1"/>
  <c r="AT615" i="1"/>
  <c r="AT616" i="1"/>
  <c r="AT617" i="1"/>
  <c r="AT618" i="1"/>
  <c r="AT619" i="1"/>
  <c r="AT620" i="1"/>
  <c r="AT621" i="1"/>
  <c r="AT622" i="1"/>
  <c r="AT623" i="1"/>
  <c r="AT624" i="1"/>
  <c r="AT625" i="1"/>
  <c r="AT626" i="1"/>
  <c r="AT627" i="1"/>
  <c r="AT628" i="1"/>
  <c r="AT629" i="1"/>
  <c r="AT630" i="1"/>
  <c r="AT631" i="1"/>
  <c r="AT632" i="1"/>
  <c r="AT633" i="1"/>
  <c r="AT634" i="1"/>
  <c r="AT635" i="1"/>
  <c r="AT636" i="1"/>
  <c r="AT637" i="1"/>
  <c r="AT638" i="1"/>
  <c r="AT639" i="1"/>
  <c r="AT640" i="1"/>
  <c r="AT641" i="1"/>
  <c r="AT642" i="1"/>
  <c r="AT643" i="1"/>
  <c r="AT644" i="1"/>
  <c r="AT645" i="1"/>
  <c r="AT646" i="1"/>
  <c r="AT647" i="1"/>
  <c r="AT648" i="1"/>
  <c r="AT649" i="1"/>
  <c r="AT650" i="1"/>
  <c r="AT651" i="1"/>
  <c r="AT652" i="1"/>
  <c r="AT653" i="1"/>
  <c r="AT654" i="1"/>
  <c r="AT655" i="1"/>
  <c r="AT656" i="1"/>
  <c r="AT657" i="1"/>
  <c r="AT658" i="1"/>
  <c r="AT659" i="1"/>
  <c r="AT660" i="1"/>
  <c r="AT661" i="1"/>
  <c r="AT662" i="1"/>
  <c r="AT663" i="1"/>
  <c r="AT664" i="1"/>
  <c r="AT665" i="1"/>
  <c r="AT666" i="1"/>
  <c r="AT667" i="1"/>
  <c r="AT668" i="1"/>
  <c r="AT669" i="1"/>
  <c r="AT670" i="1"/>
  <c r="AT671" i="1"/>
  <c r="AT672" i="1"/>
  <c r="AT673" i="1"/>
  <c r="AT674" i="1"/>
  <c r="AT675" i="1"/>
  <c r="AT676" i="1"/>
  <c r="AT677" i="1"/>
  <c r="AT678" i="1"/>
  <c r="AT679" i="1"/>
  <c r="AT680" i="1"/>
  <c r="AT681" i="1"/>
  <c r="AT682" i="1"/>
  <c r="AT683" i="1"/>
  <c r="AT684" i="1"/>
  <c r="AT685" i="1"/>
  <c r="AT686" i="1"/>
  <c r="AT687" i="1"/>
  <c r="AT688" i="1"/>
  <c r="AT689" i="1"/>
  <c r="AT690" i="1"/>
  <c r="AT691" i="1"/>
  <c r="AT692" i="1"/>
  <c r="AT693" i="1"/>
  <c r="AT694" i="1"/>
  <c r="AT695" i="1"/>
  <c r="AT696" i="1"/>
  <c r="AT697" i="1"/>
  <c r="AT698" i="1"/>
  <c r="AT699" i="1"/>
  <c r="AT700" i="1"/>
  <c r="AT701" i="1"/>
  <c r="AT702" i="1"/>
  <c r="AT703" i="1"/>
  <c r="AT704" i="1"/>
  <c r="AT705" i="1"/>
  <c r="AT706" i="1"/>
  <c r="AT707" i="1"/>
  <c r="AT708" i="1"/>
  <c r="AT709" i="1"/>
  <c r="AT710" i="1"/>
  <c r="AT711" i="1"/>
  <c r="AT712" i="1"/>
  <c r="AT1046" i="1"/>
  <c r="AT1047" i="1"/>
  <c r="AT1048" i="1"/>
  <c r="AT1049" i="1"/>
  <c r="AT1050" i="1"/>
  <c r="AT1051" i="1"/>
  <c r="AT1052" i="1"/>
  <c r="AT1053" i="1"/>
  <c r="AT1054" i="1"/>
  <c r="AT1062" i="1"/>
  <c r="AT1063" i="1"/>
  <c r="AT1064" i="1"/>
  <c r="AT1065" i="1"/>
  <c r="AT1066" i="1"/>
  <c r="AT1067" i="1"/>
  <c r="AT1070" i="1"/>
  <c r="AT1071" i="1"/>
  <c r="AT1072" i="1"/>
  <c r="AT1080" i="1"/>
  <c r="AT1081" i="1"/>
  <c r="AT1082" i="1"/>
  <c r="AT1083" i="1"/>
  <c r="AV872" i="1"/>
  <c r="AW16" i="1"/>
  <c r="AP16" i="1"/>
  <c r="AU837" i="1"/>
  <c r="AU838" i="1"/>
  <c r="AU839" i="1"/>
  <c r="AU840" i="1"/>
  <c r="AU841" i="1"/>
  <c r="AU842" i="1"/>
  <c r="AU843" i="1"/>
  <c r="AU844" i="1"/>
  <c r="AU845" i="1"/>
  <c r="AU846" i="1"/>
  <c r="AU847" i="1"/>
  <c r="AU848" i="1"/>
  <c r="AU849" i="1"/>
  <c r="AU850" i="1"/>
  <c r="AU851" i="1"/>
  <c r="AU852" i="1"/>
  <c r="AU853" i="1"/>
  <c r="AU854" i="1"/>
  <c r="AU855" i="1"/>
  <c r="AU856" i="1"/>
  <c r="AU857" i="1"/>
  <c r="AU858" i="1"/>
  <c r="AU859" i="1"/>
  <c r="AU860" i="1"/>
  <c r="AU861" i="1"/>
  <c r="AU862" i="1"/>
  <c r="AU863" i="1"/>
  <c r="AU864" i="1"/>
  <c r="AU865" i="1"/>
  <c r="AU866" i="1"/>
  <c r="AU867" i="1"/>
  <c r="AU868" i="1"/>
  <c r="AU869" i="1"/>
  <c r="AU870" i="1"/>
  <c r="AU836" i="1"/>
  <c r="AW835" i="1"/>
  <c r="AT837" i="1"/>
  <c r="AT838" i="1"/>
  <c r="AT839" i="1"/>
  <c r="AT840" i="1"/>
  <c r="AT841" i="1"/>
  <c r="AT842" i="1"/>
  <c r="AT843" i="1"/>
  <c r="AT844" i="1"/>
  <c r="AT845" i="1"/>
  <c r="AT846" i="1"/>
  <c r="AT847" i="1"/>
  <c r="AT848" i="1"/>
  <c r="AT849" i="1"/>
  <c r="AT850" i="1"/>
  <c r="AT851" i="1"/>
  <c r="AT852" i="1"/>
  <c r="AT853" i="1"/>
  <c r="AT854" i="1"/>
  <c r="AT855" i="1"/>
  <c r="AT856" i="1"/>
  <c r="AT857" i="1"/>
  <c r="AT858" i="1"/>
  <c r="AT859" i="1"/>
  <c r="AT860" i="1"/>
  <c r="AT861" i="1"/>
  <c r="AT862" i="1"/>
  <c r="AT863" i="1"/>
  <c r="AT864" i="1"/>
  <c r="AT865" i="1"/>
  <c r="AT866" i="1"/>
  <c r="AT867" i="1"/>
  <c r="AT868" i="1"/>
  <c r="AT869" i="1"/>
  <c r="AT870" i="1"/>
  <c r="AT836" i="1"/>
  <c r="AV835" i="1"/>
  <c r="BE835" i="1"/>
  <c r="AN836" i="1"/>
  <c r="AN837" i="1"/>
  <c r="AN838" i="1"/>
  <c r="AN839" i="1"/>
  <c r="AN840" i="1"/>
  <c r="AN841" i="1"/>
  <c r="AN842" i="1"/>
  <c r="AN843" i="1"/>
  <c r="AN844" i="1"/>
  <c r="AN845" i="1"/>
  <c r="AN846" i="1"/>
  <c r="AN847" i="1"/>
  <c r="AN848" i="1"/>
  <c r="AN849" i="1"/>
  <c r="AN850" i="1"/>
  <c r="AN851" i="1"/>
  <c r="AN852" i="1"/>
  <c r="AN853" i="1"/>
  <c r="AN854" i="1"/>
  <c r="AN855" i="1"/>
  <c r="AN856" i="1"/>
  <c r="AN857" i="1"/>
  <c r="AN858" i="1"/>
  <c r="AN859" i="1"/>
  <c r="AN860" i="1"/>
  <c r="AN861" i="1"/>
  <c r="AN862" i="1"/>
  <c r="AN863" i="1"/>
  <c r="AN864" i="1"/>
  <c r="AN865" i="1"/>
  <c r="AN866" i="1"/>
  <c r="AN867" i="1"/>
  <c r="AN868" i="1"/>
  <c r="AN869" i="1"/>
  <c r="AN870" i="1"/>
  <c r="AP835" i="1"/>
  <c r="AG836" i="1"/>
  <c r="AG837" i="1"/>
  <c r="AG838" i="1"/>
  <c r="AG839" i="1"/>
  <c r="AG840" i="1"/>
  <c r="AG841" i="1"/>
  <c r="AG842" i="1"/>
  <c r="AG843" i="1"/>
  <c r="AG844" i="1"/>
  <c r="AG845" i="1"/>
  <c r="AG846" i="1"/>
  <c r="AG847" i="1"/>
  <c r="AG848" i="1"/>
  <c r="AG849" i="1"/>
  <c r="AG850" i="1"/>
  <c r="AG851" i="1"/>
  <c r="AG852" i="1"/>
  <c r="AG853" i="1"/>
  <c r="AG854" i="1"/>
  <c r="AG855" i="1"/>
  <c r="AG856" i="1"/>
  <c r="AG857" i="1"/>
  <c r="AG858" i="1"/>
  <c r="AG859" i="1"/>
  <c r="AG860" i="1"/>
  <c r="AG861" i="1"/>
  <c r="AG862" i="1"/>
  <c r="AG863" i="1"/>
  <c r="AG864" i="1"/>
  <c r="AG865" i="1"/>
  <c r="AG866" i="1"/>
  <c r="AG867" i="1"/>
  <c r="AG868" i="1"/>
  <c r="AG869" i="1"/>
  <c r="AG870" i="1"/>
  <c r="AI835" i="1"/>
  <c r="AW714" i="1"/>
  <c r="AV714" i="1"/>
  <c r="BD714" i="1"/>
  <c r="AM715" i="1"/>
  <c r="AM716" i="1"/>
  <c r="AM717" i="1"/>
  <c r="AM718" i="1"/>
  <c r="AM719" i="1"/>
  <c r="AM720" i="1"/>
  <c r="AM721" i="1"/>
  <c r="AM722" i="1"/>
  <c r="AM723" i="1"/>
  <c r="AM724" i="1"/>
  <c r="AM725" i="1"/>
  <c r="AM726" i="1"/>
  <c r="AM727" i="1"/>
  <c r="AM728" i="1"/>
  <c r="AM729" i="1"/>
  <c r="AM730" i="1"/>
  <c r="AM731" i="1"/>
  <c r="AM732" i="1"/>
  <c r="AM733" i="1"/>
  <c r="AM734" i="1"/>
  <c r="AM735" i="1"/>
  <c r="AM736" i="1"/>
  <c r="AM737" i="1"/>
  <c r="AM738" i="1"/>
  <c r="AM739" i="1"/>
  <c r="AM740" i="1"/>
  <c r="AM741" i="1"/>
  <c r="AM742" i="1"/>
  <c r="AM743" i="1"/>
  <c r="AM744" i="1"/>
  <c r="AM745" i="1"/>
  <c r="AM746" i="1"/>
  <c r="AM747" i="1"/>
  <c r="AM748" i="1"/>
  <c r="AM749" i="1"/>
  <c r="AM750" i="1"/>
  <c r="AM751" i="1"/>
  <c r="AM752" i="1"/>
  <c r="AM753" i="1"/>
  <c r="AM754" i="1"/>
  <c r="AM755" i="1"/>
  <c r="AM756" i="1"/>
  <c r="AM757" i="1"/>
  <c r="AM758" i="1"/>
  <c r="AM759" i="1"/>
  <c r="AM760" i="1"/>
  <c r="AM761" i="1"/>
  <c r="AM762" i="1"/>
  <c r="AM763" i="1"/>
  <c r="AM764" i="1"/>
  <c r="AM765" i="1"/>
  <c r="AM766" i="1"/>
  <c r="AM767" i="1"/>
  <c r="AM768" i="1"/>
  <c r="AM769" i="1"/>
  <c r="AM770" i="1"/>
  <c r="AM771" i="1"/>
  <c r="AM772" i="1"/>
  <c r="AM773" i="1"/>
  <c r="AM774" i="1"/>
  <c r="AM775" i="1"/>
  <c r="AM776" i="1"/>
  <c r="AM777" i="1"/>
  <c r="AM778" i="1"/>
  <c r="AM779" i="1"/>
  <c r="AM780" i="1"/>
  <c r="AM781" i="1"/>
  <c r="AM782" i="1"/>
  <c r="AM783" i="1"/>
  <c r="AM784" i="1"/>
  <c r="AM785" i="1"/>
  <c r="AM786" i="1"/>
  <c r="AM787" i="1"/>
  <c r="AM788" i="1"/>
  <c r="AM789" i="1"/>
  <c r="AM790" i="1"/>
  <c r="AM791" i="1"/>
  <c r="AM792" i="1"/>
  <c r="AM793" i="1"/>
  <c r="AM794" i="1"/>
  <c r="AM795" i="1"/>
  <c r="AM796" i="1"/>
  <c r="AM797" i="1"/>
  <c r="AM798" i="1"/>
  <c r="AM799" i="1"/>
  <c r="AM800" i="1"/>
  <c r="AM801" i="1"/>
  <c r="AM802" i="1"/>
  <c r="AM803" i="1"/>
  <c r="AM804" i="1"/>
  <c r="AM805" i="1"/>
  <c r="AM806" i="1"/>
  <c r="AM807" i="1"/>
  <c r="AM808" i="1"/>
  <c r="AM809" i="1"/>
  <c r="AM810" i="1"/>
  <c r="AM811" i="1"/>
  <c r="AM812" i="1"/>
  <c r="AM813" i="1"/>
  <c r="AM814" i="1"/>
  <c r="AM815" i="1"/>
  <c r="AM816" i="1"/>
  <c r="AM817" i="1"/>
  <c r="AM818" i="1"/>
  <c r="AM819" i="1"/>
  <c r="AM820" i="1"/>
  <c r="AM821" i="1"/>
  <c r="AM822" i="1"/>
  <c r="AM823" i="1"/>
  <c r="AM824" i="1"/>
  <c r="AM825" i="1"/>
  <c r="AM826" i="1"/>
  <c r="AM827" i="1"/>
  <c r="AM828" i="1"/>
  <c r="AM829" i="1"/>
  <c r="AM830" i="1"/>
  <c r="AM831" i="1"/>
  <c r="AM832" i="1"/>
  <c r="AM833" i="1"/>
  <c r="AO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H714"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W22" i="1"/>
  <c r="BE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P22" i="1"/>
  <c r="AU182" i="1"/>
  <c r="AU183" i="1"/>
  <c r="AU184" i="1"/>
  <c r="AU185" i="1"/>
  <c r="AU186" i="1"/>
  <c r="AU187" i="1"/>
  <c r="AU188" i="1"/>
  <c r="AU189" i="1"/>
  <c r="AU190" i="1"/>
  <c r="AU191" i="1"/>
  <c r="AU192" i="1"/>
  <c r="AU193" i="1"/>
  <c r="AU194" i="1"/>
  <c r="AU195" i="1"/>
  <c r="AW54" i="1"/>
  <c r="AT182" i="1"/>
  <c r="AT183" i="1"/>
  <c r="AT184" i="1"/>
  <c r="AT185" i="1"/>
  <c r="AT186" i="1"/>
  <c r="AT187" i="1"/>
  <c r="AT188" i="1"/>
  <c r="AT189" i="1"/>
  <c r="AT190" i="1"/>
  <c r="AT191" i="1"/>
  <c r="AT192" i="1"/>
  <c r="AT193" i="1"/>
  <c r="AT194" i="1"/>
  <c r="AT195" i="1"/>
  <c r="AV54" i="1"/>
  <c r="BD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O54" i="1"/>
  <c r="AW451" i="1"/>
  <c r="AV451" i="1"/>
  <c r="BD451" i="1"/>
  <c r="AM452" i="1"/>
  <c r="AM453" i="1"/>
  <c r="AM454" i="1"/>
  <c r="AM455" i="1"/>
  <c r="AM456" i="1"/>
  <c r="AM457" i="1"/>
  <c r="AM458" i="1"/>
  <c r="AM459" i="1"/>
  <c r="AM460" i="1"/>
  <c r="AM461" i="1"/>
  <c r="AM462" i="1"/>
  <c r="AM463" i="1"/>
  <c r="AM464" i="1"/>
  <c r="AM465" i="1"/>
  <c r="AM466" i="1"/>
  <c r="AM467" i="1"/>
  <c r="AM468" i="1"/>
  <c r="AM469" i="1"/>
  <c r="AM470" i="1"/>
  <c r="AM471" i="1"/>
  <c r="AM472" i="1"/>
  <c r="AM473" i="1"/>
  <c r="AM474" i="1"/>
  <c r="AM475" i="1"/>
  <c r="AM476" i="1"/>
  <c r="AM477" i="1"/>
  <c r="AM478" i="1"/>
  <c r="AM479" i="1"/>
  <c r="AM480" i="1"/>
  <c r="AM481" i="1"/>
  <c r="AM482" i="1"/>
  <c r="AM483" i="1"/>
  <c r="AM484" i="1"/>
  <c r="AM485" i="1"/>
  <c r="AM486" i="1"/>
  <c r="AM487" i="1"/>
  <c r="AM488" i="1"/>
  <c r="AM489" i="1"/>
  <c r="AM490" i="1"/>
  <c r="AM491" i="1"/>
  <c r="AM492" i="1"/>
  <c r="AM493" i="1"/>
  <c r="AM494" i="1"/>
  <c r="AM495" i="1"/>
  <c r="AM496" i="1"/>
  <c r="AM497" i="1"/>
  <c r="AM498" i="1"/>
  <c r="AM499" i="1"/>
  <c r="AM500" i="1"/>
  <c r="AM501" i="1"/>
  <c r="AM502" i="1"/>
  <c r="AM503" i="1"/>
  <c r="AM504" i="1"/>
  <c r="AM505" i="1"/>
  <c r="AM506" i="1"/>
  <c r="AM507" i="1"/>
  <c r="AM508" i="1"/>
  <c r="AM509" i="1"/>
  <c r="AM510" i="1"/>
  <c r="AM511" i="1"/>
  <c r="AM512" i="1"/>
  <c r="AM513" i="1"/>
  <c r="AM514" i="1"/>
  <c r="AM515" i="1"/>
  <c r="AM516" i="1"/>
  <c r="AM517" i="1"/>
  <c r="AM518" i="1"/>
  <c r="AM519" i="1"/>
  <c r="AM520" i="1"/>
  <c r="AM521" i="1"/>
  <c r="AM522" i="1"/>
  <c r="AM523" i="1"/>
  <c r="AM524" i="1"/>
  <c r="AM525" i="1"/>
  <c r="AM526" i="1"/>
  <c r="AM527" i="1"/>
  <c r="AM528" i="1"/>
  <c r="AM529" i="1"/>
  <c r="AM530" i="1"/>
  <c r="AM531" i="1"/>
  <c r="AM532" i="1"/>
  <c r="AM533" i="1"/>
  <c r="AM534" i="1"/>
  <c r="AM535" i="1"/>
  <c r="AM536" i="1"/>
  <c r="AM537" i="1"/>
  <c r="AO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H451" i="1"/>
  <c r="AW539" i="1"/>
  <c r="AV539" i="1"/>
  <c r="AU1046" i="1"/>
  <c r="AU1047" i="1"/>
  <c r="AU1048" i="1"/>
  <c r="AU1049" i="1"/>
  <c r="AU1050" i="1"/>
  <c r="AU1051" i="1"/>
  <c r="AU1052" i="1"/>
  <c r="AU1053" i="1"/>
  <c r="AU1054" i="1"/>
  <c r="AU1062" i="1"/>
  <c r="AU1063" i="1"/>
  <c r="AU1064" i="1"/>
  <c r="AU1065" i="1"/>
  <c r="AU1066" i="1"/>
  <c r="AU1067" i="1"/>
  <c r="AU1070" i="1"/>
  <c r="AU1071" i="1"/>
  <c r="AU1072" i="1"/>
  <c r="AU1080" i="1"/>
  <c r="AU1081" i="1"/>
  <c r="AU1082" i="1"/>
  <c r="AU1083" i="1"/>
  <c r="AW872" i="1"/>
  <c r="BE872" i="1"/>
  <c r="AN873" i="1"/>
  <c r="AL874" i="1"/>
  <c r="AN874" i="1"/>
  <c r="AL875" i="1"/>
  <c r="AN875" i="1"/>
  <c r="AL876" i="1"/>
  <c r="AN876" i="1"/>
  <c r="AL877" i="1"/>
  <c r="AN877" i="1"/>
  <c r="AL878" i="1"/>
  <c r="AN878" i="1"/>
  <c r="AL879" i="1"/>
  <c r="AN879" i="1"/>
  <c r="AL880" i="1"/>
  <c r="AN880" i="1"/>
  <c r="AL881" i="1"/>
  <c r="AN881" i="1"/>
  <c r="AL882" i="1"/>
  <c r="AN882" i="1"/>
  <c r="AL883" i="1"/>
  <c r="AN883" i="1"/>
  <c r="AL884" i="1"/>
  <c r="AN884" i="1"/>
  <c r="AN885" i="1"/>
  <c r="AN886" i="1"/>
  <c r="AN887" i="1"/>
  <c r="AN888" i="1"/>
  <c r="AL889" i="1"/>
  <c r="AN889" i="1"/>
  <c r="AN890" i="1"/>
  <c r="AL891" i="1"/>
  <c r="AN891" i="1"/>
  <c r="AN892" i="1"/>
  <c r="AN893" i="1"/>
  <c r="AL894" i="1"/>
  <c r="AN894" i="1"/>
  <c r="AN895" i="1"/>
  <c r="AN896" i="1"/>
  <c r="AN897" i="1"/>
  <c r="AN898" i="1"/>
  <c r="AN899" i="1"/>
  <c r="AN900" i="1"/>
  <c r="AN901" i="1"/>
  <c r="AN902" i="1"/>
  <c r="AN903" i="1"/>
  <c r="AN904" i="1"/>
  <c r="AN905" i="1"/>
  <c r="AN906" i="1"/>
  <c r="AN907" i="1"/>
  <c r="AN908" i="1"/>
  <c r="AN909" i="1"/>
  <c r="AN910" i="1"/>
  <c r="AN911" i="1"/>
  <c r="AN912" i="1"/>
  <c r="AN913" i="1"/>
  <c r="AN914" i="1"/>
  <c r="AN915" i="1"/>
  <c r="AN916" i="1"/>
  <c r="AN917" i="1"/>
  <c r="AN918" i="1"/>
  <c r="AN919" i="1"/>
  <c r="AN920" i="1"/>
  <c r="AN921" i="1"/>
  <c r="AN922" i="1"/>
  <c r="AN923" i="1"/>
  <c r="AN924" i="1"/>
  <c r="AN925" i="1"/>
  <c r="AN926" i="1"/>
  <c r="AN927" i="1"/>
  <c r="AN928" i="1"/>
  <c r="AN929" i="1"/>
  <c r="AN930" i="1"/>
  <c r="AN931" i="1"/>
  <c r="AN932" i="1"/>
  <c r="AN933" i="1"/>
  <c r="AN934" i="1"/>
  <c r="AN935" i="1"/>
  <c r="AN936" i="1"/>
  <c r="AN937" i="1"/>
  <c r="AN938" i="1"/>
  <c r="AN939" i="1"/>
  <c r="AN940" i="1"/>
  <c r="AN941" i="1"/>
  <c r="AN942" i="1"/>
  <c r="AN943" i="1"/>
  <c r="AN944" i="1"/>
  <c r="AN945" i="1"/>
  <c r="AN946" i="1"/>
  <c r="AN947" i="1"/>
  <c r="AN948" i="1"/>
  <c r="AN949" i="1"/>
  <c r="AN950" i="1"/>
  <c r="AN951" i="1"/>
  <c r="AN952" i="1"/>
  <c r="AN953" i="1"/>
  <c r="AN954" i="1"/>
  <c r="AN955" i="1"/>
  <c r="AN956" i="1"/>
  <c r="AN957" i="1"/>
  <c r="AN958" i="1"/>
  <c r="AN959" i="1"/>
  <c r="AN960" i="1"/>
  <c r="AN961" i="1"/>
  <c r="AN962" i="1"/>
  <c r="AN963" i="1"/>
  <c r="AN964" i="1"/>
  <c r="AN965" i="1"/>
  <c r="AN966" i="1"/>
  <c r="AN967" i="1"/>
  <c r="AN968" i="1"/>
  <c r="AN969" i="1"/>
  <c r="AN970" i="1"/>
  <c r="AN971" i="1"/>
  <c r="AN972" i="1"/>
  <c r="AN973" i="1"/>
  <c r="AN974" i="1"/>
  <c r="AN975" i="1"/>
  <c r="AN976" i="1"/>
  <c r="AN977" i="1"/>
  <c r="AN978" i="1"/>
  <c r="AN979" i="1"/>
  <c r="AN980" i="1"/>
  <c r="AL981" i="1"/>
  <c r="AN981" i="1"/>
  <c r="AL982" i="1"/>
  <c r="AN982" i="1"/>
  <c r="AL983" i="1"/>
  <c r="AN983" i="1"/>
  <c r="AL984" i="1"/>
  <c r="AN984" i="1"/>
  <c r="AL985" i="1"/>
  <c r="AN985" i="1"/>
  <c r="AN986" i="1"/>
  <c r="AL987" i="1"/>
  <c r="AN987" i="1"/>
  <c r="AN988" i="1"/>
  <c r="AL989" i="1"/>
  <c r="AN989" i="1"/>
  <c r="AN990" i="1"/>
  <c r="AN991" i="1"/>
  <c r="AN992" i="1"/>
  <c r="AN993" i="1"/>
  <c r="AN994" i="1"/>
  <c r="AN995" i="1"/>
  <c r="AN996" i="1"/>
  <c r="AN997" i="1"/>
  <c r="AN998" i="1"/>
  <c r="AN999" i="1"/>
  <c r="AN1000" i="1"/>
  <c r="AN1001" i="1"/>
  <c r="AN1002" i="1"/>
  <c r="AN1003" i="1"/>
  <c r="AN1004" i="1"/>
  <c r="AN1005" i="1"/>
  <c r="AN1006" i="1"/>
  <c r="AN1007" i="1"/>
  <c r="AN1008" i="1"/>
  <c r="AN1009" i="1"/>
  <c r="AN1010" i="1"/>
  <c r="AN1011" i="1"/>
  <c r="AN1012" i="1"/>
  <c r="AL1013" i="1"/>
  <c r="AN1013" i="1"/>
  <c r="AN1014" i="1"/>
  <c r="AN1015" i="1"/>
  <c r="AN1016" i="1"/>
  <c r="AN1017" i="1"/>
  <c r="AN1018" i="1"/>
  <c r="AN1019" i="1"/>
  <c r="AN1020" i="1"/>
  <c r="AN1021" i="1"/>
  <c r="AN1022" i="1"/>
  <c r="AN1023" i="1"/>
  <c r="AN1024" i="1"/>
  <c r="AN1025" i="1"/>
  <c r="AN1026" i="1"/>
  <c r="AN1027" i="1"/>
  <c r="AN1028" i="1"/>
  <c r="AN1029" i="1"/>
  <c r="AN1030" i="1"/>
  <c r="AL1031" i="1"/>
  <c r="AN1031" i="1"/>
  <c r="AL1032" i="1"/>
  <c r="AN1032" i="1"/>
  <c r="AL1033" i="1"/>
  <c r="AN1033" i="1"/>
  <c r="AL1034" i="1"/>
  <c r="AN1034" i="1"/>
  <c r="AL1035" i="1"/>
  <c r="AN1035" i="1"/>
  <c r="AN1036" i="1"/>
  <c r="AN1037" i="1"/>
  <c r="AN1038" i="1"/>
  <c r="AN1039" i="1"/>
  <c r="AN1040" i="1"/>
  <c r="AN1041" i="1"/>
  <c r="AN1042" i="1"/>
  <c r="AN1043" i="1"/>
  <c r="AN1044" i="1"/>
  <c r="AN1045" i="1"/>
  <c r="AN1046" i="1"/>
  <c r="AN1047" i="1"/>
  <c r="AN1048" i="1"/>
  <c r="AN1049" i="1"/>
  <c r="AN1050" i="1"/>
  <c r="AN1051" i="1"/>
  <c r="AN1052" i="1"/>
  <c r="AN1053" i="1"/>
  <c r="AN1054" i="1"/>
  <c r="AL1055" i="1"/>
  <c r="AN1055" i="1"/>
  <c r="AL1056" i="1"/>
  <c r="AN1056" i="1"/>
  <c r="AL1057" i="1"/>
  <c r="AN1057" i="1"/>
  <c r="AL1058" i="1"/>
  <c r="AN1058" i="1"/>
  <c r="AL1059" i="1"/>
  <c r="AN1059" i="1"/>
  <c r="AL1060" i="1"/>
  <c r="AN1060" i="1"/>
  <c r="AL1061" i="1"/>
  <c r="AN1061" i="1"/>
  <c r="AN1062" i="1"/>
  <c r="AN1063" i="1"/>
  <c r="AN1064" i="1"/>
  <c r="AN1065" i="1"/>
  <c r="AN1066" i="1"/>
  <c r="AN1067" i="1"/>
  <c r="AL1068" i="1"/>
  <c r="AN1068" i="1"/>
  <c r="AL1069" i="1"/>
  <c r="AN1069" i="1"/>
  <c r="AN1070" i="1"/>
  <c r="AN1071" i="1"/>
  <c r="AN1072" i="1"/>
  <c r="AL1073" i="1"/>
  <c r="AN1073" i="1"/>
  <c r="AL1074" i="1"/>
  <c r="AN1074" i="1"/>
  <c r="AL1075" i="1"/>
  <c r="AN1075" i="1"/>
  <c r="AL1076" i="1"/>
  <c r="AN1076" i="1"/>
  <c r="AL1077" i="1"/>
  <c r="AN1077" i="1"/>
  <c r="AL1078" i="1"/>
  <c r="AN1078" i="1"/>
  <c r="AL1079" i="1"/>
  <c r="AN1079" i="1"/>
  <c r="AN1080" i="1"/>
  <c r="AN1081" i="1"/>
  <c r="AN1082" i="1"/>
  <c r="AN1083" i="1"/>
  <c r="AL1084" i="1"/>
  <c r="AN1084" i="1"/>
  <c r="AL1085" i="1"/>
  <c r="AN1085" i="1"/>
  <c r="AL1086" i="1"/>
  <c r="AN1086" i="1"/>
  <c r="AP872"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H539" i="1"/>
  <c r="AU198" i="1"/>
  <c r="AU199" i="1"/>
  <c r="AU200" i="1"/>
  <c r="AU201" i="1"/>
  <c r="AU202" i="1"/>
  <c r="AU203" i="1"/>
  <c r="AU204" i="1"/>
  <c r="AU205" i="1"/>
  <c r="AU206" i="1"/>
  <c r="AU207" i="1"/>
  <c r="AU208" i="1"/>
  <c r="AU209" i="1"/>
  <c r="AU210" i="1"/>
  <c r="AU211" i="1"/>
  <c r="AU212" i="1"/>
  <c r="AU213" i="1"/>
  <c r="AU214" i="1"/>
  <c r="AU215" i="1"/>
  <c r="AU216" i="1"/>
  <c r="AU217" i="1"/>
  <c r="AU218" i="1"/>
  <c r="AU219" i="1"/>
  <c r="AU220" i="1"/>
  <c r="AU221" i="1"/>
  <c r="AU222" i="1"/>
  <c r="AU223" i="1"/>
  <c r="AU224" i="1"/>
  <c r="AU225" i="1"/>
  <c r="AU226" i="1"/>
  <c r="AU227" i="1"/>
  <c r="AU228" i="1"/>
  <c r="AU229" i="1"/>
  <c r="AU230" i="1"/>
  <c r="AU231" i="1"/>
  <c r="AU232" i="1"/>
  <c r="AU233" i="1"/>
  <c r="AU234" i="1"/>
  <c r="AU235" i="1"/>
  <c r="AU236" i="1"/>
  <c r="AU237" i="1"/>
  <c r="AU238" i="1"/>
  <c r="AU239" i="1"/>
  <c r="AU240" i="1"/>
  <c r="AU241" i="1"/>
  <c r="AU242" i="1"/>
  <c r="AU243" i="1"/>
  <c r="AU244" i="1"/>
  <c r="AU245" i="1"/>
  <c r="AU246" i="1"/>
  <c r="AU247" i="1"/>
  <c r="AU248" i="1"/>
  <c r="AU249" i="1"/>
  <c r="AU250" i="1"/>
  <c r="AU251" i="1"/>
  <c r="AU252" i="1"/>
  <c r="AU253" i="1"/>
  <c r="AU254" i="1"/>
  <c r="AU255" i="1"/>
  <c r="AU256" i="1"/>
  <c r="AU257" i="1"/>
  <c r="AU258" i="1"/>
  <c r="AU259" i="1"/>
  <c r="AU260" i="1"/>
  <c r="AU261" i="1"/>
  <c r="AU262" i="1"/>
  <c r="AU263" i="1"/>
  <c r="AU264" i="1"/>
  <c r="AU265" i="1"/>
  <c r="AU266" i="1"/>
  <c r="AU267" i="1"/>
  <c r="AU268" i="1"/>
  <c r="AU269" i="1"/>
  <c r="AU270" i="1"/>
  <c r="AU271" i="1"/>
  <c r="AU272" i="1"/>
  <c r="AU273" i="1"/>
  <c r="AU274" i="1"/>
  <c r="AU275" i="1"/>
  <c r="AU276" i="1"/>
  <c r="AU277" i="1"/>
  <c r="AU278" i="1"/>
  <c r="AU279" i="1"/>
  <c r="AU280" i="1"/>
  <c r="AU281" i="1"/>
  <c r="AU282" i="1"/>
  <c r="AU283" i="1"/>
  <c r="AU284" i="1"/>
  <c r="AU285" i="1"/>
  <c r="AU286" i="1"/>
  <c r="AU287" i="1"/>
  <c r="AU288" i="1"/>
  <c r="AU289" i="1"/>
  <c r="AU290" i="1"/>
  <c r="AU291" i="1"/>
  <c r="AU292" i="1"/>
  <c r="AU293" i="1"/>
  <c r="AU294" i="1"/>
  <c r="AU295" i="1"/>
  <c r="AU296" i="1"/>
  <c r="AU297" i="1"/>
  <c r="AU298" i="1"/>
  <c r="AU299" i="1"/>
  <c r="AU300" i="1"/>
  <c r="AU301" i="1"/>
  <c r="AU302" i="1"/>
  <c r="AU303" i="1"/>
  <c r="AU304" i="1"/>
  <c r="AU305" i="1"/>
  <c r="AU306" i="1"/>
  <c r="AU307" i="1"/>
  <c r="AU308" i="1"/>
  <c r="AU309" i="1"/>
  <c r="AU310" i="1"/>
  <c r="AU311" i="1"/>
  <c r="AU312" i="1"/>
  <c r="AU313" i="1"/>
  <c r="AU314" i="1"/>
  <c r="AU315" i="1"/>
  <c r="AU316" i="1"/>
  <c r="AU317" i="1"/>
  <c r="AU318" i="1"/>
  <c r="AU319" i="1"/>
  <c r="AU320" i="1"/>
  <c r="AU321" i="1"/>
  <c r="AU322" i="1"/>
  <c r="AU323" i="1"/>
  <c r="AU324" i="1"/>
  <c r="AU325" i="1"/>
  <c r="AU326" i="1"/>
  <c r="AU327" i="1"/>
  <c r="AU328" i="1"/>
  <c r="AU329" i="1"/>
  <c r="AU330" i="1"/>
  <c r="AU331" i="1"/>
  <c r="AU332" i="1"/>
  <c r="AU333" i="1"/>
  <c r="AU334" i="1"/>
  <c r="AU335" i="1"/>
  <c r="AU336" i="1"/>
  <c r="AU337" i="1"/>
  <c r="AU338" i="1"/>
  <c r="AU339" i="1"/>
  <c r="AU340" i="1"/>
  <c r="AU341" i="1"/>
  <c r="AU342" i="1"/>
  <c r="AU343" i="1"/>
  <c r="AU344" i="1"/>
  <c r="AU345" i="1"/>
  <c r="AU346" i="1"/>
  <c r="AU347" i="1"/>
  <c r="AU348" i="1"/>
  <c r="AU349" i="1"/>
  <c r="AU350" i="1"/>
  <c r="AU351" i="1"/>
  <c r="AU352" i="1"/>
  <c r="AU353" i="1"/>
  <c r="AU354" i="1"/>
  <c r="AU355" i="1"/>
  <c r="AU356" i="1"/>
  <c r="AU357" i="1"/>
  <c r="AU358" i="1"/>
  <c r="AU359" i="1"/>
  <c r="AU360" i="1"/>
  <c r="AU361" i="1"/>
  <c r="AU362" i="1"/>
  <c r="AU363" i="1"/>
  <c r="AU364" i="1"/>
  <c r="AU365" i="1"/>
  <c r="AU366" i="1"/>
  <c r="AU367" i="1"/>
  <c r="AU368" i="1"/>
  <c r="AU369" i="1"/>
  <c r="AU370" i="1"/>
  <c r="AU371" i="1"/>
  <c r="AU372" i="1"/>
  <c r="AU373" i="1"/>
  <c r="AU374" i="1"/>
  <c r="AU375" i="1"/>
  <c r="AU376" i="1"/>
  <c r="AU377" i="1"/>
  <c r="AU378" i="1"/>
  <c r="AU379" i="1"/>
  <c r="AU380" i="1"/>
  <c r="AU381" i="1"/>
  <c r="AU382" i="1"/>
  <c r="AU383" i="1"/>
  <c r="AU384" i="1"/>
  <c r="AU385" i="1"/>
  <c r="AU386" i="1"/>
  <c r="AU387" i="1"/>
  <c r="AU388" i="1"/>
  <c r="AU389" i="1"/>
  <c r="AU390" i="1"/>
  <c r="AU391" i="1"/>
  <c r="AU392" i="1"/>
  <c r="AU393" i="1"/>
  <c r="AU394" i="1"/>
  <c r="AU395" i="1"/>
  <c r="AU396" i="1"/>
  <c r="AU397" i="1"/>
  <c r="AU398" i="1"/>
  <c r="AU399" i="1"/>
  <c r="AU400" i="1"/>
  <c r="AU401" i="1"/>
  <c r="AU402" i="1"/>
  <c r="AU403" i="1"/>
  <c r="AU404" i="1"/>
  <c r="AU405" i="1"/>
  <c r="AU406" i="1"/>
  <c r="AU407" i="1"/>
  <c r="AU408" i="1"/>
  <c r="AU409" i="1"/>
  <c r="AU410" i="1"/>
  <c r="AU411" i="1"/>
  <c r="AU412" i="1"/>
  <c r="AU413" i="1"/>
  <c r="AU414" i="1"/>
  <c r="AU415" i="1"/>
  <c r="AU416" i="1"/>
  <c r="AU417" i="1"/>
  <c r="AU418" i="1"/>
  <c r="AU419" i="1"/>
  <c r="AU420" i="1"/>
  <c r="AU421" i="1"/>
  <c r="AU422" i="1"/>
  <c r="AU423" i="1"/>
  <c r="AU424" i="1"/>
  <c r="AU425" i="1"/>
  <c r="AU426" i="1"/>
  <c r="AU427" i="1"/>
  <c r="AU428" i="1"/>
  <c r="AU429" i="1"/>
  <c r="AU430" i="1"/>
  <c r="AU431" i="1"/>
  <c r="AU432" i="1"/>
  <c r="AU433" i="1"/>
  <c r="AU434" i="1"/>
  <c r="AU435" i="1"/>
  <c r="AU436" i="1"/>
  <c r="AU437" i="1"/>
  <c r="AU438" i="1"/>
  <c r="AU439" i="1"/>
  <c r="AU440" i="1"/>
  <c r="AU441" i="1"/>
  <c r="AU442" i="1"/>
  <c r="AU443" i="1"/>
  <c r="AU444" i="1"/>
  <c r="AU445" i="1"/>
  <c r="AU446" i="1"/>
  <c r="AU447" i="1"/>
  <c r="AU448" i="1"/>
  <c r="AU449" i="1"/>
  <c r="AW197" i="1"/>
  <c r="AT198" i="1"/>
  <c r="AT199" i="1"/>
  <c r="AT200" i="1"/>
  <c r="AT201" i="1"/>
  <c r="AT202" i="1"/>
  <c r="AT203" i="1"/>
  <c r="AT204" i="1"/>
  <c r="AT205" i="1"/>
  <c r="AT206" i="1"/>
  <c r="AT207" i="1"/>
  <c r="AT208" i="1"/>
  <c r="AT209" i="1"/>
  <c r="AT210" i="1"/>
  <c r="AT211" i="1"/>
  <c r="AT212" i="1"/>
  <c r="AT213" i="1"/>
  <c r="AT214" i="1"/>
  <c r="AT215" i="1"/>
  <c r="AT216" i="1"/>
  <c r="AT217" i="1"/>
  <c r="AT218" i="1"/>
  <c r="AT219" i="1"/>
  <c r="AT220" i="1"/>
  <c r="AT221" i="1"/>
  <c r="AT222" i="1"/>
  <c r="AT223" i="1"/>
  <c r="AT224" i="1"/>
  <c r="AT225" i="1"/>
  <c r="AT226" i="1"/>
  <c r="AT227" i="1"/>
  <c r="AT228" i="1"/>
  <c r="AT229" i="1"/>
  <c r="AT230" i="1"/>
  <c r="AT231" i="1"/>
  <c r="AT232" i="1"/>
  <c r="AT233" i="1"/>
  <c r="AT234" i="1"/>
  <c r="AT235" i="1"/>
  <c r="AT236" i="1"/>
  <c r="AT237" i="1"/>
  <c r="AT238" i="1"/>
  <c r="AT239" i="1"/>
  <c r="AT240" i="1"/>
  <c r="AT241" i="1"/>
  <c r="AT242" i="1"/>
  <c r="AT243" i="1"/>
  <c r="AT244" i="1"/>
  <c r="AT245" i="1"/>
  <c r="AT246" i="1"/>
  <c r="AT247" i="1"/>
  <c r="AT248" i="1"/>
  <c r="AT249" i="1"/>
  <c r="AT250" i="1"/>
  <c r="AT251" i="1"/>
  <c r="AT252" i="1"/>
  <c r="AT253" i="1"/>
  <c r="AT254" i="1"/>
  <c r="AT255" i="1"/>
  <c r="AT256" i="1"/>
  <c r="AT257" i="1"/>
  <c r="AT258" i="1"/>
  <c r="AT259" i="1"/>
  <c r="AT260" i="1"/>
  <c r="AT261" i="1"/>
  <c r="AT262" i="1"/>
  <c r="AT263" i="1"/>
  <c r="AT264" i="1"/>
  <c r="AT265" i="1"/>
  <c r="AT266" i="1"/>
  <c r="AT267" i="1"/>
  <c r="AT268" i="1"/>
  <c r="AT269" i="1"/>
  <c r="AT270" i="1"/>
  <c r="AT271" i="1"/>
  <c r="AT272" i="1"/>
  <c r="AT273" i="1"/>
  <c r="AT274" i="1"/>
  <c r="AT275" i="1"/>
  <c r="AT276" i="1"/>
  <c r="AT277" i="1"/>
  <c r="AT278" i="1"/>
  <c r="AT279" i="1"/>
  <c r="AT280" i="1"/>
  <c r="AT281" i="1"/>
  <c r="AT282" i="1"/>
  <c r="AT283" i="1"/>
  <c r="AT284" i="1"/>
  <c r="AT285" i="1"/>
  <c r="AT286" i="1"/>
  <c r="AT287" i="1"/>
  <c r="AT288" i="1"/>
  <c r="AT289" i="1"/>
  <c r="AT290" i="1"/>
  <c r="AT291" i="1"/>
  <c r="AT292" i="1"/>
  <c r="AT293" i="1"/>
  <c r="AT294" i="1"/>
  <c r="AT295" i="1"/>
  <c r="AT296" i="1"/>
  <c r="AT297" i="1"/>
  <c r="AT298" i="1"/>
  <c r="AT299" i="1"/>
  <c r="AT300" i="1"/>
  <c r="AT301" i="1"/>
  <c r="AT302" i="1"/>
  <c r="AT303" i="1"/>
  <c r="AT304" i="1"/>
  <c r="AT305" i="1"/>
  <c r="AT306" i="1"/>
  <c r="AT307" i="1"/>
  <c r="AT308" i="1"/>
  <c r="AT309" i="1"/>
  <c r="AT310" i="1"/>
  <c r="AT311" i="1"/>
  <c r="AT312" i="1"/>
  <c r="AT313" i="1"/>
  <c r="AT314" i="1"/>
  <c r="AT315" i="1"/>
  <c r="AT316" i="1"/>
  <c r="AT317" i="1"/>
  <c r="AT318" i="1"/>
  <c r="AT319" i="1"/>
  <c r="AT320" i="1"/>
  <c r="AT321" i="1"/>
  <c r="AT322" i="1"/>
  <c r="AT323" i="1"/>
  <c r="AT324" i="1"/>
  <c r="AT325" i="1"/>
  <c r="AT326" i="1"/>
  <c r="AT327" i="1"/>
  <c r="AT328" i="1"/>
  <c r="AT329" i="1"/>
  <c r="AT330" i="1"/>
  <c r="AT331" i="1"/>
  <c r="AT332" i="1"/>
  <c r="AT333" i="1"/>
  <c r="AT334" i="1"/>
  <c r="AT335" i="1"/>
  <c r="AT336" i="1"/>
  <c r="AT337" i="1"/>
  <c r="AT338" i="1"/>
  <c r="AT339" i="1"/>
  <c r="AT340" i="1"/>
  <c r="AT341" i="1"/>
  <c r="AT342" i="1"/>
  <c r="AT343" i="1"/>
  <c r="AT344" i="1"/>
  <c r="AT345" i="1"/>
  <c r="AT346" i="1"/>
  <c r="AT347" i="1"/>
  <c r="AT348" i="1"/>
  <c r="AT349" i="1"/>
  <c r="AT350" i="1"/>
  <c r="AT351" i="1"/>
  <c r="AT352" i="1"/>
  <c r="AT353" i="1"/>
  <c r="AT354" i="1"/>
  <c r="AT355" i="1"/>
  <c r="AT356" i="1"/>
  <c r="AT357" i="1"/>
  <c r="AT358" i="1"/>
  <c r="AT359" i="1"/>
  <c r="AT360" i="1"/>
  <c r="AT361" i="1"/>
  <c r="AT362" i="1"/>
  <c r="AT363" i="1"/>
  <c r="AT364" i="1"/>
  <c r="AT365" i="1"/>
  <c r="AT366" i="1"/>
  <c r="AT367" i="1"/>
  <c r="AT368" i="1"/>
  <c r="AT369" i="1"/>
  <c r="AT370" i="1"/>
  <c r="AT371" i="1"/>
  <c r="AT372" i="1"/>
  <c r="AT373" i="1"/>
  <c r="AT374" i="1"/>
  <c r="AT375" i="1"/>
  <c r="AT376" i="1"/>
  <c r="AT377" i="1"/>
  <c r="AT378" i="1"/>
  <c r="AT379" i="1"/>
  <c r="AT380" i="1"/>
  <c r="AT381" i="1"/>
  <c r="AT382" i="1"/>
  <c r="AT383" i="1"/>
  <c r="AT384" i="1"/>
  <c r="AT385" i="1"/>
  <c r="AT386" i="1"/>
  <c r="AT387" i="1"/>
  <c r="AT388" i="1"/>
  <c r="AT389" i="1"/>
  <c r="AT390" i="1"/>
  <c r="AT391" i="1"/>
  <c r="AT392" i="1"/>
  <c r="AT393" i="1"/>
  <c r="AT394" i="1"/>
  <c r="AT395" i="1"/>
  <c r="AT396" i="1"/>
  <c r="AT397" i="1"/>
  <c r="AT398" i="1"/>
  <c r="AT399" i="1"/>
  <c r="AT400" i="1"/>
  <c r="AT401" i="1"/>
  <c r="AT402" i="1"/>
  <c r="AT403" i="1"/>
  <c r="AT404" i="1"/>
  <c r="AT405" i="1"/>
  <c r="AT406" i="1"/>
  <c r="AT407" i="1"/>
  <c r="AT408" i="1"/>
  <c r="AT409" i="1"/>
  <c r="AT410" i="1"/>
  <c r="AT411" i="1"/>
  <c r="AT412" i="1"/>
  <c r="AT413" i="1"/>
  <c r="AT414" i="1"/>
  <c r="AT415" i="1"/>
  <c r="AT416" i="1"/>
  <c r="AT417" i="1"/>
  <c r="AT418" i="1"/>
  <c r="AT419" i="1"/>
  <c r="AT420" i="1"/>
  <c r="AT421" i="1"/>
  <c r="AT422" i="1"/>
  <c r="AT423" i="1"/>
  <c r="AT424" i="1"/>
  <c r="AT425" i="1"/>
  <c r="AT426" i="1"/>
  <c r="AT427" i="1"/>
  <c r="AT428" i="1"/>
  <c r="AT429" i="1"/>
  <c r="AT430" i="1"/>
  <c r="AT431" i="1"/>
  <c r="AT432" i="1"/>
  <c r="AT433" i="1"/>
  <c r="AT434" i="1"/>
  <c r="AT435" i="1"/>
  <c r="AT436" i="1"/>
  <c r="AT437" i="1"/>
  <c r="AT438" i="1"/>
  <c r="AT439" i="1"/>
  <c r="AT440" i="1"/>
  <c r="AT441" i="1"/>
  <c r="AT442" i="1"/>
  <c r="AT443" i="1"/>
  <c r="AT444" i="1"/>
  <c r="AT445" i="1"/>
  <c r="AT446" i="1"/>
  <c r="AT447" i="1"/>
  <c r="AT448" i="1"/>
  <c r="AT449" i="1"/>
  <c r="AV197" i="1"/>
  <c r="BD197" i="1"/>
  <c r="AM540" i="1"/>
  <c r="AM541" i="1"/>
  <c r="AM542" i="1"/>
  <c r="AM543" i="1"/>
  <c r="AM544" i="1"/>
  <c r="AM545" i="1"/>
  <c r="AM546" i="1"/>
  <c r="AM547" i="1"/>
  <c r="AM548" i="1"/>
  <c r="AM549" i="1"/>
  <c r="AM550" i="1"/>
  <c r="AM551" i="1"/>
  <c r="AM552" i="1"/>
  <c r="AM553" i="1"/>
  <c r="AM554" i="1"/>
  <c r="AM555" i="1"/>
  <c r="AM556" i="1"/>
  <c r="AM557" i="1"/>
  <c r="AM558" i="1"/>
  <c r="AM559" i="1"/>
  <c r="AM560" i="1"/>
  <c r="AM561" i="1"/>
  <c r="AM562" i="1"/>
  <c r="AM563" i="1"/>
  <c r="AM564" i="1"/>
  <c r="AM565" i="1"/>
  <c r="AM566" i="1"/>
  <c r="AM567" i="1"/>
  <c r="AM568" i="1"/>
  <c r="AM569" i="1"/>
  <c r="AM570" i="1"/>
  <c r="AM571" i="1"/>
  <c r="AM572" i="1"/>
  <c r="AM573" i="1"/>
  <c r="AM574" i="1"/>
  <c r="AM575" i="1"/>
  <c r="AM576" i="1"/>
  <c r="AM577" i="1"/>
  <c r="AM578" i="1"/>
  <c r="AM579" i="1"/>
  <c r="AM580" i="1"/>
  <c r="AM581" i="1"/>
  <c r="AM582" i="1"/>
  <c r="AM583" i="1"/>
  <c r="AM584" i="1"/>
  <c r="AM585" i="1"/>
  <c r="AM586" i="1"/>
  <c r="AM587" i="1"/>
  <c r="AM588" i="1"/>
  <c r="AM589" i="1"/>
  <c r="AM590" i="1"/>
  <c r="AM591" i="1"/>
  <c r="AM592" i="1"/>
  <c r="AM593" i="1"/>
  <c r="AM594" i="1"/>
  <c r="AM595" i="1"/>
  <c r="AM596" i="1"/>
  <c r="AM597" i="1"/>
  <c r="AM598" i="1"/>
  <c r="AM599" i="1"/>
  <c r="AM600" i="1"/>
  <c r="AM601" i="1"/>
  <c r="AM602" i="1"/>
  <c r="AM603" i="1"/>
  <c r="AM604" i="1"/>
  <c r="AM605" i="1"/>
  <c r="AM606" i="1"/>
  <c r="AM607" i="1"/>
  <c r="AM608" i="1"/>
  <c r="AM609" i="1"/>
  <c r="AM610" i="1"/>
  <c r="AM611" i="1"/>
  <c r="AM612" i="1"/>
  <c r="AM613" i="1"/>
  <c r="AM614" i="1"/>
  <c r="AM615" i="1"/>
  <c r="AM616" i="1"/>
  <c r="AM617" i="1"/>
  <c r="AM618" i="1"/>
  <c r="AM619" i="1"/>
  <c r="AM620" i="1"/>
  <c r="AM621" i="1"/>
  <c r="AM622" i="1"/>
  <c r="AM623" i="1"/>
  <c r="AM624" i="1"/>
  <c r="AM625" i="1"/>
  <c r="AM626" i="1"/>
  <c r="AM627" i="1"/>
  <c r="AM628" i="1"/>
  <c r="AM629" i="1"/>
  <c r="AM630" i="1"/>
  <c r="AM631" i="1"/>
  <c r="AM632" i="1"/>
  <c r="AM633" i="1"/>
  <c r="AM634" i="1"/>
  <c r="AM635" i="1"/>
  <c r="AM636" i="1"/>
  <c r="AM637" i="1"/>
  <c r="AM638" i="1"/>
  <c r="AM639" i="1"/>
  <c r="AM640" i="1"/>
  <c r="AM641" i="1"/>
  <c r="AM642" i="1"/>
  <c r="AM643" i="1"/>
  <c r="AM644" i="1"/>
  <c r="AM645" i="1"/>
  <c r="AM646" i="1"/>
  <c r="AM647" i="1"/>
  <c r="AM648" i="1"/>
  <c r="AM649" i="1"/>
  <c r="AM650" i="1"/>
  <c r="AM651" i="1"/>
  <c r="AM652" i="1"/>
  <c r="AM653" i="1"/>
  <c r="AM654" i="1"/>
  <c r="AM655" i="1"/>
  <c r="AM656" i="1"/>
  <c r="AM657" i="1"/>
  <c r="AM658" i="1"/>
  <c r="AM659" i="1"/>
  <c r="AM660" i="1"/>
  <c r="AM661" i="1"/>
  <c r="AM662" i="1"/>
  <c r="AM663" i="1"/>
  <c r="AM664" i="1"/>
  <c r="AM665" i="1"/>
  <c r="AM666" i="1"/>
  <c r="AM667" i="1"/>
  <c r="AM668" i="1"/>
  <c r="AM669" i="1"/>
  <c r="AM670" i="1"/>
  <c r="AM671" i="1"/>
  <c r="AM672" i="1"/>
  <c r="AM673" i="1"/>
  <c r="AM674" i="1"/>
  <c r="AM675" i="1"/>
  <c r="AM676" i="1"/>
  <c r="AM677" i="1"/>
  <c r="AM678" i="1"/>
  <c r="AM679" i="1"/>
  <c r="AM680" i="1"/>
  <c r="AM681" i="1"/>
  <c r="AM682" i="1"/>
  <c r="AM683" i="1"/>
  <c r="AM684" i="1"/>
  <c r="AM685" i="1"/>
  <c r="AM686" i="1"/>
  <c r="AM687" i="1"/>
  <c r="AM688" i="1"/>
  <c r="AM689" i="1"/>
  <c r="AM690" i="1"/>
  <c r="AM691" i="1"/>
  <c r="AM692" i="1"/>
  <c r="AM693" i="1"/>
  <c r="AM694" i="1"/>
  <c r="AM695" i="1"/>
  <c r="AM696" i="1"/>
  <c r="AM697" i="1"/>
  <c r="AM698" i="1"/>
  <c r="AM699" i="1"/>
  <c r="AM700" i="1"/>
  <c r="AM701" i="1"/>
  <c r="AM702" i="1"/>
  <c r="AM703" i="1"/>
  <c r="AM704" i="1"/>
  <c r="AM705" i="1"/>
  <c r="AM706" i="1"/>
  <c r="AM707" i="1"/>
  <c r="AM708" i="1"/>
  <c r="AM709" i="1"/>
  <c r="AM710" i="1"/>
  <c r="AM711" i="1"/>
  <c r="AM712" i="1"/>
  <c r="AO539" i="1"/>
  <c r="AU20" i="1"/>
  <c r="BC20" i="1"/>
  <c r="AN20" i="1"/>
  <c r="AG20" i="1"/>
  <c r="AU19" i="1"/>
  <c r="BC19" i="1"/>
  <c r="AN19" i="1"/>
  <c r="AG19" i="1"/>
  <c r="AU18" i="1"/>
  <c r="BC18" i="1"/>
  <c r="AN18" i="1"/>
  <c r="AG18" i="1"/>
  <c r="AU17" i="1"/>
  <c r="BC17" i="1"/>
  <c r="AN17" i="1"/>
  <c r="AG17"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270" i="1"/>
  <c r="AM271" i="1"/>
  <c r="AM272" i="1"/>
  <c r="AM273" i="1"/>
  <c r="AM274" i="1"/>
  <c r="AM275" i="1"/>
  <c r="AM276" i="1"/>
  <c r="AM277" i="1"/>
  <c r="AM278" i="1"/>
  <c r="AM279" i="1"/>
  <c r="AM280" i="1"/>
  <c r="AM281" i="1"/>
  <c r="AM282" i="1"/>
  <c r="AM283" i="1"/>
  <c r="AM284" i="1"/>
  <c r="AM285" i="1"/>
  <c r="AM286" i="1"/>
  <c r="AM287" i="1"/>
  <c r="AM288" i="1"/>
  <c r="AM289" i="1"/>
  <c r="AM290" i="1"/>
  <c r="AM291" i="1"/>
  <c r="AM292" i="1"/>
  <c r="AM293" i="1"/>
  <c r="AM294" i="1"/>
  <c r="AM295" i="1"/>
  <c r="AM296" i="1"/>
  <c r="AM297" i="1"/>
  <c r="AM298" i="1"/>
  <c r="AM299" i="1"/>
  <c r="AM300" i="1"/>
  <c r="AM301" i="1"/>
  <c r="AM302" i="1"/>
  <c r="AM303" i="1"/>
  <c r="AM304" i="1"/>
  <c r="AM305" i="1"/>
  <c r="AM306" i="1"/>
  <c r="AM307" i="1"/>
  <c r="AM308" i="1"/>
  <c r="AM309" i="1"/>
  <c r="AM310" i="1"/>
  <c r="AM311" i="1"/>
  <c r="AM312" i="1"/>
  <c r="AM313" i="1"/>
  <c r="AM314" i="1"/>
  <c r="AM315" i="1"/>
  <c r="AM316" i="1"/>
  <c r="AM317" i="1"/>
  <c r="AM318" i="1"/>
  <c r="AM319" i="1"/>
  <c r="AM320" i="1"/>
  <c r="AM321" i="1"/>
  <c r="AM322" i="1"/>
  <c r="AM323" i="1"/>
  <c r="AM324" i="1"/>
  <c r="AM325" i="1"/>
  <c r="AM326" i="1"/>
  <c r="AM327" i="1"/>
  <c r="AM328" i="1"/>
  <c r="AM329" i="1"/>
  <c r="AM330" i="1"/>
  <c r="AM331" i="1"/>
  <c r="AM332" i="1"/>
  <c r="AM333" i="1"/>
  <c r="AM334" i="1"/>
  <c r="AM335" i="1"/>
  <c r="AM336" i="1"/>
  <c r="AM337" i="1"/>
  <c r="AM338" i="1"/>
  <c r="AM339" i="1"/>
  <c r="AM340" i="1"/>
  <c r="AM341" i="1"/>
  <c r="AM342" i="1"/>
  <c r="AM343" i="1"/>
  <c r="AM344" i="1"/>
  <c r="AM345" i="1"/>
  <c r="AM346" i="1"/>
  <c r="AM347" i="1"/>
  <c r="AM348" i="1"/>
  <c r="AM349" i="1"/>
  <c r="AM350" i="1"/>
  <c r="AM351" i="1"/>
  <c r="AM352" i="1"/>
  <c r="AM353" i="1"/>
  <c r="AM354" i="1"/>
  <c r="AM355" i="1"/>
  <c r="AM356" i="1"/>
  <c r="AM357" i="1"/>
  <c r="AM358" i="1"/>
  <c r="AM359" i="1"/>
  <c r="AM360" i="1"/>
  <c r="AM361" i="1"/>
  <c r="AM362" i="1"/>
  <c r="AM363" i="1"/>
  <c r="AM364" i="1"/>
  <c r="AM365" i="1"/>
  <c r="AM366" i="1"/>
  <c r="AM367" i="1"/>
  <c r="AM368" i="1"/>
  <c r="AM369" i="1"/>
  <c r="AM370" i="1"/>
  <c r="AM371" i="1"/>
  <c r="AM372" i="1"/>
  <c r="AM373" i="1"/>
  <c r="AM374" i="1"/>
  <c r="AM375" i="1"/>
  <c r="AM376" i="1"/>
  <c r="AM377" i="1"/>
  <c r="AM378" i="1"/>
  <c r="AM379" i="1"/>
  <c r="AM380" i="1"/>
  <c r="AM381" i="1"/>
  <c r="AM382" i="1"/>
  <c r="AM383" i="1"/>
  <c r="AM384" i="1"/>
  <c r="AM385" i="1"/>
  <c r="AM386" i="1"/>
  <c r="AM387" i="1"/>
  <c r="AM388" i="1"/>
  <c r="AM389" i="1"/>
  <c r="AM390" i="1"/>
  <c r="AM391" i="1"/>
  <c r="AM392" i="1"/>
  <c r="AM393" i="1"/>
  <c r="AM394" i="1"/>
  <c r="AM395" i="1"/>
  <c r="AM396" i="1"/>
  <c r="AM397" i="1"/>
  <c r="AM398" i="1"/>
  <c r="AM399" i="1"/>
  <c r="AM400" i="1"/>
  <c r="AM401" i="1"/>
  <c r="AM402" i="1"/>
  <c r="AM403" i="1"/>
  <c r="AM404" i="1"/>
  <c r="AM405" i="1"/>
  <c r="AM406" i="1"/>
  <c r="AM407" i="1"/>
  <c r="AM408" i="1"/>
  <c r="AM409" i="1"/>
  <c r="AM410" i="1"/>
  <c r="AM411" i="1"/>
  <c r="AM412" i="1"/>
  <c r="AM413" i="1"/>
  <c r="AM414" i="1"/>
  <c r="AM415" i="1"/>
  <c r="AM416" i="1"/>
  <c r="AM417" i="1"/>
  <c r="AM418" i="1"/>
  <c r="AM419" i="1"/>
  <c r="AM420" i="1"/>
  <c r="AM421" i="1"/>
  <c r="AM422" i="1"/>
  <c r="AM423" i="1"/>
  <c r="AM424" i="1"/>
  <c r="AM425" i="1"/>
  <c r="AM426" i="1"/>
  <c r="AM427" i="1"/>
  <c r="AM428" i="1"/>
  <c r="AM429" i="1"/>
  <c r="AM430" i="1"/>
  <c r="AM431" i="1"/>
  <c r="AM432" i="1"/>
  <c r="AM433" i="1"/>
  <c r="AM434" i="1"/>
  <c r="AM435" i="1"/>
  <c r="AM436" i="1"/>
  <c r="AM437" i="1"/>
  <c r="AM438" i="1"/>
  <c r="AM439" i="1"/>
  <c r="AM440" i="1"/>
  <c r="AM441" i="1"/>
  <c r="AM442" i="1"/>
  <c r="AM443" i="1"/>
  <c r="AM444" i="1"/>
  <c r="AM445" i="1"/>
  <c r="AM446" i="1"/>
  <c r="AM447" i="1"/>
  <c r="AM448" i="1"/>
  <c r="AM449" i="1"/>
  <c r="AM198" i="1"/>
  <c r="AO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H197" i="1"/>
  <c r="G516" i="1"/>
  <c r="F516" i="1"/>
  <c r="I516" i="1"/>
  <c r="G505" i="1"/>
  <c r="F505" i="1"/>
  <c r="I505" i="1"/>
  <c r="F572" i="1"/>
  <c r="F571" i="1"/>
  <c r="F20" i="1"/>
  <c r="I20" i="1"/>
  <c r="F19" i="1"/>
  <c r="I19" i="1"/>
  <c r="F18" i="1"/>
  <c r="I18" i="1"/>
  <c r="F17" i="1"/>
  <c r="I17" i="1"/>
  <c r="F870" i="1"/>
  <c r="F869" i="1"/>
  <c r="F868" i="1"/>
  <c r="F867" i="1"/>
  <c r="F866" i="1"/>
  <c r="F865" i="1"/>
  <c r="F864" i="1"/>
  <c r="F863" i="1"/>
  <c r="F862" i="1"/>
  <c r="F861" i="1"/>
  <c r="F860" i="1"/>
  <c r="F859" i="1"/>
  <c r="F858" i="1"/>
  <c r="F857" i="1"/>
  <c r="F856" i="1"/>
  <c r="F855" i="1"/>
  <c r="F854" i="1"/>
  <c r="F853" i="1"/>
  <c r="F852" i="1"/>
  <c r="I851" i="1"/>
  <c r="I850" i="1"/>
  <c r="I849" i="1"/>
  <c r="I848" i="1"/>
  <c r="F847" i="1"/>
  <c r="I847" i="1"/>
  <c r="F846" i="1"/>
  <c r="F845" i="1"/>
  <c r="F844" i="1"/>
  <c r="F843" i="1"/>
  <c r="F842" i="1"/>
  <c r="F841" i="1"/>
  <c r="F840" i="1"/>
  <c r="F839" i="1"/>
  <c r="F838" i="1"/>
  <c r="F837" i="1"/>
  <c r="I836" i="1"/>
  <c r="G836"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0" i="1"/>
  <c r="F729" i="1"/>
  <c r="F728" i="1"/>
  <c r="F727" i="1"/>
  <c r="F726" i="1"/>
  <c r="F725" i="1"/>
  <c r="F724" i="1"/>
  <c r="F723" i="1"/>
  <c r="F722" i="1"/>
  <c r="F721" i="1"/>
  <c r="F720" i="1"/>
  <c r="F719" i="1"/>
  <c r="F718" i="1"/>
  <c r="F717" i="1"/>
  <c r="F716" i="1"/>
  <c r="F715" i="1"/>
  <c r="F833" i="1"/>
  <c r="F832" i="1"/>
  <c r="F831" i="1"/>
  <c r="F830" i="1"/>
  <c r="F829" i="1"/>
  <c r="F828" i="1"/>
  <c r="F827" i="1"/>
  <c r="F826" i="1"/>
  <c r="F825" i="1"/>
  <c r="F824" i="1"/>
  <c r="F823" i="1"/>
  <c r="F822" i="1"/>
  <c r="F821" i="1"/>
  <c r="F820" i="1"/>
  <c r="F819" i="1"/>
  <c r="F818" i="1"/>
  <c r="F817" i="1"/>
  <c r="F814" i="1"/>
  <c r="F813" i="1"/>
  <c r="F811" i="1"/>
  <c r="F810" i="1"/>
  <c r="F809" i="1"/>
  <c r="F808" i="1"/>
  <c r="F805" i="1"/>
  <c r="F804" i="1"/>
  <c r="F802" i="1"/>
  <c r="F801" i="1"/>
  <c r="F800" i="1"/>
  <c r="F798" i="1"/>
  <c r="F797" i="1"/>
  <c r="F796" i="1"/>
  <c r="F795" i="1"/>
  <c r="F794" i="1"/>
  <c r="F793" i="1"/>
  <c r="F792" i="1"/>
  <c r="F791"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G149" i="1"/>
  <c r="F149" i="1"/>
  <c r="F148" i="1"/>
  <c r="F147" i="1"/>
  <c r="F146" i="1"/>
  <c r="F145" i="1"/>
  <c r="F144" i="1"/>
  <c r="F143" i="1"/>
  <c r="F142" i="1"/>
  <c r="F141" i="1"/>
  <c r="F140" i="1"/>
  <c r="F139" i="1"/>
  <c r="F138" i="1"/>
  <c r="G137" i="1"/>
  <c r="F137" i="1"/>
  <c r="G135" i="1"/>
  <c r="F135" i="1"/>
  <c r="G133" i="1"/>
  <c r="F133" i="1"/>
  <c r="G131" i="1"/>
  <c r="F131" i="1"/>
  <c r="G129" i="1"/>
  <c r="F129" i="1"/>
  <c r="F127" i="1"/>
  <c r="F126" i="1"/>
  <c r="F125" i="1"/>
  <c r="F124" i="1"/>
  <c r="F123" i="1"/>
  <c r="F122" i="1"/>
  <c r="F121" i="1"/>
  <c r="G120" i="1"/>
  <c r="F120" i="1"/>
  <c r="G118" i="1"/>
  <c r="F118" i="1"/>
  <c r="F116" i="1"/>
  <c r="G115" i="1"/>
  <c r="F115" i="1"/>
  <c r="F113" i="1"/>
  <c r="G112" i="1"/>
  <c r="F112" i="1"/>
  <c r="F110" i="1"/>
  <c r="G109" i="1"/>
  <c r="F109"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G75" i="1"/>
  <c r="F75" i="1"/>
  <c r="G74" i="1"/>
  <c r="F74" i="1"/>
  <c r="G72" i="1"/>
  <c r="F72" i="1"/>
  <c r="G70" i="1"/>
  <c r="F70" i="1"/>
  <c r="G68" i="1"/>
  <c r="F68" i="1"/>
  <c r="G66" i="1"/>
  <c r="F66" i="1"/>
  <c r="F64" i="1"/>
  <c r="F63" i="1"/>
  <c r="F62" i="1"/>
  <c r="F61" i="1"/>
  <c r="F60" i="1"/>
  <c r="F59" i="1"/>
  <c r="F58" i="1"/>
  <c r="F57" i="1"/>
  <c r="F56" i="1"/>
  <c r="F55" i="1"/>
  <c r="F537" i="1"/>
  <c r="F536" i="1"/>
  <c r="F535" i="1"/>
  <c r="F534" i="1"/>
  <c r="F533" i="1"/>
  <c r="F532" i="1"/>
  <c r="F531" i="1"/>
  <c r="F530" i="1"/>
  <c r="F529" i="1"/>
  <c r="F528" i="1"/>
  <c r="F527" i="1"/>
  <c r="F526" i="1"/>
  <c r="F525" i="1"/>
  <c r="F524" i="1"/>
  <c r="F523" i="1"/>
  <c r="F522" i="1"/>
  <c r="F521" i="1"/>
  <c r="F520" i="1"/>
  <c r="F519" i="1"/>
  <c r="F518" i="1"/>
  <c r="F517" i="1"/>
  <c r="F515" i="1"/>
  <c r="F514" i="1"/>
  <c r="F513" i="1"/>
  <c r="F512" i="1"/>
  <c r="F511" i="1"/>
  <c r="F510" i="1"/>
  <c r="F509" i="1"/>
  <c r="F508" i="1"/>
  <c r="F507" i="1"/>
  <c r="F506"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1086" i="1"/>
  <c r="I1086" i="1"/>
  <c r="F1085" i="1"/>
  <c r="I1085" i="1"/>
  <c r="F1084" i="1"/>
  <c r="I1084" i="1"/>
  <c r="I1083" i="1"/>
  <c r="G1083" i="1"/>
  <c r="I1082" i="1"/>
  <c r="G1082" i="1"/>
  <c r="I1081" i="1"/>
  <c r="G1081" i="1"/>
  <c r="I1080" i="1"/>
  <c r="G1080" i="1"/>
  <c r="I1079" i="1"/>
  <c r="G1079" i="1"/>
  <c r="I1078" i="1"/>
  <c r="G1078" i="1"/>
  <c r="I1077" i="1"/>
  <c r="G1077" i="1"/>
  <c r="F1074" i="1"/>
  <c r="I1074" i="1"/>
  <c r="F1073" i="1"/>
  <c r="I1073" i="1"/>
  <c r="I1072" i="1"/>
  <c r="G1072" i="1"/>
  <c r="I1071" i="1"/>
  <c r="G1071" i="1"/>
  <c r="I1070" i="1"/>
  <c r="G1070" i="1"/>
  <c r="F1069" i="1"/>
  <c r="F1068" i="1"/>
  <c r="F1067" i="1"/>
  <c r="F1066" i="1"/>
  <c r="I1065" i="1"/>
  <c r="G1065" i="1"/>
  <c r="I1064" i="1"/>
  <c r="G1064" i="1"/>
  <c r="I1063" i="1"/>
  <c r="G1063" i="1"/>
  <c r="I1062" i="1"/>
  <c r="G1062" i="1"/>
  <c r="F1061" i="1"/>
  <c r="I1061" i="1"/>
  <c r="F1060" i="1"/>
  <c r="I1060" i="1"/>
  <c r="F1059" i="1"/>
  <c r="I1059" i="1"/>
  <c r="F1058" i="1"/>
  <c r="I1058" i="1"/>
  <c r="G1054" i="1"/>
  <c r="G1053" i="1"/>
  <c r="G1052" i="1"/>
  <c r="G1051" i="1"/>
  <c r="G1050" i="1"/>
  <c r="G1049" i="1"/>
  <c r="G1048" i="1"/>
  <c r="G1047" i="1"/>
  <c r="G1046" i="1"/>
  <c r="G1045" i="1"/>
  <c r="G1044" i="1"/>
  <c r="F1043" i="1"/>
  <c r="I1043" i="1"/>
  <c r="F1042" i="1"/>
  <c r="I1042" i="1"/>
  <c r="F1041" i="1"/>
  <c r="I1041" i="1"/>
  <c r="F1040" i="1"/>
  <c r="I1040" i="1"/>
  <c r="F1039" i="1"/>
  <c r="I1039" i="1"/>
  <c r="F1038" i="1"/>
  <c r="I1038" i="1"/>
  <c r="I1037" i="1"/>
  <c r="G1037" i="1"/>
  <c r="I1036" i="1"/>
  <c r="G1036" i="1"/>
  <c r="G1035" i="1"/>
  <c r="G1034" i="1"/>
  <c r="G1033" i="1"/>
  <c r="G1032" i="1"/>
  <c r="G1031" i="1"/>
  <c r="G1030" i="1"/>
  <c r="G1029" i="1"/>
  <c r="F1028" i="1"/>
  <c r="G1027" i="1"/>
  <c r="G1026" i="1"/>
  <c r="G1025" i="1"/>
  <c r="G1024" i="1"/>
  <c r="G1023" i="1"/>
  <c r="G1022" i="1"/>
  <c r="G1021" i="1"/>
  <c r="G1020" i="1"/>
  <c r="G1019" i="1"/>
  <c r="G1018" i="1"/>
  <c r="G1017" i="1"/>
  <c r="G1016" i="1"/>
  <c r="G1015" i="1"/>
  <c r="G1014" i="1"/>
  <c r="G1013" i="1"/>
  <c r="I1012" i="1"/>
  <c r="G1012" i="1"/>
  <c r="I1011" i="1"/>
  <c r="G1011" i="1"/>
  <c r="I1010" i="1"/>
  <c r="G1010" i="1"/>
  <c r="I1009" i="1"/>
  <c r="G1009" i="1"/>
  <c r="F1008" i="1"/>
  <c r="I1008" i="1"/>
  <c r="F1007" i="1"/>
  <c r="G1006" i="1"/>
  <c r="G1005" i="1"/>
  <c r="G1004" i="1"/>
  <c r="G1003" i="1"/>
  <c r="G1002" i="1"/>
  <c r="G1001" i="1"/>
  <c r="G1000" i="1"/>
  <c r="G999" i="1"/>
  <c r="G998" i="1"/>
  <c r="G997" i="1"/>
  <c r="G996" i="1"/>
  <c r="G995" i="1"/>
  <c r="G994" i="1"/>
  <c r="G993" i="1"/>
  <c r="G992" i="1"/>
  <c r="G991" i="1"/>
  <c r="I990" i="1"/>
  <c r="G990" i="1"/>
  <c r="F989" i="1"/>
  <c r="I989" i="1"/>
  <c r="F988" i="1"/>
  <c r="I987" i="1"/>
  <c r="G987" i="1"/>
  <c r="F986" i="1"/>
  <c r="I985" i="1"/>
  <c r="G985" i="1"/>
  <c r="F984" i="1"/>
  <c r="I984" i="1"/>
  <c r="F983" i="1"/>
  <c r="I983" i="1"/>
  <c r="F982" i="1"/>
  <c r="I982" i="1"/>
  <c r="F981" i="1"/>
  <c r="I981" i="1"/>
  <c r="G980" i="1"/>
  <c r="I979"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F917" i="1"/>
  <c r="F916" i="1"/>
  <c r="F915" i="1"/>
  <c r="F914" i="1"/>
  <c r="F913" i="1"/>
  <c r="F912" i="1"/>
  <c r="F910" i="1"/>
  <c r="F909" i="1"/>
  <c r="F907" i="1"/>
  <c r="F906" i="1"/>
  <c r="F905" i="1"/>
  <c r="F904" i="1"/>
  <c r="G903" i="1"/>
  <c r="G902" i="1"/>
  <c r="G901" i="1"/>
  <c r="G900" i="1"/>
  <c r="G899" i="1"/>
  <c r="G898" i="1"/>
  <c r="G897" i="1"/>
  <c r="G896" i="1"/>
  <c r="G895" i="1"/>
  <c r="G891" i="1"/>
  <c r="G888" i="1"/>
  <c r="G887" i="1"/>
  <c r="G886" i="1"/>
  <c r="G885" i="1"/>
  <c r="G873" i="1"/>
  <c r="F696"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0" i="1"/>
  <c r="F639" i="1"/>
  <c r="F638" i="1"/>
  <c r="F637" i="1"/>
  <c r="F636" i="1"/>
  <c r="F635" i="1"/>
  <c r="F634" i="1"/>
  <c r="F633" i="1"/>
  <c r="F632" i="1"/>
  <c r="F631" i="1"/>
  <c r="F630" i="1"/>
  <c r="F629" i="1"/>
  <c r="F628" i="1"/>
  <c r="F627" i="1"/>
  <c r="F626" i="1"/>
  <c r="F625" i="1"/>
  <c r="F622" i="1"/>
  <c r="F621" i="1"/>
  <c r="F620" i="1"/>
  <c r="F619" i="1"/>
  <c r="F618" i="1"/>
  <c r="F617" i="1"/>
  <c r="F616" i="1"/>
  <c r="F615" i="1"/>
  <c r="F614" i="1"/>
  <c r="F613" i="1"/>
  <c r="F612" i="1"/>
  <c r="F611" i="1"/>
  <c r="F610" i="1"/>
  <c r="F609" i="1"/>
  <c r="F608" i="1"/>
  <c r="F605"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I403" i="1"/>
  <c r="I402" i="1"/>
  <c r="I401" i="1"/>
  <c r="I376" i="1"/>
  <c r="I375"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15" i="1"/>
  <c r="G314" i="1"/>
  <c r="G313" i="1"/>
  <c r="G312" i="1"/>
  <c r="G311" i="1"/>
  <c r="G310" i="1"/>
  <c r="G309" i="1"/>
  <c r="G308" i="1"/>
  <c r="G307" i="1"/>
  <c r="G306" i="1"/>
  <c r="G305" i="1"/>
  <c r="G304" i="1"/>
  <c r="G303" i="1"/>
  <c r="G302"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alcChain>
</file>

<file path=xl/comments1.xml><?xml version="1.0" encoding="utf-8"?>
<comments xmlns="http://schemas.openxmlformats.org/spreadsheetml/2006/main">
  <authors>
    <author>Koen Oorts</author>
    <author>sylwiakosmala</author>
  </authors>
  <commentList>
    <comment ref="I15" authorId="0" shapeId="0">
      <text>
        <r>
          <rPr>
            <b/>
            <sz val="10"/>
            <color indexed="81"/>
            <rFont val="Calibri"/>
            <family val="2"/>
          </rPr>
          <t>Koen Oorts:</t>
        </r>
        <r>
          <rPr>
            <sz val="10"/>
            <color indexed="81"/>
            <rFont val="Calibri"/>
            <family val="2"/>
          </rPr>
          <t xml:space="preserve">
values in italics are estimated based on equation reported by Helling et al., 1964</t>
        </r>
      </text>
    </comment>
    <comment ref="J15" authorId="0" shapeId="0">
      <text>
        <r>
          <rPr>
            <b/>
            <sz val="10"/>
            <color indexed="81"/>
            <rFont val="Calibri"/>
            <family val="2"/>
          </rPr>
          <t>Koen Oorts:</t>
        </r>
        <r>
          <rPr>
            <sz val="10"/>
            <color indexed="81"/>
            <rFont val="Calibri"/>
            <family val="2"/>
          </rPr>
          <t xml:space="preserve">
values in italics are estimated</t>
        </r>
      </text>
    </comment>
    <comment ref="I65" authorId="0" shapeId="0">
      <text>
        <r>
          <rPr>
            <b/>
            <sz val="10"/>
            <color indexed="81"/>
            <rFont val="Calibri"/>
            <family val="2"/>
          </rPr>
          <t>Koen Oorts:</t>
        </r>
        <r>
          <rPr>
            <sz val="10"/>
            <color indexed="81"/>
            <rFont val="Calibri"/>
            <family val="2"/>
          </rPr>
          <t xml:space="preserve">
contribution kaolinite clay considered negligible</t>
        </r>
      </text>
    </comment>
    <comment ref="I67" authorId="0" shapeId="0">
      <text>
        <r>
          <rPr>
            <b/>
            <sz val="10"/>
            <color indexed="81"/>
            <rFont val="Calibri"/>
            <family val="2"/>
          </rPr>
          <t>Koen Oorts:</t>
        </r>
        <r>
          <rPr>
            <sz val="10"/>
            <color indexed="81"/>
            <rFont val="Calibri"/>
            <family val="2"/>
          </rPr>
          <t xml:space="preserve">
contribution kaolinite clay considered negligible</t>
        </r>
      </text>
    </comment>
    <comment ref="I69" authorId="0" shapeId="0">
      <text>
        <r>
          <rPr>
            <b/>
            <sz val="10"/>
            <color indexed="81"/>
            <rFont val="Calibri"/>
            <family val="2"/>
          </rPr>
          <t>Koen Oorts:</t>
        </r>
        <r>
          <rPr>
            <sz val="10"/>
            <color indexed="81"/>
            <rFont val="Calibri"/>
            <family val="2"/>
          </rPr>
          <t xml:space="preserve">
contribution kaolinite clay considered negligible</t>
        </r>
      </text>
    </comment>
    <comment ref="I71" authorId="0" shapeId="0">
      <text>
        <r>
          <rPr>
            <b/>
            <sz val="10"/>
            <color indexed="81"/>
            <rFont val="Calibri"/>
            <family val="2"/>
          </rPr>
          <t>Koen Oorts:</t>
        </r>
        <r>
          <rPr>
            <sz val="10"/>
            <color indexed="81"/>
            <rFont val="Calibri"/>
            <family val="2"/>
          </rPr>
          <t xml:space="preserve">
contribution kaolinite clay considered negligible</t>
        </r>
      </text>
    </comment>
    <comment ref="I73" authorId="0" shapeId="0">
      <text>
        <r>
          <rPr>
            <b/>
            <sz val="10"/>
            <color indexed="81"/>
            <rFont val="Calibri"/>
            <family val="2"/>
          </rPr>
          <t>Koen Oorts:</t>
        </r>
        <r>
          <rPr>
            <sz val="10"/>
            <color indexed="81"/>
            <rFont val="Calibri"/>
            <family val="2"/>
          </rPr>
          <t xml:space="preserve">
contribution kaolinite clay considered negligible</t>
        </r>
      </text>
    </comment>
    <comment ref="I108" authorId="0" shapeId="0">
      <text>
        <r>
          <rPr>
            <b/>
            <sz val="10"/>
            <color indexed="81"/>
            <rFont val="Calibri"/>
            <family val="2"/>
          </rPr>
          <t>Koen Oorts:</t>
        </r>
        <r>
          <rPr>
            <sz val="10"/>
            <color indexed="81"/>
            <rFont val="Calibri"/>
            <family val="2"/>
          </rPr>
          <t xml:space="preserve">
contribution kaolinite clay considered negligible</t>
        </r>
      </text>
    </comment>
    <comment ref="I111" authorId="0" shapeId="0">
      <text>
        <r>
          <rPr>
            <b/>
            <sz val="10"/>
            <color indexed="81"/>
            <rFont val="Calibri"/>
            <family val="2"/>
          </rPr>
          <t>Koen Oorts:</t>
        </r>
        <r>
          <rPr>
            <sz val="10"/>
            <color indexed="81"/>
            <rFont val="Calibri"/>
            <family val="2"/>
          </rPr>
          <t xml:space="preserve">
contribution kaolinite clay considered negligible</t>
        </r>
      </text>
    </comment>
    <comment ref="I114" authorId="0" shapeId="0">
      <text>
        <r>
          <rPr>
            <b/>
            <sz val="10"/>
            <color indexed="81"/>
            <rFont val="Calibri"/>
            <family val="2"/>
          </rPr>
          <t>Koen Oorts:</t>
        </r>
        <r>
          <rPr>
            <sz val="10"/>
            <color indexed="81"/>
            <rFont val="Calibri"/>
            <family val="2"/>
          </rPr>
          <t xml:space="preserve">
contribution kaolinite clay considered negligible</t>
        </r>
      </text>
    </comment>
    <comment ref="I117" authorId="0" shapeId="0">
      <text>
        <r>
          <rPr>
            <b/>
            <sz val="10"/>
            <color indexed="81"/>
            <rFont val="Calibri"/>
            <family val="2"/>
          </rPr>
          <t>Koen Oorts:</t>
        </r>
        <r>
          <rPr>
            <sz val="10"/>
            <color indexed="81"/>
            <rFont val="Calibri"/>
            <family val="2"/>
          </rPr>
          <t xml:space="preserve">
contribution kaolinite clay considered negligible</t>
        </r>
      </text>
    </comment>
    <comment ref="I119" authorId="0" shapeId="0">
      <text>
        <r>
          <rPr>
            <b/>
            <sz val="10"/>
            <color indexed="81"/>
            <rFont val="Calibri"/>
            <family val="2"/>
          </rPr>
          <t>Koen Oorts:</t>
        </r>
        <r>
          <rPr>
            <sz val="10"/>
            <color indexed="81"/>
            <rFont val="Calibri"/>
            <family val="2"/>
          </rPr>
          <t xml:space="preserve">
contribution kaolinite clay considered negligible</t>
        </r>
      </text>
    </comment>
    <comment ref="I128" authorId="0" shapeId="0">
      <text>
        <r>
          <rPr>
            <b/>
            <sz val="10"/>
            <color indexed="81"/>
            <rFont val="Calibri"/>
            <family val="2"/>
          </rPr>
          <t>Koen Oorts:</t>
        </r>
        <r>
          <rPr>
            <sz val="10"/>
            <color indexed="81"/>
            <rFont val="Calibri"/>
            <family val="2"/>
          </rPr>
          <t xml:space="preserve">
contribution kaolinite clay considered negligible</t>
        </r>
      </text>
    </comment>
    <comment ref="I130" authorId="0" shapeId="0">
      <text>
        <r>
          <rPr>
            <b/>
            <sz val="10"/>
            <color indexed="81"/>
            <rFont val="Calibri"/>
            <family val="2"/>
          </rPr>
          <t>Koen Oorts:</t>
        </r>
        <r>
          <rPr>
            <sz val="10"/>
            <color indexed="81"/>
            <rFont val="Calibri"/>
            <family val="2"/>
          </rPr>
          <t xml:space="preserve">
contribution kaolinite clay considered negligible</t>
        </r>
      </text>
    </comment>
    <comment ref="I132" authorId="0" shapeId="0">
      <text>
        <r>
          <rPr>
            <b/>
            <sz val="10"/>
            <color indexed="81"/>
            <rFont val="Calibri"/>
            <family val="2"/>
          </rPr>
          <t>Koen Oorts:</t>
        </r>
        <r>
          <rPr>
            <sz val="10"/>
            <color indexed="81"/>
            <rFont val="Calibri"/>
            <family val="2"/>
          </rPr>
          <t xml:space="preserve">
contribution kaolinite clay considered negligible</t>
        </r>
      </text>
    </comment>
    <comment ref="I134" authorId="0" shapeId="0">
      <text>
        <r>
          <rPr>
            <b/>
            <sz val="10"/>
            <color indexed="81"/>
            <rFont val="Calibri"/>
            <family val="2"/>
          </rPr>
          <t>Koen Oorts:</t>
        </r>
        <r>
          <rPr>
            <sz val="10"/>
            <color indexed="81"/>
            <rFont val="Calibri"/>
            <family val="2"/>
          </rPr>
          <t xml:space="preserve">
contribution kaolinite clay considered negligible</t>
        </r>
      </text>
    </comment>
    <comment ref="I136" authorId="0" shapeId="0">
      <text>
        <r>
          <rPr>
            <b/>
            <sz val="10"/>
            <color indexed="81"/>
            <rFont val="Calibri"/>
            <family val="2"/>
          </rPr>
          <t>Koen Oorts:</t>
        </r>
        <r>
          <rPr>
            <sz val="10"/>
            <color indexed="81"/>
            <rFont val="Calibri"/>
            <family val="2"/>
          </rPr>
          <t xml:space="preserve">
contribution kaolinite clay considered negligible</t>
        </r>
      </text>
    </comment>
    <comment ref="I269" authorId="0" shapeId="0">
      <text>
        <r>
          <rPr>
            <b/>
            <sz val="10"/>
            <color indexed="81"/>
            <rFont val="Calibri"/>
            <family val="2"/>
          </rPr>
          <t>Koen Oorts:</t>
        </r>
        <r>
          <rPr>
            <sz val="10"/>
            <color indexed="81"/>
            <rFont val="Calibri"/>
            <family val="2"/>
          </rPr>
          <t xml:space="preserve">
contribution kaolinite clay considered negligible</t>
        </r>
      </text>
    </comment>
    <comment ref="I270" authorId="0" shapeId="0">
      <text>
        <r>
          <rPr>
            <b/>
            <sz val="10"/>
            <color indexed="81"/>
            <rFont val="Calibri"/>
            <family val="2"/>
          </rPr>
          <t>Koen Oorts:</t>
        </r>
        <r>
          <rPr>
            <sz val="10"/>
            <color indexed="81"/>
            <rFont val="Calibri"/>
            <family val="2"/>
          </rPr>
          <t xml:space="preserve">
contribution kaolinite clay considered negligible</t>
        </r>
      </text>
    </comment>
    <comment ref="I271" authorId="0" shapeId="0">
      <text>
        <r>
          <rPr>
            <b/>
            <sz val="10"/>
            <color indexed="81"/>
            <rFont val="Calibri"/>
            <family val="2"/>
          </rPr>
          <t>Koen Oorts:</t>
        </r>
        <r>
          <rPr>
            <sz val="10"/>
            <color indexed="81"/>
            <rFont val="Calibri"/>
            <family val="2"/>
          </rPr>
          <t xml:space="preserve">
contribution kaolinite clay considered negligible</t>
        </r>
      </text>
    </comment>
    <comment ref="I272" authorId="0" shapeId="0">
      <text>
        <r>
          <rPr>
            <b/>
            <sz val="10"/>
            <color indexed="81"/>
            <rFont val="Calibri"/>
            <family val="2"/>
          </rPr>
          <t>Koen Oorts:</t>
        </r>
        <r>
          <rPr>
            <sz val="10"/>
            <color indexed="81"/>
            <rFont val="Calibri"/>
            <family val="2"/>
          </rPr>
          <t xml:space="preserve">
contribution kaolinite clay considered negligible</t>
        </r>
      </text>
    </comment>
    <comment ref="I273" authorId="0" shapeId="0">
      <text>
        <r>
          <rPr>
            <b/>
            <sz val="10"/>
            <color indexed="81"/>
            <rFont val="Calibri"/>
            <family val="2"/>
          </rPr>
          <t>Koen Oorts:</t>
        </r>
        <r>
          <rPr>
            <sz val="10"/>
            <color indexed="81"/>
            <rFont val="Calibri"/>
            <family val="2"/>
          </rPr>
          <t xml:space="preserve">
contribution kaolinite clay considered negligible</t>
        </r>
      </text>
    </comment>
    <comment ref="I278" authorId="0" shapeId="0">
      <text>
        <r>
          <rPr>
            <b/>
            <sz val="10"/>
            <color indexed="81"/>
            <rFont val="Calibri"/>
            <family val="2"/>
          </rPr>
          <t>Koen Oorts:</t>
        </r>
        <r>
          <rPr>
            <sz val="10"/>
            <color indexed="81"/>
            <rFont val="Calibri"/>
            <family val="2"/>
          </rPr>
          <t xml:space="preserve">
contribution kaolinite clay considered negligible</t>
        </r>
      </text>
    </comment>
    <comment ref="I279" authorId="0" shapeId="0">
      <text>
        <r>
          <rPr>
            <b/>
            <sz val="10"/>
            <color indexed="81"/>
            <rFont val="Calibri"/>
            <family val="2"/>
          </rPr>
          <t>Koen Oorts:</t>
        </r>
        <r>
          <rPr>
            <sz val="10"/>
            <color indexed="81"/>
            <rFont val="Calibri"/>
            <family val="2"/>
          </rPr>
          <t xml:space="preserve">
contribution kaolinite clay considered negligible</t>
        </r>
      </text>
    </comment>
    <comment ref="I280" authorId="0" shapeId="0">
      <text>
        <r>
          <rPr>
            <b/>
            <sz val="10"/>
            <color indexed="81"/>
            <rFont val="Calibri"/>
            <family val="2"/>
          </rPr>
          <t>Koen Oorts:</t>
        </r>
        <r>
          <rPr>
            <sz val="10"/>
            <color indexed="81"/>
            <rFont val="Calibri"/>
            <family val="2"/>
          </rPr>
          <t xml:space="preserve">
contribution kaolinite clay considered negligible</t>
        </r>
      </text>
    </comment>
    <comment ref="I282" authorId="0" shapeId="0">
      <text>
        <r>
          <rPr>
            <b/>
            <sz val="10"/>
            <color indexed="81"/>
            <rFont val="Calibri"/>
            <family val="2"/>
          </rPr>
          <t>Koen Oorts:</t>
        </r>
        <r>
          <rPr>
            <sz val="10"/>
            <color indexed="81"/>
            <rFont val="Calibri"/>
            <family val="2"/>
          </rPr>
          <t xml:space="preserve">
contribution kaolinite clay considered negligible</t>
        </r>
      </text>
    </comment>
    <comment ref="I283" authorId="0" shapeId="0">
      <text>
        <r>
          <rPr>
            <b/>
            <sz val="10"/>
            <color indexed="81"/>
            <rFont val="Calibri"/>
            <family val="2"/>
          </rPr>
          <t>Koen Oorts:</t>
        </r>
        <r>
          <rPr>
            <sz val="10"/>
            <color indexed="81"/>
            <rFont val="Calibri"/>
            <family val="2"/>
          </rPr>
          <t xml:space="preserve">
contribution kaolinite clay considered negligible</t>
        </r>
      </text>
    </comment>
    <comment ref="I284" authorId="0" shapeId="0">
      <text>
        <r>
          <rPr>
            <b/>
            <sz val="10"/>
            <color indexed="81"/>
            <rFont val="Calibri"/>
            <family val="2"/>
          </rPr>
          <t>Koen Oorts:</t>
        </r>
        <r>
          <rPr>
            <sz val="10"/>
            <color indexed="81"/>
            <rFont val="Calibri"/>
            <family val="2"/>
          </rPr>
          <t xml:space="preserve">
contribution kaolinite clay considered negligible</t>
        </r>
      </text>
    </comment>
    <comment ref="I285" authorId="0" shapeId="0">
      <text>
        <r>
          <rPr>
            <b/>
            <sz val="10"/>
            <color indexed="81"/>
            <rFont val="Calibri"/>
            <family val="2"/>
          </rPr>
          <t>Koen Oorts:</t>
        </r>
        <r>
          <rPr>
            <sz val="10"/>
            <color indexed="81"/>
            <rFont val="Calibri"/>
            <family val="2"/>
          </rPr>
          <t xml:space="preserve">
contribution kaolinite clay considered negligible</t>
        </r>
      </text>
    </comment>
    <comment ref="I315" authorId="0" shapeId="0">
      <text>
        <r>
          <rPr>
            <b/>
            <sz val="10"/>
            <color indexed="81"/>
            <rFont val="Calibri"/>
            <family val="2"/>
          </rPr>
          <t>Koen Oorts:</t>
        </r>
        <r>
          <rPr>
            <sz val="10"/>
            <color indexed="81"/>
            <rFont val="Calibri"/>
            <family val="2"/>
          </rPr>
          <t xml:space="preserve">
contribution kaolinite clay considered negligible</t>
        </r>
      </text>
    </comment>
    <comment ref="I337" authorId="0" shapeId="0">
      <text>
        <r>
          <rPr>
            <b/>
            <sz val="10"/>
            <color indexed="81"/>
            <rFont val="Calibri"/>
            <family val="2"/>
          </rPr>
          <t>Koen Oorts:</t>
        </r>
        <r>
          <rPr>
            <sz val="10"/>
            <color indexed="81"/>
            <rFont val="Calibri"/>
            <family val="2"/>
          </rPr>
          <t xml:space="preserve">
contribution kaolinite clay considered negligible</t>
        </r>
      </text>
    </comment>
    <comment ref="I338" authorId="0" shapeId="0">
      <text>
        <r>
          <rPr>
            <b/>
            <sz val="10"/>
            <color indexed="81"/>
            <rFont val="Calibri"/>
            <family val="2"/>
          </rPr>
          <t>Koen Oorts:</t>
        </r>
        <r>
          <rPr>
            <sz val="10"/>
            <color indexed="81"/>
            <rFont val="Calibri"/>
            <family val="2"/>
          </rPr>
          <t xml:space="preserve">
contribution kaolinite clay considered negligible</t>
        </r>
      </text>
    </comment>
    <comment ref="I339" authorId="0" shapeId="0">
      <text>
        <r>
          <rPr>
            <b/>
            <sz val="10"/>
            <color indexed="81"/>
            <rFont val="Calibri"/>
            <family val="2"/>
          </rPr>
          <t>Koen Oorts:</t>
        </r>
        <r>
          <rPr>
            <sz val="10"/>
            <color indexed="81"/>
            <rFont val="Calibri"/>
            <family val="2"/>
          </rPr>
          <t xml:space="preserve">
contribution kaolinite clay considered negligible</t>
        </r>
      </text>
    </comment>
    <comment ref="I340" authorId="0" shapeId="0">
      <text>
        <r>
          <rPr>
            <b/>
            <sz val="10"/>
            <color indexed="81"/>
            <rFont val="Calibri"/>
            <family val="2"/>
          </rPr>
          <t>Koen Oorts:</t>
        </r>
        <r>
          <rPr>
            <sz val="10"/>
            <color indexed="81"/>
            <rFont val="Calibri"/>
            <family val="2"/>
          </rPr>
          <t xml:space="preserve">
contribution kaolinite clay considered negligible</t>
        </r>
      </text>
    </comment>
    <comment ref="I341" authorId="0" shapeId="0">
      <text>
        <r>
          <rPr>
            <b/>
            <sz val="10"/>
            <color indexed="81"/>
            <rFont val="Calibri"/>
            <family val="2"/>
          </rPr>
          <t>Koen Oorts:</t>
        </r>
        <r>
          <rPr>
            <sz val="10"/>
            <color indexed="81"/>
            <rFont val="Calibri"/>
            <family val="2"/>
          </rPr>
          <t xml:space="preserve">
contribution kaolinite clay considered negligible</t>
        </r>
      </text>
    </comment>
    <comment ref="I342" authorId="0" shapeId="0">
      <text>
        <r>
          <rPr>
            <b/>
            <sz val="10"/>
            <color indexed="81"/>
            <rFont val="Calibri"/>
            <family val="2"/>
          </rPr>
          <t>Koen Oorts:</t>
        </r>
        <r>
          <rPr>
            <sz val="10"/>
            <color indexed="81"/>
            <rFont val="Calibri"/>
            <family val="2"/>
          </rPr>
          <t xml:space="preserve">
contribution kaolinite clay considered negligible</t>
        </r>
      </text>
    </comment>
    <comment ref="I344" authorId="0" shapeId="0">
      <text>
        <r>
          <rPr>
            <b/>
            <sz val="10"/>
            <color indexed="81"/>
            <rFont val="Calibri"/>
            <family val="2"/>
          </rPr>
          <t>Koen Oorts:</t>
        </r>
        <r>
          <rPr>
            <sz val="10"/>
            <color indexed="81"/>
            <rFont val="Calibri"/>
            <family val="2"/>
          </rPr>
          <t xml:space="preserve">
contribution kaolinite clay considered negligible</t>
        </r>
      </text>
    </comment>
    <comment ref="I345" authorId="0" shapeId="0">
      <text>
        <r>
          <rPr>
            <b/>
            <sz val="10"/>
            <color indexed="81"/>
            <rFont val="Calibri"/>
            <family val="2"/>
          </rPr>
          <t>Koen Oorts:</t>
        </r>
        <r>
          <rPr>
            <sz val="10"/>
            <color indexed="81"/>
            <rFont val="Calibri"/>
            <family val="2"/>
          </rPr>
          <t xml:space="preserve">
contribution kaolinite clay considered negligible</t>
        </r>
      </text>
    </comment>
    <comment ref="I346" authorId="0" shapeId="0">
      <text>
        <r>
          <rPr>
            <b/>
            <sz val="10"/>
            <color indexed="81"/>
            <rFont val="Calibri"/>
            <family val="2"/>
          </rPr>
          <t>Koen Oorts:</t>
        </r>
        <r>
          <rPr>
            <sz val="10"/>
            <color indexed="81"/>
            <rFont val="Calibri"/>
            <family val="2"/>
          </rPr>
          <t xml:space="preserve">
contribution kaolinite clay considered negligible</t>
        </r>
      </text>
    </comment>
    <comment ref="I347" authorId="0" shapeId="0">
      <text>
        <r>
          <rPr>
            <b/>
            <sz val="10"/>
            <color indexed="81"/>
            <rFont val="Calibri"/>
            <family val="2"/>
          </rPr>
          <t>Koen Oorts:</t>
        </r>
        <r>
          <rPr>
            <sz val="10"/>
            <color indexed="81"/>
            <rFont val="Calibri"/>
            <family val="2"/>
          </rPr>
          <t xml:space="preserve">
contribution kaolinite clay considered negligible</t>
        </r>
      </text>
    </comment>
    <comment ref="I348" authorId="0" shapeId="0">
      <text>
        <r>
          <rPr>
            <b/>
            <sz val="10"/>
            <color indexed="81"/>
            <rFont val="Calibri"/>
            <family val="2"/>
          </rPr>
          <t>Koen Oorts:</t>
        </r>
        <r>
          <rPr>
            <sz val="10"/>
            <color indexed="81"/>
            <rFont val="Calibri"/>
            <family val="2"/>
          </rPr>
          <t xml:space="preserve">
contribution kaolinite clay considered negligible</t>
        </r>
      </text>
    </comment>
    <comment ref="I369" authorId="0" shapeId="0">
      <text>
        <r>
          <rPr>
            <b/>
            <sz val="10"/>
            <color indexed="81"/>
            <rFont val="Calibri"/>
            <family val="2"/>
          </rPr>
          <t>Koen Oorts:</t>
        </r>
        <r>
          <rPr>
            <sz val="10"/>
            <color indexed="81"/>
            <rFont val="Calibri"/>
            <family val="2"/>
          </rPr>
          <t xml:space="preserve">
contribution kaolinite clay considered negligible</t>
        </r>
      </text>
    </comment>
    <comment ref="R401" authorId="0" shapeId="0">
      <text>
        <r>
          <rPr>
            <b/>
            <sz val="10"/>
            <color indexed="81"/>
            <rFont val="Calibri"/>
            <family val="2"/>
          </rPr>
          <t>Koen Oorts:</t>
        </r>
        <r>
          <rPr>
            <sz val="10"/>
            <color indexed="81"/>
            <rFont val="Calibri"/>
            <family val="2"/>
          </rPr>
          <t xml:space="preserve">
Equilibration time &gt;120 days before the end of the test</t>
        </r>
      </text>
    </comment>
    <comment ref="R402" authorId="0" shapeId="0">
      <text>
        <r>
          <rPr>
            <b/>
            <sz val="10"/>
            <color indexed="81"/>
            <rFont val="Calibri"/>
            <family val="2"/>
          </rPr>
          <t>Koen Oorts:</t>
        </r>
        <r>
          <rPr>
            <sz val="10"/>
            <color indexed="81"/>
            <rFont val="Calibri"/>
            <family val="2"/>
          </rPr>
          <t xml:space="preserve">
Equilibration time &gt;120 days before the end of the test</t>
        </r>
      </text>
    </comment>
    <comment ref="R403" authorId="0" shapeId="0">
      <text>
        <r>
          <rPr>
            <b/>
            <sz val="10"/>
            <color indexed="81"/>
            <rFont val="Calibri"/>
            <family val="2"/>
          </rPr>
          <t>Koen Oorts:</t>
        </r>
        <r>
          <rPr>
            <sz val="10"/>
            <color indexed="81"/>
            <rFont val="Calibri"/>
            <family val="2"/>
          </rPr>
          <t xml:space="preserve">
Equilibration time &gt;120 days before the end of the test</t>
        </r>
      </text>
    </comment>
    <comment ref="R422" authorId="0" shapeId="0">
      <text>
        <r>
          <rPr>
            <b/>
            <sz val="10"/>
            <color indexed="81"/>
            <rFont val="Calibri"/>
            <family val="2"/>
          </rPr>
          <t>Koen Oorts:</t>
        </r>
        <r>
          <rPr>
            <sz val="10"/>
            <color indexed="81"/>
            <rFont val="Calibri"/>
            <family val="2"/>
          </rPr>
          <t xml:space="preserve">
Equilibration time &gt;120 days before the end of the test</t>
        </r>
      </text>
    </comment>
    <comment ref="R423" authorId="0" shapeId="0">
      <text>
        <r>
          <rPr>
            <b/>
            <sz val="10"/>
            <color indexed="81"/>
            <rFont val="Calibri"/>
            <family val="2"/>
          </rPr>
          <t>Koen Oorts:</t>
        </r>
        <r>
          <rPr>
            <sz val="10"/>
            <color indexed="81"/>
            <rFont val="Calibri"/>
            <family val="2"/>
          </rPr>
          <t xml:space="preserve">
Equilibration time &gt;120 days before the end of the test</t>
        </r>
      </text>
    </comment>
    <comment ref="I505" authorId="0" shapeId="0">
      <text>
        <r>
          <rPr>
            <b/>
            <sz val="10"/>
            <color indexed="81"/>
            <rFont val="Calibri"/>
            <family val="2"/>
          </rPr>
          <t>Koen Oorts:</t>
        </r>
        <r>
          <rPr>
            <sz val="10"/>
            <color indexed="81"/>
            <rFont val="Calibri"/>
            <family val="2"/>
          </rPr>
          <t xml:space="preserve">
contribution kaolinite clay considered negligible</t>
        </r>
      </text>
    </comment>
    <comment ref="I516" authorId="0" shapeId="0">
      <text>
        <r>
          <rPr>
            <b/>
            <sz val="10"/>
            <color indexed="81"/>
            <rFont val="Calibri"/>
            <family val="2"/>
          </rPr>
          <t>Koen Oorts:</t>
        </r>
        <r>
          <rPr>
            <sz val="10"/>
            <color indexed="81"/>
            <rFont val="Calibri"/>
            <family val="2"/>
          </rPr>
          <t xml:space="preserve">
contribution kaolinite clay considered negligible</t>
        </r>
      </text>
    </comment>
    <comment ref="R573" authorId="0" shapeId="0">
      <text>
        <r>
          <rPr>
            <b/>
            <sz val="10"/>
            <color indexed="81"/>
            <rFont val="Calibri"/>
            <family val="2"/>
          </rPr>
          <t>Koen Oorts:</t>
        </r>
        <r>
          <rPr>
            <sz val="10"/>
            <color indexed="81"/>
            <rFont val="Calibri"/>
            <family val="2"/>
          </rPr>
          <t xml:space="preserve">
Equilibration time &gt;120 days before the end of the test</t>
        </r>
      </text>
    </comment>
    <comment ref="R574" authorId="0" shapeId="0">
      <text>
        <r>
          <rPr>
            <b/>
            <sz val="10"/>
            <color indexed="81"/>
            <rFont val="Calibri"/>
            <family val="2"/>
          </rPr>
          <t>Koen Oorts:</t>
        </r>
        <r>
          <rPr>
            <sz val="10"/>
            <color indexed="81"/>
            <rFont val="Calibri"/>
            <family val="2"/>
          </rPr>
          <t xml:space="preserve">
Equilibration time &gt;120 days before the end of the test</t>
        </r>
      </text>
    </comment>
    <comment ref="R575" authorId="0" shapeId="0">
      <text>
        <r>
          <rPr>
            <b/>
            <sz val="10"/>
            <color indexed="81"/>
            <rFont val="Calibri"/>
            <family val="2"/>
          </rPr>
          <t>Koen Oorts:</t>
        </r>
        <r>
          <rPr>
            <sz val="10"/>
            <color indexed="81"/>
            <rFont val="Calibri"/>
            <family val="2"/>
          </rPr>
          <t xml:space="preserve">
Equilibration time &gt;120 days before the end of the test</t>
        </r>
      </text>
    </comment>
    <comment ref="R576" authorId="0" shapeId="0">
      <text>
        <r>
          <rPr>
            <b/>
            <sz val="10"/>
            <color indexed="81"/>
            <rFont val="Calibri"/>
            <family val="2"/>
          </rPr>
          <t>Koen Oorts:</t>
        </r>
        <r>
          <rPr>
            <sz val="10"/>
            <color indexed="81"/>
            <rFont val="Calibri"/>
            <family val="2"/>
          </rPr>
          <t xml:space="preserve">
Equilibration time &gt;120 days before the end of the test</t>
        </r>
      </text>
    </comment>
    <comment ref="R577" authorId="0" shapeId="0">
      <text>
        <r>
          <rPr>
            <b/>
            <sz val="10"/>
            <color indexed="81"/>
            <rFont val="Calibri"/>
            <family val="2"/>
          </rPr>
          <t>Koen Oorts:</t>
        </r>
        <r>
          <rPr>
            <sz val="10"/>
            <color indexed="81"/>
            <rFont val="Calibri"/>
            <family val="2"/>
          </rPr>
          <t xml:space="preserve">
Equilibration time &gt;120 days before the end of the test</t>
        </r>
      </text>
    </comment>
    <comment ref="R578" authorId="0" shapeId="0">
      <text>
        <r>
          <rPr>
            <b/>
            <sz val="10"/>
            <color indexed="81"/>
            <rFont val="Calibri"/>
            <family val="2"/>
          </rPr>
          <t>Koen Oorts:</t>
        </r>
        <r>
          <rPr>
            <sz val="10"/>
            <color indexed="81"/>
            <rFont val="Calibri"/>
            <family val="2"/>
          </rPr>
          <t xml:space="preserve">
Equilibration time &gt;120 days before the end of the test</t>
        </r>
      </text>
    </comment>
    <comment ref="R579" authorId="0" shapeId="0">
      <text>
        <r>
          <rPr>
            <b/>
            <sz val="10"/>
            <color indexed="81"/>
            <rFont val="Calibri"/>
            <family val="2"/>
          </rPr>
          <t>Koen Oorts:</t>
        </r>
        <r>
          <rPr>
            <sz val="10"/>
            <color indexed="81"/>
            <rFont val="Calibri"/>
            <family val="2"/>
          </rPr>
          <t xml:space="preserve">
Equilibration time &gt;120 days before the end of the test</t>
        </r>
      </text>
    </comment>
    <comment ref="R580" authorId="0" shapeId="0">
      <text>
        <r>
          <rPr>
            <b/>
            <sz val="10"/>
            <color indexed="81"/>
            <rFont val="Calibri"/>
            <family val="2"/>
          </rPr>
          <t>Koen Oorts:</t>
        </r>
        <r>
          <rPr>
            <sz val="10"/>
            <color indexed="81"/>
            <rFont val="Calibri"/>
            <family val="2"/>
          </rPr>
          <t xml:space="preserve">
Equilibration time &gt;120 days before the end of the test</t>
        </r>
      </text>
    </comment>
    <comment ref="R581" authorId="0" shapeId="0">
      <text>
        <r>
          <rPr>
            <b/>
            <sz val="10"/>
            <color indexed="81"/>
            <rFont val="Calibri"/>
            <family val="2"/>
          </rPr>
          <t>Koen Oorts:</t>
        </r>
        <r>
          <rPr>
            <sz val="10"/>
            <color indexed="81"/>
            <rFont val="Calibri"/>
            <family val="2"/>
          </rPr>
          <t xml:space="preserve">
Equilibration time &gt;120 days before the end of the test</t>
        </r>
      </text>
    </comment>
    <comment ref="R582" authorId="0" shapeId="0">
      <text>
        <r>
          <rPr>
            <b/>
            <sz val="10"/>
            <color indexed="81"/>
            <rFont val="Calibri"/>
            <family val="2"/>
          </rPr>
          <t>Koen Oorts:</t>
        </r>
        <r>
          <rPr>
            <sz val="10"/>
            <color indexed="81"/>
            <rFont val="Calibri"/>
            <family val="2"/>
          </rPr>
          <t xml:space="preserve">
Equilibration time &gt;120 days before the end of the test</t>
        </r>
      </text>
    </comment>
    <comment ref="R583" authorId="0" shapeId="0">
      <text>
        <r>
          <rPr>
            <b/>
            <sz val="10"/>
            <color indexed="81"/>
            <rFont val="Calibri"/>
            <family val="2"/>
          </rPr>
          <t>Koen Oorts:</t>
        </r>
        <r>
          <rPr>
            <sz val="10"/>
            <color indexed="81"/>
            <rFont val="Calibri"/>
            <family val="2"/>
          </rPr>
          <t xml:space="preserve">
Equilibration time &gt;120 days before the end of the test</t>
        </r>
      </text>
    </comment>
    <comment ref="R584" authorId="0" shapeId="0">
      <text>
        <r>
          <rPr>
            <b/>
            <sz val="10"/>
            <color indexed="81"/>
            <rFont val="Calibri"/>
            <family val="2"/>
          </rPr>
          <t>Koen Oorts:</t>
        </r>
        <r>
          <rPr>
            <sz val="10"/>
            <color indexed="81"/>
            <rFont val="Calibri"/>
            <family val="2"/>
          </rPr>
          <t xml:space="preserve">
Equilibration time &gt;120 days before the end of the test</t>
        </r>
      </text>
    </comment>
    <comment ref="R585" authorId="0" shapeId="0">
      <text>
        <r>
          <rPr>
            <b/>
            <sz val="10"/>
            <color indexed="81"/>
            <rFont val="Calibri"/>
            <family val="2"/>
          </rPr>
          <t>Koen Oorts:</t>
        </r>
        <r>
          <rPr>
            <sz val="10"/>
            <color indexed="81"/>
            <rFont val="Calibri"/>
            <family val="2"/>
          </rPr>
          <t xml:space="preserve">
Equilibration time &gt;120 days before the end of the test</t>
        </r>
      </text>
    </comment>
    <comment ref="R586" authorId="0" shapeId="0">
      <text>
        <r>
          <rPr>
            <b/>
            <sz val="10"/>
            <color indexed="81"/>
            <rFont val="Calibri"/>
            <family val="2"/>
          </rPr>
          <t>Koen Oorts:</t>
        </r>
        <r>
          <rPr>
            <sz val="10"/>
            <color indexed="81"/>
            <rFont val="Calibri"/>
            <family val="2"/>
          </rPr>
          <t xml:space="preserve">
Equilibration time &gt;120 days before the end of the test</t>
        </r>
      </text>
    </comment>
    <comment ref="R587" authorId="0" shapeId="0">
      <text>
        <r>
          <rPr>
            <b/>
            <sz val="10"/>
            <color indexed="81"/>
            <rFont val="Calibri"/>
            <family val="2"/>
          </rPr>
          <t>Koen Oorts:</t>
        </r>
        <r>
          <rPr>
            <sz val="10"/>
            <color indexed="81"/>
            <rFont val="Calibri"/>
            <family val="2"/>
          </rPr>
          <t xml:space="preserve">
Equilibration time &gt;120 days before the end of the test</t>
        </r>
      </text>
    </comment>
    <comment ref="R588" authorId="0" shapeId="0">
      <text>
        <r>
          <rPr>
            <b/>
            <sz val="10"/>
            <color indexed="81"/>
            <rFont val="Calibri"/>
            <family val="2"/>
          </rPr>
          <t>Koen Oorts:</t>
        </r>
        <r>
          <rPr>
            <sz val="10"/>
            <color indexed="81"/>
            <rFont val="Calibri"/>
            <family val="2"/>
          </rPr>
          <t xml:space="preserve">
Equilibration time &gt;120 days before the end of the test</t>
        </r>
      </text>
    </comment>
    <comment ref="R589" authorId="0" shapeId="0">
      <text>
        <r>
          <rPr>
            <b/>
            <sz val="10"/>
            <color indexed="81"/>
            <rFont val="Calibri"/>
            <family val="2"/>
          </rPr>
          <t>Koen Oorts:</t>
        </r>
        <r>
          <rPr>
            <sz val="10"/>
            <color indexed="81"/>
            <rFont val="Calibri"/>
            <family val="2"/>
          </rPr>
          <t xml:space="preserve">
Equilibration time &gt;120 days before the end of the test</t>
        </r>
      </text>
    </comment>
    <comment ref="R590" authorId="0" shapeId="0">
      <text>
        <r>
          <rPr>
            <b/>
            <sz val="10"/>
            <color indexed="81"/>
            <rFont val="Calibri"/>
            <family val="2"/>
          </rPr>
          <t>Koen Oorts:</t>
        </r>
        <r>
          <rPr>
            <sz val="10"/>
            <color indexed="81"/>
            <rFont val="Calibri"/>
            <family val="2"/>
          </rPr>
          <t xml:space="preserve">
Equilibration time &gt;120 days before the end of the test</t>
        </r>
      </text>
    </comment>
    <comment ref="R591" authorId="0" shapeId="0">
      <text>
        <r>
          <rPr>
            <b/>
            <sz val="10"/>
            <color indexed="81"/>
            <rFont val="Calibri"/>
            <family val="2"/>
          </rPr>
          <t>Koen Oorts:</t>
        </r>
        <r>
          <rPr>
            <sz val="10"/>
            <color indexed="81"/>
            <rFont val="Calibri"/>
            <family val="2"/>
          </rPr>
          <t xml:space="preserve">
Equilibration time &gt;120 days before the end of the test</t>
        </r>
      </text>
    </comment>
    <comment ref="R592" authorId="0" shapeId="0">
      <text>
        <r>
          <rPr>
            <b/>
            <sz val="10"/>
            <color indexed="81"/>
            <rFont val="Calibri"/>
            <family val="2"/>
          </rPr>
          <t>Koen Oorts:</t>
        </r>
        <r>
          <rPr>
            <sz val="10"/>
            <color indexed="81"/>
            <rFont val="Calibri"/>
            <family val="2"/>
          </rPr>
          <t xml:space="preserve">
Equilibration time &gt;120 days before the end of the test</t>
        </r>
      </text>
    </comment>
    <comment ref="R593" authorId="0" shapeId="0">
      <text>
        <r>
          <rPr>
            <b/>
            <sz val="10"/>
            <color indexed="81"/>
            <rFont val="Calibri"/>
            <family val="2"/>
          </rPr>
          <t>Koen Oorts:</t>
        </r>
        <r>
          <rPr>
            <sz val="10"/>
            <color indexed="81"/>
            <rFont val="Calibri"/>
            <family val="2"/>
          </rPr>
          <t xml:space="preserve">
Equilibration time &gt;120 days before the end of the test</t>
        </r>
      </text>
    </comment>
    <comment ref="R594" authorId="0" shapeId="0">
      <text>
        <r>
          <rPr>
            <b/>
            <sz val="10"/>
            <color indexed="81"/>
            <rFont val="Calibri"/>
            <family val="2"/>
          </rPr>
          <t>Koen Oorts:</t>
        </r>
        <r>
          <rPr>
            <sz val="10"/>
            <color indexed="81"/>
            <rFont val="Calibri"/>
            <family val="2"/>
          </rPr>
          <t xml:space="preserve">
Equilibration time &gt;120 days before the end of the test</t>
        </r>
      </text>
    </comment>
    <comment ref="R595" authorId="0" shapeId="0">
      <text>
        <r>
          <rPr>
            <b/>
            <sz val="10"/>
            <color indexed="81"/>
            <rFont val="Calibri"/>
            <family val="2"/>
          </rPr>
          <t>Koen Oorts:</t>
        </r>
        <r>
          <rPr>
            <sz val="10"/>
            <color indexed="81"/>
            <rFont val="Calibri"/>
            <family val="2"/>
          </rPr>
          <t xml:space="preserve">
Equilibration time &gt;120 days before the end of the test</t>
        </r>
      </text>
    </comment>
    <comment ref="R596" authorId="0" shapeId="0">
      <text>
        <r>
          <rPr>
            <b/>
            <sz val="10"/>
            <color indexed="81"/>
            <rFont val="Calibri"/>
            <family val="2"/>
          </rPr>
          <t>Koen Oorts:</t>
        </r>
        <r>
          <rPr>
            <sz val="10"/>
            <color indexed="81"/>
            <rFont val="Calibri"/>
            <family val="2"/>
          </rPr>
          <t xml:space="preserve">
Equilibration time &gt;120 days before the end of the test</t>
        </r>
      </text>
    </comment>
    <comment ref="I623" authorId="0" shapeId="0">
      <text>
        <r>
          <rPr>
            <b/>
            <sz val="10"/>
            <color indexed="81"/>
            <rFont val="Calibri"/>
            <family val="2"/>
          </rPr>
          <t>Koen Oorts:</t>
        </r>
        <r>
          <rPr>
            <sz val="10"/>
            <color indexed="81"/>
            <rFont val="Calibri"/>
            <family val="2"/>
          </rPr>
          <t xml:space="preserve">
contribution kaolinite clay considered negligible</t>
        </r>
      </text>
    </comment>
    <comment ref="I641" authorId="0" shapeId="0">
      <text>
        <r>
          <rPr>
            <b/>
            <sz val="10"/>
            <color indexed="81"/>
            <rFont val="Calibri"/>
            <family val="2"/>
          </rPr>
          <t>Koen Oorts:</t>
        </r>
        <r>
          <rPr>
            <sz val="10"/>
            <color indexed="81"/>
            <rFont val="Calibri"/>
            <family val="2"/>
          </rPr>
          <t xml:space="preserve">
contribution kaolinite clay considered negligible</t>
        </r>
      </text>
    </comment>
    <comment ref="I642" authorId="0" shapeId="0">
      <text>
        <r>
          <rPr>
            <b/>
            <sz val="10"/>
            <color indexed="81"/>
            <rFont val="Calibri"/>
            <family val="2"/>
          </rPr>
          <t>Koen Oorts:</t>
        </r>
        <r>
          <rPr>
            <sz val="10"/>
            <color indexed="81"/>
            <rFont val="Calibri"/>
            <family val="2"/>
          </rPr>
          <t xml:space="preserve">
contribution kaolinite clay considered negligible</t>
        </r>
      </text>
    </comment>
    <comment ref="R688" authorId="0" shapeId="0">
      <text>
        <r>
          <rPr>
            <b/>
            <sz val="10"/>
            <color indexed="81"/>
            <rFont val="Calibri"/>
            <family val="2"/>
          </rPr>
          <t>Koen Oorts:</t>
        </r>
        <r>
          <rPr>
            <sz val="10"/>
            <color indexed="81"/>
            <rFont val="Calibri"/>
            <family val="2"/>
          </rPr>
          <t xml:space="preserve">
Equilibration time &gt;120 days before the end of the test</t>
        </r>
      </text>
    </comment>
    <comment ref="R689" authorId="0" shapeId="0">
      <text>
        <r>
          <rPr>
            <b/>
            <sz val="10"/>
            <color indexed="81"/>
            <rFont val="Calibri"/>
            <family val="2"/>
          </rPr>
          <t>Koen Oorts:</t>
        </r>
        <r>
          <rPr>
            <sz val="10"/>
            <color indexed="81"/>
            <rFont val="Calibri"/>
            <family val="2"/>
          </rPr>
          <t xml:space="preserve">
Equilibration time &gt;120 days before the end of the test</t>
        </r>
      </text>
    </comment>
    <comment ref="R690" authorId="0" shapeId="0">
      <text>
        <r>
          <rPr>
            <b/>
            <sz val="10"/>
            <color indexed="81"/>
            <rFont val="Calibri"/>
            <family val="2"/>
          </rPr>
          <t>Koen Oorts:</t>
        </r>
        <r>
          <rPr>
            <sz val="10"/>
            <color indexed="81"/>
            <rFont val="Calibri"/>
            <family val="2"/>
          </rPr>
          <t xml:space="preserve">
Equilibration time &gt;120 days before the end of the test</t>
        </r>
      </text>
    </comment>
    <comment ref="R692" authorId="0" shapeId="0">
      <text>
        <r>
          <rPr>
            <b/>
            <sz val="10"/>
            <color indexed="81"/>
            <rFont val="Calibri"/>
            <family val="2"/>
          </rPr>
          <t>Koen Oorts:</t>
        </r>
        <r>
          <rPr>
            <sz val="10"/>
            <color indexed="81"/>
            <rFont val="Calibri"/>
            <family val="2"/>
          </rPr>
          <t xml:space="preserve">
Equilibration time &gt;120 days before the end of the test</t>
        </r>
      </text>
    </comment>
    <comment ref="R693" authorId="0" shapeId="0">
      <text>
        <r>
          <rPr>
            <b/>
            <sz val="10"/>
            <color indexed="81"/>
            <rFont val="Calibri"/>
            <family val="2"/>
          </rPr>
          <t>Koen Oorts:</t>
        </r>
        <r>
          <rPr>
            <sz val="10"/>
            <color indexed="81"/>
            <rFont val="Calibri"/>
            <family val="2"/>
          </rPr>
          <t xml:space="preserve">
Equilibration time &gt;120 days before the end of the test</t>
        </r>
      </text>
    </comment>
    <comment ref="R694" authorId="0" shapeId="0">
      <text>
        <r>
          <rPr>
            <b/>
            <sz val="10"/>
            <color indexed="81"/>
            <rFont val="Calibri"/>
            <family val="2"/>
          </rPr>
          <t>Koen Oorts:</t>
        </r>
        <r>
          <rPr>
            <sz val="10"/>
            <color indexed="81"/>
            <rFont val="Calibri"/>
            <family val="2"/>
          </rPr>
          <t xml:space="preserve">
Equilibration time &gt;120 days before the end of the test</t>
        </r>
      </text>
    </comment>
    <comment ref="R695" authorId="0" shapeId="0">
      <text>
        <r>
          <rPr>
            <b/>
            <sz val="10"/>
            <color indexed="81"/>
            <rFont val="Calibri"/>
            <family val="2"/>
          </rPr>
          <t>Koen Oorts:</t>
        </r>
        <r>
          <rPr>
            <sz val="10"/>
            <color indexed="81"/>
            <rFont val="Calibri"/>
            <family val="2"/>
          </rPr>
          <t xml:space="preserve">
Equilibration time &gt;120 days before the end of the test</t>
        </r>
      </text>
    </comment>
    <comment ref="R696" authorId="0" shapeId="0">
      <text>
        <r>
          <rPr>
            <b/>
            <sz val="10"/>
            <color indexed="81"/>
            <rFont val="Calibri"/>
            <family val="2"/>
          </rPr>
          <t>Koen Oorts:</t>
        </r>
        <r>
          <rPr>
            <sz val="10"/>
            <color indexed="81"/>
            <rFont val="Calibri"/>
            <family val="2"/>
          </rPr>
          <t xml:space="preserve">
Equilibration time &gt;120 days before the end of the test</t>
        </r>
      </text>
    </comment>
    <comment ref="R697" authorId="0" shapeId="0">
      <text>
        <r>
          <rPr>
            <b/>
            <sz val="10"/>
            <color indexed="81"/>
            <rFont val="Calibri"/>
            <family val="2"/>
          </rPr>
          <t>Koen Oorts:</t>
        </r>
        <r>
          <rPr>
            <sz val="10"/>
            <color indexed="81"/>
            <rFont val="Calibri"/>
            <family val="2"/>
          </rPr>
          <t xml:space="preserve">
Equilibration time &gt;120 days before the end of the test</t>
        </r>
      </text>
    </comment>
    <comment ref="R698" authorId="0" shapeId="0">
      <text>
        <r>
          <rPr>
            <b/>
            <sz val="10"/>
            <color indexed="81"/>
            <rFont val="Calibri"/>
            <family val="2"/>
          </rPr>
          <t>Koen Oorts:</t>
        </r>
        <r>
          <rPr>
            <sz val="10"/>
            <color indexed="81"/>
            <rFont val="Calibri"/>
            <family val="2"/>
          </rPr>
          <t xml:space="preserve">
Equilibration time &gt;120 days before the end of the test</t>
        </r>
      </text>
    </comment>
    <comment ref="R700" authorId="0" shapeId="0">
      <text>
        <r>
          <rPr>
            <b/>
            <sz val="10"/>
            <color indexed="81"/>
            <rFont val="Calibri"/>
            <family val="2"/>
          </rPr>
          <t>Koen Oorts:</t>
        </r>
        <r>
          <rPr>
            <sz val="10"/>
            <color indexed="81"/>
            <rFont val="Calibri"/>
            <family val="2"/>
          </rPr>
          <t xml:space="preserve">
Equilibration time &gt;120 days before the end of the test</t>
        </r>
      </text>
    </comment>
    <comment ref="R701" authorId="0" shapeId="0">
      <text>
        <r>
          <rPr>
            <b/>
            <sz val="10"/>
            <color indexed="81"/>
            <rFont val="Calibri"/>
            <family val="2"/>
          </rPr>
          <t>Koen Oorts:</t>
        </r>
        <r>
          <rPr>
            <sz val="10"/>
            <color indexed="81"/>
            <rFont val="Calibri"/>
            <family val="2"/>
          </rPr>
          <t xml:space="preserve">
Equilibration time &gt;120 days before the end of the test</t>
        </r>
      </text>
    </comment>
    <comment ref="R702" authorId="0" shapeId="0">
      <text>
        <r>
          <rPr>
            <b/>
            <sz val="10"/>
            <color indexed="81"/>
            <rFont val="Calibri"/>
            <family val="2"/>
          </rPr>
          <t>Koen Oorts:</t>
        </r>
        <r>
          <rPr>
            <sz val="10"/>
            <color indexed="81"/>
            <rFont val="Calibri"/>
            <family val="2"/>
          </rPr>
          <t xml:space="preserve">
Equilibration time &gt;120 days before the end of the test</t>
        </r>
      </text>
    </comment>
    <comment ref="R703" authorId="0" shapeId="0">
      <text>
        <r>
          <rPr>
            <b/>
            <sz val="10"/>
            <color indexed="81"/>
            <rFont val="Calibri"/>
            <family val="2"/>
          </rPr>
          <t>Koen Oorts:</t>
        </r>
        <r>
          <rPr>
            <sz val="10"/>
            <color indexed="81"/>
            <rFont val="Calibri"/>
            <family val="2"/>
          </rPr>
          <t xml:space="preserve">
Equilibration time &gt;120 days before the end of the test</t>
        </r>
      </text>
    </comment>
    <comment ref="R708" authorId="0" shapeId="0">
      <text>
        <r>
          <rPr>
            <b/>
            <sz val="10"/>
            <color indexed="81"/>
            <rFont val="Calibri"/>
            <family val="2"/>
          </rPr>
          <t>Koen Oorts:</t>
        </r>
        <r>
          <rPr>
            <sz val="10"/>
            <color indexed="81"/>
            <rFont val="Calibri"/>
            <family val="2"/>
          </rPr>
          <t xml:space="preserve">
Equilibration time &gt;120 days before the end of the test</t>
        </r>
      </text>
    </comment>
    <comment ref="R709" authorId="0" shapeId="0">
      <text>
        <r>
          <rPr>
            <b/>
            <sz val="10"/>
            <color indexed="81"/>
            <rFont val="Calibri"/>
            <family val="2"/>
          </rPr>
          <t>Koen Oorts:</t>
        </r>
        <r>
          <rPr>
            <sz val="10"/>
            <color indexed="81"/>
            <rFont val="Calibri"/>
            <family val="2"/>
          </rPr>
          <t xml:space="preserve">
Equilibration time &gt;120 days before the end of the test</t>
        </r>
      </text>
    </comment>
    <comment ref="R711" authorId="0" shapeId="0">
      <text>
        <r>
          <rPr>
            <b/>
            <sz val="10"/>
            <color indexed="81"/>
            <rFont val="Calibri"/>
            <family val="2"/>
          </rPr>
          <t>Koen Oorts:</t>
        </r>
        <r>
          <rPr>
            <sz val="10"/>
            <color indexed="81"/>
            <rFont val="Calibri"/>
            <family val="2"/>
          </rPr>
          <t xml:space="preserve">
Equilibration time &gt;120 days before the end of the test</t>
        </r>
      </text>
    </comment>
    <comment ref="R712" authorId="0" shapeId="0">
      <text>
        <r>
          <rPr>
            <b/>
            <sz val="10"/>
            <color indexed="81"/>
            <rFont val="Calibri"/>
            <family val="2"/>
          </rPr>
          <t>Koen Oorts:</t>
        </r>
        <r>
          <rPr>
            <sz val="10"/>
            <color indexed="81"/>
            <rFont val="Calibri"/>
            <family val="2"/>
          </rPr>
          <t xml:space="preserve">
Equilibration time &gt;120 days before the end of the test</t>
        </r>
      </text>
    </comment>
    <comment ref="G731" authorId="1" shapeId="0">
      <text>
        <r>
          <rPr>
            <b/>
            <sz val="8"/>
            <color indexed="81"/>
            <rFont val="Tahoma"/>
            <family val="2"/>
          </rPr>
          <t>sylwiakosmala:</t>
        </r>
        <r>
          <rPr>
            <sz val="8"/>
            <color indexed="81"/>
            <rFont val="Tahoma"/>
            <family val="2"/>
          </rPr>
          <t xml:space="preserve">
&lt;0.1</t>
        </r>
      </text>
    </comment>
    <comment ref="G732" authorId="1" shapeId="0">
      <text>
        <r>
          <rPr>
            <b/>
            <sz val="8"/>
            <color indexed="81"/>
            <rFont val="Tahoma"/>
            <family val="2"/>
          </rPr>
          <t>sylwiakosmala:</t>
        </r>
        <r>
          <rPr>
            <sz val="8"/>
            <color indexed="81"/>
            <rFont val="Tahoma"/>
            <family val="2"/>
          </rPr>
          <t xml:space="preserve">
&lt;0.1</t>
        </r>
      </text>
    </comment>
    <comment ref="G733" authorId="1" shapeId="0">
      <text>
        <r>
          <rPr>
            <b/>
            <sz val="8"/>
            <color indexed="81"/>
            <rFont val="Tahoma"/>
            <family val="2"/>
          </rPr>
          <t>sylwiakosmala:</t>
        </r>
        <r>
          <rPr>
            <sz val="8"/>
            <color indexed="81"/>
            <rFont val="Tahoma"/>
            <family val="2"/>
          </rPr>
          <t xml:space="preserve">
&lt;0.1</t>
        </r>
      </text>
    </comment>
    <comment ref="G734" authorId="1" shapeId="0">
      <text>
        <r>
          <rPr>
            <b/>
            <sz val="8"/>
            <color indexed="81"/>
            <rFont val="Tahoma"/>
            <family val="2"/>
          </rPr>
          <t>sylwiakosmala:</t>
        </r>
        <r>
          <rPr>
            <sz val="8"/>
            <color indexed="81"/>
            <rFont val="Tahoma"/>
            <family val="2"/>
          </rPr>
          <t xml:space="preserve">
&lt;0.1</t>
        </r>
      </text>
    </comment>
    <comment ref="G735" authorId="1" shapeId="0">
      <text>
        <r>
          <rPr>
            <b/>
            <sz val="8"/>
            <color indexed="81"/>
            <rFont val="Tahoma"/>
            <family val="2"/>
          </rPr>
          <t>sylwiakosmala:</t>
        </r>
        <r>
          <rPr>
            <sz val="8"/>
            <color indexed="81"/>
            <rFont val="Tahoma"/>
            <family val="2"/>
          </rPr>
          <t xml:space="preserve">
&lt;0.1</t>
        </r>
      </text>
    </comment>
    <comment ref="G736" authorId="1" shapeId="0">
      <text>
        <r>
          <rPr>
            <b/>
            <sz val="8"/>
            <color indexed="81"/>
            <rFont val="Tahoma"/>
            <family val="2"/>
          </rPr>
          <t>sylwiakosmala:</t>
        </r>
        <r>
          <rPr>
            <sz val="8"/>
            <color indexed="81"/>
            <rFont val="Tahoma"/>
            <family val="2"/>
          </rPr>
          <t xml:space="preserve">
&lt;0.1</t>
        </r>
      </text>
    </comment>
    <comment ref="G737" authorId="1" shapeId="0">
      <text>
        <r>
          <rPr>
            <b/>
            <sz val="8"/>
            <color indexed="81"/>
            <rFont val="Tahoma"/>
            <family val="2"/>
          </rPr>
          <t>sylwiakosmala:</t>
        </r>
        <r>
          <rPr>
            <sz val="8"/>
            <color indexed="81"/>
            <rFont val="Tahoma"/>
            <family val="2"/>
          </rPr>
          <t xml:space="preserve">
&lt;0.1</t>
        </r>
      </text>
    </comment>
    <comment ref="G738" authorId="1" shapeId="0">
      <text>
        <r>
          <rPr>
            <b/>
            <sz val="8"/>
            <color indexed="81"/>
            <rFont val="Tahoma"/>
            <family val="2"/>
          </rPr>
          <t>sylwiakosmala:</t>
        </r>
        <r>
          <rPr>
            <sz val="8"/>
            <color indexed="81"/>
            <rFont val="Tahoma"/>
            <family val="2"/>
          </rPr>
          <t xml:space="preserve">
&lt;0.1</t>
        </r>
      </text>
    </comment>
    <comment ref="G739" authorId="1" shapeId="0">
      <text>
        <r>
          <rPr>
            <b/>
            <sz val="8"/>
            <color indexed="81"/>
            <rFont val="Tahoma"/>
            <family val="2"/>
          </rPr>
          <t>sylwiakosmala:</t>
        </r>
        <r>
          <rPr>
            <sz val="8"/>
            <color indexed="81"/>
            <rFont val="Tahoma"/>
            <family val="2"/>
          </rPr>
          <t xml:space="preserve">
&lt;0.1</t>
        </r>
      </text>
    </comment>
    <comment ref="R852" authorId="0" shapeId="0">
      <text>
        <r>
          <rPr>
            <b/>
            <sz val="10"/>
            <color indexed="81"/>
            <rFont val="Calibri"/>
            <family val="2"/>
          </rPr>
          <t>Koen Oorts:</t>
        </r>
        <r>
          <rPr>
            <sz val="10"/>
            <color indexed="81"/>
            <rFont val="Calibri"/>
            <family val="2"/>
          </rPr>
          <t xml:space="preserve">
Equilibration time &gt;120 days before the end of the test</t>
        </r>
      </text>
    </comment>
    <comment ref="J874"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875"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876"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877"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878"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879"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880"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881"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882"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883"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884"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889"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890"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891"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892"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893"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894"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I895" authorId="0" shapeId="0">
      <text>
        <r>
          <rPr>
            <b/>
            <sz val="10"/>
            <color indexed="81"/>
            <rFont val="Calibri"/>
            <family val="2"/>
          </rPr>
          <t>Koen Oorts:</t>
        </r>
        <r>
          <rPr>
            <sz val="10"/>
            <color indexed="81"/>
            <rFont val="Calibri"/>
            <family val="2"/>
          </rPr>
          <t xml:space="preserve">
contribution kaolinite clay considered negligible</t>
        </r>
      </text>
    </comment>
    <comment ref="I896" authorId="0" shapeId="0">
      <text>
        <r>
          <rPr>
            <b/>
            <sz val="10"/>
            <color indexed="81"/>
            <rFont val="Calibri"/>
            <family val="2"/>
          </rPr>
          <t>Koen Oorts:</t>
        </r>
        <r>
          <rPr>
            <sz val="10"/>
            <color indexed="81"/>
            <rFont val="Calibri"/>
            <family val="2"/>
          </rPr>
          <t xml:space="preserve">
contribution kaolinite clay considered negligible</t>
        </r>
      </text>
    </comment>
    <comment ref="J902"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903"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918"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I920" authorId="0" shapeId="0">
      <text>
        <r>
          <rPr>
            <b/>
            <sz val="10"/>
            <color indexed="81"/>
            <rFont val="Calibri"/>
            <family val="2"/>
          </rPr>
          <t>Koen Oorts:</t>
        </r>
        <r>
          <rPr>
            <sz val="10"/>
            <color indexed="81"/>
            <rFont val="Calibri"/>
            <family val="2"/>
          </rPr>
          <t xml:space="preserve">
contribution kaolinite clay considered negligible</t>
        </r>
      </text>
    </comment>
    <comment ref="I921" authorId="0" shapeId="0">
      <text>
        <r>
          <rPr>
            <b/>
            <sz val="10"/>
            <color indexed="81"/>
            <rFont val="Calibri"/>
            <family val="2"/>
          </rPr>
          <t>Koen Oorts:</t>
        </r>
        <r>
          <rPr>
            <sz val="10"/>
            <color indexed="81"/>
            <rFont val="Calibri"/>
            <family val="2"/>
          </rPr>
          <t xml:space="preserve">
contribution kaolinite clay considered negligible</t>
        </r>
      </text>
    </comment>
    <comment ref="I922" authorId="0" shapeId="0">
      <text>
        <r>
          <rPr>
            <b/>
            <sz val="10"/>
            <color indexed="81"/>
            <rFont val="Calibri"/>
            <family val="2"/>
          </rPr>
          <t>Koen Oorts:</t>
        </r>
        <r>
          <rPr>
            <sz val="10"/>
            <color indexed="81"/>
            <rFont val="Calibri"/>
            <family val="2"/>
          </rPr>
          <t xml:space="preserve">
contribution kaolinite clay considered negligible</t>
        </r>
      </text>
    </comment>
    <comment ref="I923" authorId="0" shapeId="0">
      <text>
        <r>
          <rPr>
            <b/>
            <sz val="10"/>
            <color indexed="81"/>
            <rFont val="Calibri"/>
            <family val="2"/>
          </rPr>
          <t>Koen Oorts:</t>
        </r>
        <r>
          <rPr>
            <sz val="10"/>
            <color indexed="81"/>
            <rFont val="Calibri"/>
            <family val="2"/>
          </rPr>
          <t xml:space="preserve">
contribution kaolinite clay considered negligible</t>
        </r>
      </text>
    </comment>
    <comment ref="I924" authorId="0" shapeId="0">
      <text>
        <r>
          <rPr>
            <b/>
            <sz val="10"/>
            <color indexed="81"/>
            <rFont val="Calibri"/>
            <family val="2"/>
          </rPr>
          <t>Koen Oorts:</t>
        </r>
        <r>
          <rPr>
            <sz val="10"/>
            <color indexed="81"/>
            <rFont val="Calibri"/>
            <family val="2"/>
          </rPr>
          <t xml:space="preserve">
contribution kaolinite clay considered negligible</t>
        </r>
      </text>
    </comment>
    <comment ref="I925" authorId="0" shapeId="0">
      <text>
        <r>
          <rPr>
            <b/>
            <sz val="10"/>
            <color indexed="81"/>
            <rFont val="Calibri"/>
            <family val="2"/>
          </rPr>
          <t>Koen Oorts:</t>
        </r>
        <r>
          <rPr>
            <sz val="10"/>
            <color indexed="81"/>
            <rFont val="Calibri"/>
            <family val="2"/>
          </rPr>
          <t xml:space="preserve">
contribution kaolinite clay considered negligible</t>
        </r>
      </text>
    </comment>
    <comment ref="I926" authorId="0" shapeId="0">
      <text>
        <r>
          <rPr>
            <b/>
            <sz val="10"/>
            <color indexed="81"/>
            <rFont val="Calibri"/>
            <family val="2"/>
          </rPr>
          <t>Koen Oorts:</t>
        </r>
        <r>
          <rPr>
            <sz val="10"/>
            <color indexed="81"/>
            <rFont val="Calibri"/>
            <family val="2"/>
          </rPr>
          <t xml:space="preserve">
contribution kaolinite clay considered negligible</t>
        </r>
      </text>
    </comment>
    <comment ref="I927" authorId="0" shapeId="0">
      <text>
        <r>
          <rPr>
            <b/>
            <sz val="10"/>
            <color indexed="81"/>
            <rFont val="Calibri"/>
            <family val="2"/>
          </rPr>
          <t>Koen Oorts:</t>
        </r>
        <r>
          <rPr>
            <sz val="10"/>
            <color indexed="81"/>
            <rFont val="Calibri"/>
            <family val="2"/>
          </rPr>
          <t xml:space="preserve">
contribution kaolinite clay considered negligible</t>
        </r>
      </text>
    </comment>
    <comment ref="I928" authorId="0" shapeId="0">
      <text>
        <r>
          <rPr>
            <b/>
            <sz val="10"/>
            <color indexed="81"/>
            <rFont val="Calibri"/>
            <family val="2"/>
          </rPr>
          <t>Koen Oorts:</t>
        </r>
        <r>
          <rPr>
            <sz val="10"/>
            <color indexed="81"/>
            <rFont val="Calibri"/>
            <family val="2"/>
          </rPr>
          <t xml:space="preserve">
contribution kaolinite clay considered negligible</t>
        </r>
      </text>
    </comment>
    <comment ref="I929" authorId="0" shapeId="0">
      <text>
        <r>
          <rPr>
            <b/>
            <sz val="10"/>
            <color indexed="81"/>
            <rFont val="Calibri"/>
            <family val="2"/>
          </rPr>
          <t>Koen Oorts:</t>
        </r>
        <r>
          <rPr>
            <sz val="10"/>
            <color indexed="81"/>
            <rFont val="Calibri"/>
            <family val="2"/>
          </rPr>
          <t xml:space="preserve">
contribution kaolinite clay considered negligible</t>
        </r>
      </text>
    </comment>
    <comment ref="I930" authorId="0" shapeId="0">
      <text>
        <r>
          <rPr>
            <b/>
            <sz val="10"/>
            <color indexed="81"/>
            <rFont val="Calibri"/>
            <family val="2"/>
          </rPr>
          <t>Koen Oorts:</t>
        </r>
        <r>
          <rPr>
            <sz val="10"/>
            <color indexed="81"/>
            <rFont val="Calibri"/>
            <family val="2"/>
          </rPr>
          <t xml:space="preserve">
contribution kaolinite clay considered negligible</t>
        </r>
      </text>
    </comment>
    <comment ref="I931" authorId="0" shapeId="0">
      <text>
        <r>
          <rPr>
            <b/>
            <sz val="10"/>
            <color indexed="81"/>
            <rFont val="Calibri"/>
            <family val="2"/>
          </rPr>
          <t>Koen Oorts:</t>
        </r>
        <r>
          <rPr>
            <sz val="10"/>
            <color indexed="81"/>
            <rFont val="Calibri"/>
            <family val="2"/>
          </rPr>
          <t xml:space="preserve">
contribution kaolinite clay considered negligible</t>
        </r>
      </text>
    </comment>
    <comment ref="I932" authorId="0" shapeId="0">
      <text>
        <r>
          <rPr>
            <b/>
            <sz val="10"/>
            <color indexed="81"/>
            <rFont val="Calibri"/>
            <family val="2"/>
          </rPr>
          <t>Koen Oorts:</t>
        </r>
        <r>
          <rPr>
            <sz val="10"/>
            <color indexed="81"/>
            <rFont val="Calibri"/>
            <family val="2"/>
          </rPr>
          <t xml:space="preserve">
contribution kaolinite clay considered negligible</t>
        </r>
      </text>
    </comment>
    <comment ref="I933" authorId="0" shapeId="0">
      <text>
        <r>
          <rPr>
            <b/>
            <sz val="10"/>
            <color indexed="81"/>
            <rFont val="Calibri"/>
            <family val="2"/>
          </rPr>
          <t>Koen Oorts:</t>
        </r>
        <r>
          <rPr>
            <sz val="10"/>
            <color indexed="81"/>
            <rFont val="Calibri"/>
            <family val="2"/>
          </rPr>
          <t xml:space="preserve">
contribution kaolinite clay considered negligible</t>
        </r>
      </text>
    </comment>
    <comment ref="I946" authorId="0" shapeId="0">
      <text>
        <r>
          <rPr>
            <b/>
            <sz val="10"/>
            <color indexed="81"/>
            <rFont val="Calibri"/>
            <family val="2"/>
          </rPr>
          <t>Koen Oorts:</t>
        </r>
        <r>
          <rPr>
            <sz val="10"/>
            <color indexed="81"/>
            <rFont val="Calibri"/>
            <family val="2"/>
          </rPr>
          <t xml:space="preserve">
contribution kaolinite clay considered negligible</t>
        </r>
      </text>
    </comment>
    <comment ref="J947"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I948" authorId="0" shapeId="0">
      <text>
        <r>
          <rPr>
            <b/>
            <sz val="10"/>
            <color indexed="81"/>
            <rFont val="Calibri"/>
            <family val="2"/>
          </rPr>
          <t>Koen Oorts:</t>
        </r>
        <r>
          <rPr>
            <sz val="10"/>
            <color indexed="81"/>
            <rFont val="Calibri"/>
            <family val="2"/>
          </rPr>
          <t xml:space="preserve">
contribution kaolinite clay considered negligible</t>
        </r>
      </text>
    </comment>
    <comment ref="I950" authorId="0" shapeId="0">
      <text>
        <r>
          <rPr>
            <b/>
            <sz val="10"/>
            <color indexed="81"/>
            <rFont val="Calibri"/>
            <family val="2"/>
          </rPr>
          <t>Koen Oorts:</t>
        </r>
        <r>
          <rPr>
            <sz val="10"/>
            <color indexed="81"/>
            <rFont val="Calibri"/>
            <family val="2"/>
          </rPr>
          <t xml:space="preserve">
contribution kaolinite clay considered negligible</t>
        </r>
      </text>
    </comment>
    <comment ref="J951"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I952" authorId="0" shapeId="0">
      <text>
        <r>
          <rPr>
            <b/>
            <sz val="10"/>
            <color indexed="81"/>
            <rFont val="Calibri"/>
            <family val="2"/>
          </rPr>
          <t>Koen Oorts:</t>
        </r>
        <r>
          <rPr>
            <sz val="10"/>
            <color indexed="81"/>
            <rFont val="Calibri"/>
            <family val="2"/>
          </rPr>
          <t xml:space="preserve">
contribution kaolinite clay considered negligible</t>
        </r>
      </text>
    </comment>
    <comment ref="I955" authorId="0" shapeId="0">
      <text>
        <r>
          <rPr>
            <b/>
            <sz val="10"/>
            <color indexed="81"/>
            <rFont val="Calibri"/>
            <family val="2"/>
          </rPr>
          <t>Koen Oorts:</t>
        </r>
        <r>
          <rPr>
            <sz val="10"/>
            <color indexed="81"/>
            <rFont val="Calibri"/>
            <family val="2"/>
          </rPr>
          <t xml:space="preserve">
contribution kaolinite clay considered negligible</t>
        </r>
      </text>
    </comment>
    <comment ref="I956" authorId="0" shapeId="0">
      <text>
        <r>
          <rPr>
            <b/>
            <sz val="10"/>
            <color indexed="81"/>
            <rFont val="Calibri"/>
            <family val="2"/>
          </rPr>
          <t>Koen Oorts:</t>
        </r>
        <r>
          <rPr>
            <sz val="10"/>
            <color indexed="81"/>
            <rFont val="Calibri"/>
            <family val="2"/>
          </rPr>
          <t xml:space="preserve">
contribution kaolinite clay considered negligible</t>
        </r>
      </text>
    </comment>
    <comment ref="I957" authorId="0" shapeId="0">
      <text>
        <r>
          <rPr>
            <b/>
            <sz val="10"/>
            <color indexed="81"/>
            <rFont val="Calibri"/>
            <family val="2"/>
          </rPr>
          <t>Koen Oorts:</t>
        </r>
        <r>
          <rPr>
            <sz val="10"/>
            <color indexed="81"/>
            <rFont val="Calibri"/>
            <family val="2"/>
          </rPr>
          <t xml:space="preserve">
contribution kaolinite clay considered negligible</t>
        </r>
      </text>
    </comment>
    <comment ref="I960" authorId="0" shapeId="0">
      <text>
        <r>
          <rPr>
            <b/>
            <sz val="10"/>
            <color indexed="81"/>
            <rFont val="Calibri"/>
            <family val="2"/>
          </rPr>
          <t>Koen Oorts:</t>
        </r>
        <r>
          <rPr>
            <sz val="10"/>
            <color indexed="81"/>
            <rFont val="Calibri"/>
            <family val="2"/>
          </rPr>
          <t xml:space="preserve">
contribution kaolinite clay considered negligible</t>
        </r>
      </text>
    </comment>
    <comment ref="I961" authorId="0" shapeId="0">
      <text>
        <r>
          <rPr>
            <b/>
            <sz val="10"/>
            <color indexed="81"/>
            <rFont val="Calibri"/>
            <family val="2"/>
          </rPr>
          <t>Koen Oorts:</t>
        </r>
        <r>
          <rPr>
            <sz val="10"/>
            <color indexed="81"/>
            <rFont val="Calibri"/>
            <family val="2"/>
          </rPr>
          <t xml:space="preserve">
contribution kaolinite clay considered negligible</t>
        </r>
      </text>
    </comment>
    <comment ref="I962" authorId="0" shapeId="0">
      <text>
        <r>
          <rPr>
            <b/>
            <sz val="10"/>
            <color indexed="81"/>
            <rFont val="Calibri"/>
            <family val="2"/>
          </rPr>
          <t>Koen Oorts:</t>
        </r>
        <r>
          <rPr>
            <sz val="10"/>
            <color indexed="81"/>
            <rFont val="Calibri"/>
            <family val="2"/>
          </rPr>
          <t xml:space="preserve">
contribution kaolinite clay considered negligible</t>
        </r>
      </text>
    </comment>
    <comment ref="I973" authorId="0" shapeId="0">
      <text>
        <r>
          <rPr>
            <b/>
            <sz val="10"/>
            <color indexed="81"/>
            <rFont val="Calibri"/>
            <family val="2"/>
          </rPr>
          <t>Koen Oorts:</t>
        </r>
        <r>
          <rPr>
            <sz val="10"/>
            <color indexed="81"/>
            <rFont val="Calibri"/>
            <family val="2"/>
          </rPr>
          <t xml:space="preserve">
contribution kaolinite clay considered negligible</t>
        </r>
      </text>
    </comment>
    <comment ref="J974"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975"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978"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981"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982"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983"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984"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985"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987"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989"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13"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31"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32"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33"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34"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35"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55"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56"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57"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58"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59"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60"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61"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68"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69"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73"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74"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75"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76"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77"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78"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79"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84"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85"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 ref="J1086" authorId="0" shapeId="0">
      <text>
        <r>
          <rPr>
            <b/>
            <sz val="10"/>
            <color indexed="81"/>
            <rFont val="Calibri"/>
            <family val="2"/>
          </rPr>
          <t>Koen Oorts:</t>
        </r>
        <r>
          <rPr>
            <sz val="10"/>
            <color indexed="81"/>
            <rFont val="Calibri"/>
            <family val="2"/>
          </rPr>
          <t xml:space="preserve">
default background, estimated as median of all known Zn backgrounds in database</t>
        </r>
      </text>
    </comment>
  </commentList>
</comments>
</file>

<file path=xl/sharedStrings.xml><?xml version="1.0" encoding="utf-8"?>
<sst xmlns="http://schemas.openxmlformats.org/spreadsheetml/2006/main" count="8621" uniqueCount="481">
  <si>
    <t>generic aged</t>
  </si>
  <si>
    <t>corrected for site specific information</t>
  </si>
  <si>
    <t>Trophic level</t>
  </si>
  <si>
    <t>Species</t>
  </si>
  <si>
    <t>Endpoint</t>
  </si>
  <si>
    <t>pH</t>
  </si>
  <si>
    <t>%OM</t>
  </si>
  <si>
    <t>%OC</t>
  </si>
  <si>
    <t>%clay</t>
  </si>
  <si>
    <t>eCEC (cmolc/kg)</t>
  </si>
  <si>
    <t>Cb (mg/kg)</t>
  </si>
  <si>
    <t>Equilibration (days)</t>
  </si>
  <si>
    <t>Exposure time (days)</t>
  </si>
  <si>
    <t>NOEC or EC10 added</t>
  </si>
  <si>
    <t>NOEC or EC10 total</t>
  </si>
  <si>
    <t>Reference</t>
  </si>
  <si>
    <t>Slope1 added</t>
  </si>
  <si>
    <t>Soil property1</t>
  </si>
  <si>
    <t>Slope2 added</t>
  </si>
  <si>
    <t>Soil property2</t>
  </si>
  <si>
    <t>Slope1 total</t>
  </si>
  <si>
    <t>Slope2 total</t>
  </si>
  <si>
    <t>Geometric mean added</t>
  </si>
  <si>
    <t>Geometric mean total</t>
  </si>
  <si>
    <t>Minimum added</t>
  </si>
  <si>
    <t>Minimum total</t>
  </si>
  <si>
    <t>Ln(NOEC or EC10 add) generic all</t>
  </si>
  <si>
    <t>Ln(NOEC or EC10 total) generic all</t>
  </si>
  <si>
    <t>Ln(NOEC or EC10 add) generic aged all</t>
  </si>
  <si>
    <t>Ln(NOEC or EC10 total) generic aged all</t>
  </si>
  <si>
    <t>Ln(NOEC or EC10 add) soil species</t>
  </si>
  <si>
    <t>Ln(NOEC or EC10 total) soil species</t>
  </si>
  <si>
    <t>Ln(NOEC or EC10 add) soil all</t>
  </si>
  <si>
    <t>Ln(NOEC or EC10 total) soil all</t>
  </si>
  <si>
    <t>Copper</t>
  </si>
  <si>
    <t>Plants</t>
  </si>
  <si>
    <t>mortality</t>
  </si>
  <si>
    <t>log eCEC</t>
  </si>
  <si>
    <t>Fallopia convolvulus</t>
  </si>
  <si>
    <t>Avena sativa</t>
  </si>
  <si>
    <t>Lolium perenne</t>
  </si>
  <si>
    <t>Hordeum vulgare</t>
  </si>
  <si>
    <t>seedling emergence</t>
  </si>
  <si>
    <t>Senecio vulgaris</t>
  </si>
  <si>
    <t>reproduction</t>
  </si>
  <si>
    <t>Poa annua</t>
  </si>
  <si>
    <t xml:space="preserve">Andryala integrifolia </t>
  </si>
  <si>
    <t>Hypochoeris radicata</t>
  </si>
  <si>
    <t>Lycopersicon esculentum</t>
  </si>
  <si>
    <t>Invertebrates</t>
  </si>
  <si>
    <t>Cognettia sphagnetorum</t>
  </si>
  <si>
    <t>growth</t>
  </si>
  <si>
    <t>Eisenia andrei</t>
  </si>
  <si>
    <t>Eisenia fetida</t>
  </si>
  <si>
    <t>Lumbricus rubellus</t>
  </si>
  <si>
    <t>litter breakdown</t>
  </si>
  <si>
    <t>Plectus acuminatus</t>
  </si>
  <si>
    <t>Folsomia candida</t>
  </si>
  <si>
    <t>Folsomia fimetaria</t>
  </si>
  <si>
    <t>Hypoaspis aculeifer</t>
  </si>
  <si>
    <t>Isotoma viridis</t>
  </si>
  <si>
    <t>Platynothrus peltifer</t>
  </si>
  <si>
    <t>Microbial</t>
  </si>
  <si>
    <t>microbial biomass C</t>
  </si>
  <si>
    <t>log Organic C</t>
  </si>
  <si>
    <t>log Clay</t>
  </si>
  <si>
    <t>microbial biomass N</t>
  </si>
  <si>
    <t>substrate induced respiration</t>
  </si>
  <si>
    <t>respiration</t>
  </si>
  <si>
    <t>nitrification</t>
  </si>
  <si>
    <t>denitrification</t>
  </si>
  <si>
    <t>Nickel</t>
  </si>
  <si>
    <t>shoot yield</t>
  </si>
  <si>
    <t>Spinach</t>
  </si>
  <si>
    <t>yield</t>
  </si>
  <si>
    <t>Medicago sativa</t>
  </si>
  <si>
    <t>Raphanus sativus</t>
  </si>
  <si>
    <t>Allium cepa</t>
  </si>
  <si>
    <t>Trigonella poenumgraceum</t>
  </si>
  <si>
    <t>Lactuca sativa</t>
  </si>
  <si>
    <t>Zea mays</t>
  </si>
  <si>
    <t>Enchytraeus albidus</t>
  </si>
  <si>
    <t>Eisenia veneta</t>
  </si>
  <si>
    <t>ATP content</t>
  </si>
  <si>
    <t>urease</t>
  </si>
  <si>
    <t>phosphatase</t>
  </si>
  <si>
    <t>dehydrogenase</t>
  </si>
  <si>
    <t>saccharase</t>
  </si>
  <si>
    <t>protease</t>
  </si>
  <si>
    <t>Zinc</t>
  </si>
  <si>
    <t>Zea mais</t>
  </si>
  <si>
    <t>NOEC (EC26/3)</t>
  </si>
  <si>
    <t>MacLean, 1974</t>
  </si>
  <si>
    <t>NOEC</t>
  </si>
  <si>
    <t>Boawn and Rasmussen, 1971</t>
  </si>
  <si>
    <t>Sorghum bicolor var RS-626)</t>
  </si>
  <si>
    <t>Sorghum bicolor var XK-125)</t>
  </si>
  <si>
    <t>Triticum vulgare</t>
  </si>
  <si>
    <t>Pisum sativum (perfection)</t>
  </si>
  <si>
    <t>Spinacea oleracea</t>
  </si>
  <si>
    <t>Beta vulgaris</t>
  </si>
  <si>
    <t>De Haan et al., 1985</t>
  </si>
  <si>
    <t>NOEC (EC23/3)</t>
  </si>
  <si>
    <t>Luo and Rimmer, 1995</t>
  </si>
  <si>
    <t>EC10</t>
  </si>
  <si>
    <t>Aery and Jagetiya, 1997</t>
  </si>
  <si>
    <t>Dang et al., 1990</t>
  </si>
  <si>
    <t>Trigonella poenum graceum</t>
  </si>
  <si>
    <t>Vigna mungo L.</t>
  </si>
  <si>
    <t>Kalyanaraman and Sivagurunatham, 1993</t>
  </si>
  <si>
    <t>Trifolium pratense</t>
  </si>
  <si>
    <t>Van der Hoeven and Henzen, 1994</t>
  </si>
  <si>
    <t>Vicia sativa</t>
  </si>
  <si>
    <t>Brassica rapa</t>
  </si>
  <si>
    <t>first bloom</t>
  </si>
  <si>
    <t>maturity</t>
  </si>
  <si>
    <t>Sheppard et al., 1993</t>
  </si>
  <si>
    <t>Triticum aestivum</t>
  </si>
  <si>
    <t>Warne et al., 2008</t>
  </si>
  <si>
    <t>Aporrectodea caliginosa</t>
  </si>
  <si>
    <t>Khalil et al., 1996</t>
  </si>
  <si>
    <t>Spurgeon et al., 2000</t>
  </si>
  <si>
    <t>Van Gestel et al., 1993</t>
  </si>
  <si>
    <t>Spurgeon et al., 1997</t>
  </si>
  <si>
    <t>Spurgeon and Hopkin, 1995</t>
  </si>
  <si>
    <t>Spurgeon et al., 1994</t>
  </si>
  <si>
    <t>Spurgeon and Hopkin, 1996</t>
  </si>
  <si>
    <t>Lock et al., 2003</t>
  </si>
  <si>
    <t>Lock &amp; Janssen, 2001c</t>
  </si>
  <si>
    <t>Owojori et al., 2008</t>
  </si>
  <si>
    <t>Lock &amp; Janssen, 2002b</t>
  </si>
  <si>
    <t>Lumbricus terrestris</t>
  </si>
  <si>
    <t>Smit and Van Gestel, 1998</t>
  </si>
  <si>
    <t>Sandifer and Hopkin, 1996</t>
  </si>
  <si>
    <t>Van Gestel and Hensbergen</t>
  </si>
  <si>
    <t>leached</t>
  </si>
  <si>
    <t>Sandifer and Hopkin, 1997</t>
  </si>
  <si>
    <t>Smit &amp; Van Gestel, 1997</t>
  </si>
  <si>
    <t>Sinella curviseta</t>
  </si>
  <si>
    <t>Xu et al., 2009</t>
  </si>
  <si>
    <t>Premi and Cornfield, 1969</t>
  </si>
  <si>
    <t>log bg Zn</t>
  </si>
  <si>
    <t>N-mineralization</t>
  </si>
  <si>
    <t>Chang &amp; Broadbent, 1982</t>
  </si>
  <si>
    <t>NOEC (EC14/2)</t>
  </si>
  <si>
    <t>Liang and Tabatabai, 1977</t>
  </si>
  <si>
    <t>NOEC (EC12/2)</t>
  </si>
  <si>
    <t>NOEC (EC15/2)</t>
  </si>
  <si>
    <t>NOEC (EC30/3)</t>
  </si>
  <si>
    <t>Necker and Kunze, 1986</t>
  </si>
  <si>
    <t>Smolders et al., 2203</t>
  </si>
  <si>
    <t>Bollag and Barabasz, 1979</t>
  </si>
  <si>
    <t>De Brouwere et al., 2007</t>
  </si>
  <si>
    <t>NOEC (EC24/3)</t>
  </si>
  <si>
    <t>Liang and Tabatabai, 1978</t>
  </si>
  <si>
    <t>Wilson, 1977</t>
  </si>
  <si>
    <t>NOEC (LOEC/2)</t>
  </si>
  <si>
    <t>Smolders et al., 2003</t>
  </si>
  <si>
    <t>acetate mineralization</t>
  </si>
  <si>
    <t>Van Beelen et al., 1994b</t>
  </si>
  <si>
    <t>Notenboom &amp; Posthuma, 1995</t>
  </si>
  <si>
    <t>Notenboom &amp; Posthuma, 1994</t>
  </si>
  <si>
    <t>glucose mineralization</t>
  </si>
  <si>
    <t>Ohya et al., 1985</t>
  </si>
  <si>
    <t>Stadelman and Santschi-Fuhrimann, 1987</t>
  </si>
  <si>
    <t>NOEC (=LOEC/3)</t>
  </si>
  <si>
    <t>Chang &amp; Broadbent, 1981</t>
  </si>
  <si>
    <t>Lighthart et al., 1983</t>
  </si>
  <si>
    <t>Saviozzi et al., 1995</t>
  </si>
  <si>
    <t>Lahr et al., 2008</t>
  </si>
  <si>
    <t>Merckx et al., 2001</t>
  </si>
  <si>
    <t>basal respiration</t>
  </si>
  <si>
    <t>maize residue mineralization</t>
  </si>
  <si>
    <t>nitrate reductase</t>
  </si>
  <si>
    <t>Hemida et al., 1997</t>
  </si>
  <si>
    <t>amidase</t>
  </si>
  <si>
    <t>arylsulphatase</t>
  </si>
  <si>
    <t>30 min</t>
  </si>
  <si>
    <t>NOEC (EC20/2)</t>
  </si>
  <si>
    <t>Al-Khafaji and Tabatabai, 1979</t>
  </si>
  <si>
    <t>NOEC (EC17/2)</t>
  </si>
  <si>
    <t>Haanstra and Doelman, 1991</t>
  </si>
  <si>
    <t>Maliszewska et al., 1985</t>
  </si>
  <si>
    <t>Rogers and Li, 1985</t>
  </si>
  <si>
    <t>Doelman and Haanstra, 1989</t>
  </si>
  <si>
    <t>Juma and Tabatabai, 1977</t>
  </si>
  <si>
    <t>1 h</t>
  </si>
  <si>
    <t>Svenson, 1986</t>
  </si>
  <si>
    <t>phytase</t>
  </si>
  <si>
    <t>pyrophosphatase</t>
  </si>
  <si>
    <t>Stott et al., 1985</t>
  </si>
  <si>
    <t>Doelman and Haanstra, 1986</t>
  </si>
  <si>
    <t>Tabatabai, 1977</t>
  </si>
  <si>
    <t>Dendrobaena rubida</t>
  </si>
  <si>
    <t>Glucose induced respiration</t>
  </si>
  <si>
    <t>Cadmium</t>
  </si>
  <si>
    <t>Picea sitchensis</t>
  </si>
  <si>
    <t>Molybdenum</t>
  </si>
  <si>
    <t>Brassica napus</t>
  </si>
  <si>
    <t>Rothamsted Research, 2009</t>
  </si>
  <si>
    <t>root elongation</t>
  </si>
  <si>
    <t>invertebrates</t>
  </si>
  <si>
    <t>Enchytraeus crypticus</t>
  </si>
  <si>
    <t>Vrije Universiteit Amsterdam, 2009</t>
  </si>
  <si>
    <t>University of Leuven, 2009</t>
  </si>
  <si>
    <t>Cobalt</t>
  </si>
  <si>
    <t>Barley</t>
  </si>
  <si>
    <t>Li et al., 2009</t>
  </si>
  <si>
    <t>shoot dry weight</t>
  </si>
  <si>
    <t>Kapustka et al., 2006</t>
  </si>
  <si>
    <t>barley (Hordeum vulgare)</t>
  </si>
  <si>
    <t>Lock et al., 2007</t>
  </si>
  <si>
    <t>Mico et al., 2008</t>
  </si>
  <si>
    <t>Oil seed rape</t>
  </si>
  <si>
    <t>Tomato</t>
  </si>
  <si>
    <t>Velicogna et al., 2010</t>
  </si>
  <si>
    <t>Radish</t>
  </si>
  <si>
    <t>Red clover</t>
  </si>
  <si>
    <t>Northern Wheatgrass</t>
  </si>
  <si>
    <t>alfalfa</t>
  </si>
  <si>
    <t>Deschamphelaere et al., 2008</t>
  </si>
  <si>
    <t>Lock et al., 2004</t>
  </si>
  <si>
    <t>Nota et al., 2010</t>
  </si>
  <si>
    <t>reproduction (juvenile dry mass)</t>
  </si>
  <si>
    <t>Native biomass</t>
  </si>
  <si>
    <t>3-28</t>
  </si>
  <si>
    <t>Salpeteur et al., 2007</t>
  </si>
  <si>
    <t>Silver</t>
  </si>
  <si>
    <t>Brassica campestris</t>
  </si>
  <si>
    <t xml:space="preserve">da Rosa Corrêa et al., 2006 </t>
  </si>
  <si>
    <t>Burton et al., 1984</t>
  </si>
  <si>
    <t>Reber, 1989</t>
  </si>
  <si>
    <t>Bengtsson et al., 1986</t>
  </si>
  <si>
    <t>Crommentuijn et al., 1993</t>
  </si>
  <si>
    <t>van Gestel and van Diepen, 1997</t>
  </si>
  <si>
    <t>van Gestel and Hensbergen, 1997</t>
  </si>
  <si>
    <t>Onychiurus yodai</t>
  </si>
  <si>
    <t>Sinella umesaoi</t>
  </si>
  <si>
    <t>Enchytraeus cripticus</t>
  </si>
  <si>
    <t>Nakamori et al., 2008</t>
  </si>
  <si>
    <t>Bicho et al., 2015</t>
  </si>
  <si>
    <t>Dušek L, 1995</t>
  </si>
  <si>
    <t>Doelman and Haanstra, 1984</t>
  </si>
  <si>
    <t>Walter and Staelmann, 1979</t>
  </si>
  <si>
    <t>Haanstra and Doelman, 1984</t>
  </si>
  <si>
    <t>Slope3 added</t>
  </si>
  <si>
    <t>Slope3 total</t>
  </si>
  <si>
    <t>Schlich et al. 2013</t>
  </si>
  <si>
    <t>CSIRO, 2013</t>
  </si>
  <si>
    <t>growth (dry weight)</t>
  </si>
  <si>
    <t>AECOM 2011. Effects of Silver Nitrate in Artificial Soil on Emergence, Survival, and Growth of Rye Grass (Lolium perenne) Seedlings.</t>
  </si>
  <si>
    <t>growth (wet weight)</t>
  </si>
  <si>
    <t>nd</t>
  </si>
  <si>
    <t>Shoults-Wilson et al. 2011</t>
  </si>
  <si>
    <t>Ortiz and Lahive. NERC</t>
  </si>
  <si>
    <t>survival</t>
  </si>
  <si>
    <t>Gestel &amp; Waalewijn-Kool. Summary Toxicity test with AgNO3 and the soil organism Folsomia candida. VU University Amsterdam</t>
  </si>
  <si>
    <t>Porcellionides pruinosus</t>
  </si>
  <si>
    <t>biomass</t>
  </si>
  <si>
    <t>REACH/Nanofate Isopod testing/unpublished data, EC10 value selected</t>
  </si>
  <si>
    <t>Microorganisms</t>
  </si>
  <si>
    <t>Potential ammonium
oxidation</t>
  </si>
  <si>
    <t>NO3 prod</t>
  </si>
  <si>
    <t>silver</t>
  </si>
  <si>
    <t xml:space="preserve">Hordeum vulgare </t>
  </si>
  <si>
    <t>roots</t>
  </si>
  <si>
    <t>shoots</t>
  </si>
  <si>
    <t>emergence</t>
  </si>
  <si>
    <t>shoot wet weight</t>
  </si>
  <si>
    <t>shoots length</t>
  </si>
  <si>
    <t>shoots dry weight</t>
  </si>
  <si>
    <t>shoots wet weight</t>
  </si>
  <si>
    <t>Lycopersicum esculentum</t>
  </si>
  <si>
    <t>biomass/1 month aged soil</t>
  </si>
  <si>
    <t>biomass/12 months aged soil</t>
  </si>
  <si>
    <t>height</t>
  </si>
  <si>
    <t>height/1 month aged soil</t>
  </si>
  <si>
    <t>height/12 months aged soil</t>
  </si>
  <si>
    <t>weight</t>
  </si>
  <si>
    <t>Phaseolus radiatus</t>
  </si>
  <si>
    <t>Lee et al., 2012</t>
  </si>
  <si>
    <t>Sorghum bicolor</t>
  </si>
  <si>
    <t>Triricum aestivum</t>
  </si>
  <si>
    <t>Shtangeeva et al. 2011?</t>
  </si>
  <si>
    <t>log OC</t>
  </si>
  <si>
    <t>log pH</t>
  </si>
  <si>
    <t>Soil property3</t>
  </si>
  <si>
    <t>log clay</t>
  </si>
  <si>
    <t>Criterion</t>
  </si>
  <si>
    <t>Glycine max</t>
  </si>
  <si>
    <t>NR</t>
  </si>
  <si>
    <t>Wang and Liu, 1999</t>
  </si>
  <si>
    <t>7 days</t>
  </si>
  <si>
    <t>Smolders et al., 2011</t>
  </si>
  <si>
    <t>5 months</t>
  </si>
  <si>
    <t>Panicum virgatum</t>
  </si>
  <si>
    <t>3 days</t>
  </si>
  <si>
    <t>28-35 days</t>
  </si>
  <si>
    <t>Smith et al., 2014</t>
  </si>
  <si>
    <t>Prunella vulgaris</t>
  </si>
  <si>
    <t>Elymus virginicus</t>
  </si>
  <si>
    <t>Lycopus americanus</t>
  </si>
  <si>
    <t>Lanno et al., 2012</t>
  </si>
  <si>
    <t>potential nitrification rate</t>
  </si>
  <si>
    <t>glucose induced respiration</t>
  </si>
  <si>
    <t>Vanadium</t>
  </si>
  <si>
    <t>Antimony</t>
  </si>
  <si>
    <t>Oorts et al., 2008</t>
  </si>
  <si>
    <t xml:space="preserve">Moser, 2007 </t>
  </si>
  <si>
    <t>total Sb in soil, corrected for complete dissolution of Sb2O3 in soil</t>
  </si>
  <si>
    <t>Site-specifc soil properties</t>
  </si>
  <si>
    <t>Fallopia convolvulus (Polygonum convolvulus)</t>
  </si>
  <si>
    <t>yield (shoot)</t>
  </si>
  <si>
    <t>yield (reproductive dry matter)</t>
  </si>
  <si>
    <t>yield (seed biomass)</t>
  </si>
  <si>
    <t>7, 35, 84</t>
  </si>
  <si>
    <t>yield (root)</t>
  </si>
  <si>
    <t>7, 35, 85</t>
  </si>
  <si>
    <t>yield (grain)</t>
  </si>
  <si>
    <t>yield (root length)</t>
  </si>
  <si>
    <t>LC10</t>
  </si>
  <si>
    <t>reproduction (number of plants that set seed)</t>
  </si>
  <si>
    <t>yield (number of seeds)</t>
  </si>
  <si>
    <t>21 (after emergence)</t>
  </si>
  <si>
    <t>reproduction (cocoon production)</t>
  </si>
  <si>
    <t>growth (P-generation)</t>
  </si>
  <si>
    <t>growth (F-generation)</t>
  </si>
  <si>
    <t>reproduction (fragmentation)</t>
  </si>
  <si>
    <t>reproduction (number of juveniles)</t>
  </si>
  <si>
    <t>NOEC estimated</t>
  </si>
  <si>
    <t>reproduction (juveniles from F1 generation)</t>
  </si>
  <si>
    <t>5h</t>
  </si>
  <si>
    <t>mortality (juveniles)</t>
  </si>
  <si>
    <t>mortality (overall)</t>
  </si>
  <si>
    <t>mortality (females)</t>
  </si>
  <si>
    <t>mortality (males)</t>
  </si>
  <si>
    <t>growth (males)</t>
  </si>
  <si>
    <t>growth (females)</t>
  </si>
  <si>
    <t>growth (juveniles)</t>
  </si>
  <si>
    <t>growth (overall)</t>
  </si>
  <si>
    <t>overall for 1, 7, 35 and 84 days</t>
  </si>
  <si>
    <t>native soil dwelling microorganisms</t>
  </si>
  <si>
    <t>glutamic acid induced respiration</t>
  </si>
  <si>
    <t>490 (incubated in closed pots, no trend in toxicity with time)</t>
  </si>
  <si>
    <t>42-70</t>
  </si>
  <si>
    <t>301 (incubated in closed pots, no trend in toxicity with time)</t>
  </si>
  <si>
    <t>574 (incubated in closed pots, no trend in toxicity with time)</t>
  </si>
  <si>
    <t>substrate (soybean straw) induced respiration</t>
  </si>
  <si>
    <t>substrate (sewage sludge + ground alfalfa) induced respiration</t>
  </si>
  <si>
    <t>N-mineralization (nitrate-N)</t>
  </si>
  <si>
    <t>N-mineralization (ammonium-N + nitrate-N)</t>
  </si>
  <si>
    <t>N-mineralization (total mineral N)</t>
  </si>
  <si>
    <t>ammonification (aerobic)</t>
  </si>
  <si>
    <t>yield (straw)</t>
  </si>
  <si>
    <t>to maturity</t>
  </si>
  <si>
    <t>yield (tops)</t>
  </si>
  <si>
    <t>4-14</t>
  </si>
  <si>
    <t>42-56</t>
  </si>
  <si>
    <t>yield (leaves)</t>
  </si>
  <si>
    <t>Aspergillus flavipes</t>
  </si>
  <si>
    <t>hyphal growth</t>
  </si>
  <si>
    <t>Aspergillus flavus</t>
  </si>
  <si>
    <t>Aspergillus clavatus</t>
  </si>
  <si>
    <t>Aspergillus niger</t>
  </si>
  <si>
    <t>Penicillium vermiculatum</t>
  </si>
  <si>
    <t>Rhizopus stolonifer</t>
  </si>
  <si>
    <t>Trichoderma viride</t>
  </si>
  <si>
    <t>Gliocladium sp.</t>
  </si>
  <si>
    <t>Serratia marcescens</t>
  </si>
  <si>
    <t>colony count</t>
  </si>
  <si>
    <t>Proteus vulgaris</t>
  </si>
  <si>
    <t>Bacillus cereus</t>
  </si>
  <si>
    <t>Nocardia rhodochrous</t>
  </si>
  <si>
    <t>Rhodotorula rubra</t>
  </si>
  <si>
    <t>560 (incubated in closed pots, no trend in toxicity with time)</t>
  </si>
  <si>
    <t>8-9y</t>
  </si>
  <si>
    <t>1h</t>
  </si>
  <si>
    <t>2h</t>
  </si>
  <si>
    <t>to bud stage</t>
  </si>
  <si>
    <t>substrate (alder leaves) induced respiration</t>
  </si>
  <si>
    <t>decomposition of dissolved organic carbon</t>
  </si>
  <si>
    <t>phosphatase (acid)</t>
  </si>
  <si>
    <t>phosphatase (alkaline)</t>
  </si>
  <si>
    <t>yield (total plant)</t>
  </si>
  <si>
    <t>yield (shoot length)</t>
  </si>
  <si>
    <t>substrate ((NH4)2SO4) induced nitrification</t>
  </si>
  <si>
    <t>denitrification (N2 production)</t>
  </si>
  <si>
    <t>substrate (NH4Cl) induced nitrification</t>
  </si>
  <si>
    <t>reproduction (hatching succes)</t>
  </si>
  <si>
    <t>reproduction (number of offspring)</t>
  </si>
  <si>
    <t>growth (fresh weight)</t>
  </si>
  <si>
    <r>
      <t>EC10</t>
    </r>
    <r>
      <rPr>
        <vertAlign val="subscript"/>
        <sz val="10"/>
        <color theme="1"/>
        <rFont val="Calibri"/>
        <family val="2"/>
        <scheme val="minor"/>
      </rPr>
      <t>y(g)</t>
    </r>
  </si>
  <si>
    <r>
      <t>EC10</t>
    </r>
    <r>
      <rPr>
        <vertAlign val="subscript"/>
        <sz val="10"/>
        <color theme="1"/>
        <rFont val="Calibri"/>
        <family val="2"/>
        <scheme val="minor"/>
      </rPr>
      <t>y(t)</t>
    </r>
  </si>
  <si>
    <r>
      <t>substrate ((NH</t>
    </r>
    <r>
      <rPr>
        <vertAlign val="subscript"/>
        <sz val="10"/>
        <color theme="1"/>
        <rFont val="Calibri"/>
        <family val="2"/>
        <scheme val="minor"/>
      </rPr>
      <t>4</t>
    </r>
    <r>
      <rPr>
        <sz val="10"/>
        <color theme="1"/>
        <rFont val="Calibri"/>
        <family val="2"/>
        <scheme val="minor"/>
      </rPr>
      <t>)</t>
    </r>
    <r>
      <rPr>
        <vertAlign val="subscript"/>
        <sz val="10"/>
        <color theme="1"/>
        <rFont val="Calibri"/>
        <family val="2"/>
        <scheme val="minor"/>
      </rPr>
      <t>2</t>
    </r>
    <r>
      <rPr>
        <sz val="10"/>
        <color theme="1"/>
        <rFont val="Calibri"/>
        <family val="2"/>
        <scheme val="minor"/>
      </rPr>
      <t>SO</t>
    </r>
    <r>
      <rPr>
        <vertAlign val="subscript"/>
        <sz val="10"/>
        <color theme="1"/>
        <rFont val="Calibri"/>
        <family val="2"/>
        <scheme val="minor"/>
      </rPr>
      <t>4</t>
    </r>
    <r>
      <rPr>
        <sz val="10"/>
        <color theme="1"/>
        <rFont val="Calibri"/>
        <family val="2"/>
        <scheme val="minor"/>
      </rPr>
      <t>) induced nitrification</t>
    </r>
  </si>
  <si>
    <t>HC5 added</t>
  </si>
  <si>
    <t>HC5 total</t>
  </si>
  <si>
    <t>lab-to-field factor</t>
  </si>
  <si>
    <t>k</t>
  </si>
  <si>
    <t>HC5-50 added</t>
  </si>
  <si>
    <t>HC5-50 total</t>
  </si>
  <si>
    <t># data in SSD</t>
  </si>
  <si>
    <t>Element</t>
  </si>
  <si>
    <t>Generic SSV</t>
  </si>
  <si>
    <t>Normalised SSV</t>
  </si>
  <si>
    <t>generic</t>
  </si>
  <si>
    <t>HC5 generic</t>
  </si>
  <si>
    <t>Toxicity data</t>
  </si>
  <si>
    <t>Assessment factor</t>
  </si>
  <si>
    <t>total</t>
  </si>
  <si>
    <t>added</t>
  </si>
  <si>
    <t>added or total approach</t>
  </si>
  <si>
    <t>HC5 generic, aged</t>
  </si>
  <si>
    <t>HC5 aged and normalised</t>
  </si>
  <si>
    <t>SSV generic</t>
  </si>
  <si>
    <t>SSV generic aged</t>
  </si>
  <si>
    <t>SSV aged and normalised</t>
  </si>
  <si>
    <t>Bioavailbility corrections</t>
  </si>
  <si>
    <t>Summary</t>
  </si>
  <si>
    <t>Information required for</t>
  </si>
  <si>
    <t># toxicity data</t>
  </si>
  <si>
    <t>clay</t>
  </si>
  <si>
    <t>eCEC</t>
  </si>
  <si>
    <t>background Zn</t>
  </si>
  <si>
    <t>% clay</t>
  </si>
  <si>
    <t>cmolc/kg</t>
  </si>
  <si>
    <t>mg/kg</t>
  </si>
  <si>
    <t>background V</t>
  </si>
  <si>
    <t>selected soil properties used for calculations</t>
  </si>
  <si>
    <t>Organic carbon</t>
  </si>
  <si>
    <t>% OC</t>
  </si>
  <si>
    <t>Soil Screening Values for Trace Elements</t>
  </si>
  <si>
    <t>Corrections for ageing, leaching and bioavailability</t>
  </si>
  <si>
    <t>Enter measured soil properties</t>
  </si>
  <si>
    <t>Organic matter</t>
  </si>
  <si>
    <t>% OM</t>
  </si>
  <si>
    <t>Copper, molybdenum, silver and zinc</t>
  </si>
  <si>
    <t>Copper and silver</t>
  </si>
  <si>
    <t>Copper, molybdenum, and silver</t>
  </si>
  <si>
    <t>Cobalt, copper, nickel, silver and zinc</t>
  </si>
  <si>
    <t>Vanadium (added risk approach)</t>
  </si>
  <si>
    <t>Zinc (added risk approach)</t>
  </si>
  <si>
    <t>Site-Specific Soil Screening Values (SSV)</t>
  </si>
  <si>
    <t>-</t>
  </si>
  <si>
    <r>
      <t>Antimony, mg kg</t>
    </r>
    <r>
      <rPr>
        <vertAlign val="superscript"/>
        <sz val="11"/>
        <rFont val="Arial"/>
        <family val="2"/>
      </rPr>
      <t>-1</t>
    </r>
    <r>
      <rPr>
        <sz val="11"/>
        <rFont val="Arial"/>
        <family val="2"/>
      </rPr>
      <t xml:space="preserve"> DW</t>
    </r>
  </si>
  <si>
    <r>
      <t>Cadmium, mg kg</t>
    </r>
    <r>
      <rPr>
        <vertAlign val="superscript"/>
        <sz val="11"/>
        <rFont val="Arial"/>
        <family val="2"/>
      </rPr>
      <t>-1</t>
    </r>
    <r>
      <rPr>
        <sz val="11"/>
        <rFont val="Arial"/>
        <family val="2"/>
      </rPr>
      <t xml:space="preserve"> DW</t>
    </r>
  </si>
  <si>
    <r>
      <t>Cobalt, mg kg</t>
    </r>
    <r>
      <rPr>
        <vertAlign val="superscript"/>
        <sz val="11"/>
        <rFont val="Arial"/>
        <family val="2"/>
      </rPr>
      <t>-1</t>
    </r>
    <r>
      <rPr>
        <sz val="11"/>
        <rFont val="Arial"/>
        <family val="2"/>
      </rPr>
      <t xml:space="preserve"> DW</t>
    </r>
  </si>
  <si>
    <r>
      <t>Copper, mg kg</t>
    </r>
    <r>
      <rPr>
        <vertAlign val="superscript"/>
        <sz val="11"/>
        <rFont val="Arial"/>
        <family val="2"/>
      </rPr>
      <t>-1</t>
    </r>
    <r>
      <rPr>
        <sz val="11"/>
        <rFont val="Arial"/>
        <family val="2"/>
      </rPr>
      <t xml:space="preserve"> DW</t>
    </r>
  </si>
  <si>
    <r>
      <t>Molybdenum, mg kg</t>
    </r>
    <r>
      <rPr>
        <vertAlign val="superscript"/>
        <sz val="11"/>
        <rFont val="Arial"/>
        <family val="2"/>
      </rPr>
      <t>-1</t>
    </r>
    <r>
      <rPr>
        <sz val="11"/>
        <rFont val="Arial"/>
        <family val="2"/>
      </rPr>
      <t xml:space="preserve"> DW</t>
    </r>
  </si>
  <si>
    <r>
      <t>Nickel, mg kg</t>
    </r>
    <r>
      <rPr>
        <vertAlign val="superscript"/>
        <sz val="11"/>
        <rFont val="Arial"/>
        <family val="2"/>
      </rPr>
      <t>-1</t>
    </r>
    <r>
      <rPr>
        <sz val="11"/>
        <rFont val="Arial"/>
        <family val="2"/>
      </rPr>
      <t xml:space="preserve"> DW</t>
    </r>
  </si>
  <si>
    <r>
      <t>Silver, mg kg</t>
    </r>
    <r>
      <rPr>
        <vertAlign val="superscript"/>
        <sz val="11"/>
        <rFont val="Arial"/>
        <family val="2"/>
      </rPr>
      <t>-1</t>
    </r>
    <r>
      <rPr>
        <sz val="11"/>
        <rFont val="Arial"/>
        <family val="2"/>
      </rPr>
      <t xml:space="preserve"> DW</t>
    </r>
  </si>
  <si>
    <r>
      <t>Vanadium *, mg kg</t>
    </r>
    <r>
      <rPr>
        <vertAlign val="superscript"/>
        <sz val="11"/>
        <rFont val="Arial"/>
        <family val="2"/>
      </rPr>
      <t>-1</t>
    </r>
    <r>
      <rPr>
        <sz val="11"/>
        <rFont val="Arial"/>
        <family val="2"/>
      </rPr>
      <t xml:space="preserve"> DW</t>
    </r>
  </si>
  <si>
    <r>
      <t>Zinc *, mg kg</t>
    </r>
    <r>
      <rPr>
        <vertAlign val="superscript"/>
        <sz val="11"/>
        <rFont val="Arial"/>
        <family val="2"/>
      </rPr>
      <t>-1</t>
    </r>
    <r>
      <rPr>
        <sz val="11"/>
        <rFont val="Arial"/>
        <family val="2"/>
      </rPr>
      <t xml:space="preserve"> DW</t>
    </r>
  </si>
  <si>
    <t>* Added risk approach. A representative background concentration is added to the SSV for comparison with measured total metal concentrations in soil</t>
  </si>
  <si>
    <t>This spreadsheet has been developed on behalf of the Environment Agency by wca, ARCHE Consulting and Eurometaux. Version 1 (March 2017)</t>
  </si>
  <si>
    <r>
      <t xml:space="preserve">See the </t>
    </r>
    <r>
      <rPr>
        <i/>
        <sz val="10"/>
        <rFont val="Arial"/>
        <family val="2"/>
      </rPr>
      <t>Supporting Info</t>
    </r>
    <r>
      <rPr>
        <sz val="10"/>
        <rFont val="Arial"/>
        <family val="2"/>
        <charset val="204"/>
      </rPr>
      <t xml:space="preserve"> tab for further information on these soil properties and use of default values</t>
    </r>
  </si>
  <si>
    <t>but are shown in the table below for completeness.</t>
  </si>
  <si>
    <r>
      <t>Soil pH, by 0.01 M CaCl</t>
    </r>
    <r>
      <rPr>
        <vertAlign val="subscript"/>
        <sz val="11"/>
        <color theme="1"/>
        <rFont val="Arial"/>
        <family val="2"/>
      </rPr>
      <t>2</t>
    </r>
    <r>
      <rPr>
        <sz val="11"/>
        <color theme="1"/>
        <rFont val="Arial"/>
        <family val="2"/>
      </rPr>
      <t xml:space="preserve"> method</t>
    </r>
  </si>
  <si>
    <t>Organic matter content, wt %</t>
  </si>
  <si>
    <t>Clay content, wt %</t>
  </si>
  <si>
    <r>
      <t xml:space="preserve">Effective CEC </t>
    </r>
    <r>
      <rPr>
        <vertAlign val="superscript"/>
        <sz val="11"/>
        <color theme="1"/>
        <rFont val="Arial"/>
        <family val="2"/>
      </rPr>
      <t>#</t>
    </r>
    <r>
      <rPr>
        <sz val="11"/>
        <color theme="1"/>
        <rFont val="Arial"/>
        <family val="2"/>
      </rPr>
      <t>, cmol</t>
    </r>
    <r>
      <rPr>
        <vertAlign val="subscript"/>
        <sz val="11"/>
        <color theme="1"/>
        <rFont val="Arial"/>
        <family val="2"/>
      </rPr>
      <t xml:space="preserve">c </t>
    </r>
    <r>
      <rPr>
        <sz val="11"/>
        <color theme="1"/>
        <rFont val="Arial"/>
        <family val="2"/>
      </rPr>
      <t>kg</t>
    </r>
    <r>
      <rPr>
        <vertAlign val="superscript"/>
        <sz val="11"/>
        <color theme="1"/>
        <rFont val="Arial"/>
        <family val="2"/>
      </rPr>
      <t>-1</t>
    </r>
  </si>
  <si>
    <r>
      <t xml:space="preserve">Vanadium background concentration </t>
    </r>
    <r>
      <rPr>
        <vertAlign val="superscript"/>
        <sz val="11"/>
        <color theme="1"/>
        <rFont val="Arial"/>
        <family val="2"/>
      </rPr>
      <t>#</t>
    </r>
    <r>
      <rPr>
        <sz val="11"/>
        <color theme="1"/>
        <rFont val="Arial"/>
        <family val="2"/>
      </rPr>
      <t>, mg kg</t>
    </r>
    <r>
      <rPr>
        <vertAlign val="superscript"/>
        <sz val="11"/>
        <color theme="1"/>
        <rFont val="Arial"/>
        <family val="2"/>
      </rPr>
      <t>-1</t>
    </r>
    <r>
      <rPr>
        <sz val="11"/>
        <color theme="1"/>
        <rFont val="Arial"/>
        <family val="2"/>
      </rPr>
      <t xml:space="preserve"> DW</t>
    </r>
  </si>
  <si>
    <r>
      <t xml:space="preserve">Zinc background concentration </t>
    </r>
    <r>
      <rPr>
        <vertAlign val="superscript"/>
        <sz val="11"/>
        <color theme="1"/>
        <rFont val="Arial"/>
        <family val="2"/>
      </rPr>
      <t>#</t>
    </r>
    <r>
      <rPr>
        <sz val="11"/>
        <color theme="1"/>
        <rFont val="Arial"/>
        <family val="2"/>
      </rPr>
      <t>, mg kg</t>
    </r>
    <r>
      <rPr>
        <vertAlign val="superscript"/>
        <sz val="11"/>
        <color theme="1"/>
        <rFont val="Arial"/>
        <family val="2"/>
      </rPr>
      <t>-1</t>
    </r>
    <r>
      <rPr>
        <sz val="11"/>
        <color theme="1"/>
        <rFont val="Arial"/>
        <family val="2"/>
      </rPr>
      <t xml:space="preserve"> DW</t>
    </r>
  </si>
  <si>
    <r>
      <rPr>
        <vertAlign val="superscript"/>
        <sz val="10"/>
        <rFont val="Arial"/>
        <family val="2"/>
      </rPr>
      <t>#</t>
    </r>
    <r>
      <rPr>
        <sz val="10"/>
        <rFont val="Arial"/>
        <family val="2"/>
        <charset val="204"/>
      </rPr>
      <t xml:space="preserve"> If worksheet cell is left blank for these properties, a default value will be used (see </t>
    </r>
    <r>
      <rPr>
        <i/>
        <sz val="10"/>
        <rFont val="Arial"/>
        <family val="2"/>
      </rPr>
      <t>Supporting Info</t>
    </r>
    <r>
      <rPr>
        <sz val="10"/>
        <rFont val="Arial"/>
        <family val="2"/>
        <charset val="204"/>
      </rPr>
      <t xml:space="preserve"> tab)</t>
    </r>
  </si>
  <si>
    <t>Not all SSV for trace elements can be normalised to soil properties,</t>
  </si>
  <si>
    <t>Supporting Information</t>
  </si>
  <si>
    <t>Soil Properties</t>
  </si>
  <si>
    <r>
      <rPr>
        <b/>
        <sz val="10"/>
        <rFont val="Arial"/>
        <family val="2"/>
      </rPr>
      <t>Organic matter content</t>
    </r>
    <r>
      <rPr>
        <sz val="10"/>
        <rFont val="Arial"/>
        <family val="2"/>
        <charset val="204"/>
      </rPr>
      <t xml:space="preserve"> (wt %): as determined by, for example, a dry combustion method.  When only information on the soil organic carbon (SOC) content is available, the soil organic carbon (SOM) content can be calculated as follows: % SOM = %SOC / 0.58.
</t>
    </r>
  </si>
  <si>
    <r>
      <rPr>
        <b/>
        <sz val="10"/>
        <rFont val="Arial"/>
        <family val="2"/>
      </rPr>
      <t>Clay content</t>
    </r>
    <r>
      <rPr>
        <sz val="10"/>
        <rFont val="Arial"/>
        <family val="2"/>
        <charset val="204"/>
      </rPr>
      <t xml:space="preserve"> (wt %): fraction of mineral soil particles &lt;2 μm,  as determined through sieving and sedimentation after a complete dispersion of the soil (for example, using ISO  11277:2009)
</t>
    </r>
  </si>
  <si>
    <t>References</t>
  </si>
  <si>
    <t>All soil properties are expressed on a dry weight (DW) basis.</t>
  </si>
  <si>
    <t>REIMANN, C., BIRKE, M., DEMETRIADES, A., FILZMOSER, P., O’CONNOR, P., 2014. Chemistry of Europe’s Agricultural Soils. Part A: Methodology and Interpretation of the GEMAS Data Set. Hannover, Germany: Bundesanstalt für Geowissenschaften und Rohstoffe (BGR).</t>
  </si>
  <si>
    <t>HELLING, C.S., CHESTER, H.G., and COREY, R.B., 1964. Contribution of organic matter and clay to soil cation exchange capacity as affected by the pH of the saturating solution. JOURNAL OF PROCEEDINGS OF THE AMERICAN SOIL SOCIETY, 28, 517 - 520.</t>
  </si>
  <si>
    <t>ENVIRONMENT AGENCY, 2017. Derivation and use of soil screening values for assessing ecological risks, Report – ShARE id26. Bristol: Environment Agency.</t>
  </si>
  <si>
    <r>
      <rPr>
        <b/>
        <sz val="10"/>
        <rFont val="Arial"/>
        <family val="2"/>
      </rPr>
      <t>Background vanadium and zinc soil content</t>
    </r>
    <r>
      <rPr>
        <sz val="10"/>
        <rFont val="Arial"/>
        <family val="2"/>
        <charset val="204"/>
      </rPr>
      <t xml:space="preserve"> (mg kg</t>
    </r>
    <r>
      <rPr>
        <vertAlign val="superscript"/>
        <sz val="10"/>
        <rFont val="Arial"/>
        <family val="2"/>
      </rPr>
      <t>-1</t>
    </r>
    <r>
      <rPr>
        <sz val="10"/>
        <rFont val="Arial"/>
        <family val="2"/>
        <charset val="204"/>
      </rPr>
      <t xml:space="preserve"> DW</t>
    </r>
    <r>
      <rPr>
        <vertAlign val="superscript"/>
        <sz val="10"/>
        <rFont val="Arial"/>
        <family val="2"/>
      </rPr>
      <t>)</t>
    </r>
    <r>
      <rPr>
        <sz val="10"/>
        <rFont val="Arial"/>
        <family val="2"/>
        <charset val="204"/>
      </rPr>
      <t>: the total or pseudo-total element concentration in an unpolluted reference soil with the same physico-chemical properties (as measured after digestion of the soil with aqua regia or similar strong acids, e.g. ISO 11466:1995).  According to Environment Agency (2017), the generic value is the 10th percentile of a suitable regional or national dataset.  If not measured, the generic values for vanadium of 17.0 mg kg</t>
    </r>
    <r>
      <rPr>
        <vertAlign val="superscript"/>
        <sz val="10"/>
        <rFont val="Arial"/>
        <family val="2"/>
      </rPr>
      <t>-1</t>
    </r>
    <r>
      <rPr>
        <sz val="10"/>
        <rFont val="Arial"/>
        <family val="2"/>
        <charset val="204"/>
      </rPr>
      <t xml:space="preserve"> DW and for zinc of 24.1 mg kg</t>
    </r>
    <r>
      <rPr>
        <vertAlign val="superscript"/>
        <sz val="10"/>
        <rFont val="Arial"/>
        <family val="2"/>
      </rPr>
      <t>-1</t>
    </r>
    <r>
      <rPr>
        <sz val="10"/>
        <rFont val="Arial"/>
        <family val="2"/>
        <charset val="204"/>
      </rPr>
      <t xml:space="preserve"> DW are used in the spreadsheet calculations (UK GEMAS dataset for arable and pasture soils, Reimann </t>
    </r>
    <r>
      <rPr>
        <i/>
        <sz val="10"/>
        <rFont val="Arial"/>
        <family val="2"/>
      </rPr>
      <t>et al</t>
    </r>
    <r>
      <rPr>
        <sz val="10"/>
        <rFont val="Arial"/>
        <family val="2"/>
        <charset val="204"/>
      </rPr>
      <t xml:space="preserve">. 2014). 
</t>
    </r>
  </si>
  <si>
    <r>
      <rPr>
        <b/>
        <sz val="10"/>
        <rFont val="Arial"/>
        <family val="2"/>
      </rPr>
      <t>pH</t>
    </r>
    <r>
      <rPr>
        <sz val="10"/>
        <rFont val="Arial"/>
        <family val="2"/>
        <charset val="204"/>
      </rPr>
      <t>: measured in a 0.01 M CaCl</t>
    </r>
    <r>
      <rPr>
        <vertAlign val="subscript"/>
        <sz val="10"/>
        <rFont val="Arial"/>
        <family val="2"/>
      </rPr>
      <t>2</t>
    </r>
    <r>
      <rPr>
        <sz val="10"/>
        <rFont val="Arial"/>
        <family val="2"/>
        <charset val="204"/>
      </rPr>
      <t xml:space="preserve"> soil suspension
</t>
    </r>
  </si>
  <si>
    <r>
      <t>Predicted effective CEC, cmol</t>
    </r>
    <r>
      <rPr>
        <vertAlign val="subscript"/>
        <sz val="10"/>
        <rFont val="Arial"/>
        <family val="2"/>
      </rPr>
      <t>c</t>
    </r>
    <r>
      <rPr>
        <sz val="10"/>
        <rFont val="Arial"/>
        <family val="2"/>
        <charset val="204"/>
      </rPr>
      <t xml:space="preserve"> kg</t>
    </r>
    <r>
      <rPr>
        <vertAlign val="superscript"/>
        <sz val="10"/>
        <rFont val="Arial"/>
        <family val="2"/>
      </rPr>
      <t xml:space="preserve">-1  </t>
    </r>
  </si>
  <si>
    <r>
      <rPr>
        <b/>
        <sz val="10"/>
        <rFont val="Arial"/>
        <family val="2"/>
      </rPr>
      <t>Effective Cation Exchange Capacity</t>
    </r>
    <r>
      <rPr>
        <sz val="10"/>
        <rFont val="Arial"/>
        <family val="2"/>
        <charset val="204"/>
      </rPr>
      <t xml:space="preserve"> (eCEC, cmol</t>
    </r>
    <r>
      <rPr>
        <vertAlign val="subscript"/>
        <sz val="10"/>
        <rFont val="Arial"/>
        <family val="2"/>
      </rPr>
      <t>c</t>
    </r>
    <r>
      <rPr>
        <sz val="10"/>
        <rFont val="Arial"/>
        <family val="2"/>
        <charset val="204"/>
      </rPr>
      <t xml:space="preserve"> kg</t>
    </r>
    <r>
      <rPr>
        <vertAlign val="superscript"/>
        <sz val="10"/>
        <rFont val="Arial"/>
        <family val="2"/>
      </rPr>
      <t>-1</t>
    </r>
    <r>
      <rPr>
        <sz val="10"/>
        <rFont val="Arial"/>
        <family val="2"/>
        <charset val="204"/>
      </rPr>
      <t xml:space="preserve">): CEC measured at prevailing pH of the soil (as opposed to the CEC measured at a buffered pH value, usually pH 7.0). If not measured, the eCEC used in the spreadsheet calculations is predicted based on data for pH, clay and organic carbon (OC) content of the soil using the following equation (Helling </t>
    </r>
    <r>
      <rPr>
        <i/>
        <sz val="10"/>
        <rFont val="Arial"/>
        <family val="2"/>
      </rPr>
      <t>et al</t>
    </r>
    <r>
      <rPr>
        <sz val="10"/>
        <rFont val="Arial"/>
        <family val="2"/>
        <charset val="204"/>
      </rPr>
      <t>. 1964): eCEC (cmol</t>
    </r>
    <r>
      <rPr>
        <vertAlign val="subscript"/>
        <sz val="10"/>
        <rFont val="Arial"/>
        <family val="2"/>
      </rPr>
      <t>c</t>
    </r>
    <r>
      <rPr>
        <sz val="10"/>
        <rFont val="Arial"/>
        <family val="2"/>
        <charset val="204"/>
      </rPr>
      <t xml:space="preserve"> kg</t>
    </r>
    <r>
      <rPr>
        <vertAlign val="superscript"/>
        <sz val="10"/>
        <rFont val="Arial"/>
        <family val="2"/>
      </rPr>
      <t>-1</t>
    </r>
    <r>
      <rPr>
        <sz val="10"/>
        <rFont val="Arial"/>
        <family val="2"/>
        <charset val="204"/>
      </rPr>
      <t xml:space="preserve">) =  (30 + 4.4 x pH) x %Clay/100 + (-59 + 51xpH) x %OC/100. The predicted value based on this equation is reported on the 'Intro' tab. 
</t>
    </r>
  </si>
  <si>
    <t xml:space="preserve">This SSV Spreadsheet Tool should be used only in conjunction with the Environment Agency's report on the 'Derivation and Use of Soil Screening Values for Assessing Ecological Risk' (Environment Agency 2017). Section 3.6 of that report highlights that soil properties may influence the potential environmental effects of some trace elements. Scientific research has shown that the influence of soils properties on the bioavailability and toxicity of these elements may be accounted for by using validated empirical relationships. In order to use some of the Soil Screening Values (SSV) for trace elements described in the main report as part of a risk assessment, it is necessary to adjust the SSV to take account of the site-specific soil properties.  These data needs are detailed below.  </t>
  </si>
  <si>
    <t>Study information</t>
  </si>
  <si>
    <r>
      <rPr>
        <sz val="10"/>
        <rFont val="Arial"/>
        <family val="2"/>
      </rPr>
      <t xml:space="preserve">Version 1.0, © </t>
    </r>
    <r>
      <rPr>
        <i/>
        <sz val="10"/>
        <rFont val="Arial"/>
        <family val="2"/>
      </rPr>
      <t>Environment Agency 2017</t>
    </r>
  </si>
  <si>
    <r>
      <t>This tool should only be used in conjunction with the Environment Agency report '</t>
    </r>
    <r>
      <rPr>
        <i/>
        <sz val="10"/>
        <rFont val="Arial"/>
        <family val="2"/>
      </rPr>
      <t>Derivation and use of soil screening values for assessing ecological risks, Report – ShARE id26</t>
    </r>
    <r>
      <rPr>
        <sz val="10"/>
        <rFont val="Arial"/>
        <family val="2"/>
      </rPr>
      <t xml:space="preserve">'.  This tool uses soil ecotoxicity data extracted from the REACH dossiers of the metals antimony, cadmium, cobalt, copper, molybdenum, nickel, silver, vanadium, and zinc (“the dataset”), which is the intellectual property of the International Antimony Association, the International Zinc Association, the Cobalt Development Institute, the European Copper Institute and the Copper REACH Consortium, the International Molybdenum Association, the Nickel Producers Environmental Research Association, the Precious Metals and Rhenium Consortium, and the Vanadium Consortium Associations (“the Associations”).  Permission has been granted by the Associations to the Environment Agency for use of the dataset within this Excel workbook.  Third parties shall not copy or change this dataset or use it for any other purpose without the express written permission of the Associations.  To the maximum extent permitted by law, the Associations hereby exclude all liability arising in contract or otherwise for any direct, indirect or consequential loss or damage sustained by any direct or indirect user of the dataset.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</si>
</sst>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50" x14ac:knownFonts="1">
    <font>
      <sz val="10"/>
      <name val="Tahoma"/>
    </font>
    <font>
      <sz val="12"/>
      <color theme="1"/>
      <name val="Calibri"/>
      <family val="2"/>
      <scheme val="minor"/>
    </font>
    <font>
      <sz val="12"/>
      <color theme="1"/>
      <name val="Calibri"/>
      <family val="2"/>
      <scheme val="minor"/>
    </font>
    <font>
      <sz val="12"/>
      <color theme="1"/>
      <name val="Calibri"/>
      <family val="2"/>
      <scheme val="minor"/>
    </font>
    <font>
      <sz val="10"/>
      <name val="Tahoma"/>
      <family val="2"/>
    </font>
    <font>
      <sz val="9"/>
      <name val="Tahoma"/>
      <family val="2"/>
    </font>
    <font>
      <b/>
      <sz val="8"/>
      <color indexed="81"/>
      <name val="Tahoma"/>
      <family val="2"/>
    </font>
    <font>
      <sz val="8"/>
      <color indexed="81"/>
      <name val="Tahoma"/>
      <family val="2"/>
    </font>
    <font>
      <sz val="10"/>
      <name val="Verdana"/>
      <family val="2"/>
    </font>
    <font>
      <b/>
      <sz val="10"/>
      <color indexed="81"/>
      <name val="Calibri"/>
      <family val="2"/>
    </font>
    <font>
      <sz val="10"/>
      <color indexed="81"/>
      <name val="Calibri"/>
      <family val="2"/>
    </font>
    <font>
      <sz val="10"/>
      <name val="Arial"/>
      <family val="2"/>
      <charset val="204"/>
    </font>
    <font>
      <b/>
      <sz val="10"/>
      <color theme="1"/>
      <name val="Arial"/>
      <family val="2"/>
    </font>
    <font>
      <sz val="12"/>
      <name val="Arial"/>
      <family val="2"/>
    </font>
    <font>
      <sz val="12"/>
      <color theme="1"/>
      <name val="Arial"/>
      <family val="2"/>
    </font>
    <font>
      <sz val="10"/>
      <name val="Calibri"/>
      <family val="2"/>
      <scheme val="minor"/>
    </font>
    <font>
      <sz val="11"/>
      <color rgb="FF9C65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vertAlign val="subscript"/>
      <sz val="10"/>
      <color theme="1"/>
      <name val="Calibri"/>
      <family val="2"/>
      <scheme val="minor"/>
    </font>
    <font>
      <b/>
      <sz val="12"/>
      <name val="Arial"/>
      <family val="2"/>
      <charset val="204"/>
    </font>
    <font>
      <b/>
      <sz val="12"/>
      <color theme="1"/>
      <name val="Calibri"/>
      <family val="2"/>
      <scheme val="minor"/>
    </font>
    <font>
      <b/>
      <sz val="10"/>
      <name val="Tahoma"/>
      <family val="2"/>
    </font>
    <font>
      <u/>
      <sz val="10"/>
      <color theme="10"/>
      <name val="Tahoma"/>
      <family val="2"/>
    </font>
    <font>
      <u/>
      <sz val="10"/>
      <color theme="11"/>
      <name val="Tahoma"/>
      <family val="2"/>
    </font>
    <font>
      <i/>
      <sz val="12"/>
      <color theme="1"/>
      <name val="Calibri"/>
      <family val="2"/>
      <scheme val="minor"/>
    </font>
    <font>
      <sz val="12"/>
      <name val="Tahoma"/>
      <family val="2"/>
    </font>
    <font>
      <sz val="12"/>
      <name val="Calibri"/>
      <family val="2"/>
      <scheme val="minor"/>
    </font>
    <font>
      <b/>
      <sz val="14"/>
      <color theme="1"/>
      <name val="Calibri"/>
      <family val="2"/>
      <scheme val="minor"/>
    </font>
    <font>
      <sz val="18"/>
      <name val="Arial"/>
      <family val="2"/>
    </font>
    <font>
      <b/>
      <sz val="11"/>
      <name val="Arial"/>
      <family val="2"/>
      <charset val="204"/>
    </font>
    <font>
      <i/>
      <sz val="10"/>
      <name val="Arial"/>
      <family val="2"/>
    </font>
    <font>
      <sz val="10"/>
      <name val="Arial"/>
      <family val="2"/>
    </font>
    <font>
      <vertAlign val="superscript"/>
      <sz val="10"/>
      <name val="Arial"/>
      <family val="2"/>
    </font>
    <font>
      <sz val="9"/>
      <name val="Arial"/>
      <family val="2"/>
    </font>
    <font>
      <sz val="11"/>
      <name val="Arial"/>
      <family val="2"/>
    </font>
    <font>
      <vertAlign val="superscript"/>
      <sz val="11"/>
      <name val="Arial"/>
      <family val="2"/>
    </font>
    <font>
      <sz val="11"/>
      <color theme="1"/>
      <name val="Arial"/>
      <family val="2"/>
    </font>
    <font>
      <vertAlign val="subscript"/>
      <sz val="11"/>
      <color theme="1"/>
      <name val="Arial"/>
      <family val="2"/>
    </font>
    <font>
      <sz val="11"/>
      <name val="Tahoma"/>
      <family val="2"/>
    </font>
    <font>
      <sz val="11"/>
      <name val="Arial"/>
      <family val="2"/>
      <charset val="204"/>
    </font>
    <font>
      <vertAlign val="superscript"/>
      <sz val="11"/>
      <color theme="1"/>
      <name val="Arial"/>
      <family val="2"/>
    </font>
    <font>
      <i/>
      <sz val="9"/>
      <name val="Arial"/>
      <family val="2"/>
    </font>
    <font>
      <sz val="8"/>
      <name val="Arial"/>
      <family val="2"/>
    </font>
    <font>
      <sz val="8"/>
      <name val="Tahoma"/>
      <family val="2"/>
    </font>
    <font>
      <b/>
      <sz val="12"/>
      <name val="Arial"/>
      <family val="2"/>
    </font>
    <font>
      <b/>
      <sz val="10"/>
      <name val="Arial"/>
      <family val="2"/>
    </font>
    <font>
      <sz val="10"/>
      <color rgb="FF000000"/>
      <name val="Arial"/>
      <family val="2"/>
    </font>
    <font>
      <vertAlign val="subscript"/>
      <sz val="10"/>
      <name val="Arial"/>
      <family val="2"/>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59996337778862885"/>
        <bgColor indexed="64"/>
      </patternFill>
    </fill>
  </fills>
  <borders count="43">
    <border>
      <left/>
      <right/>
      <top/>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auto="1"/>
      </bottom>
      <diagonal/>
    </border>
    <border>
      <left style="thin">
        <color theme="0" tint="-0.14990691854609822"/>
      </left>
      <right style="thin">
        <color theme="0" tint="-0.14990691854609822"/>
      </right>
      <top/>
      <bottom style="thin">
        <color theme="0" tint="-0.14990691854609822"/>
      </bottom>
      <diagonal/>
    </border>
    <border>
      <left style="thin">
        <color theme="0" tint="-0.14990691854609822"/>
      </left>
      <right style="thin">
        <color theme="0" tint="-0.14990691854609822"/>
      </right>
      <top style="thin">
        <color auto="1"/>
      </top>
      <bottom style="thin">
        <color auto="1"/>
      </bottom>
      <diagonal/>
    </border>
    <border>
      <left/>
      <right/>
      <top/>
      <bottom style="double">
        <color auto="1"/>
      </bottom>
      <diagonal/>
    </border>
    <border>
      <left/>
      <right/>
      <top style="thin">
        <color auto="1"/>
      </top>
      <bottom style="double">
        <color auto="1"/>
      </bottom>
      <diagonal/>
    </border>
    <border>
      <left style="thin">
        <color auto="1"/>
      </left>
      <right/>
      <top/>
      <bottom style="thin">
        <color auto="1"/>
      </bottom>
      <diagonal/>
    </border>
    <border>
      <left/>
      <right/>
      <top style="thin">
        <color auto="1"/>
      </top>
      <bottom style="medium">
        <color auto="1"/>
      </bottom>
      <diagonal/>
    </border>
    <border>
      <left style="thin">
        <color theme="0" tint="-0.14990691854609822"/>
      </left>
      <right style="thin">
        <color theme="0" tint="-0.14990691854609822"/>
      </right>
      <top style="thin">
        <color auto="1"/>
      </top>
      <bottom style="double">
        <color auto="1"/>
      </bottom>
      <diagonal/>
    </border>
    <border>
      <left style="thin">
        <color theme="0" tint="-0.14990691854609822"/>
      </left>
      <right style="thin">
        <color theme="0" tint="-0.14990691854609822"/>
      </right>
      <top style="thin">
        <color theme="0" tint="-0.14990691854609822"/>
      </top>
      <bottom style="double">
        <color auto="1"/>
      </bottom>
      <diagonal/>
    </border>
    <border>
      <left style="thin">
        <color theme="0" tint="-0.14990691854609822"/>
      </left>
      <right style="thin">
        <color theme="0" tint="-0.14990691854609822"/>
      </right>
      <top/>
      <bottom style="medium">
        <color auto="1"/>
      </bottom>
      <diagonal/>
    </border>
    <border>
      <left style="thin">
        <color theme="0" tint="-0.14990691854609822"/>
      </left>
      <right style="thin">
        <color theme="0" tint="-0.14990691854609822"/>
      </right>
      <top style="thin">
        <color theme="0" tint="-0.14990691854609822"/>
      </top>
      <bottom style="medium">
        <color auto="1"/>
      </bottom>
      <diagonal/>
    </border>
    <border>
      <left/>
      <right/>
      <top style="double">
        <color auto="1"/>
      </top>
      <bottom style="double">
        <color auto="1"/>
      </bottom>
      <diagonal/>
    </border>
    <border>
      <left/>
      <right/>
      <top style="double">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s>
  <cellStyleXfs count="7">
    <xf numFmtId="0" fontId="0" fillId="0" borderId="0"/>
    <xf numFmtId="0" fontId="4" fillId="0" borderId="0"/>
    <xf numFmtId="0" fontId="8" fillId="0" borderId="0"/>
    <xf numFmtId="0" fontId="5" fillId="0" borderId="0"/>
    <xf numFmtId="0" fontId="16" fillId="3" borderId="0" applyNumberFormat="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784">
    <xf numFmtId="0" fontId="0" fillId="0" borderId="0" xfId="0"/>
    <xf numFmtId="0" fontId="30" fillId="2" borderId="0" xfId="0" applyFont="1" applyFill="1" applyAlignment="1">
      <alignment vertical="top"/>
    </xf>
    <xf numFmtId="0" fontId="33" fillId="0" borderId="0" xfId="0" applyFont="1" applyAlignment="1">
      <alignment vertical="top"/>
    </xf>
    <xf numFmtId="0" fontId="33" fillId="2" borderId="0" xfId="0" applyFont="1" applyFill="1" applyAlignment="1">
      <alignment vertical="top"/>
    </xf>
    <xf numFmtId="0" fontId="46" fillId="2" borderId="0" xfId="0" applyFont="1" applyFill="1" applyAlignment="1">
      <alignment vertical="top"/>
    </xf>
    <xf numFmtId="0" fontId="48" fillId="2" borderId="0" xfId="0" applyFont="1" applyFill="1" applyAlignment="1">
      <alignment vertical="top"/>
    </xf>
    <xf numFmtId="164" fontId="41" fillId="4" borderId="33" xfId="0" applyNumberFormat="1" applyFont="1" applyFill="1" applyBorder="1" applyAlignment="1" applyProtection="1">
      <alignment horizontal="center" vertical="top"/>
      <protection locked="0"/>
    </xf>
    <xf numFmtId="164" fontId="41" fillId="4" borderId="36" xfId="0" applyNumberFormat="1" applyFont="1" applyFill="1" applyBorder="1" applyAlignment="1" applyProtection="1">
      <alignment horizontal="center" vertical="top"/>
      <protection locked="0"/>
    </xf>
    <xf numFmtId="164" fontId="41" fillId="4" borderId="39" xfId="0" applyNumberFormat="1" applyFont="1" applyFill="1" applyBorder="1" applyAlignment="1" applyProtection="1">
      <alignment horizontal="center" vertical="top"/>
      <protection locked="0"/>
    </xf>
    <xf numFmtId="164" fontId="41" fillId="6" borderId="39" xfId="0" applyNumberFormat="1" applyFont="1" applyFill="1" applyBorder="1" applyAlignment="1" applyProtection="1">
      <alignment horizontal="center" vertical="center"/>
    </xf>
    <xf numFmtId="0" fontId="33" fillId="2" borderId="0" xfId="0" applyFont="1" applyFill="1" applyAlignment="1">
      <alignment vertical="top" wrapText="1"/>
    </xf>
    <xf numFmtId="0" fontId="0" fillId="0" borderId="0" xfId="0" applyAlignment="1">
      <alignment vertical="top" wrapText="1"/>
    </xf>
    <xf numFmtId="0" fontId="0" fillId="0" borderId="0" xfId="0" applyAlignment="1">
      <alignment vertical="top"/>
    </xf>
    <xf numFmtId="0" fontId="0" fillId="2" borderId="0" xfId="0" applyFill="1" applyAlignment="1">
      <alignment vertical="top" wrapText="1"/>
    </xf>
    <xf numFmtId="0" fontId="4" fillId="2" borderId="0" xfId="0" applyFont="1" applyFill="1" applyAlignment="1">
      <alignment vertical="top" wrapText="1"/>
    </xf>
    <xf numFmtId="0" fontId="0" fillId="2" borderId="0" xfId="0" applyFill="1" applyAlignment="1">
      <alignment vertical="top"/>
    </xf>
    <xf numFmtId="0" fontId="11" fillId="2" borderId="0" xfId="0" applyFont="1" applyFill="1" applyProtection="1"/>
    <xf numFmtId="0" fontId="11" fillId="0" borderId="0" xfId="0" applyFont="1" applyProtection="1"/>
    <xf numFmtId="0" fontId="30" fillId="2" borderId="0" xfId="0" applyFont="1" applyFill="1" applyAlignment="1" applyProtection="1">
      <alignment vertical="center"/>
    </xf>
    <xf numFmtId="0" fontId="13" fillId="2" borderId="0" xfId="0" applyFont="1" applyFill="1" applyAlignment="1" applyProtection="1">
      <alignment vertical="center"/>
    </xf>
    <xf numFmtId="0" fontId="33" fillId="2" borderId="19" xfId="0" applyFont="1" applyFill="1" applyBorder="1" applyAlignment="1" applyProtection="1">
      <alignment vertical="top" wrapText="1"/>
    </xf>
    <xf numFmtId="0" fontId="4" fillId="0" borderId="4" xfId="0" applyFont="1" applyBorder="1" applyAlignment="1" applyProtection="1">
      <alignment vertical="top" wrapText="1"/>
    </xf>
    <xf numFmtId="0" fontId="4" fillId="0" borderId="4" xfId="0" applyFont="1" applyBorder="1" applyAlignment="1" applyProtection="1">
      <alignment wrapText="1"/>
    </xf>
    <xf numFmtId="0" fontId="4" fillId="0" borderId="20" xfId="0" applyFont="1" applyBorder="1" applyAlignment="1" applyProtection="1">
      <alignment wrapText="1"/>
    </xf>
    <xf numFmtId="0" fontId="4" fillId="0" borderId="21" xfId="0" applyFont="1" applyBorder="1" applyAlignment="1" applyProtection="1">
      <alignment vertical="top" wrapText="1"/>
    </xf>
    <xf numFmtId="0" fontId="4" fillId="0" borderId="0" xfId="0" applyFont="1" applyBorder="1" applyAlignment="1" applyProtection="1">
      <alignment vertical="top" wrapText="1"/>
    </xf>
    <xf numFmtId="0" fontId="4" fillId="0" borderId="0" xfId="0" applyFont="1" applyBorder="1" applyAlignment="1" applyProtection="1">
      <alignment wrapText="1"/>
    </xf>
    <xf numFmtId="0" fontId="4" fillId="0" borderId="22" xfId="0" applyFont="1" applyBorder="1" applyAlignment="1" applyProtection="1">
      <alignment wrapText="1"/>
    </xf>
    <xf numFmtId="0" fontId="21" fillId="2" borderId="0" xfId="0" applyFont="1" applyFill="1" applyProtection="1"/>
    <xf numFmtId="0" fontId="4" fillId="0" borderId="11" xfId="0" applyFont="1" applyBorder="1" applyAlignment="1" applyProtection="1">
      <alignment vertical="top" wrapText="1"/>
    </xf>
    <xf numFmtId="0" fontId="4" fillId="0" borderId="2" xfId="0" applyFont="1" applyBorder="1" applyAlignment="1" applyProtection="1">
      <alignment vertical="top" wrapText="1"/>
    </xf>
    <xf numFmtId="0" fontId="4" fillId="0" borderId="2" xfId="0" applyFont="1" applyBorder="1" applyAlignment="1" applyProtection="1">
      <alignment wrapText="1"/>
    </xf>
    <xf numFmtId="0" fontId="4" fillId="0" borderId="23" xfId="0" applyFont="1" applyBorder="1" applyAlignment="1" applyProtection="1">
      <alignment wrapText="1"/>
    </xf>
    <xf numFmtId="0" fontId="31" fillId="2" borderId="0" xfId="0" applyFont="1" applyFill="1" applyProtection="1"/>
    <xf numFmtId="0" fontId="32" fillId="2" borderId="0" xfId="0" applyFont="1" applyFill="1" applyProtection="1"/>
    <xf numFmtId="0" fontId="11" fillId="2" borderId="0" xfId="0" applyFont="1" applyFill="1" applyAlignment="1" applyProtection="1">
      <alignment vertical="top"/>
    </xf>
    <xf numFmtId="0" fontId="12" fillId="2" borderId="0" xfId="0" applyFont="1" applyFill="1" applyAlignment="1" applyProtection="1">
      <alignment vertical="top"/>
    </xf>
    <xf numFmtId="0" fontId="12" fillId="2" borderId="0" xfId="0" applyFont="1" applyFill="1" applyAlignment="1" applyProtection="1"/>
    <xf numFmtId="0" fontId="32" fillId="2" borderId="0" xfId="0" applyFont="1" applyFill="1" applyAlignment="1" applyProtection="1">
      <alignment vertical="center"/>
    </xf>
    <xf numFmtId="0" fontId="14" fillId="2" borderId="0" xfId="0" applyFont="1" applyFill="1" applyProtection="1"/>
    <xf numFmtId="0" fontId="33" fillId="2" borderId="0" xfId="0" applyFont="1" applyFill="1" applyAlignment="1" applyProtection="1">
      <alignment vertical="center"/>
    </xf>
    <xf numFmtId="0" fontId="33" fillId="2" borderId="0" xfId="0" applyFont="1" applyFill="1" applyAlignment="1" applyProtection="1">
      <alignment horizontal="center" vertical="center"/>
    </xf>
    <xf numFmtId="1" fontId="38" fillId="6" borderId="31" xfId="0" applyNumberFormat="1" applyFont="1" applyFill="1" applyBorder="1" applyAlignment="1" applyProtection="1">
      <alignment horizontal="left" vertical="top"/>
    </xf>
    <xf numFmtId="0" fontId="40" fillId="0" borderId="32" xfId="0" applyFont="1" applyBorder="1" applyAlignment="1" applyProtection="1">
      <alignment vertical="top"/>
    </xf>
    <xf numFmtId="0" fontId="41" fillId="5" borderId="40" xfId="0" applyFont="1" applyFill="1" applyBorder="1" applyAlignment="1" applyProtection="1">
      <alignment vertical="top"/>
    </xf>
    <xf numFmtId="0" fontId="36" fillId="8" borderId="31" xfId="0" applyFont="1" applyFill="1" applyBorder="1" applyAlignment="1" applyProtection="1">
      <alignment horizontal="left" vertical="top"/>
    </xf>
    <xf numFmtId="0" fontId="36" fillId="8" borderId="32" xfId="0" applyFont="1" applyFill="1" applyBorder="1" applyAlignment="1" applyProtection="1">
      <alignment horizontal="left" vertical="top"/>
    </xf>
    <xf numFmtId="164" fontId="38" fillId="8" borderId="32" xfId="0" applyNumberFormat="1" applyFont="1" applyFill="1" applyBorder="1" applyAlignment="1" applyProtection="1">
      <alignment horizontal="center" vertical="top"/>
    </xf>
    <xf numFmtId="0" fontId="38" fillId="8" borderId="33" xfId="0" quotePrefix="1" applyFont="1" applyFill="1" applyBorder="1" applyAlignment="1" applyProtection="1">
      <alignment horizontal="center" vertical="top"/>
    </xf>
    <xf numFmtId="1" fontId="38" fillId="6" borderId="34" xfId="0" applyNumberFormat="1" applyFont="1" applyFill="1" applyBorder="1" applyAlignment="1" applyProtection="1">
      <alignment horizontal="left" vertical="top"/>
    </xf>
    <xf numFmtId="0" fontId="40" fillId="0" borderId="35" xfId="0" applyFont="1" applyBorder="1" applyAlignment="1" applyProtection="1">
      <alignment vertical="top"/>
    </xf>
    <xf numFmtId="0" fontId="41" fillId="5" borderId="41" xfId="0" applyFont="1" applyFill="1" applyBorder="1" applyAlignment="1" applyProtection="1">
      <alignment vertical="top"/>
    </xf>
    <xf numFmtId="0" fontId="36" fillId="7" borderId="34" xfId="0" applyFont="1" applyFill="1" applyBorder="1" applyAlignment="1" applyProtection="1">
      <alignment horizontal="left" vertical="top"/>
    </xf>
    <xf numFmtId="0" fontId="36" fillId="7" borderId="35" xfId="0" applyFont="1" applyFill="1" applyBorder="1" applyAlignment="1" applyProtection="1">
      <alignment horizontal="left" vertical="top"/>
    </xf>
    <xf numFmtId="164" fontId="36" fillId="7" borderId="35" xfId="0" applyNumberFormat="1" applyFont="1" applyFill="1" applyBorder="1" applyAlignment="1" applyProtection="1">
      <alignment horizontal="center" vertical="top"/>
    </xf>
    <xf numFmtId="0" fontId="36" fillId="7" borderId="36" xfId="0" quotePrefix="1" applyFont="1" applyFill="1" applyBorder="1" applyAlignment="1" applyProtection="1">
      <alignment horizontal="center" vertical="top"/>
    </xf>
    <xf numFmtId="164" fontId="38" fillId="8" borderId="33" xfId="0" applyNumberFormat="1" applyFont="1" applyFill="1" applyBorder="1" applyAlignment="1" applyProtection="1">
      <alignment horizontal="center" vertical="top"/>
    </xf>
    <xf numFmtId="164" fontId="36" fillId="7" borderId="36" xfId="0" applyNumberFormat="1" applyFont="1" applyFill="1" applyBorder="1" applyAlignment="1" applyProtection="1">
      <alignment horizontal="center" vertical="top"/>
    </xf>
    <xf numFmtId="1" fontId="38" fillId="6" borderId="37" xfId="0" applyNumberFormat="1" applyFont="1" applyFill="1" applyBorder="1" applyAlignment="1" applyProtection="1">
      <alignment horizontal="left" vertical="top"/>
    </xf>
    <xf numFmtId="0" fontId="40" fillId="0" borderId="38" xfId="0" applyFont="1" applyBorder="1" applyAlignment="1" applyProtection="1">
      <alignment vertical="top"/>
    </xf>
    <xf numFmtId="0" fontId="41" fillId="5" borderId="42" xfId="0" applyFont="1" applyFill="1" applyBorder="1" applyAlignment="1" applyProtection="1">
      <alignment vertical="top"/>
    </xf>
    <xf numFmtId="0" fontId="33" fillId="0" borderId="0" xfId="0" applyFont="1" applyProtection="1"/>
    <xf numFmtId="0" fontId="11" fillId="2" borderId="0" xfId="0" applyFont="1" applyFill="1" applyAlignment="1" applyProtection="1">
      <alignment horizontal="right"/>
    </xf>
    <xf numFmtId="0" fontId="43" fillId="2" borderId="0" xfId="0" applyFont="1" applyFill="1" applyProtection="1"/>
    <xf numFmtId="0" fontId="33" fillId="2" borderId="0" xfId="0" applyFont="1" applyFill="1" applyAlignment="1" applyProtection="1">
      <alignment horizontal="right" vertical="center"/>
    </xf>
    <xf numFmtId="0" fontId="35" fillId="2" borderId="42" xfId="0" applyFont="1" applyFill="1" applyBorder="1" applyAlignment="1" applyProtection="1">
      <alignment horizontal="left" vertical="top" wrapText="1"/>
    </xf>
    <xf numFmtId="0" fontId="5" fillId="0" borderId="42" xfId="0" applyFont="1" applyBorder="1" applyAlignment="1" applyProtection="1">
      <alignment horizontal="left" vertical="top" wrapText="1"/>
    </xf>
    <xf numFmtId="0" fontId="45" fillId="2" borderId="0" xfId="0" applyFont="1" applyFill="1" applyAlignment="1" applyProtection="1">
      <alignment wrapText="1"/>
    </xf>
    <xf numFmtId="0" fontId="44" fillId="2" borderId="0" xfId="0" applyFont="1" applyFill="1" applyAlignment="1" applyProtection="1">
      <alignment horizontal="left" vertical="top" wrapText="1"/>
    </xf>
    <xf numFmtId="0" fontId="21" fillId="0" borderId="0" xfId="0" applyFont="1" applyProtection="1"/>
    <xf numFmtId="0" fontId="11" fillId="0" borderId="0" xfId="0" applyFont="1" applyBorder="1" applyAlignment="1" applyProtection="1">
      <alignment wrapText="1"/>
    </xf>
    <xf numFmtId="0" fontId="0" fillId="0" borderId="0" xfId="0" applyAlignment="1"/>
    <xf numFmtId="0" fontId="43" fillId="2" borderId="0" xfId="0" applyFont="1" applyFill="1" applyAlignment="1" applyProtection="1">
      <alignment vertical="top" wrapText="1"/>
    </xf>
    <xf numFmtId="0" fontId="5" fillId="0" borderId="0" xfId="0" applyFont="1" applyAlignment="1"/>
    <xf numFmtId="0" fontId="29" fillId="0" borderId="0" xfId="0" applyFont="1" applyBorder="1" applyAlignment="1" applyProtection="1">
      <alignment horizontal="left"/>
    </xf>
    <xf numFmtId="0" fontId="3" fillId="0" borderId="0" xfId="0" applyFont="1" applyBorder="1" applyAlignment="1" applyProtection="1">
      <alignment horizontal="left"/>
    </xf>
    <xf numFmtId="0" fontId="26" fillId="0" borderId="0" xfId="0" applyFont="1" applyBorder="1" applyAlignment="1" applyProtection="1">
      <alignment horizontal="left"/>
    </xf>
    <xf numFmtId="0" fontId="3" fillId="0" borderId="0" xfId="0" applyFont="1" applyBorder="1" applyAlignment="1" applyProtection="1">
      <alignment horizontal="center"/>
    </xf>
    <xf numFmtId="0" fontId="22" fillId="0" borderId="0" xfId="0" applyFont="1" applyBorder="1" applyAlignment="1" applyProtection="1">
      <alignment horizontal="center"/>
    </xf>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left"/>
    </xf>
    <xf numFmtId="0" fontId="3" fillId="0" borderId="0" xfId="0" applyNumberFormat="1" applyFont="1" applyFill="1" applyBorder="1" applyAlignment="1" applyProtection="1"/>
    <xf numFmtId="0" fontId="27" fillId="0" borderId="0" xfId="0" applyFont="1" applyBorder="1" applyAlignment="1" applyProtection="1">
      <alignment horizontal="center"/>
    </xf>
    <xf numFmtId="0" fontId="28" fillId="0" borderId="0" xfId="0" applyFont="1" applyBorder="1" applyAlignment="1" applyProtection="1">
      <alignment horizontal="center"/>
    </xf>
    <xf numFmtId="0" fontId="28" fillId="0" borderId="0" xfId="0" applyFont="1" applyBorder="1" applyAlignment="1" applyProtection="1"/>
    <xf numFmtId="0" fontId="27" fillId="0" borderId="0" xfId="0" applyFont="1" applyBorder="1" applyAlignment="1" applyProtection="1"/>
    <xf numFmtId="0" fontId="3" fillId="0" borderId="0" xfId="0" applyFont="1" applyBorder="1" applyAlignment="1" applyProtection="1"/>
    <xf numFmtId="0" fontId="22" fillId="0" borderId="24" xfId="0" applyFont="1" applyBorder="1" applyAlignment="1" applyProtection="1">
      <alignment horizontal="left" vertical="top" wrapText="1"/>
    </xf>
    <xf numFmtId="0" fontId="22" fillId="0" borderId="25" xfId="0" applyFont="1" applyBorder="1" applyAlignment="1" applyProtection="1">
      <alignment vertical="top" wrapText="1"/>
    </xf>
    <xf numFmtId="0" fontId="22" fillId="0" borderId="25" xfId="0" applyFont="1" applyBorder="1" applyAlignment="1" applyProtection="1">
      <alignment horizontal="left" vertical="top" wrapText="1"/>
    </xf>
    <xf numFmtId="0" fontId="22" fillId="0" borderId="25" xfId="0" applyFont="1" applyBorder="1" applyAlignment="1" applyProtection="1">
      <alignment horizontal="center" vertical="top" wrapText="1"/>
    </xf>
    <xf numFmtId="0" fontId="22" fillId="0" borderId="26" xfId="0" applyFont="1" applyBorder="1" applyAlignment="1" applyProtection="1">
      <alignment horizontal="center" vertical="top" wrapText="1"/>
    </xf>
    <xf numFmtId="0" fontId="22" fillId="0" borderId="0" xfId="0" applyFont="1" applyBorder="1" applyAlignment="1" applyProtection="1">
      <alignment vertical="top" wrapText="1"/>
    </xf>
    <xf numFmtId="0" fontId="22" fillId="0" borderId="0" xfId="0" applyFont="1" applyBorder="1" applyAlignment="1" applyProtection="1">
      <alignment vertical="top"/>
    </xf>
    <xf numFmtId="0" fontId="22" fillId="0" borderId="0" xfId="0" applyFont="1" applyBorder="1" applyAlignment="1" applyProtection="1">
      <alignment horizontal="center" vertical="top" wrapText="1"/>
    </xf>
    <xf numFmtId="0" fontId="22" fillId="0" borderId="0" xfId="0" applyNumberFormat="1" applyFont="1" applyFill="1" applyBorder="1" applyAlignment="1" applyProtection="1">
      <alignment horizontal="center" vertical="top" wrapText="1"/>
    </xf>
    <xf numFmtId="0" fontId="22" fillId="0" borderId="0" xfId="0"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vertical="top" wrapText="1"/>
    </xf>
    <xf numFmtId="0" fontId="3" fillId="0" borderId="27" xfId="0" applyFont="1" applyBorder="1" applyAlignment="1" applyProtection="1">
      <alignment horizontal="left"/>
    </xf>
    <xf numFmtId="0" fontId="3" fillId="0" borderId="28" xfId="0" applyFont="1" applyBorder="1" applyAlignment="1" applyProtection="1">
      <alignment horizontal="center"/>
    </xf>
    <xf numFmtId="0" fontId="3" fillId="0" borderId="0" xfId="0" applyFont="1" applyAlignment="1" applyProtection="1">
      <alignment horizontal="center"/>
    </xf>
    <xf numFmtId="0" fontId="3" fillId="0" borderId="0" xfId="0" applyFont="1" applyAlignment="1" applyProtection="1">
      <alignment horizontal="left"/>
    </xf>
    <xf numFmtId="164" fontId="1" fillId="0" borderId="0" xfId="0" applyNumberFormat="1" applyFont="1" applyAlignment="1" applyProtection="1">
      <alignment horizontal="center"/>
    </xf>
    <xf numFmtId="0" fontId="3" fillId="0" borderId="0" xfId="0" applyNumberFormat="1" applyFont="1" applyFill="1" applyAlignment="1" applyProtection="1">
      <alignment horizontal="center"/>
    </xf>
    <xf numFmtId="0" fontId="3" fillId="0" borderId="0" xfId="0" applyNumberFormat="1" applyFont="1" applyFill="1" applyAlignment="1" applyProtection="1">
      <alignment horizontal="left"/>
    </xf>
    <xf numFmtId="0" fontId="3" fillId="0" borderId="0" xfId="0" applyNumberFormat="1" applyFont="1" applyFill="1" applyAlignment="1" applyProtection="1"/>
    <xf numFmtId="0" fontId="3" fillId="0" borderId="0" xfId="0" applyFont="1" applyAlignment="1" applyProtection="1"/>
    <xf numFmtId="164" fontId="3" fillId="0" borderId="0" xfId="0" applyNumberFormat="1" applyFont="1" applyBorder="1" applyAlignment="1" applyProtection="1">
      <alignment horizontal="left"/>
    </xf>
    <xf numFmtId="164" fontId="3" fillId="0" borderId="0" xfId="0" applyNumberFormat="1" applyFont="1" applyBorder="1" applyAlignment="1" applyProtection="1">
      <alignment horizontal="center"/>
    </xf>
    <xf numFmtId="0" fontId="2" fillId="0" borderId="0" xfId="0" applyFont="1" applyAlignment="1" applyProtection="1">
      <alignment horizontal="left"/>
    </xf>
    <xf numFmtId="164" fontId="3" fillId="0" borderId="28" xfId="0" applyNumberFormat="1" applyFont="1" applyBorder="1" applyAlignment="1" applyProtection="1">
      <alignment horizontal="center"/>
    </xf>
    <xf numFmtId="0" fontId="1" fillId="0" borderId="0" xfId="0" applyFont="1" applyAlignment="1" applyProtection="1"/>
    <xf numFmtId="0" fontId="1" fillId="0" borderId="0" xfId="0" applyFont="1" applyAlignment="1" applyProtection="1">
      <alignment horizontal="left"/>
    </xf>
    <xf numFmtId="164" fontId="1" fillId="0" borderId="0" xfId="0" applyNumberFormat="1" applyFont="1" applyFill="1" applyAlignment="1" applyProtection="1">
      <alignment horizontal="center"/>
    </xf>
    <xf numFmtId="0" fontId="3" fillId="0" borderId="29" xfId="0" applyFont="1" applyBorder="1" applyAlignment="1" applyProtection="1">
      <alignment horizontal="left"/>
    </xf>
    <xf numFmtId="0" fontId="3" fillId="0" borderId="1" xfId="0" applyFont="1" applyBorder="1" applyAlignment="1" applyProtection="1">
      <alignment horizontal="left"/>
    </xf>
    <xf numFmtId="164" fontId="3" fillId="0" borderId="1" xfId="0" applyNumberFormat="1" applyFont="1" applyBorder="1" applyAlignment="1" applyProtection="1">
      <alignment horizontal="left"/>
    </xf>
    <xf numFmtId="164" fontId="3" fillId="0" borderId="1" xfId="0" applyNumberFormat="1" applyFont="1" applyBorder="1" applyAlignment="1" applyProtection="1">
      <alignment horizontal="center"/>
    </xf>
    <xf numFmtId="0" fontId="3" fillId="0" borderId="1" xfId="0" applyFont="1" applyBorder="1" applyAlignment="1" applyProtection="1">
      <alignment horizontal="center"/>
    </xf>
    <xf numFmtId="164" fontId="3" fillId="0" borderId="30" xfId="0" applyNumberFormat="1" applyFont="1" applyBorder="1" applyAlignment="1" applyProtection="1">
      <alignment horizontal="center"/>
    </xf>
    <xf numFmtId="0" fontId="17" fillId="0" borderId="0" xfId="0" applyFont="1" applyAlignment="1" applyProtection="1">
      <alignment horizontal="left"/>
    </xf>
    <xf numFmtId="0" fontId="17" fillId="0" borderId="0" xfId="0" applyFont="1" applyAlignment="1" applyProtection="1">
      <alignment horizontal="center"/>
    </xf>
    <xf numFmtId="0" fontId="17" fillId="0" borderId="0" xfId="0" applyNumberFormat="1" applyFont="1" applyFill="1" applyAlignment="1" applyProtection="1">
      <alignment horizontal="center"/>
    </xf>
    <xf numFmtId="0" fontId="17" fillId="0" borderId="0" xfId="0" applyNumberFormat="1" applyFont="1" applyFill="1" applyAlignment="1" applyProtection="1">
      <alignment horizontal="left"/>
    </xf>
    <xf numFmtId="0" fontId="17" fillId="0" borderId="0" xfId="0" applyNumberFormat="1" applyFont="1" applyFill="1" applyAlignment="1" applyProtection="1"/>
    <xf numFmtId="0" fontId="17" fillId="0" borderId="0" xfId="0" applyFont="1" applyBorder="1" applyAlignment="1" applyProtection="1"/>
    <xf numFmtId="0" fontId="17" fillId="0" borderId="0" xfId="0" applyFont="1" applyAlignment="1" applyProtection="1"/>
    <xf numFmtId="0" fontId="29" fillId="0" borderId="0" xfId="0" applyFont="1" applyAlignment="1" applyProtection="1">
      <alignment horizontal="left"/>
    </xf>
    <xf numFmtId="0" fontId="17" fillId="0" borderId="1" xfId="0" applyFont="1" applyBorder="1" applyAlignment="1" applyProtection="1">
      <alignment horizontal="center"/>
    </xf>
    <xf numFmtId="0" fontId="18" fillId="0" borderId="0" xfId="0" applyNumberFormat="1" applyFont="1" applyFill="1" applyAlignment="1" applyProtection="1"/>
    <xf numFmtId="0" fontId="23" fillId="0" borderId="1" xfId="0" applyFont="1" applyBorder="1" applyAlignment="1" applyProtection="1">
      <alignment horizontal="center"/>
    </xf>
    <xf numFmtId="0" fontId="18" fillId="0" borderId="1" xfId="0" applyFont="1" applyBorder="1" applyAlignment="1" applyProtection="1">
      <alignment horizontal="center"/>
    </xf>
    <xf numFmtId="0" fontId="15" fillId="0" borderId="1" xfId="0" applyFont="1" applyBorder="1" applyAlignment="1" applyProtection="1">
      <alignment horizontal="center"/>
    </xf>
    <xf numFmtId="0" fontId="17" fillId="0" borderId="0" xfId="0" applyFont="1" applyBorder="1" applyAlignment="1" applyProtection="1">
      <alignment horizontal="center"/>
    </xf>
    <xf numFmtId="0" fontId="15" fillId="0" borderId="1" xfId="0" applyFont="1" applyBorder="1" applyAlignment="1" applyProtection="1"/>
    <xf numFmtId="0" fontId="0" fillId="0" borderId="1" xfId="0" applyBorder="1" applyAlignment="1" applyProtection="1"/>
    <xf numFmtId="0" fontId="18" fillId="0" borderId="0" xfId="0" applyFont="1" applyAlignment="1" applyProtection="1"/>
    <xf numFmtId="0" fontId="17" fillId="0" borderId="2" xfId="0" applyFont="1" applyBorder="1" applyAlignment="1" applyProtection="1">
      <alignment horizontal="left" wrapText="1"/>
    </xf>
    <xf numFmtId="0" fontId="17" fillId="0" borderId="2" xfId="0" applyFont="1" applyBorder="1" applyAlignment="1" applyProtection="1">
      <alignment horizontal="center" wrapText="1"/>
    </xf>
    <xf numFmtId="0" fontId="17" fillId="0" borderId="2" xfId="0" applyNumberFormat="1" applyFont="1" applyFill="1" applyBorder="1" applyAlignment="1" applyProtection="1">
      <alignment horizontal="center" wrapText="1"/>
    </xf>
    <xf numFmtId="0" fontId="17" fillId="0" borderId="2" xfId="0" applyNumberFormat="1" applyFont="1" applyFill="1" applyBorder="1" applyAlignment="1" applyProtection="1">
      <alignment horizontal="left" wrapText="1"/>
    </xf>
    <xf numFmtId="0" fontId="17" fillId="0" borderId="2" xfId="0" applyNumberFormat="1" applyFont="1" applyFill="1" applyBorder="1" applyAlignment="1" applyProtection="1">
      <alignment wrapText="1"/>
    </xf>
    <xf numFmtId="0" fontId="17" fillId="0" borderId="2" xfId="0" applyFont="1" applyBorder="1" applyAlignment="1" applyProtection="1">
      <alignment wrapText="1"/>
    </xf>
    <xf numFmtId="0" fontId="17" fillId="4" borderId="0" xfId="0" applyFont="1" applyFill="1" applyBorder="1" applyAlignment="1" applyProtection="1">
      <alignment horizontal="left"/>
    </xf>
    <xf numFmtId="0" fontId="18" fillId="4" borderId="0" xfId="0" applyFont="1" applyFill="1" applyBorder="1" applyAlignment="1" applyProtection="1">
      <alignment horizontal="left"/>
    </xf>
    <xf numFmtId="0" fontId="19" fillId="4" borderId="0" xfId="0" applyFont="1" applyFill="1" applyBorder="1" applyAlignment="1" applyProtection="1">
      <alignment horizontal="left"/>
    </xf>
    <xf numFmtId="0" fontId="18" fillId="4" borderId="0" xfId="0" applyFont="1" applyFill="1" applyBorder="1" applyAlignment="1" applyProtection="1">
      <alignment horizontal="center"/>
    </xf>
    <xf numFmtId="0" fontId="17" fillId="4" borderId="0" xfId="0" applyFont="1" applyFill="1" applyBorder="1" applyAlignment="1" applyProtection="1">
      <alignment horizontal="center"/>
    </xf>
    <xf numFmtId="0" fontId="18" fillId="4" borderId="0" xfId="0" applyFont="1" applyFill="1" applyBorder="1" applyAlignment="1" applyProtection="1"/>
    <xf numFmtId="0" fontId="18" fillId="4" borderId="0" xfId="0" applyNumberFormat="1" applyFont="1" applyFill="1" applyBorder="1" applyAlignment="1" applyProtection="1">
      <alignment horizontal="center"/>
    </xf>
    <xf numFmtId="0" fontId="18" fillId="4" borderId="0" xfId="0" applyNumberFormat="1" applyFont="1" applyFill="1" applyBorder="1" applyAlignment="1" applyProtection="1">
      <alignment horizontal="left"/>
    </xf>
    <xf numFmtId="0" fontId="18" fillId="4" borderId="0" xfId="0" applyNumberFormat="1" applyFont="1" applyFill="1" applyBorder="1" applyAlignment="1" applyProtection="1"/>
    <xf numFmtId="0" fontId="17" fillId="4" borderId="0" xfId="0" applyFont="1" applyFill="1" applyBorder="1" applyAlignment="1" applyProtection="1"/>
    <xf numFmtId="1" fontId="18" fillId="4" borderId="0" xfId="0" applyNumberFormat="1" applyFont="1" applyFill="1" applyBorder="1" applyAlignment="1" applyProtection="1"/>
    <xf numFmtId="1" fontId="17" fillId="4" borderId="0" xfId="0" applyNumberFormat="1" applyFont="1" applyFill="1" applyBorder="1" applyAlignment="1" applyProtection="1"/>
    <xf numFmtId="164" fontId="17" fillId="4" borderId="0" xfId="0" applyNumberFormat="1" applyFont="1" applyFill="1" applyBorder="1" applyAlignment="1" applyProtection="1"/>
    <xf numFmtId="0" fontId="18" fillId="0" borderId="2" xfId="0" applyFont="1" applyBorder="1" applyAlignment="1" applyProtection="1">
      <alignment horizontal="left"/>
    </xf>
    <xf numFmtId="0" fontId="18" fillId="0" borderId="2" xfId="1" applyFont="1" applyBorder="1" applyAlignment="1" applyProtection="1">
      <alignment horizontal="left" vertical="top"/>
    </xf>
    <xf numFmtId="0" fontId="19" fillId="0" borderId="2" xfId="1" applyFont="1" applyBorder="1" applyAlignment="1" applyProtection="1">
      <alignment horizontal="left" vertical="top"/>
    </xf>
    <xf numFmtId="164" fontId="18" fillId="0" borderId="2" xfId="0" applyNumberFormat="1" applyFont="1" applyBorder="1" applyAlignment="1" applyProtection="1">
      <alignment horizontal="center"/>
    </xf>
    <xf numFmtId="0" fontId="18" fillId="0" borderId="2" xfId="0" applyFont="1" applyBorder="1" applyAlignment="1" applyProtection="1">
      <alignment horizontal="center"/>
    </xf>
    <xf numFmtId="164" fontId="19" fillId="0" borderId="2" xfId="1" applyNumberFormat="1" applyFont="1" applyBorder="1" applyAlignment="1" applyProtection="1">
      <alignment horizontal="center" vertical="top"/>
    </xf>
    <xf numFmtId="0" fontId="18" fillId="0" borderId="2" xfId="0" applyNumberFormat="1" applyFont="1" applyFill="1" applyBorder="1" applyAlignment="1" applyProtection="1">
      <alignment horizontal="left"/>
    </xf>
    <xf numFmtId="0" fontId="18" fillId="0" borderId="2" xfId="0" applyNumberFormat="1" applyFont="1" applyFill="1" applyBorder="1" applyAlignment="1" applyProtection="1">
      <alignment horizontal="center"/>
    </xf>
    <xf numFmtId="0" fontId="18" fillId="0" borderId="2" xfId="0" applyNumberFormat="1" applyFont="1" applyFill="1" applyBorder="1" applyAlignment="1" applyProtection="1"/>
    <xf numFmtId="0" fontId="18" fillId="0" borderId="2" xfId="0" applyFont="1" applyBorder="1" applyAlignment="1" applyProtection="1"/>
    <xf numFmtId="164" fontId="18" fillId="0" borderId="2" xfId="0" applyNumberFormat="1" applyFont="1" applyBorder="1" applyAlignment="1" applyProtection="1"/>
    <xf numFmtId="0" fontId="17" fillId="0" borderId="2" xfId="0" applyFont="1" applyBorder="1" applyAlignment="1" applyProtection="1"/>
    <xf numFmtId="1" fontId="18" fillId="0" borderId="2" xfId="0" applyNumberFormat="1" applyFont="1" applyBorder="1" applyAlignment="1" applyProtection="1"/>
    <xf numFmtId="164" fontId="17" fillId="0" borderId="2" xfId="0" applyNumberFormat="1" applyFont="1" applyBorder="1" applyAlignment="1" applyProtection="1"/>
    <xf numFmtId="0" fontId="18" fillId="0" borderId="10" xfId="0" applyFont="1" applyBorder="1" applyAlignment="1" applyProtection="1">
      <alignment horizontal="left"/>
    </xf>
    <xf numFmtId="0" fontId="18" fillId="0" borderId="10" xfId="1" applyFont="1" applyBorder="1" applyAlignment="1" applyProtection="1">
      <alignment horizontal="left" vertical="top"/>
    </xf>
    <xf numFmtId="0" fontId="19" fillId="0" borderId="10" xfId="1" applyFont="1" applyBorder="1" applyAlignment="1" applyProtection="1">
      <alignment horizontal="left" vertical="top"/>
    </xf>
    <xf numFmtId="164" fontId="18" fillId="0" borderId="10" xfId="0" applyNumberFormat="1" applyFont="1" applyBorder="1" applyAlignment="1" applyProtection="1">
      <alignment horizontal="center"/>
    </xf>
    <xf numFmtId="0" fontId="18" fillId="0" borderId="10" xfId="0" applyFont="1" applyBorder="1" applyAlignment="1" applyProtection="1">
      <alignment horizontal="center"/>
    </xf>
    <xf numFmtId="164" fontId="19" fillId="0" borderId="10" xfId="1" applyNumberFormat="1" applyFont="1" applyBorder="1" applyAlignment="1" applyProtection="1">
      <alignment horizontal="center" vertical="top"/>
    </xf>
    <xf numFmtId="0" fontId="18" fillId="0" borderId="10" xfId="0" applyNumberFormat="1" applyFont="1" applyFill="1" applyBorder="1" applyAlignment="1" applyProtection="1">
      <alignment horizontal="left"/>
    </xf>
    <xf numFmtId="0" fontId="18" fillId="0" borderId="10" xfId="0" applyNumberFormat="1" applyFont="1" applyFill="1" applyBorder="1" applyAlignment="1" applyProtection="1">
      <alignment horizontal="center"/>
    </xf>
    <xf numFmtId="0" fontId="18" fillId="0" borderId="10" xfId="0" applyNumberFormat="1" applyFont="1" applyFill="1" applyBorder="1" applyAlignment="1" applyProtection="1"/>
    <xf numFmtId="0" fontId="18" fillId="0" borderId="10" xfId="0" applyFont="1" applyBorder="1" applyAlignment="1" applyProtection="1"/>
    <xf numFmtId="164" fontId="18" fillId="0" borderId="10" xfId="0" applyNumberFormat="1" applyFont="1" applyBorder="1" applyAlignment="1" applyProtection="1"/>
    <xf numFmtId="0" fontId="17" fillId="0" borderId="10" xfId="0" applyFont="1" applyBorder="1" applyAlignment="1" applyProtection="1"/>
    <xf numFmtId="1" fontId="18" fillId="0" borderId="10" xfId="0" applyNumberFormat="1" applyFont="1" applyBorder="1" applyAlignment="1" applyProtection="1"/>
    <xf numFmtId="164" fontId="17" fillId="0" borderId="10" xfId="0" applyNumberFormat="1" applyFont="1" applyBorder="1" applyAlignment="1" applyProtection="1"/>
    <xf numFmtId="0" fontId="18" fillId="0" borderId="17" xfId="0" applyFont="1" applyBorder="1" applyAlignment="1" applyProtection="1">
      <alignment horizontal="left"/>
    </xf>
    <xf numFmtId="0" fontId="18" fillId="0" borderId="17" xfId="1" applyFont="1" applyBorder="1" applyAlignment="1" applyProtection="1">
      <alignment horizontal="left" vertical="top"/>
    </xf>
    <xf numFmtId="0" fontId="19" fillId="0" borderId="17" xfId="1" applyFont="1" applyBorder="1" applyAlignment="1" applyProtection="1">
      <alignment horizontal="left" vertical="top"/>
    </xf>
    <xf numFmtId="164" fontId="18" fillId="0" borderId="17" xfId="0" applyNumberFormat="1" applyFont="1" applyBorder="1" applyAlignment="1" applyProtection="1">
      <alignment horizontal="center"/>
    </xf>
    <xf numFmtId="0" fontId="18" fillId="0" borderId="17" xfId="0" applyFont="1" applyBorder="1" applyAlignment="1" applyProtection="1">
      <alignment horizontal="center"/>
    </xf>
    <xf numFmtId="164" fontId="19" fillId="0" borderId="17" xfId="1" applyNumberFormat="1" applyFont="1" applyBorder="1" applyAlignment="1" applyProtection="1">
      <alignment horizontal="center" vertical="top"/>
    </xf>
    <xf numFmtId="0" fontId="18" fillId="0" borderId="17" xfId="0" applyNumberFormat="1" applyFont="1" applyFill="1" applyBorder="1" applyAlignment="1" applyProtection="1">
      <alignment horizontal="left"/>
    </xf>
    <xf numFmtId="0" fontId="18" fillId="0" borderId="17" xfId="0" applyNumberFormat="1" applyFont="1" applyFill="1" applyBorder="1" applyAlignment="1" applyProtection="1">
      <alignment horizontal="center"/>
    </xf>
    <xf numFmtId="0" fontId="18" fillId="0" borderId="17" xfId="0" applyNumberFormat="1" applyFont="1" applyFill="1" applyBorder="1" applyAlignment="1" applyProtection="1"/>
    <xf numFmtId="0" fontId="18" fillId="0" borderId="17" xfId="0" applyFont="1" applyBorder="1" applyAlignment="1" applyProtection="1"/>
    <xf numFmtId="164" fontId="18" fillId="0" borderId="17" xfId="0" applyNumberFormat="1" applyFont="1" applyBorder="1" applyAlignment="1" applyProtection="1"/>
    <xf numFmtId="0" fontId="17" fillId="0" borderId="17" xfId="0" applyFont="1" applyBorder="1" applyAlignment="1" applyProtection="1"/>
    <xf numFmtId="1" fontId="18" fillId="0" borderId="17" xfId="0" applyNumberFormat="1" applyFont="1" applyBorder="1" applyAlignment="1" applyProtection="1"/>
    <xf numFmtId="164" fontId="17" fillId="0" borderId="17" xfId="0" applyNumberFormat="1" applyFont="1" applyBorder="1" applyAlignment="1" applyProtection="1"/>
    <xf numFmtId="0" fontId="18" fillId="0" borderId="18" xfId="0" applyFont="1" applyBorder="1" applyAlignment="1" applyProtection="1">
      <alignment horizontal="left"/>
    </xf>
    <xf numFmtId="0" fontId="18" fillId="0" borderId="18" xfId="1" applyFont="1" applyBorder="1" applyAlignment="1" applyProtection="1">
      <alignment horizontal="left" vertical="top"/>
    </xf>
    <xf numFmtId="0" fontId="19" fillId="0" borderId="18" xfId="1" applyFont="1" applyBorder="1" applyAlignment="1" applyProtection="1">
      <alignment horizontal="left" vertical="top"/>
    </xf>
    <xf numFmtId="164" fontId="18" fillId="0" borderId="18" xfId="0" applyNumberFormat="1" applyFont="1" applyBorder="1" applyAlignment="1" applyProtection="1">
      <alignment horizontal="center"/>
    </xf>
    <xf numFmtId="0" fontId="18" fillId="0" borderId="18" xfId="0" applyFont="1" applyBorder="1" applyAlignment="1" applyProtection="1">
      <alignment horizontal="center"/>
    </xf>
    <xf numFmtId="164" fontId="19" fillId="0" borderId="18" xfId="1" applyNumberFormat="1" applyFont="1" applyBorder="1" applyAlignment="1" applyProtection="1">
      <alignment horizontal="center" vertical="top"/>
    </xf>
    <xf numFmtId="0" fontId="18" fillId="0" borderId="18" xfId="0" applyNumberFormat="1" applyFont="1" applyFill="1" applyBorder="1" applyAlignment="1" applyProtection="1">
      <alignment horizontal="left"/>
    </xf>
    <xf numFmtId="0" fontId="18" fillId="0" borderId="18" xfId="0" applyNumberFormat="1" applyFont="1" applyFill="1" applyBorder="1" applyAlignment="1" applyProtection="1">
      <alignment horizontal="center"/>
    </xf>
    <xf numFmtId="0" fontId="18" fillId="0" borderId="18" xfId="0" applyNumberFormat="1" applyFont="1" applyFill="1" applyBorder="1" applyAlignment="1" applyProtection="1"/>
    <xf numFmtId="0" fontId="18" fillId="0" borderId="18" xfId="0" applyFont="1" applyBorder="1" applyAlignment="1" applyProtection="1"/>
    <xf numFmtId="164" fontId="18" fillId="0" borderId="18" xfId="0" applyNumberFormat="1" applyFont="1" applyBorder="1" applyAlignment="1" applyProtection="1"/>
    <xf numFmtId="0" fontId="17" fillId="0" borderId="18" xfId="0" applyFont="1" applyBorder="1" applyAlignment="1" applyProtection="1"/>
    <xf numFmtId="1" fontId="18" fillId="0" borderId="18" xfId="0" applyNumberFormat="1" applyFont="1" applyBorder="1" applyAlignment="1" applyProtection="1"/>
    <xf numFmtId="164" fontId="17" fillId="0" borderId="18" xfId="0" applyNumberFormat="1" applyFont="1" applyBorder="1" applyAlignment="1" applyProtection="1"/>
    <xf numFmtId="0" fontId="17" fillId="0" borderId="0" xfId="0" applyFont="1" applyAlignment="1" applyProtection="1">
      <alignment horizontal="left" wrapText="1"/>
    </xf>
    <xf numFmtId="0" fontId="17" fillId="0" borderId="0" xfId="0" applyFont="1" applyAlignment="1" applyProtection="1">
      <alignment horizontal="center" wrapText="1"/>
    </xf>
    <xf numFmtId="0" fontId="17" fillId="0" borderId="0" xfId="0" applyNumberFormat="1" applyFont="1" applyFill="1" applyAlignment="1" applyProtection="1">
      <alignment horizontal="center" wrapText="1"/>
    </xf>
    <xf numFmtId="0" fontId="17" fillId="0" borderId="0" xfId="0" applyNumberFormat="1" applyFont="1" applyFill="1" applyAlignment="1" applyProtection="1">
      <alignment horizontal="left" wrapText="1"/>
    </xf>
    <xf numFmtId="0" fontId="17" fillId="0" borderId="0" xfId="0" applyNumberFormat="1" applyFont="1" applyFill="1" applyAlignment="1" applyProtection="1">
      <alignment wrapText="1"/>
    </xf>
    <xf numFmtId="0" fontId="17" fillId="0" borderId="0" xfId="0" applyFont="1" applyBorder="1" applyAlignment="1" applyProtection="1">
      <alignment wrapText="1"/>
    </xf>
    <xf numFmtId="0" fontId="17" fillId="0" borderId="0" xfId="0" applyFont="1" applyAlignment="1" applyProtection="1">
      <alignment wrapText="1"/>
    </xf>
    <xf numFmtId="0" fontId="17" fillId="4" borderId="2" xfId="0" applyFont="1" applyFill="1" applyBorder="1" applyAlignment="1" applyProtection="1">
      <alignment horizontal="left"/>
    </xf>
    <xf numFmtId="0" fontId="17" fillId="4" borderId="2" xfId="0" applyFont="1" applyFill="1" applyBorder="1" applyAlignment="1" applyProtection="1">
      <alignment horizontal="left" wrapText="1"/>
    </xf>
    <xf numFmtId="0" fontId="17" fillId="4" borderId="2" xfId="0" applyFont="1" applyFill="1" applyBorder="1" applyAlignment="1" applyProtection="1">
      <alignment horizontal="center" wrapText="1"/>
    </xf>
    <xf numFmtId="0" fontId="17" fillId="4" borderId="2" xfId="0" applyNumberFormat="1" applyFont="1" applyFill="1" applyBorder="1" applyAlignment="1" applyProtection="1">
      <alignment horizontal="center" wrapText="1"/>
    </xf>
    <xf numFmtId="0" fontId="17" fillId="4" borderId="2" xfId="0" applyNumberFormat="1" applyFont="1" applyFill="1" applyBorder="1" applyAlignment="1" applyProtection="1">
      <alignment horizontal="left" wrapText="1"/>
    </xf>
    <xf numFmtId="0" fontId="17" fillId="4" borderId="2" xfId="0" applyNumberFormat="1" applyFont="1" applyFill="1" applyBorder="1" applyAlignment="1" applyProtection="1">
      <alignment wrapText="1"/>
    </xf>
    <xf numFmtId="0" fontId="17" fillId="4" borderId="2" xfId="0" applyFont="1" applyFill="1" applyBorder="1" applyAlignment="1" applyProtection="1">
      <alignment wrapText="1"/>
    </xf>
    <xf numFmtId="164" fontId="17" fillId="4" borderId="2" xfId="0" applyNumberFormat="1" applyFont="1" applyFill="1" applyBorder="1" applyAlignment="1" applyProtection="1"/>
    <xf numFmtId="0" fontId="17" fillId="4" borderId="2" xfId="0" applyFont="1" applyFill="1" applyBorder="1" applyAlignment="1" applyProtection="1"/>
    <xf numFmtId="166" fontId="17" fillId="4" borderId="2" xfId="0" applyNumberFormat="1" applyFont="1" applyFill="1" applyBorder="1" applyAlignment="1" applyProtection="1">
      <alignment wrapText="1"/>
    </xf>
    <xf numFmtId="164" fontId="17" fillId="4" borderId="2" xfId="0" applyNumberFormat="1" applyFont="1" applyFill="1" applyBorder="1" applyAlignment="1" applyProtection="1">
      <alignment wrapText="1"/>
    </xf>
    <xf numFmtId="2" fontId="17" fillId="4" borderId="2" xfId="0" applyNumberFormat="1" applyFont="1" applyFill="1" applyBorder="1" applyAlignment="1" applyProtection="1">
      <alignment wrapText="1"/>
    </xf>
    <xf numFmtId="0" fontId="18" fillId="0" borderId="2" xfId="0" applyFont="1" applyFill="1" applyBorder="1" applyAlignment="1" applyProtection="1">
      <alignment horizontal="center"/>
    </xf>
    <xf numFmtId="0" fontId="18" fillId="0" borderId="0" xfId="0" applyFont="1" applyAlignment="1" applyProtection="1">
      <alignment horizontal="left"/>
    </xf>
    <xf numFmtId="0" fontId="18" fillId="0" borderId="0" xfId="0" applyFont="1" applyAlignment="1" applyProtection="1">
      <alignment horizontal="center"/>
    </xf>
    <xf numFmtId="164" fontId="18" fillId="0" borderId="0" xfId="0" applyNumberFormat="1" applyFont="1" applyAlignment="1" applyProtection="1"/>
    <xf numFmtId="0" fontId="18" fillId="0" borderId="0" xfId="0" applyFont="1" applyFill="1" applyAlignment="1" applyProtection="1">
      <alignment horizontal="center"/>
    </xf>
    <xf numFmtId="0" fontId="18" fillId="0" borderId="0" xfId="0" applyNumberFormat="1" applyFont="1" applyFill="1" applyAlignment="1" applyProtection="1">
      <alignment horizontal="center"/>
    </xf>
    <xf numFmtId="0" fontId="18" fillId="0" borderId="0" xfId="0" applyNumberFormat="1" applyFont="1" applyFill="1" applyAlignment="1" applyProtection="1">
      <alignment horizontal="left"/>
    </xf>
    <xf numFmtId="0" fontId="18" fillId="0" borderId="0" xfId="0" applyFont="1" applyBorder="1" applyAlignment="1" applyProtection="1"/>
    <xf numFmtId="164" fontId="18" fillId="0" borderId="0" xfId="0" applyNumberFormat="1" applyFont="1" applyBorder="1" applyAlignment="1" applyProtection="1"/>
    <xf numFmtId="164" fontId="17" fillId="0" borderId="0" xfId="0" applyNumberFormat="1" applyFont="1" applyBorder="1" applyAlignment="1" applyProtection="1"/>
    <xf numFmtId="2" fontId="17" fillId="0" borderId="0" xfId="0" applyNumberFormat="1" applyFont="1" applyBorder="1" applyAlignment="1" applyProtection="1"/>
    <xf numFmtId="164" fontId="17" fillId="0" borderId="0" xfId="0" applyNumberFormat="1" applyFont="1" applyAlignment="1" applyProtection="1"/>
    <xf numFmtId="0" fontId="18" fillId="0" borderId="10" xfId="0" applyFont="1" applyFill="1" applyBorder="1" applyAlignment="1" applyProtection="1">
      <alignment horizontal="center"/>
    </xf>
    <xf numFmtId="0" fontId="18" fillId="0" borderId="3" xfId="0" applyFont="1" applyBorder="1" applyAlignment="1" applyProtection="1">
      <alignment horizontal="left"/>
    </xf>
    <xf numFmtId="0" fontId="18" fillId="0" borderId="3" xfId="0" applyFont="1" applyBorder="1" applyAlignment="1" applyProtection="1"/>
    <xf numFmtId="0" fontId="18" fillId="0" borderId="3" xfId="0" applyFont="1" applyBorder="1" applyAlignment="1" applyProtection="1">
      <alignment horizontal="center"/>
    </xf>
    <xf numFmtId="164" fontId="18" fillId="0" borderId="3" xfId="0" applyNumberFormat="1" applyFont="1" applyBorder="1" applyAlignment="1" applyProtection="1"/>
    <xf numFmtId="0" fontId="18" fillId="0" borderId="3" xfId="0" applyFont="1" applyFill="1" applyBorder="1" applyAlignment="1" applyProtection="1">
      <alignment horizontal="center"/>
    </xf>
    <xf numFmtId="0" fontId="18" fillId="0" borderId="3" xfId="0" applyNumberFormat="1" applyFont="1" applyFill="1" applyBorder="1" applyAlignment="1" applyProtection="1">
      <alignment horizontal="center"/>
    </xf>
    <xf numFmtId="0" fontId="18" fillId="0" borderId="3" xfId="0" applyNumberFormat="1" applyFont="1" applyFill="1" applyBorder="1" applyAlignment="1" applyProtection="1">
      <alignment horizontal="left"/>
    </xf>
    <xf numFmtId="0" fontId="18" fillId="0" borderId="3" xfId="0" applyNumberFormat="1" applyFont="1" applyFill="1" applyBorder="1" applyAlignment="1" applyProtection="1"/>
    <xf numFmtId="164" fontId="17" fillId="0" borderId="3" xfId="0" applyNumberFormat="1" applyFont="1" applyBorder="1" applyAlignment="1" applyProtection="1"/>
    <xf numFmtId="0" fontId="17" fillId="0" borderId="3" xfId="0" applyFont="1" applyBorder="1" applyAlignment="1" applyProtection="1"/>
    <xf numFmtId="0" fontId="18" fillId="0" borderId="1" xfId="0" applyFont="1" applyBorder="1" applyAlignment="1" applyProtection="1">
      <alignment horizontal="left"/>
    </xf>
    <xf numFmtId="0" fontId="18" fillId="0" borderId="1" xfId="0" applyFont="1" applyBorder="1" applyAlignment="1" applyProtection="1"/>
    <xf numFmtId="0" fontId="18" fillId="0" borderId="1" xfId="0" applyFont="1" applyBorder="1" applyAlignment="1" applyProtection="1">
      <alignment horizontal="center"/>
    </xf>
    <xf numFmtId="164" fontId="18" fillId="0" borderId="1" xfId="0" applyNumberFormat="1" applyFont="1" applyBorder="1" applyAlignment="1" applyProtection="1"/>
    <xf numFmtId="0" fontId="18" fillId="0" borderId="1" xfId="0" applyFont="1" applyFill="1" applyBorder="1" applyAlignment="1" applyProtection="1">
      <alignment horizontal="center"/>
    </xf>
    <xf numFmtId="0" fontId="18" fillId="0" borderId="1" xfId="0" applyNumberFormat="1" applyFont="1" applyFill="1" applyBorder="1" applyAlignment="1" applyProtection="1">
      <alignment horizontal="center"/>
    </xf>
    <xf numFmtId="0" fontId="18" fillId="0" borderId="1" xfId="0" applyNumberFormat="1" applyFont="1" applyFill="1" applyBorder="1" applyAlignment="1" applyProtection="1">
      <alignment horizontal="left"/>
    </xf>
    <xf numFmtId="0" fontId="18" fillId="0" borderId="1" xfId="0" applyNumberFormat="1" applyFont="1" applyFill="1" applyBorder="1" applyAlignment="1" applyProtection="1"/>
    <xf numFmtId="164" fontId="17" fillId="0" borderId="1" xfId="0" applyNumberFormat="1" applyFont="1" applyBorder="1" applyAlignment="1" applyProtection="1"/>
    <xf numFmtId="0" fontId="17" fillId="0" borderId="1" xfId="0" applyFont="1" applyBorder="1" applyAlignment="1" applyProtection="1"/>
    <xf numFmtId="0" fontId="19" fillId="0" borderId="0" xfId="0" applyFont="1" applyAlignment="1" applyProtection="1">
      <alignment horizontal="left"/>
    </xf>
    <xf numFmtId="1" fontId="18" fillId="0" borderId="0" xfId="0" applyNumberFormat="1" applyFont="1" applyBorder="1" applyAlignment="1" applyProtection="1"/>
    <xf numFmtId="0" fontId="17" fillId="4" borderId="0" xfId="0" applyFont="1" applyFill="1" applyAlignment="1" applyProtection="1">
      <alignment horizontal="left" wrapText="1"/>
    </xf>
    <xf numFmtId="0" fontId="17" fillId="4" borderId="0" xfId="0" applyFont="1" applyFill="1" applyAlignment="1" applyProtection="1">
      <alignment horizontal="center" wrapText="1"/>
    </xf>
    <xf numFmtId="0" fontId="17" fillId="4" borderId="0" xfId="0" applyNumberFormat="1" applyFont="1" applyFill="1" applyAlignment="1" applyProtection="1">
      <alignment horizontal="center" wrapText="1"/>
    </xf>
    <xf numFmtId="0" fontId="17" fillId="4" borderId="0" xfId="0" applyNumberFormat="1" applyFont="1" applyFill="1" applyAlignment="1" applyProtection="1">
      <alignment horizontal="left" wrapText="1"/>
    </xf>
    <xf numFmtId="0" fontId="17" fillId="4" borderId="0" xfId="0" applyNumberFormat="1" applyFont="1" applyFill="1" applyAlignment="1" applyProtection="1">
      <alignment wrapText="1"/>
    </xf>
    <xf numFmtId="0" fontId="17" fillId="4" borderId="0" xfId="0" applyFont="1" applyFill="1" applyBorder="1" applyAlignment="1" applyProtection="1">
      <alignment wrapText="1"/>
    </xf>
    <xf numFmtId="0" fontId="17" fillId="4" borderId="0" xfId="0" applyFont="1" applyFill="1" applyAlignment="1" applyProtection="1">
      <alignment wrapText="1"/>
    </xf>
    <xf numFmtId="166" fontId="17" fillId="4" borderId="0" xfId="0" applyNumberFormat="1" applyFont="1" applyFill="1" applyBorder="1" applyAlignment="1" applyProtection="1">
      <alignment wrapText="1"/>
    </xf>
    <xf numFmtId="164" fontId="17" fillId="4" borderId="0" xfId="0" applyNumberFormat="1" applyFont="1" applyFill="1" applyAlignment="1" applyProtection="1">
      <alignment wrapText="1"/>
    </xf>
    <xf numFmtId="0" fontId="18" fillId="0" borderId="0" xfId="0" applyFont="1" applyBorder="1" applyAlignment="1" applyProtection="1">
      <alignment horizontal="left"/>
    </xf>
    <xf numFmtId="0" fontId="18" fillId="0" borderId="0" xfId="0" applyFont="1" applyBorder="1" applyAlignment="1" applyProtection="1">
      <alignment horizontal="left" vertical="top"/>
    </xf>
    <xf numFmtId="2" fontId="18" fillId="0" borderId="0" xfId="0" applyNumberFormat="1" applyFont="1" applyBorder="1" applyAlignment="1" applyProtection="1">
      <alignment horizontal="center"/>
    </xf>
    <xf numFmtId="164" fontId="18" fillId="0" borderId="0" xfId="0" applyNumberFormat="1" applyFont="1" applyBorder="1" applyAlignment="1" applyProtection="1">
      <alignment horizontal="center"/>
    </xf>
    <xf numFmtId="1" fontId="18" fillId="0" borderId="0" xfId="0" applyNumberFormat="1" applyFont="1" applyBorder="1" applyAlignment="1" applyProtection="1">
      <alignment horizontal="center"/>
    </xf>
    <xf numFmtId="164" fontId="18" fillId="0" borderId="0" xfId="0" applyNumberFormat="1" applyFont="1" applyBorder="1" applyAlignment="1" applyProtection="1">
      <alignment horizontal="center" vertical="top"/>
    </xf>
    <xf numFmtId="164" fontId="18" fillId="0" borderId="0" xfId="0" applyNumberFormat="1" applyFont="1" applyBorder="1" applyAlignment="1" applyProtection="1">
      <alignment horizontal="left" vertical="top"/>
    </xf>
    <xf numFmtId="2" fontId="18" fillId="0" borderId="0" xfId="0" applyNumberFormat="1" applyFont="1" applyFill="1" applyBorder="1" applyAlignment="1" applyProtection="1">
      <alignment horizontal="center" vertical="top"/>
    </xf>
    <xf numFmtId="165" fontId="18" fillId="0" borderId="0" xfId="0" applyNumberFormat="1" applyFont="1" applyFill="1" applyBorder="1" applyAlignment="1" applyProtection="1">
      <alignment horizontal="center"/>
    </xf>
    <xf numFmtId="165" fontId="18" fillId="0" borderId="0" xfId="0" applyNumberFormat="1" applyFont="1" applyFill="1" applyBorder="1" applyAlignment="1" applyProtection="1">
      <alignment horizontal="left"/>
    </xf>
    <xf numFmtId="0" fontId="18" fillId="0" borderId="0" xfId="0" applyNumberFormat="1" applyFont="1" applyFill="1" applyBorder="1" applyAlignment="1" applyProtection="1">
      <alignment horizontal="center"/>
    </xf>
    <xf numFmtId="1" fontId="18" fillId="0" borderId="0" xfId="0" applyNumberFormat="1" applyFont="1" applyFill="1" applyBorder="1" applyAlignment="1" applyProtection="1"/>
    <xf numFmtId="164" fontId="18" fillId="0" borderId="0" xfId="0" applyNumberFormat="1" applyFont="1" applyFill="1" applyBorder="1" applyAlignment="1" applyProtection="1"/>
    <xf numFmtId="164" fontId="17" fillId="0" borderId="0" xfId="0" applyNumberFormat="1" applyFont="1" applyFill="1" applyBorder="1" applyAlignment="1" applyProtection="1"/>
    <xf numFmtId="164" fontId="18" fillId="0" borderId="0" xfId="0" applyNumberFormat="1" applyFont="1" applyAlignment="1" applyProtection="1">
      <alignment horizontal="center"/>
    </xf>
    <xf numFmtId="0" fontId="18" fillId="0" borderId="0" xfId="0" applyFont="1" applyFill="1" applyBorder="1" applyAlignment="1" applyProtection="1">
      <alignment horizontal="left"/>
    </xf>
    <xf numFmtId="0" fontId="18" fillId="0" borderId="0" xfId="0" applyFont="1" applyFill="1" applyBorder="1" applyAlignment="1" applyProtection="1">
      <alignment horizontal="left" vertical="top"/>
    </xf>
    <xf numFmtId="2" fontId="18" fillId="0" borderId="0" xfId="0" applyNumberFormat="1" applyFont="1" applyFill="1" applyBorder="1" applyAlignment="1" applyProtection="1">
      <alignment horizontal="center"/>
    </xf>
    <xf numFmtId="164" fontId="18" fillId="0" borderId="0" xfId="0" applyNumberFormat="1" applyFont="1" applyFill="1" applyBorder="1" applyAlignment="1" applyProtection="1">
      <alignment horizontal="center"/>
    </xf>
    <xf numFmtId="1" fontId="18" fillId="0" borderId="0" xfId="0" applyNumberFormat="1" applyFont="1" applyFill="1" applyBorder="1" applyAlignment="1" applyProtection="1">
      <alignment horizontal="center"/>
    </xf>
    <xf numFmtId="0" fontId="18" fillId="0" borderId="0" xfId="0" applyFont="1" applyFill="1" applyBorder="1" applyAlignment="1" applyProtection="1">
      <alignment horizontal="center"/>
    </xf>
    <xf numFmtId="164" fontId="18" fillId="0" borderId="0" xfId="0" applyNumberFormat="1" applyFont="1" applyFill="1" applyBorder="1" applyAlignment="1" applyProtection="1">
      <alignment horizontal="center" vertical="top"/>
    </xf>
    <xf numFmtId="164" fontId="18" fillId="0" borderId="0" xfId="0" applyNumberFormat="1" applyFont="1" applyFill="1" applyBorder="1" applyAlignment="1" applyProtection="1">
      <alignment horizontal="left" vertical="top"/>
    </xf>
    <xf numFmtId="0" fontId="18" fillId="0" borderId="0" xfId="0" applyFont="1" applyFill="1" applyBorder="1" applyAlignment="1" applyProtection="1"/>
    <xf numFmtId="0" fontId="17" fillId="0" borderId="0" xfId="0" applyFont="1" applyFill="1" applyBorder="1" applyAlignment="1" applyProtection="1"/>
    <xf numFmtId="164" fontId="19" fillId="0" borderId="0" xfId="0" applyNumberFormat="1" applyFont="1" applyFill="1" applyBorder="1" applyAlignment="1" applyProtection="1">
      <alignment horizontal="center" vertical="top"/>
    </xf>
    <xf numFmtId="2" fontId="18" fillId="0" borderId="0" xfId="0" applyNumberFormat="1" applyFont="1" applyFill="1" applyBorder="1" applyAlignment="1" applyProtection="1">
      <alignment horizontal="left"/>
    </xf>
    <xf numFmtId="2" fontId="18" fillId="0" borderId="0" xfId="0" applyNumberFormat="1" applyFont="1" applyFill="1" applyAlignment="1" applyProtection="1">
      <alignment horizontal="left" vertical="top"/>
    </xf>
    <xf numFmtId="2" fontId="18" fillId="0" borderId="0" xfId="0" applyNumberFormat="1" applyFont="1" applyFill="1" applyAlignment="1" applyProtection="1">
      <alignment horizontal="center" vertical="top"/>
    </xf>
    <xf numFmtId="1" fontId="18" fillId="0" borderId="0" xfId="0" applyNumberFormat="1" applyFont="1" applyFill="1" applyAlignment="1" applyProtection="1">
      <alignment horizontal="center" vertical="top"/>
    </xf>
    <xf numFmtId="164" fontId="18" fillId="0" borderId="0" xfId="0" applyNumberFormat="1" applyFont="1" applyFill="1" applyAlignment="1" applyProtection="1">
      <alignment horizontal="center"/>
    </xf>
    <xf numFmtId="2" fontId="18" fillId="0" borderId="0" xfId="0" applyNumberFormat="1" applyFont="1" applyFill="1" applyAlignment="1" applyProtection="1">
      <alignment vertical="top"/>
    </xf>
    <xf numFmtId="165" fontId="18" fillId="0" borderId="0" xfId="0" applyNumberFormat="1" applyFont="1" applyFill="1" applyAlignment="1" applyProtection="1">
      <alignment horizontal="center" vertical="top"/>
    </xf>
    <xf numFmtId="165" fontId="18" fillId="0" borderId="0" xfId="0" applyNumberFormat="1" applyFont="1" applyFill="1" applyAlignment="1" applyProtection="1">
      <alignment horizontal="left" vertical="top"/>
    </xf>
    <xf numFmtId="164" fontId="18" fillId="0" borderId="0" xfId="0" applyNumberFormat="1" applyFont="1" applyFill="1" applyAlignment="1" applyProtection="1">
      <alignment vertical="top"/>
    </xf>
    <xf numFmtId="164" fontId="17" fillId="0" borderId="0" xfId="0" applyNumberFormat="1" applyFont="1" applyFill="1" applyAlignment="1" applyProtection="1">
      <alignment vertical="top"/>
    </xf>
    <xf numFmtId="1" fontId="18" fillId="0" borderId="0" xfId="0" applyNumberFormat="1" applyFont="1" applyFill="1" applyAlignment="1" applyProtection="1">
      <alignment vertical="top"/>
    </xf>
    <xf numFmtId="2" fontId="17" fillId="0" borderId="0" xfId="0" applyNumberFormat="1" applyFont="1" applyFill="1" applyAlignment="1" applyProtection="1">
      <alignment vertical="top"/>
    </xf>
    <xf numFmtId="1" fontId="18" fillId="0" borderId="0" xfId="0" applyNumberFormat="1" applyFont="1" applyFill="1" applyBorder="1" applyAlignment="1" applyProtection="1">
      <alignment horizontal="center" vertical="top"/>
    </xf>
    <xf numFmtId="2" fontId="18" fillId="0" borderId="2" xfId="0" applyNumberFormat="1" applyFont="1" applyFill="1" applyBorder="1" applyAlignment="1" applyProtection="1">
      <alignment horizontal="left"/>
    </xf>
    <xf numFmtId="2" fontId="18" fillId="0" borderId="2" xfId="0" applyNumberFormat="1" applyFont="1" applyFill="1" applyBorder="1" applyAlignment="1" applyProtection="1">
      <alignment horizontal="left" vertical="top"/>
    </xf>
    <xf numFmtId="2" fontId="18" fillId="0" borderId="2" xfId="0" applyNumberFormat="1" applyFont="1" applyFill="1" applyBorder="1" applyAlignment="1" applyProtection="1">
      <alignment horizontal="center" vertical="top"/>
    </xf>
    <xf numFmtId="1" fontId="18" fillId="0" borderId="2" xfId="0" applyNumberFormat="1" applyFont="1" applyFill="1" applyBorder="1" applyAlignment="1" applyProtection="1">
      <alignment horizontal="center" vertical="top"/>
    </xf>
    <xf numFmtId="164" fontId="18" fillId="0" borderId="2" xfId="0" applyNumberFormat="1" applyFont="1" applyFill="1" applyBorder="1" applyAlignment="1" applyProtection="1">
      <alignment horizontal="center"/>
    </xf>
    <xf numFmtId="2" fontId="18" fillId="0" borderId="2" xfId="0" applyNumberFormat="1" applyFont="1" applyFill="1" applyBorder="1" applyAlignment="1" applyProtection="1">
      <alignment vertical="top"/>
    </xf>
    <xf numFmtId="165" fontId="18" fillId="0" borderId="2" xfId="0" applyNumberFormat="1" applyFont="1" applyFill="1" applyBorder="1" applyAlignment="1" applyProtection="1">
      <alignment horizontal="center" vertical="top"/>
    </xf>
    <xf numFmtId="165" fontId="18" fillId="0" borderId="2" xfId="0" applyNumberFormat="1" applyFont="1" applyFill="1" applyBorder="1" applyAlignment="1" applyProtection="1">
      <alignment horizontal="left" vertical="top"/>
    </xf>
    <xf numFmtId="164" fontId="18" fillId="0" borderId="2" xfId="0" applyNumberFormat="1" applyFont="1" applyFill="1" applyBorder="1" applyAlignment="1" applyProtection="1">
      <alignment vertical="top"/>
    </xf>
    <xf numFmtId="164" fontId="17" fillId="0" borderId="2" xfId="0" applyNumberFormat="1" applyFont="1" applyFill="1" applyBorder="1" applyAlignment="1" applyProtection="1">
      <alignment vertical="top"/>
    </xf>
    <xf numFmtId="1" fontId="18" fillId="0" borderId="2" xfId="0" applyNumberFormat="1" applyFont="1" applyFill="1" applyBorder="1" applyAlignment="1" applyProtection="1">
      <alignment vertical="top"/>
    </xf>
    <xf numFmtId="2" fontId="17" fillId="0" borderId="2" xfId="0" applyNumberFormat="1" applyFont="1" applyFill="1" applyBorder="1" applyAlignment="1" applyProtection="1">
      <alignment vertical="top"/>
    </xf>
    <xf numFmtId="0" fontId="18" fillId="0" borderId="2" xfId="0" applyFont="1" applyFill="1" applyBorder="1" applyAlignment="1" applyProtection="1">
      <alignment horizontal="left"/>
    </xf>
    <xf numFmtId="0" fontId="18" fillId="0" borderId="2" xfId="0" applyFont="1" applyFill="1" applyBorder="1" applyAlignment="1" applyProtection="1">
      <alignment horizontal="left" vertical="top"/>
    </xf>
    <xf numFmtId="2" fontId="18" fillId="0" borderId="2" xfId="0" applyNumberFormat="1" applyFont="1" applyFill="1" applyBorder="1" applyAlignment="1" applyProtection="1">
      <alignment horizontal="center"/>
    </xf>
    <xf numFmtId="1" fontId="18" fillId="0" borderId="2" xfId="0" applyNumberFormat="1" applyFont="1" applyFill="1" applyBorder="1" applyAlignment="1" applyProtection="1">
      <alignment horizontal="center"/>
    </xf>
    <xf numFmtId="164" fontId="18" fillId="0" borderId="2" xfId="0" applyNumberFormat="1" applyFont="1" applyFill="1" applyBorder="1" applyAlignment="1" applyProtection="1">
      <alignment horizontal="center" vertical="top"/>
    </xf>
    <xf numFmtId="164" fontId="18" fillId="0" borderId="2" xfId="0" applyNumberFormat="1" applyFont="1" applyFill="1" applyBorder="1" applyAlignment="1" applyProtection="1">
      <alignment horizontal="left" vertical="top"/>
    </xf>
    <xf numFmtId="165" fontId="18" fillId="0" borderId="2" xfId="0" applyNumberFormat="1" applyFont="1" applyFill="1" applyBorder="1" applyAlignment="1" applyProtection="1">
      <alignment horizontal="center"/>
    </xf>
    <xf numFmtId="165" fontId="18" fillId="0" borderId="2" xfId="0" applyNumberFormat="1" applyFont="1" applyFill="1" applyBorder="1" applyAlignment="1" applyProtection="1">
      <alignment horizontal="left"/>
    </xf>
    <xf numFmtId="164" fontId="18" fillId="0" borderId="2" xfId="0" applyNumberFormat="1" applyFont="1" applyFill="1" applyBorder="1" applyAlignment="1" applyProtection="1"/>
    <xf numFmtId="164" fontId="17" fillId="0" borderId="2" xfId="0" applyNumberFormat="1" applyFont="1" applyFill="1" applyBorder="1" applyAlignment="1" applyProtection="1"/>
    <xf numFmtId="0" fontId="18" fillId="0" borderId="2" xfId="0" applyFont="1" applyFill="1" applyBorder="1" applyAlignment="1" applyProtection="1"/>
    <xf numFmtId="1" fontId="18" fillId="0" borderId="2" xfId="0" applyNumberFormat="1" applyFont="1" applyFill="1" applyBorder="1" applyAlignment="1" applyProtection="1"/>
    <xf numFmtId="0" fontId="17" fillId="0" borderId="2" xfId="0" applyFont="1" applyFill="1" applyBorder="1" applyAlignment="1" applyProtection="1"/>
    <xf numFmtId="0" fontId="18" fillId="0" borderId="9" xfId="0" applyFont="1" applyFill="1" applyBorder="1" applyAlignment="1" applyProtection="1">
      <alignment horizontal="left"/>
    </xf>
    <xf numFmtId="0" fontId="18" fillId="0" borderId="9" xfId="0" applyFont="1" applyFill="1" applyBorder="1" applyAlignment="1" applyProtection="1">
      <alignment horizontal="left" vertical="top"/>
    </xf>
    <xf numFmtId="2" fontId="18" fillId="0" borderId="9" xfId="0" applyNumberFormat="1" applyFont="1" applyFill="1" applyBorder="1" applyAlignment="1" applyProtection="1">
      <alignment horizontal="center"/>
    </xf>
    <xf numFmtId="164" fontId="18" fillId="0" borderId="9" xfId="0" applyNumberFormat="1" applyFont="1" applyFill="1" applyBorder="1" applyAlignment="1" applyProtection="1">
      <alignment horizontal="center"/>
    </xf>
    <xf numFmtId="164" fontId="18" fillId="0" borderId="9" xfId="0" applyNumberFormat="1" applyFont="1" applyFill="1" applyBorder="1" applyAlignment="1" applyProtection="1">
      <alignment horizontal="center" vertical="top"/>
    </xf>
    <xf numFmtId="1" fontId="18" fillId="0" borderId="9" xfId="0" applyNumberFormat="1" applyFont="1" applyFill="1" applyBorder="1" applyAlignment="1" applyProtection="1">
      <alignment horizontal="center"/>
    </xf>
    <xf numFmtId="0" fontId="18" fillId="0" borderId="9" xfId="0" applyFont="1" applyFill="1" applyBorder="1" applyAlignment="1" applyProtection="1">
      <alignment horizontal="center"/>
    </xf>
    <xf numFmtId="164" fontId="18" fillId="0" borderId="9" xfId="0" applyNumberFormat="1" applyFont="1" applyFill="1" applyBorder="1" applyAlignment="1" applyProtection="1">
      <alignment horizontal="left" vertical="top"/>
    </xf>
    <xf numFmtId="2" fontId="18" fillId="0" borderId="9" xfId="0" applyNumberFormat="1" applyFont="1" applyFill="1" applyBorder="1" applyAlignment="1" applyProtection="1">
      <alignment horizontal="center" vertical="top"/>
    </xf>
    <xf numFmtId="165" fontId="18" fillId="0" borderId="9" xfId="0" applyNumberFormat="1" applyFont="1" applyFill="1" applyBorder="1" applyAlignment="1" applyProtection="1">
      <alignment horizontal="center"/>
    </xf>
    <xf numFmtId="165" fontId="18" fillId="0" borderId="9" xfId="0" applyNumberFormat="1" applyFont="1" applyFill="1" applyBorder="1" applyAlignment="1" applyProtection="1">
      <alignment horizontal="left"/>
    </xf>
    <xf numFmtId="0" fontId="18" fillId="0" borderId="9" xfId="0" applyNumberFormat="1" applyFont="1" applyFill="1" applyBorder="1" applyAlignment="1" applyProtection="1">
      <alignment horizontal="center"/>
    </xf>
    <xf numFmtId="164" fontId="18" fillId="0" borderId="9" xfId="0" applyNumberFormat="1" applyFont="1" applyFill="1" applyBorder="1" applyAlignment="1" applyProtection="1"/>
    <xf numFmtId="164" fontId="17" fillId="0" borderId="9" xfId="0" applyNumberFormat="1" applyFont="1" applyFill="1" applyBorder="1" applyAlignment="1" applyProtection="1"/>
    <xf numFmtId="0" fontId="18" fillId="0" borderId="9" xfId="0" applyFont="1" applyFill="1" applyBorder="1" applyAlignment="1" applyProtection="1"/>
    <xf numFmtId="1" fontId="18" fillId="0" borderId="9" xfId="0" applyNumberFormat="1" applyFont="1" applyFill="1" applyBorder="1" applyAlignment="1" applyProtection="1"/>
    <xf numFmtId="0" fontId="17" fillId="0" borderId="9" xfId="0" applyFont="1" applyFill="1" applyBorder="1" applyAlignment="1" applyProtection="1"/>
    <xf numFmtId="0" fontId="18" fillId="0" borderId="0" xfId="0" applyFont="1" applyFill="1" applyAlignment="1" applyProtection="1">
      <alignment horizontal="left" vertical="top"/>
    </xf>
    <xf numFmtId="0" fontId="18" fillId="0" borderId="0" xfId="0" applyFont="1" applyFill="1" applyAlignment="1" applyProtection="1">
      <alignment horizontal="center" vertical="top"/>
    </xf>
    <xf numFmtId="164" fontId="18" fillId="0" borderId="0" xfId="0" applyNumberFormat="1" applyFont="1" applyFill="1" applyAlignment="1" applyProtection="1">
      <alignment horizontal="center" vertical="top"/>
    </xf>
    <xf numFmtId="0" fontId="18" fillId="0" borderId="0" xfId="0" applyFont="1" applyFill="1" applyAlignment="1" applyProtection="1">
      <alignment vertical="top"/>
    </xf>
    <xf numFmtId="0" fontId="17" fillId="0" borderId="0" xfId="0" applyFont="1" applyFill="1" applyAlignment="1" applyProtection="1">
      <alignment vertical="top"/>
    </xf>
    <xf numFmtId="0" fontId="18" fillId="0" borderId="2" xfId="0" applyFont="1" applyFill="1" applyBorder="1" applyAlignment="1" applyProtection="1">
      <alignment horizontal="center" vertical="top"/>
    </xf>
    <xf numFmtId="0" fontId="18" fillId="0" borderId="2" xfId="0" applyFont="1" applyFill="1" applyBorder="1" applyAlignment="1" applyProtection="1">
      <alignment vertical="top"/>
    </xf>
    <xf numFmtId="0" fontId="17" fillId="0" borderId="2" xfId="0" applyFont="1" applyFill="1" applyBorder="1" applyAlignment="1" applyProtection="1">
      <alignment vertical="top"/>
    </xf>
    <xf numFmtId="0" fontId="18" fillId="0" borderId="2" xfId="0" applyFont="1" applyBorder="1" applyAlignment="1" applyProtection="1">
      <alignment horizontal="left" vertical="top"/>
    </xf>
    <xf numFmtId="2" fontId="18" fillId="0" borderId="2" xfId="0" applyNumberFormat="1" applyFont="1" applyBorder="1" applyAlignment="1" applyProtection="1">
      <alignment horizontal="center"/>
    </xf>
    <xf numFmtId="1" fontId="18" fillId="0" borderId="2" xfId="0" applyNumberFormat="1" applyFont="1" applyBorder="1" applyAlignment="1" applyProtection="1">
      <alignment horizontal="center"/>
    </xf>
    <xf numFmtId="164" fontId="18" fillId="0" borderId="2" xfId="0" applyNumberFormat="1" applyFont="1" applyBorder="1" applyAlignment="1" applyProtection="1">
      <alignment horizontal="center" vertical="top"/>
    </xf>
    <xf numFmtId="164" fontId="18" fillId="0" borderId="2" xfId="0" applyNumberFormat="1" applyFont="1" applyBorder="1" applyAlignment="1" applyProtection="1">
      <alignment horizontal="left" vertical="top"/>
    </xf>
    <xf numFmtId="0" fontId="18" fillId="0" borderId="1" xfId="0" applyFont="1" applyBorder="1" applyAlignment="1" applyProtection="1">
      <alignment horizontal="left" vertical="top"/>
    </xf>
    <xf numFmtId="2" fontId="18" fillId="0" borderId="1" xfId="0" applyNumberFormat="1" applyFont="1" applyBorder="1" applyAlignment="1" applyProtection="1">
      <alignment horizontal="center"/>
    </xf>
    <xf numFmtId="164" fontId="18" fillId="0" borderId="1" xfId="0" applyNumberFormat="1" applyFont="1" applyBorder="1" applyAlignment="1" applyProtection="1">
      <alignment horizontal="center"/>
    </xf>
    <xf numFmtId="1" fontId="18" fillId="0" borderId="1" xfId="0" applyNumberFormat="1" applyFont="1" applyBorder="1" applyAlignment="1" applyProtection="1">
      <alignment horizontal="center"/>
    </xf>
    <xf numFmtId="164" fontId="18" fillId="0" borderId="1" xfId="0" applyNumberFormat="1" applyFont="1" applyBorder="1" applyAlignment="1" applyProtection="1">
      <alignment horizontal="center" vertical="top"/>
    </xf>
    <xf numFmtId="164" fontId="18" fillId="0" borderId="1" xfId="0" applyNumberFormat="1" applyFont="1" applyBorder="1" applyAlignment="1" applyProtection="1">
      <alignment horizontal="left" vertical="top"/>
    </xf>
    <xf numFmtId="2" fontId="18" fillId="0" borderId="1" xfId="0" applyNumberFormat="1" applyFont="1" applyFill="1" applyBorder="1" applyAlignment="1" applyProtection="1">
      <alignment horizontal="center" vertical="top"/>
    </xf>
    <xf numFmtId="165" fontId="18" fillId="0" borderId="1" xfId="0" applyNumberFormat="1" applyFont="1" applyFill="1" applyBorder="1" applyAlignment="1" applyProtection="1">
      <alignment horizontal="center"/>
    </xf>
    <xf numFmtId="165" fontId="18" fillId="0" borderId="1" xfId="0" applyNumberFormat="1" applyFont="1" applyFill="1" applyBorder="1" applyAlignment="1" applyProtection="1">
      <alignment horizontal="left"/>
    </xf>
    <xf numFmtId="1" fontId="18" fillId="0" borderId="1" xfId="0" applyNumberFormat="1" applyFont="1" applyBorder="1" applyAlignment="1" applyProtection="1"/>
    <xf numFmtId="1" fontId="17" fillId="4" borderId="0" xfId="0" applyNumberFormat="1" applyFont="1" applyFill="1" applyAlignment="1" applyProtection="1">
      <alignment wrapText="1"/>
    </xf>
    <xf numFmtId="0" fontId="19" fillId="0" borderId="0" xfId="3" applyFont="1" applyFill="1" applyBorder="1" applyAlignment="1" applyProtection="1">
      <alignment horizontal="left" vertical="top"/>
    </xf>
    <xf numFmtId="0" fontId="18" fillId="0" borderId="0" xfId="3" applyFont="1" applyFill="1" applyBorder="1" applyAlignment="1" applyProtection="1">
      <alignment horizontal="left" vertical="top"/>
    </xf>
    <xf numFmtId="0" fontId="18" fillId="0" borderId="0" xfId="0" applyFont="1" applyBorder="1" applyAlignment="1" applyProtection="1">
      <alignment horizontal="center" vertical="top"/>
    </xf>
    <xf numFmtId="0" fontId="18" fillId="0" borderId="0" xfId="3" applyFont="1" applyFill="1" applyBorder="1" applyAlignment="1" applyProtection="1">
      <alignment horizontal="center" vertical="top"/>
    </xf>
    <xf numFmtId="0" fontId="18" fillId="0" borderId="0" xfId="3" applyFont="1" applyBorder="1" applyAlignment="1" applyProtection="1">
      <alignment horizontal="center" vertical="top"/>
    </xf>
    <xf numFmtId="1" fontId="18" fillId="0" borderId="0" xfId="0" applyNumberFormat="1" applyFont="1" applyAlignment="1" applyProtection="1"/>
    <xf numFmtId="1" fontId="18" fillId="0" borderId="0" xfId="0" applyNumberFormat="1" applyFont="1" applyBorder="1" applyAlignment="1" applyProtection="1">
      <alignment horizontal="center" vertical="top"/>
    </xf>
    <xf numFmtId="0" fontId="18" fillId="0" borderId="0" xfId="0" applyFont="1" applyFill="1" applyBorder="1" applyAlignment="1" applyProtection="1">
      <alignment horizontal="center" vertical="top"/>
    </xf>
    <xf numFmtId="0" fontId="18" fillId="0" borderId="0" xfId="0" applyNumberFormat="1" applyFont="1" applyFill="1" applyBorder="1" applyAlignment="1" applyProtection="1">
      <alignment horizontal="left"/>
    </xf>
    <xf numFmtId="0" fontId="19" fillId="0" borderId="0" xfId="0" applyFont="1" applyBorder="1" applyAlignment="1" applyProtection="1">
      <alignment horizontal="left" vertical="top"/>
    </xf>
    <xf numFmtId="0" fontId="19" fillId="0" borderId="2" xfId="0" applyFont="1" applyBorder="1" applyAlignment="1" applyProtection="1">
      <alignment horizontal="left" vertical="top"/>
    </xf>
    <xf numFmtId="0" fontId="18" fillId="0" borderId="2" xfId="3" applyFont="1" applyFill="1" applyBorder="1" applyAlignment="1" applyProtection="1">
      <alignment horizontal="left" vertical="top"/>
    </xf>
    <xf numFmtId="0" fontId="18" fillId="0" borderId="2" xfId="0" applyFont="1" applyBorder="1" applyAlignment="1" applyProtection="1">
      <alignment horizontal="center" vertical="top"/>
    </xf>
    <xf numFmtId="164" fontId="19" fillId="0" borderId="2" xfId="0" applyNumberFormat="1" applyFont="1" applyFill="1" applyBorder="1" applyAlignment="1" applyProtection="1">
      <alignment horizontal="center" vertical="top"/>
    </xf>
    <xf numFmtId="0" fontId="18" fillId="0" borderId="2" xfId="3" applyFont="1" applyFill="1" applyBorder="1" applyAlignment="1" applyProtection="1">
      <alignment horizontal="center" vertical="top"/>
    </xf>
    <xf numFmtId="0" fontId="18" fillId="0" borderId="2" xfId="3" applyFont="1" applyBorder="1" applyAlignment="1" applyProtection="1">
      <alignment horizontal="center" vertical="top"/>
    </xf>
    <xf numFmtId="1" fontId="18" fillId="0" borderId="2" xfId="0" applyNumberFormat="1" applyFont="1" applyBorder="1" applyAlignment="1" applyProtection="1">
      <alignment horizontal="center" vertical="top"/>
    </xf>
    <xf numFmtId="1" fontId="18" fillId="0" borderId="0" xfId="0" applyNumberFormat="1" applyFont="1" applyAlignment="1" applyProtection="1">
      <alignment horizontal="center"/>
    </xf>
    <xf numFmtId="1" fontId="18" fillId="0" borderId="0" xfId="3" applyNumberFormat="1" applyFont="1" applyFill="1" applyAlignment="1" applyProtection="1">
      <alignment horizontal="center" vertical="top"/>
    </xf>
    <xf numFmtId="1" fontId="18" fillId="0" borderId="0" xfId="3" applyNumberFormat="1" applyFont="1" applyFill="1" applyBorder="1" applyAlignment="1" applyProtection="1">
      <alignment horizontal="center" vertical="top"/>
    </xf>
    <xf numFmtId="1" fontId="18" fillId="0" borderId="2" xfId="3" applyNumberFormat="1" applyFont="1" applyFill="1" applyBorder="1" applyAlignment="1" applyProtection="1">
      <alignment horizontal="center" vertical="top"/>
    </xf>
    <xf numFmtId="1" fontId="19" fillId="0" borderId="0" xfId="0" applyNumberFormat="1" applyFont="1" applyBorder="1" applyAlignment="1" applyProtection="1">
      <alignment horizontal="center" vertical="top"/>
    </xf>
    <xf numFmtId="1" fontId="18" fillId="0" borderId="0" xfId="3" applyNumberFormat="1" applyFont="1" applyBorder="1" applyAlignment="1" applyProtection="1">
      <alignment horizontal="center" vertical="top"/>
    </xf>
    <xf numFmtId="1" fontId="18" fillId="0" borderId="2" xfId="3" applyNumberFormat="1" applyFont="1" applyBorder="1" applyAlignment="1" applyProtection="1">
      <alignment horizontal="center" vertical="top"/>
    </xf>
    <xf numFmtId="0" fontId="19" fillId="0" borderId="0" xfId="0" applyFont="1" applyFill="1" applyBorder="1" applyAlignment="1" applyProtection="1">
      <alignment horizontal="left"/>
    </xf>
    <xf numFmtId="0" fontId="18" fillId="0" borderId="0" xfId="0" applyFont="1" applyBorder="1" applyAlignment="1" applyProtection="1">
      <alignment horizontal="center"/>
    </xf>
    <xf numFmtId="0" fontId="19" fillId="0" borderId="2" xfId="0" applyFont="1" applyFill="1" applyBorder="1" applyAlignment="1" applyProtection="1">
      <alignment horizontal="left"/>
    </xf>
    <xf numFmtId="0" fontId="18" fillId="0" borderId="0" xfId="3" applyFont="1" applyFill="1" applyAlignment="1" applyProtection="1">
      <alignment horizontal="left" vertical="top"/>
    </xf>
    <xf numFmtId="0" fontId="18" fillId="0" borderId="0" xfId="3" applyFont="1" applyFill="1" applyAlignment="1" applyProtection="1">
      <alignment horizontal="center" vertical="top"/>
    </xf>
    <xf numFmtId="0" fontId="18" fillId="0" borderId="0" xfId="3" applyFont="1" applyAlignment="1" applyProtection="1">
      <alignment horizontal="center" vertical="top"/>
    </xf>
    <xf numFmtId="1" fontId="19" fillId="0" borderId="0" xfId="0" applyNumberFormat="1" applyFont="1" applyFill="1" applyAlignment="1" applyProtection="1">
      <alignment horizontal="center"/>
    </xf>
    <xf numFmtId="1" fontId="19" fillId="0" borderId="0" xfId="0" applyNumberFormat="1" applyFont="1" applyFill="1" applyBorder="1" applyAlignment="1" applyProtection="1">
      <alignment horizontal="center"/>
    </xf>
    <xf numFmtId="0" fontId="18" fillId="0" borderId="9" xfId="0" applyFont="1" applyBorder="1" applyAlignment="1" applyProtection="1">
      <alignment horizontal="left"/>
    </xf>
    <xf numFmtId="0" fontId="18" fillId="0" borderId="9" xfId="3" applyFont="1" applyFill="1" applyBorder="1" applyAlignment="1" applyProtection="1">
      <alignment horizontal="left" vertical="top"/>
    </xf>
    <xf numFmtId="164" fontId="19" fillId="0" borderId="9" xfId="0" applyNumberFormat="1" applyFont="1" applyFill="1" applyBorder="1" applyAlignment="1" applyProtection="1">
      <alignment horizontal="center" vertical="top"/>
    </xf>
    <xf numFmtId="1" fontId="19" fillId="0" borderId="9" xfId="0" applyNumberFormat="1" applyFont="1" applyFill="1" applyBorder="1" applyAlignment="1" applyProtection="1">
      <alignment horizontal="center"/>
    </xf>
    <xf numFmtId="1" fontId="18" fillId="0" borderId="9" xfId="3" applyNumberFormat="1" applyFont="1" applyFill="1" applyBorder="1" applyAlignment="1" applyProtection="1">
      <alignment horizontal="center" vertical="top"/>
    </xf>
    <xf numFmtId="1" fontId="18" fillId="0" borderId="9" xfId="0" applyNumberFormat="1" applyFont="1" applyBorder="1" applyAlignment="1" applyProtection="1">
      <alignment horizontal="center" vertical="top"/>
    </xf>
    <xf numFmtId="0" fontId="18" fillId="0" borderId="9" xfId="0" applyFont="1" applyFill="1" applyBorder="1" applyAlignment="1" applyProtection="1">
      <alignment horizontal="center" vertical="top"/>
    </xf>
    <xf numFmtId="0" fontId="18" fillId="0" borderId="9" xfId="0" applyNumberFormat="1" applyFont="1" applyFill="1" applyBorder="1" applyAlignment="1" applyProtection="1">
      <alignment horizontal="left"/>
    </xf>
    <xf numFmtId="164" fontId="18" fillId="0" borderId="9" xfId="0" applyNumberFormat="1" applyFont="1" applyBorder="1" applyAlignment="1" applyProtection="1"/>
    <xf numFmtId="164" fontId="17" fillId="0" borderId="9" xfId="0" applyNumberFormat="1" applyFont="1" applyBorder="1" applyAlignment="1" applyProtection="1"/>
    <xf numFmtId="0" fontId="18" fillId="0" borderId="9" xfId="0" applyFont="1" applyBorder="1" applyAlignment="1" applyProtection="1"/>
    <xf numFmtId="1" fontId="18" fillId="0" borderId="9" xfId="0" applyNumberFormat="1" applyFont="1" applyBorder="1" applyAlignment="1" applyProtection="1"/>
    <xf numFmtId="0" fontId="17" fillId="0" borderId="9" xfId="0" applyFont="1" applyBorder="1" applyAlignment="1" applyProtection="1"/>
    <xf numFmtId="0" fontId="19" fillId="0" borderId="0" xfId="0" applyFont="1" applyFill="1" applyBorder="1" applyAlignment="1" applyProtection="1">
      <alignment horizontal="left" vertical="top"/>
    </xf>
    <xf numFmtId="0" fontId="18" fillId="0" borderId="0" xfId="0" applyNumberFormat="1" applyFont="1" applyFill="1" applyBorder="1" applyAlignment="1" applyProtection="1">
      <alignment horizontal="center" vertical="top"/>
    </xf>
    <xf numFmtId="0" fontId="18" fillId="0" borderId="0" xfId="0" applyNumberFormat="1" applyFont="1" applyFill="1" applyBorder="1" applyAlignment="1" applyProtection="1">
      <alignment horizontal="left" vertical="top"/>
    </xf>
    <xf numFmtId="0" fontId="19" fillId="0" borderId="2" xfId="0" applyFont="1" applyFill="1" applyBorder="1" applyAlignment="1" applyProtection="1">
      <alignment horizontal="left" vertical="top"/>
    </xf>
    <xf numFmtId="0" fontId="18" fillId="0" borderId="2" xfId="0" applyNumberFormat="1" applyFont="1" applyFill="1" applyBorder="1" applyAlignment="1" applyProtection="1">
      <alignment horizontal="center" vertical="top"/>
    </xf>
    <xf numFmtId="0" fontId="18" fillId="0" borderId="2" xfId="0" applyNumberFormat="1" applyFont="1" applyFill="1" applyBorder="1" applyAlignment="1" applyProtection="1">
      <alignment horizontal="left" vertical="top"/>
    </xf>
    <xf numFmtId="0" fontId="18" fillId="0" borderId="3" xfId="3" applyFont="1" applyFill="1" applyBorder="1" applyAlignment="1" applyProtection="1">
      <alignment horizontal="left" vertical="top"/>
    </xf>
    <xf numFmtId="0" fontId="18" fillId="0" borderId="3" xfId="0" applyFont="1" applyFill="1" applyBorder="1" applyAlignment="1" applyProtection="1">
      <alignment horizontal="center" vertical="top"/>
    </xf>
    <xf numFmtId="164" fontId="19" fillId="0" borderId="3" xfId="0" applyNumberFormat="1" applyFont="1" applyFill="1" applyBorder="1" applyAlignment="1" applyProtection="1">
      <alignment horizontal="center" vertical="top"/>
    </xf>
    <xf numFmtId="0" fontId="18" fillId="0" borderId="3" xfId="3" applyFont="1" applyFill="1" applyBorder="1" applyAlignment="1" applyProtection="1">
      <alignment horizontal="center" vertical="top"/>
    </xf>
    <xf numFmtId="1" fontId="18" fillId="0" borderId="0" xfId="0" applyNumberFormat="1" applyFont="1" applyFill="1" applyAlignment="1" applyProtection="1">
      <alignment horizontal="center"/>
    </xf>
    <xf numFmtId="0" fontId="19" fillId="0" borderId="9" xfId="0" applyFont="1" applyBorder="1" applyAlignment="1" applyProtection="1">
      <alignment horizontal="left" vertical="top"/>
    </xf>
    <xf numFmtId="0" fontId="18" fillId="0" borderId="9" xfId="3" applyFont="1" applyFill="1" applyBorder="1" applyAlignment="1" applyProtection="1">
      <alignment horizontal="center" vertical="top"/>
    </xf>
    <xf numFmtId="0" fontId="18" fillId="0" borderId="9" xfId="0" applyFont="1" applyBorder="1" applyAlignment="1" applyProtection="1">
      <alignment horizontal="center"/>
    </xf>
    <xf numFmtId="1" fontId="18" fillId="0" borderId="9" xfId="0" applyNumberFormat="1" applyFont="1" applyFill="1" applyBorder="1" applyAlignment="1" applyProtection="1">
      <alignment horizontal="center" vertical="top"/>
    </xf>
    <xf numFmtId="2" fontId="18" fillId="0" borderId="0" xfId="0" applyNumberFormat="1" applyFont="1" applyFill="1" applyAlignment="1" applyProtection="1">
      <alignment horizontal="center"/>
    </xf>
    <xf numFmtId="2" fontId="18" fillId="0" borderId="0" xfId="0" applyNumberFormat="1" applyFont="1" applyFill="1" applyAlignment="1" applyProtection="1"/>
    <xf numFmtId="0" fontId="19" fillId="0" borderId="2" xfId="0" applyFont="1" applyBorder="1" applyAlignment="1" applyProtection="1">
      <alignment horizontal="left"/>
    </xf>
    <xf numFmtId="2" fontId="18" fillId="0" borderId="2" xfId="0" applyNumberFormat="1" applyFont="1" applyFill="1" applyBorder="1" applyAlignment="1" applyProtection="1"/>
    <xf numFmtId="0" fontId="19" fillId="0" borderId="0" xfId="0" applyFont="1" applyBorder="1" applyAlignment="1" applyProtection="1">
      <alignment horizontal="center" vertical="top"/>
    </xf>
    <xf numFmtId="0" fontId="18" fillId="0" borderId="0" xfId="0" applyFont="1" applyFill="1" applyAlignment="1" applyProtection="1">
      <alignment horizontal="left"/>
    </xf>
    <xf numFmtId="2" fontId="18" fillId="0" borderId="0" xfId="0" applyNumberFormat="1" applyFont="1" applyFill="1" applyAlignment="1" applyProtection="1">
      <alignment horizontal="left"/>
    </xf>
    <xf numFmtId="0" fontId="19" fillId="0" borderId="0" xfId="0" applyFont="1" applyBorder="1" applyAlignment="1" applyProtection="1">
      <alignment horizontal="left"/>
    </xf>
    <xf numFmtId="2" fontId="18" fillId="0" borderId="0" xfId="0" applyNumberFormat="1" applyFont="1" applyFill="1" applyBorder="1" applyAlignment="1" applyProtection="1"/>
    <xf numFmtId="0" fontId="17" fillId="0" borderId="0" xfId="0" applyFont="1" applyFill="1" applyAlignment="1" applyProtection="1">
      <alignment horizontal="center"/>
    </xf>
    <xf numFmtId="0" fontId="17" fillId="0" borderId="2" xfId="0" applyFont="1" applyFill="1" applyBorder="1" applyAlignment="1" applyProtection="1">
      <alignment horizontal="center"/>
    </xf>
    <xf numFmtId="0" fontId="18" fillId="0" borderId="0" xfId="0" applyFont="1" applyFill="1" applyAlignment="1" applyProtection="1"/>
    <xf numFmtId="2" fontId="18" fillId="0" borderId="0" xfId="0" applyNumberFormat="1" applyFont="1" applyAlignment="1" applyProtection="1"/>
    <xf numFmtId="0" fontId="18" fillId="0" borderId="4" xfId="3" applyFont="1" applyFill="1" applyBorder="1" applyAlignment="1" applyProtection="1">
      <alignment horizontal="left" vertical="top"/>
    </xf>
    <xf numFmtId="0" fontId="18" fillId="0" borderId="4" xfId="3" applyFont="1" applyFill="1" applyBorder="1" applyAlignment="1" applyProtection="1">
      <alignment horizontal="center" vertical="top"/>
    </xf>
    <xf numFmtId="0" fontId="19" fillId="0" borderId="3" xfId="0" applyFont="1" applyBorder="1" applyAlignment="1" applyProtection="1">
      <alignment horizontal="left"/>
    </xf>
    <xf numFmtId="0" fontId="18" fillId="0" borderId="3" xfId="0" applyFont="1" applyBorder="1" applyAlignment="1" applyProtection="1">
      <alignment horizontal="center" vertical="top"/>
    </xf>
    <xf numFmtId="164" fontId="18" fillId="0" borderId="3" xfId="0" applyNumberFormat="1" applyFont="1" applyBorder="1" applyAlignment="1" applyProtection="1">
      <alignment horizontal="center" vertical="top"/>
    </xf>
    <xf numFmtId="1" fontId="18" fillId="0" borderId="3" xfId="0" applyNumberFormat="1" applyFont="1" applyBorder="1" applyAlignment="1" applyProtection="1">
      <alignment horizontal="center" vertical="top"/>
    </xf>
    <xf numFmtId="0" fontId="18" fillId="0" borderId="3" xfId="0" applyFont="1" applyFill="1" applyBorder="1" applyAlignment="1" applyProtection="1">
      <alignment horizontal="left"/>
    </xf>
    <xf numFmtId="0" fontId="18" fillId="0" borderId="3" xfId="0" applyFont="1" applyFill="1" applyBorder="1" applyAlignment="1" applyProtection="1"/>
    <xf numFmtId="1" fontId="18" fillId="0" borderId="3" xfId="0" applyNumberFormat="1" applyFont="1" applyBorder="1" applyAlignment="1" applyProtection="1"/>
    <xf numFmtId="0" fontId="18" fillId="0" borderId="12" xfId="0" applyFont="1" applyBorder="1" applyAlignment="1" applyProtection="1">
      <alignment horizontal="left"/>
    </xf>
    <xf numFmtId="0" fontId="19" fillId="0" borderId="12" xfId="0" applyFont="1" applyBorder="1" applyAlignment="1" applyProtection="1">
      <alignment horizontal="left"/>
    </xf>
    <xf numFmtId="0" fontId="18" fillId="0" borderId="12" xfId="3" applyFont="1" applyFill="1" applyBorder="1" applyAlignment="1" applyProtection="1">
      <alignment horizontal="left" vertical="top"/>
    </xf>
    <xf numFmtId="0" fontId="18" fillId="0" borderId="12" xfId="0" applyFont="1" applyBorder="1" applyAlignment="1" applyProtection="1">
      <alignment horizontal="center" vertical="top"/>
    </xf>
    <xf numFmtId="164" fontId="18" fillId="0" borderId="12" xfId="0" applyNumberFormat="1" applyFont="1" applyBorder="1" applyAlignment="1" applyProtection="1">
      <alignment horizontal="center" vertical="top"/>
    </xf>
    <xf numFmtId="164" fontId="19" fillId="0" borderId="12" xfId="0" applyNumberFormat="1" applyFont="1" applyFill="1" applyBorder="1" applyAlignment="1" applyProtection="1">
      <alignment horizontal="center" vertical="top"/>
    </xf>
    <xf numFmtId="0" fontId="19" fillId="0" borderId="12" xfId="0" applyFont="1" applyBorder="1" applyAlignment="1" applyProtection="1">
      <alignment horizontal="center" vertical="top"/>
    </xf>
    <xf numFmtId="0" fontId="18" fillId="0" borderId="12" xfId="3" applyFont="1" applyFill="1" applyBorder="1" applyAlignment="1" applyProtection="1">
      <alignment horizontal="center" vertical="top"/>
    </xf>
    <xf numFmtId="0" fontId="18" fillId="0" borderId="12" xfId="0" applyFont="1" applyFill="1" applyBorder="1" applyAlignment="1" applyProtection="1">
      <alignment horizontal="center" vertical="top"/>
    </xf>
    <xf numFmtId="0" fontId="18" fillId="0" borderId="12" xfId="0" applyFont="1" applyFill="1" applyBorder="1" applyAlignment="1" applyProtection="1">
      <alignment horizontal="center"/>
    </xf>
    <xf numFmtId="0" fontId="18" fillId="0" borderId="12" xfId="0" applyFont="1" applyFill="1" applyBorder="1" applyAlignment="1" applyProtection="1">
      <alignment horizontal="left"/>
    </xf>
    <xf numFmtId="0" fontId="18" fillId="0" borderId="12" xfId="0" applyNumberFormat="1" applyFont="1" applyFill="1" applyBorder="1" applyAlignment="1" applyProtection="1">
      <alignment horizontal="center"/>
    </xf>
    <xf numFmtId="0" fontId="18" fillId="0" borderId="12" xfId="0" applyNumberFormat="1" applyFont="1" applyFill="1" applyBorder="1" applyAlignment="1" applyProtection="1">
      <alignment horizontal="left"/>
    </xf>
    <xf numFmtId="0" fontId="18" fillId="0" borderId="12" xfId="0" applyFont="1" applyFill="1" applyBorder="1" applyAlignment="1" applyProtection="1"/>
    <xf numFmtId="164" fontId="18" fillId="0" borderId="12" xfId="0" applyNumberFormat="1" applyFont="1" applyBorder="1" applyAlignment="1" applyProtection="1"/>
    <xf numFmtId="164" fontId="17" fillId="0" borderId="12" xfId="0" applyNumberFormat="1" applyFont="1" applyBorder="1" applyAlignment="1" applyProtection="1"/>
    <xf numFmtId="0" fontId="18" fillId="0" borderId="12" xfId="0" applyFont="1" applyBorder="1" applyAlignment="1" applyProtection="1"/>
    <xf numFmtId="1" fontId="18" fillId="0" borderId="12" xfId="0" applyNumberFormat="1" applyFont="1" applyBorder="1" applyAlignment="1" applyProtection="1"/>
    <xf numFmtId="0" fontId="17" fillId="0" borderId="12" xfId="0" applyFont="1" applyBorder="1" applyAlignment="1" applyProtection="1"/>
    <xf numFmtId="0" fontId="17" fillId="4" borderId="0" xfId="0" applyFont="1" applyFill="1" applyAlignment="1" applyProtection="1">
      <alignment horizontal="left"/>
    </xf>
    <xf numFmtId="0" fontId="19" fillId="0" borderId="0" xfId="0" applyFont="1" applyAlignment="1" applyProtection="1">
      <alignment horizontal="left" vertical="top"/>
    </xf>
    <xf numFmtId="0" fontId="18" fillId="0" borderId="0" xfId="0" applyFont="1" applyAlignment="1" applyProtection="1">
      <alignment horizontal="left" vertical="top"/>
    </xf>
    <xf numFmtId="1" fontId="18" fillId="0" borderId="0" xfId="0" applyNumberFormat="1" applyFont="1" applyBorder="1" applyAlignment="1" applyProtection="1">
      <alignment horizontal="left" vertical="top"/>
    </xf>
    <xf numFmtId="1" fontId="18" fillId="0" borderId="2" xfId="0" applyNumberFormat="1" applyFont="1" applyBorder="1" applyAlignment="1" applyProtection="1">
      <alignment horizontal="left" vertical="top"/>
    </xf>
    <xf numFmtId="0" fontId="19" fillId="0" borderId="9" xfId="0" applyFont="1" applyBorder="1" applyAlignment="1" applyProtection="1">
      <alignment horizontal="left"/>
    </xf>
    <xf numFmtId="0" fontId="18" fillId="0" borderId="9" xfId="0" applyFont="1" applyBorder="1" applyAlignment="1" applyProtection="1">
      <alignment horizontal="left" vertical="top"/>
    </xf>
    <xf numFmtId="164" fontId="18" fillId="0" borderId="9" xfId="0" applyNumberFormat="1" applyFont="1" applyBorder="1" applyAlignment="1" applyProtection="1">
      <alignment horizontal="center"/>
    </xf>
    <xf numFmtId="1" fontId="18" fillId="0" borderId="9" xfId="0" applyNumberFormat="1" applyFont="1" applyBorder="1" applyAlignment="1" applyProtection="1">
      <alignment horizontal="left" vertical="top"/>
    </xf>
    <xf numFmtId="2" fontId="18" fillId="0" borderId="9" xfId="0" applyNumberFormat="1" applyFont="1" applyFill="1" applyBorder="1" applyAlignment="1" applyProtection="1">
      <alignment horizontal="left"/>
    </xf>
    <xf numFmtId="2" fontId="18" fillId="0" borderId="0" xfId="0" applyNumberFormat="1" applyFont="1" applyFill="1" applyBorder="1" applyAlignment="1" applyProtection="1">
      <alignment horizontal="left" vertical="top"/>
    </xf>
    <xf numFmtId="2" fontId="18" fillId="0" borderId="9" xfId="0" applyNumberFormat="1" applyFont="1" applyFill="1" applyBorder="1" applyAlignment="1" applyProtection="1">
      <alignment horizontal="left" vertical="top"/>
    </xf>
    <xf numFmtId="0" fontId="19" fillId="0" borderId="1" xfId="0" applyFont="1" applyBorder="1" applyAlignment="1" applyProtection="1">
      <alignment horizontal="left"/>
    </xf>
    <xf numFmtId="1" fontId="18" fillId="0" borderId="1" xfId="0" applyNumberFormat="1" applyFont="1" applyBorder="1" applyAlignment="1" applyProtection="1">
      <alignment horizontal="center" vertical="top"/>
    </xf>
    <xf numFmtId="1" fontId="18" fillId="0" borderId="1" xfId="0" applyNumberFormat="1" applyFont="1" applyBorder="1" applyAlignment="1" applyProtection="1">
      <alignment horizontal="left" vertical="top"/>
    </xf>
    <xf numFmtId="0" fontId="18" fillId="0" borderId="1" xfId="0" applyFont="1" applyFill="1" applyBorder="1" applyAlignment="1" applyProtection="1">
      <alignment horizontal="center" vertical="top"/>
    </xf>
    <xf numFmtId="2" fontId="18" fillId="0" borderId="1" xfId="0" applyNumberFormat="1" applyFont="1" applyFill="1" applyBorder="1" applyAlignment="1" applyProtection="1">
      <alignment horizontal="center"/>
    </xf>
    <xf numFmtId="2" fontId="18" fillId="0" borderId="1" xfId="0" applyNumberFormat="1" applyFont="1" applyFill="1" applyBorder="1" applyAlignment="1" applyProtection="1">
      <alignment horizontal="left"/>
    </xf>
    <xf numFmtId="1" fontId="18" fillId="0" borderId="4" xfId="0" applyNumberFormat="1" applyFont="1" applyBorder="1" applyAlignment="1" applyProtection="1"/>
    <xf numFmtId="164" fontId="18" fillId="0" borderId="4" xfId="0" applyNumberFormat="1" applyFont="1" applyBorder="1" applyAlignment="1" applyProtection="1"/>
    <xf numFmtId="0" fontId="19" fillId="0" borderId="0" xfId="0" applyFont="1" applyFill="1" applyBorder="1" applyAlignment="1" applyProtection="1">
      <alignment horizontal="center" vertical="top"/>
    </xf>
    <xf numFmtId="0" fontId="19" fillId="0" borderId="2" xfId="0" applyFont="1" applyFill="1" applyBorder="1" applyAlignment="1" applyProtection="1">
      <alignment horizontal="center" vertical="top"/>
    </xf>
    <xf numFmtId="0" fontId="19" fillId="0" borderId="3" xfId="0" applyFont="1" applyFill="1" applyBorder="1" applyAlignment="1" applyProtection="1">
      <alignment horizontal="left" vertical="top"/>
    </xf>
    <xf numFmtId="1" fontId="18" fillId="0" borderId="3" xfId="0" applyNumberFormat="1" applyFont="1" applyFill="1" applyBorder="1" applyAlignment="1" applyProtection="1">
      <alignment horizontal="center" vertical="top"/>
    </xf>
    <xf numFmtId="164" fontId="18" fillId="0" borderId="3" xfId="0" applyNumberFormat="1" applyFont="1" applyFill="1" applyBorder="1" applyAlignment="1" applyProtection="1">
      <alignment horizontal="center"/>
    </xf>
    <xf numFmtId="2" fontId="18" fillId="0" borderId="3" xfId="0" applyNumberFormat="1" applyFont="1" applyFill="1" applyBorder="1" applyAlignment="1" applyProtection="1">
      <alignment horizontal="center"/>
    </xf>
    <xf numFmtId="2" fontId="18" fillId="0" borderId="3" xfId="0" applyNumberFormat="1" applyFont="1" applyFill="1" applyBorder="1" applyAlignment="1" applyProtection="1">
      <alignment horizontal="left"/>
    </xf>
    <xf numFmtId="164" fontId="18" fillId="0" borderId="3" xfId="0" applyNumberFormat="1" applyFont="1" applyFill="1" applyBorder="1" applyAlignment="1" applyProtection="1">
      <alignment horizontal="center" vertical="top"/>
    </xf>
    <xf numFmtId="164" fontId="18" fillId="0" borderId="3" xfId="0" applyNumberFormat="1" applyFont="1" applyFill="1" applyBorder="1" applyAlignment="1" applyProtection="1">
      <alignment horizontal="left" vertical="top"/>
    </xf>
    <xf numFmtId="2" fontId="18" fillId="0" borderId="3" xfId="0" applyNumberFormat="1" applyFont="1" applyFill="1" applyBorder="1" applyAlignment="1" applyProtection="1"/>
    <xf numFmtId="1" fontId="18" fillId="0" borderId="3" xfId="0" applyNumberFormat="1" applyFont="1" applyFill="1" applyBorder="1" applyAlignment="1" applyProtection="1"/>
    <xf numFmtId="0" fontId="17" fillId="0" borderId="3" xfId="0" applyFont="1" applyFill="1" applyBorder="1" applyAlignment="1" applyProtection="1"/>
    <xf numFmtId="0" fontId="19" fillId="0" borderId="3" xfId="0" applyFont="1" applyFill="1" applyBorder="1" applyAlignment="1" applyProtection="1">
      <alignment horizontal="center" vertical="top"/>
    </xf>
    <xf numFmtId="49" fontId="18" fillId="0" borderId="2" xfId="3" applyNumberFormat="1" applyFont="1" applyFill="1" applyBorder="1" applyAlignment="1" applyProtection="1">
      <alignment horizontal="center" vertical="top"/>
    </xf>
    <xf numFmtId="0" fontId="19" fillId="0" borderId="9" xfId="0" applyFont="1" applyFill="1" applyBorder="1" applyAlignment="1" applyProtection="1">
      <alignment horizontal="left" vertical="top"/>
    </xf>
    <xf numFmtId="2" fontId="18" fillId="0" borderId="9" xfId="0" applyNumberFormat="1" applyFont="1" applyFill="1" applyBorder="1" applyAlignment="1" applyProtection="1"/>
    <xf numFmtId="0" fontId="18" fillId="0" borderId="10" xfId="0" applyFont="1" applyFill="1" applyBorder="1" applyAlignment="1" applyProtection="1">
      <alignment horizontal="left"/>
    </xf>
    <xf numFmtId="0" fontId="19" fillId="0" borderId="10" xfId="0" applyFont="1" applyFill="1" applyBorder="1" applyAlignment="1" applyProtection="1">
      <alignment horizontal="left" vertical="top"/>
    </xf>
    <xf numFmtId="0" fontId="18" fillId="0" borderId="10" xfId="3" applyFont="1" applyFill="1" applyBorder="1" applyAlignment="1" applyProtection="1">
      <alignment horizontal="left" vertical="top"/>
    </xf>
    <xf numFmtId="0" fontId="18" fillId="0" borderId="10" xfId="0" applyFont="1" applyFill="1" applyBorder="1" applyAlignment="1" applyProtection="1">
      <alignment horizontal="center" vertical="top"/>
    </xf>
    <xf numFmtId="164" fontId="19" fillId="0" borderId="10" xfId="0" applyNumberFormat="1" applyFont="1" applyFill="1" applyBorder="1" applyAlignment="1" applyProtection="1">
      <alignment horizontal="center" vertical="top"/>
    </xf>
    <xf numFmtId="0" fontId="18" fillId="0" borderId="10" xfId="3" applyFont="1" applyFill="1" applyBorder="1" applyAlignment="1" applyProtection="1">
      <alignment horizontal="center" vertical="top"/>
    </xf>
    <xf numFmtId="1" fontId="18" fillId="0" borderId="10" xfId="0" applyNumberFormat="1" applyFont="1" applyFill="1" applyBorder="1" applyAlignment="1" applyProtection="1">
      <alignment horizontal="center" vertical="top"/>
    </xf>
    <xf numFmtId="164" fontId="18" fillId="0" borderId="10" xfId="0" applyNumberFormat="1" applyFont="1" applyFill="1" applyBorder="1" applyAlignment="1" applyProtection="1">
      <alignment horizontal="center"/>
    </xf>
    <xf numFmtId="2" fontId="18" fillId="0" borderId="10" xfId="0" applyNumberFormat="1" applyFont="1" applyFill="1" applyBorder="1" applyAlignment="1" applyProtection="1">
      <alignment horizontal="center"/>
    </xf>
    <xf numFmtId="2" fontId="18" fillId="0" borderId="10" xfId="0" applyNumberFormat="1" applyFont="1" applyFill="1" applyBorder="1" applyAlignment="1" applyProtection="1">
      <alignment horizontal="left"/>
    </xf>
    <xf numFmtId="164" fontId="18" fillId="0" borderId="10" xfId="0" applyNumberFormat="1" applyFont="1" applyFill="1" applyBorder="1" applyAlignment="1" applyProtection="1">
      <alignment horizontal="center" vertical="top"/>
    </xf>
    <xf numFmtId="164" fontId="18" fillId="0" borderId="10" xfId="0" applyNumberFormat="1" applyFont="1" applyFill="1" applyBorder="1" applyAlignment="1" applyProtection="1">
      <alignment horizontal="left" vertical="top"/>
    </xf>
    <xf numFmtId="2" fontId="18" fillId="0" borderId="10" xfId="0" applyNumberFormat="1" applyFont="1" applyFill="1" applyBorder="1" applyAlignment="1" applyProtection="1"/>
    <xf numFmtId="0" fontId="18" fillId="0" borderId="10" xfId="0" applyFont="1" applyFill="1" applyBorder="1" applyAlignment="1" applyProtection="1"/>
    <xf numFmtId="1" fontId="18" fillId="0" borderId="10" xfId="0" applyNumberFormat="1" applyFont="1" applyFill="1" applyBorder="1" applyAlignment="1" applyProtection="1"/>
    <xf numFmtId="0" fontId="17" fillId="0" borderId="10" xfId="0" applyFont="1" applyFill="1" applyBorder="1" applyAlignment="1" applyProtection="1"/>
    <xf numFmtId="2" fontId="18" fillId="0" borderId="2" xfId="3" applyNumberFormat="1" applyFont="1" applyFill="1" applyBorder="1" applyAlignment="1" applyProtection="1">
      <alignment horizontal="center" vertical="top"/>
    </xf>
    <xf numFmtId="164" fontId="18" fillId="0" borderId="12" xfId="0" applyNumberFormat="1" applyFont="1" applyFill="1" applyBorder="1" applyAlignment="1" applyProtection="1">
      <alignment horizontal="center" vertical="top"/>
    </xf>
    <xf numFmtId="164" fontId="18" fillId="0" borderId="12" xfId="0" applyNumberFormat="1" applyFont="1" applyFill="1" applyBorder="1" applyAlignment="1" applyProtection="1">
      <alignment horizontal="left" vertical="top"/>
    </xf>
    <xf numFmtId="2" fontId="18" fillId="0" borderId="12" xfId="0" applyNumberFormat="1" applyFont="1" applyFill="1" applyBorder="1" applyAlignment="1" applyProtection="1">
      <alignment horizontal="center"/>
    </xf>
    <xf numFmtId="2" fontId="18" fillId="0" borderId="12" xfId="0" applyNumberFormat="1" applyFont="1" applyFill="1" applyBorder="1" applyAlignment="1" applyProtection="1">
      <alignment horizontal="left"/>
    </xf>
    <xf numFmtId="2" fontId="18" fillId="0" borderId="12" xfId="0" applyNumberFormat="1" applyFont="1" applyFill="1" applyBorder="1" applyAlignment="1" applyProtection="1"/>
    <xf numFmtId="1" fontId="18" fillId="0" borderId="12" xfId="0" applyNumberFormat="1" applyFont="1" applyFill="1" applyBorder="1" applyAlignment="1" applyProtection="1"/>
    <xf numFmtId="0" fontId="17" fillId="0" borderId="12" xfId="0" applyFont="1" applyFill="1" applyBorder="1" applyAlignment="1" applyProtection="1"/>
    <xf numFmtId="0" fontId="18" fillId="0" borderId="7" xfId="0" applyFont="1" applyFill="1" applyBorder="1" applyAlignment="1" applyProtection="1">
      <alignment horizontal="left"/>
    </xf>
    <xf numFmtId="0" fontId="19" fillId="0" borderId="7" xfId="0" applyFont="1" applyFill="1" applyBorder="1" applyAlignment="1" applyProtection="1">
      <alignment horizontal="left"/>
    </xf>
    <xf numFmtId="0" fontId="18" fillId="0" borderId="7" xfId="0" applyFont="1" applyFill="1" applyBorder="1" applyAlignment="1" applyProtection="1">
      <alignment horizontal="center"/>
    </xf>
    <xf numFmtId="0" fontId="18" fillId="0" borderId="7" xfId="0" applyFont="1" applyFill="1" applyBorder="1" applyAlignment="1" applyProtection="1"/>
    <xf numFmtId="0" fontId="18" fillId="0" borderId="5" xfId="0" applyFont="1" applyFill="1" applyBorder="1" applyAlignment="1" applyProtection="1"/>
    <xf numFmtId="2" fontId="18" fillId="0" borderId="7" xfId="0" applyNumberFormat="1" applyFont="1" applyFill="1" applyBorder="1" applyAlignment="1" applyProtection="1">
      <alignment horizontal="center"/>
    </xf>
    <xf numFmtId="164" fontId="18" fillId="0" borderId="7" xfId="0" applyNumberFormat="1" applyFont="1" applyFill="1" applyBorder="1" applyAlignment="1" applyProtection="1"/>
    <xf numFmtId="1" fontId="18" fillId="0" borderId="7" xfId="0" applyNumberFormat="1" applyFont="1" applyFill="1" applyBorder="1" applyAlignment="1" applyProtection="1"/>
    <xf numFmtId="0" fontId="18" fillId="0" borderId="5" xfId="0" applyFont="1" applyFill="1" applyBorder="1" applyAlignment="1" applyProtection="1">
      <alignment horizontal="left"/>
    </xf>
    <xf numFmtId="0" fontId="19" fillId="0" borderId="5" xfId="0" applyFont="1" applyFill="1" applyBorder="1" applyAlignment="1" applyProtection="1">
      <alignment horizontal="left"/>
    </xf>
    <xf numFmtId="0" fontId="18" fillId="0" borderId="5" xfId="0" applyFont="1" applyFill="1" applyBorder="1" applyAlignment="1" applyProtection="1">
      <alignment horizontal="center"/>
    </xf>
    <xf numFmtId="2" fontId="18" fillId="0" borderId="5" xfId="0" applyNumberFormat="1" applyFont="1" applyFill="1" applyBorder="1" applyAlignment="1" applyProtection="1">
      <alignment horizontal="center"/>
    </xf>
    <xf numFmtId="164" fontId="18" fillId="0" borderId="5" xfId="0" applyNumberFormat="1" applyFont="1" applyFill="1" applyBorder="1" applyAlignment="1" applyProtection="1"/>
    <xf numFmtId="164" fontId="17" fillId="0" borderId="5" xfId="0" applyNumberFormat="1" applyFont="1" applyFill="1" applyBorder="1" applyAlignment="1" applyProtection="1"/>
    <xf numFmtId="1" fontId="18" fillId="0" borderId="5" xfId="0" applyNumberFormat="1" applyFont="1" applyFill="1" applyBorder="1" applyAlignment="1" applyProtection="1"/>
    <xf numFmtId="0" fontId="17" fillId="0" borderId="5" xfId="0" applyFont="1" applyFill="1" applyBorder="1" applyAlignment="1" applyProtection="1"/>
    <xf numFmtId="0" fontId="18" fillId="0" borderId="6" xfId="0" applyFont="1" applyFill="1" applyBorder="1" applyAlignment="1" applyProtection="1">
      <alignment horizontal="left"/>
    </xf>
    <xf numFmtId="0" fontId="19" fillId="0" borderId="6" xfId="0" applyFont="1" applyFill="1" applyBorder="1" applyAlignment="1" applyProtection="1">
      <alignment horizontal="left"/>
    </xf>
    <xf numFmtId="0" fontId="18" fillId="0" borderId="6" xfId="0" applyFont="1" applyFill="1" applyBorder="1" applyAlignment="1" applyProtection="1">
      <alignment horizontal="center"/>
    </xf>
    <xf numFmtId="0" fontId="18" fillId="0" borderId="6" xfId="0" applyFont="1" applyFill="1" applyBorder="1" applyAlignment="1" applyProtection="1"/>
    <xf numFmtId="2" fontId="18" fillId="0" borderId="6" xfId="0" applyNumberFormat="1" applyFont="1" applyFill="1" applyBorder="1" applyAlignment="1" applyProtection="1">
      <alignment horizontal="center"/>
    </xf>
    <xf numFmtId="164" fontId="18" fillId="0" borderId="6" xfId="0" applyNumberFormat="1" applyFont="1" applyFill="1" applyBorder="1" applyAlignment="1" applyProtection="1"/>
    <xf numFmtId="164" fontId="17" fillId="0" borderId="6" xfId="0" applyNumberFormat="1" applyFont="1" applyFill="1" applyBorder="1" applyAlignment="1" applyProtection="1"/>
    <xf numFmtId="1" fontId="18" fillId="0" borderId="6" xfId="0" applyNumberFormat="1" applyFont="1" applyFill="1" applyBorder="1" applyAlignment="1" applyProtection="1"/>
    <xf numFmtId="0" fontId="17" fillId="0" borderId="6" xfId="0" applyFont="1" applyFill="1" applyBorder="1" applyAlignment="1" applyProtection="1"/>
    <xf numFmtId="164" fontId="17" fillId="0" borderId="7" xfId="0" applyNumberFormat="1" applyFont="1" applyFill="1" applyBorder="1" applyAlignment="1" applyProtection="1"/>
    <xf numFmtId="0" fontId="17" fillId="0" borderId="7" xfId="0" applyFont="1" applyFill="1" applyBorder="1" applyAlignment="1" applyProtection="1"/>
    <xf numFmtId="0" fontId="18" fillId="0" borderId="8" xfId="0" applyFont="1" applyFill="1" applyBorder="1" applyAlignment="1" applyProtection="1">
      <alignment horizontal="left"/>
    </xf>
    <xf numFmtId="0" fontId="19" fillId="0" borderId="8" xfId="0" applyFont="1" applyFill="1" applyBorder="1" applyAlignment="1" applyProtection="1">
      <alignment horizontal="left"/>
    </xf>
    <xf numFmtId="0" fontId="18" fillId="0" borderId="8" xfId="0" applyFont="1" applyFill="1" applyBorder="1" applyAlignment="1" applyProtection="1">
      <alignment horizontal="center"/>
    </xf>
    <xf numFmtId="0" fontId="19" fillId="0" borderId="8" xfId="0" applyFont="1" applyFill="1" applyBorder="1" applyAlignment="1" applyProtection="1"/>
    <xf numFmtId="0" fontId="19" fillId="0" borderId="8" xfId="0" applyFont="1" applyFill="1" applyBorder="1" applyAlignment="1" applyProtection="1">
      <alignment horizontal="center"/>
    </xf>
    <xf numFmtId="0" fontId="18" fillId="0" borderId="8" xfId="0" applyFont="1" applyFill="1" applyBorder="1" applyAlignment="1" applyProtection="1"/>
    <xf numFmtId="2" fontId="18" fillId="0" borderId="8" xfId="0" applyNumberFormat="1" applyFont="1" applyFill="1" applyBorder="1" applyAlignment="1" applyProtection="1">
      <alignment horizontal="center"/>
    </xf>
    <xf numFmtId="164" fontId="18" fillId="0" borderId="8" xfId="0" applyNumberFormat="1" applyFont="1" applyFill="1" applyBorder="1" applyAlignment="1" applyProtection="1"/>
    <xf numFmtId="164" fontId="17" fillId="0" borderId="8" xfId="0" applyNumberFormat="1" applyFont="1" applyFill="1" applyBorder="1" applyAlignment="1" applyProtection="1"/>
    <xf numFmtId="1" fontId="18" fillId="0" borderId="8" xfId="0" applyNumberFormat="1" applyFont="1" applyFill="1" applyBorder="1" applyAlignment="1" applyProtection="1"/>
    <xf numFmtId="0" fontId="17" fillId="0" borderId="8" xfId="0" applyFont="1" applyFill="1" applyBorder="1" applyAlignment="1" applyProtection="1"/>
    <xf numFmtId="0" fontId="18" fillId="0" borderId="13" xfId="0" applyFont="1" applyFill="1" applyBorder="1" applyAlignment="1" applyProtection="1">
      <alignment horizontal="left"/>
    </xf>
    <xf numFmtId="0" fontId="19" fillId="0" borderId="13" xfId="0" applyFont="1" applyFill="1" applyBorder="1" applyAlignment="1" applyProtection="1">
      <alignment horizontal="left"/>
    </xf>
    <xf numFmtId="0" fontId="18" fillId="0" borderId="13" xfId="0" applyFont="1" applyFill="1" applyBorder="1" applyAlignment="1" applyProtection="1">
      <alignment horizontal="center"/>
    </xf>
    <xf numFmtId="0" fontId="18" fillId="0" borderId="13" xfId="0" applyFont="1" applyFill="1" applyBorder="1" applyAlignment="1" applyProtection="1"/>
    <xf numFmtId="0" fontId="19" fillId="0" borderId="13" xfId="0" applyFont="1" applyFill="1" applyBorder="1" applyAlignment="1" applyProtection="1">
      <alignment horizontal="center"/>
    </xf>
    <xf numFmtId="2" fontId="18" fillId="0" borderId="13" xfId="0" applyNumberFormat="1" applyFont="1" applyFill="1" applyBorder="1" applyAlignment="1" applyProtection="1">
      <alignment horizontal="center"/>
    </xf>
    <xf numFmtId="164" fontId="18" fillId="0" borderId="13" xfId="0" applyNumberFormat="1" applyFont="1" applyFill="1" applyBorder="1" applyAlignment="1" applyProtection="1"/>
    <xf numFmtId="164" fontId="17" fillId="0" borderId="13" xfId="0" applyNumberFormat="1" applyFont="1" applyFill="1" applyBorder="1" applyAlignment="1" applyProtection="1"/>
    <xf numFmtId="1" fontId="18" fillId="0" borderId="13" xfId="0" applyNumberFormat="1" applyFont="1" applyFill="1" applyBorder="1" applyAlignment="1" applyProtection="1"/>
    <xf numFmtId="0" fontId="17" fillId="0" borderId="13" xfId="0" applyFont="1" applyFill="1" applyBorder="1" applyAlignment="1" applyProtection="1"/>
    <xf numFmtId="11" fontId="18" fillId="0" borderId="7" xfId="0" applyNumberFormat="1" applyFont="1" applyFill="1" applyBorder="1" applyAlignment="1" applyProtection="1">
      <alignment horizontal="center"/>
    </xf>
    <xf numFmtId="0" fontId="18" fillId="0" borderId="7" xfId="0" applyNumberFormat="1" applyFont="1" applyFill="1" applyBorder="1" applyAlignment="1" applyProtection="1">
      <alignment horizontal="center"/>
    </xf>
    <xf numFmtId="2" fontId="18" fillId="0" borderId="7" xfId="0" applyNumberFormat="1" applyFont="1" applyFill="1" applyBorder="1" applyAlignment="1" applyProtection="1"/>
    <xf numFmtId="11" fontId="18" fillId="0" borderId="7" xfId="0" applyNumberFormat="1" applyFont="1" applyFill="1" applyBorder="1" applyAlignment="1" applyProtection="1"/>
    <xf numFmtId="11" fontId="18" fillId="0" borderId="6" xfId="0" applyNumberFormat="1" applyFont="1" applyFill="1" applyBorder="1" applyAlignment="1" applyProtection="1">
      <alignment horizontal="center"/>
    </xf>
    <xf numFmtId="0" fontId="18" fillId="0" borderId="6" xfId="0" applyNumberFormat="1" applyFont="1" applyFill="1" applyBorder="1" applyAlignment="1" applyProtection="1">
      <alignment horizontal="center"/>
    </xf>
    <xf numFmtId="2" fontId="18" fillId="0" borderId="6" xfId="0" applyNumberFormat="1" applyFont="1" applyFill="1" applyBorder="1" applyAlignment="1" applyProtection="1"/>
    <xf numFmtId="11" fontId="18" fillId="0" borderId="6" xfId="0" applyNumberFormat="1" applyFont="1" applyFill="1" applyBorder="1" applyAlignment="1" applyProtection="1"/>
    <xf numFmtId="164" fontId="18" fillId="0" borderId="7" xfId="0" applyNumberFormat="1" applyFont="1" applyFill="1" applyBorder="1" applyAlignment="1" applyProtection="1">
      <alignment horizontal="center"/>
    </xf>
    <xf numFmtId="164" fontId="18" fillId="0" borderId="5" xfId="0" applyNumberFormat="1" applyFont="1" applyFill="1" applyBorder="1" applyAlignment="1" applyProtection="1">
      <alignment horizontal="center"/>
    </xf>
    <xf numFmtId="2" fontId="18" fillId="0" borderId="5" xfId="0" applyNumberFormat="1" applyFont="1" applyFill="1" applyBorder="1" applyAlignment="1" applyProtection="1"/>
    <xf numFmtId="0" fontId="18" fillId="2" borderId="5" xfId="0" applyFont="1" applyFill="1" applyBorder="1" applyAlignment="1" applyProtection="1">
      <alignment horizontal="left"/>
    </xf>
    <xf numFmtId="0" fontId="19" fillId="2" borderId="5" xfId="0" applyFont="1" applyFill="1" applyBorder="1" applyAlignment="1" applyProtection="1">
      <alignment horizontal="left"/>
    </xf>
    <xf numFmtId="0" fontId="18" fillId="2" borderId="5" xfId="0" applyFont="1" applyFill="1" applyBorder="1" applyAlignment="1" applyProtection="1">
      <alignment horizontal="center"/>
    </xf>
    <xf numFmtId="0" fontId="18" fillId="2" borderId="5" xfId="0" applyFont="1" applyFill="1" applyBorder="1" applyAlignment="1" applyProtection="1"/>
    <xf numFmtId="164" fontId="18" fillId="2" borderId="5" xfId="0" applyNumberFormat="1" applyFont="1" applyFill="1" applyBorder="1" applyAlignment="1" applyProtection="1">
      <alignment horizontal="center"/>
    </xf>
    <xf numFmtId="0" fontId="19" fillId="2" borderId="5" xfId="0" applyFont="1" applyFill="1" applyBorder="1" applyAlignment="1" applyProtection="1">
      <alignment horizontal="center"/>
    </xf>
    <xf numFmtId="2" fontId="18" fillId="2" borderId="5" xfId="0" applyNumberFormat="1" applyFont="1" applyFill="1" applyBorder="1" applyAlignment="1" applyProtection="1"/>
    <xf numFmtId="2" fontId="18" fillId="2" borderId="5" xfId="0" applyNumberFormat="1" applyFont="1" applyFill="1" applyBorder="1" applyAlignment="1" applyProtection="1">
      <alignment horizontal="center"/>
    </xf>
    <xf numFmtId="164" fontId="18" fillId="2" borderId="5" xfId="0" applyNumberFormat="1" applyFont="1" applyFill="1" applyBorder="1" applyAlignment="1" applyProtection="1"/>
    <xf numFmtId="164" fontId="17" fillId="2" borderId="5" xfId="0" applyNumberFormat="1" applyFont="1" applyFill="1" applyBorder="1" applyAlignment="1" applyProtection="1"/>
    <xf numFmtId="1" fontId="18" fillId="2" borderId="5" xfId="0" applyNumberFormat="1" applyFont="1" applyFill="1" applyBorder="1" applyAlignment="1" applyProtection="1"/>
    <xf numFmtId="0" fontId="17" fillId="2" borderId="5" xfId="0" applyFont="1" applyFill="1" applyBorder="1" applyAlignment="1" applyProtection="1"/>
    <xf numFmtId="0" fontId="19" fillId="0" borderId="5" xfId="0" applyFont="1" applyFill="1" applyBorder="1" applyAlignment="1" applyProtection="1">
      <alignment horizontal="center"/>
    </xf>
    <xf numFmtId="164" fontId="19" fillId="0" borderId="5" xfId="0" applyNumberFormat="1" applyFont="1" applyFill="1" applyBorder="1" applyAlignment="1" applyProtection="1">
      <alignment horizontal="center"/>
    </xf>
    <xf numFmtId="0" fontId="19" fillId="0" borderId="6" xfId="0" applyFont="1" applyFill="1" applyBorder="1" applyAlignment="1" applyProtection="1">
      <alignment horizontal="center"/>
    </xf>
    <xf numFmtId="164" fontId="19" fillId="0" borderId="6" xfId="0" applyNumberFormat="1" applyFont="1" applyFill="1" applyBorder="1" applyAlignment="1" applyProtection="1">
      <alignment horizontal="center"/>
    </xf>
    <xf numFmtId="0" fontId="19" fillId="0" borderId="7" xfId="0" applyFont="1" applyFill="1" applyBorder="1" applyAlignment="1" applyProtection="1">
      <alignment horizontal="center"/>
    </xf>
    <xf numFmtId="0" fontId="18" fillId="0" borderId="14" xfId="0" applyFont="1" applyFill="1" applyBorder="1" applyAlignment="1" applyProtection="1">
      <alignment horizontal="left"/>
    </xf>
    <xf numFmtId="0" fontId="19" fillId="0" borderId="14" xfId="0" applyFont="1" applyFill="1" applyBorder="1" applyAlignment="1" applyProtection="1">
      <alignment horizontal="left"/>
    </xf>
    <xf numFmtId="0" fontId="18" fillId="0" borderId="14" xfId="0" applyFont="1" applyFill="1" applyBorder="1" applyAlignment="1" applyProtection="1">
      <alignment horizontal="center"/>
    </xf>
    <xf numFmtId="0" fontId="18" fillId="0" borderId="14" xfId="0" applyFont="1" applyFill="1" applyBorder="1" applyAlignment="1" applyProtection="1"/>
    <xf numFmtId="0" fontId="19" fillId="0" borderId="14" xfId="0" applyFont="1" applyFill="1" applyBorder="1" applyAlignment="1" applyProtection="1">
      <alignment horizontal="center"/>
    </xf>
    <xf numFmtId="2" fontId="18" fillId="0" borderId="14" xfId="0" applyNumberFormat="1" applyFont="1" applyFill="1" applyBorder="1" applyAlignment="1" applyProtection="1"/>
    <xf numFmtId="2" fontId="18" fillId="0" borderId="14" xfId="0" applyNumberFormat="1" applyFont="1" applyFill="1" applyBorder="1" applyAlignment="1" applyProtection="1">
      <alignment horizontal="center"/>
    </xf>
    <xf numFmtId="164" fontId="18" fillId="0" borderId="14" xfId="0" applyNumberFormat="1" applyFont="1" applyFill="1" applyBorder="1" applyAlignment="1" applyProtection="1"/>
    <xf numFmtId="164" fontId="17" fillId="0" borderId="14" xfId="0" applyNumberFormat="1" applyFont="1" applyFill="1" applyBorder="1" applyAlignment="1" applyProtection="1"/>
    <xf numFmtId="1" fontId="18" fillId="0" borderId="14" xfId="0" applyNumberFormat="1" applyFont="1" applyFill="1" applyBorder="1" applyAlignment="1" applyProtection="1"/>
    <xf numFmtId="0" fontId="17" fillId="0" borderId="14" xfId="0" applyFont="1" applyFill="1" applyBorder="1" applyAlignment="1" applyProtection="1"/>
    <xf numFmtId="11" fontId="19" fillId="0" borderId="7" xfId="0" applyNumberFormat="1" applyFont="1" applyFill="1" applyBorder="1" applyAlignment="1" applyProtection="1">
      <alignment horizontal="center"/>
    </xf>
    <xf numFmtId="0" fontId="18" fillId="0" borderId="0" xfId="1" applyFont="1" applyBorder="1" applyAlignment="1" applyProtection="1">
      <alignment horizontal="left" vertical="top"/>
    </xf>
    <xf numFmtId="0" fontId="18" fillId="0" borderId="16" xfId="0" applyFont="1" applyFill="1" applyBorder="1" applyAlignment="1" applyProtection="1">
      <alignment horizontal="left"/>
    </xf>
    <xf numFmtId="0" fontId="18" fillId="0" borderId="1" xfId="1" applyFont="1" applyBorder="1" applyAlignment="1" applyProtection="1">
      <alignment horizontal="left" vertical="top"/>
    </xf>
    <xf numFmtId="0" fontId="18" fillId="0" borderId="16" xfId="0" applyFont="1" applyFill="1" applyBorder="1" applyAlignment="1" applyProtection="1">
      <alignment horizontal="center"/>
    </xf>
    <xf numFmtId="0" fontId="18" fillId="0" borderId="16" xfId="0" applyFont="1" applyFill="1" applyBorder="1" applyAlignment="1" applyProtection="1"/>
    <xf numFmtId="2" fontId="18" fillId="0" borderId="16" xfId="0" applyNumberFormat="1" applyFont="1" applyFill="1" applyBorder="1" applyAlignment="1" applyProtection="1"/>
    <xf numFmtId="0" fontId="18" fillId="0" borderId="15" xfId="0" applyFont="1" applyFill="1" applyBorder="1" applyAlignment="1" applyProtection="1"/>
    <xf numFmtId="2" fontId="18" fillId="0" borderId="16" xfId="0" applyNumberFormat="1" applyFont="1" applyFill="1" applyBorder="1" applyAlignment="1" applyProtection="1">
      <alignment horizontal="center"/>
    </xf>
    <xf numFmtId="164" fontId="18" fillId="0" borderId="16" xfId="0" applyNumberFormat="1" applyFont="1" applyFill="1" applyBorder="1" applyAlignment="1" applyProtection="1"/>
    <xf numFmtId="164" fontId="17" fillId="0" borderId="16" xfId="0" applyNumberFormat="1" applyFont="1" applyFill="1" applyBorder="1" applyAlignment="1" applyProtection="1"/>
    <xf numFmtId="1" fontId="18" fillId="0" borderId="16" xfId="0" applyNumberFormat="1" applyFont="1" applyFill="1" applyBorder="1" applyAlignment="1" applyProtection="1"/>
    <xf numFmtId="0" fontId="17" fillId="0" borderId="16" xfId="0" applyFont="1" applyFill="1" applyBorder="1" applyAlignment="1" applyProtection="1"/>
    <xf numFmtId="0" fontId="18" fillId="0" borderId="2" xfId="1" applyFont="1" applyBorder="1" applyAlignment="1" applyProtection="1">
      <alignment horizontal="left"/>
    </xf>
    <xf numFmtId="2" fontId="18" fillId="0" borderId="2" xfId="1" applyNumberFormat="1" applyFont="1" applyBorder="1" applyAlignment="1" applyProtection="1">
      <alignment horizontal="center" vertical="top"/>
    </xf>
    <xf numFmtId="0" fontId="18" fillId="0" borderId="2" xfId="1" applyFont="1" applyBorder="1" applyAlignment="1" applyProtection="1">
      <alignment horizontal="center" vertical="top"/>
    </xf>
    <xf numFmtId="0" fontId="18" fillId="0" borderId="2" xfId="1" applyFont="1" applyFill="1" applyBorder="1" applyAlignment="1" applyProtection="1">
      <alignment horizontal="center" vertical="top"/>
    </xf>
    <xf numFmtId="1" fontId="18" fillId="0" borderId="2" xfId="1" applyNumberFormat="1" applyFont="1" applyFill="1" applyBorder="1" applyAlignment="1" applyProtection="1">
      <alignment horizontal="center" vertical="top"/>
    </xf>
    <xf numFmtId="1" fontId="18" fillId="0" borderId="2" xfId="1" applyNumberFormat="1" applyFont="1" applyFill="1" applyBorder="1" applyAlignment="1" applyProtection="1">
      <alignment horizontal="center"/>
    </xf>
    <xf numFmtId="164" fontId="18" fillId="0" borderId="2" xfId="1" applyNumberFormat="1" applyFont="1" applyFill="1" applyBorder="1" applyAlignment="1" applyProtection="1">
      <alignment horizontal="center"/>
    </xf>
    <xf numFmtId="0" fontId="18" fillId="0" borderId="2" xfId="1" applyFont="1" applyBorder="1" applyAlignment="1" applyProtection="1"/>
    <xf numFmtId="0" fontId="18" fillId="0" borderId="2" xfId="1" applyFont="1" applyFill="1" applyBorder="1" applyAlignment="1" applyProtection="1"/>
    <xf numFmtId="164" fontId="18" fillId="0" borderId="2" xfId="1" applyNumberFormat="1" applyFont="1" applyFill="1" applyBorder="1" applyAlignment="1" applyProtection="1"/>
    <xf numFmtId="1" fontId="18" fillId="0" borderId="2" xfId="1" applyNumberFormat="1" applyFont="1" applyFill="1" applyBorder="1" applyAlignment="1" applyProtection="1"/>
    <xf numFmtId="164" fontId="18" fillId="0" borderId="2" xfId="1" applyNumberFormat="1" applyFont="1" applyBorder="1" applyAlignment="1" applyProtection="1"/>
    <xf numFmtId="1" fontId="18" fillId="0" borderId="2" xfId="1" applyNumberFormat="1" applyFont="1" applyBorder="1" applyAlignment="1" applyProtection="1"/>
    <xf numFmtId="0" fontId="19" fillId="0" borderId="0" xfId="1" applyFont="1" applyBorder="1" applyAlignment="1" applyProtection="1">
      <alignment horizontal="left" vertical="top"/>
    </xf>
    <xf numFmtId="164" fontId="18" fillId="0" borderId="0" xfId="1" applyNumberFormat="1" applyFont="1" applyBorder="1" applyAlignment="1" applyProtection="1">
      <alignment horizontal="center" vertical="top"/>
    </xf>
    <xf numFmtId="0" fontId="18" fillId="0" borderId="0" xfId="1" applyFont="1" applyBorder="1" applyAlignment="1" applyProtection="1">
      <alignment horizontal="center" vertical="top"/>
    </xf>
    <xf numFmtId="0" fontId="18" fillId="0" borderId="0" xfId="1" applyFont="1" applyFill="1" applyBorder="1" applyAlignment="1" applyProtection="1">
      <alignment horizontal="center" vertical="top"/>
    </xf>
    <xf numFmtId="1" fontId="18" fillId="0" borderId="0" xfId="1" applyNumberFormat="1" applyFont="1" applyFill="1" applyBorder="1" applyAlignment="1" applyProtection="1">
      <alignment horizontal="center" vertical="top"/>
    </xf>
    <xf numFmtId="164" fontId="18" fillId="0" borderId="0" xfId="1" applyNumberFormat="1" applyFont="1" applyFill="1" applyBorder="1" applyAlignment="1" applyProtection="1">
      <alignment horizontal="center"/>
    </xf>
    <xf numFmtId="0" fontId="18" fillId="0" borderId="0" xfId="1" applyFont="1" applyBorder="1" applyAlignment="1" applyProtection="1">
      <alignment vertical="top"/>
    </xf>
    <xf numFmtId="0" fontId="18" fillId="0" borderId="0" xfId="1" applyFont="1" applyFill="1" applyBorder="1" applyAlignment="1" applyProtection="1">
      <alignment vertical="top"/>
    </xf>
    <xf numFmtId="0" fontId="18" fillId="0" borderId="0" xfId="1" applyFont="1" applyFill="1" applyBorder="1" applyAlignment="1" applyProtection="1"/>
    <xf numFmtId="164" fontId="18" fillId="0" borderId="0" xfId="1" applyNumberFormat="1" applyFont="1" applyFill="1" applyBorder="1" applyAlignment="1" applyProtection="1">
      <alignment vertical="top"/>
    </xf>
    <xf numFmtId="164" fontId="17" fillId="0" borderId="0" xfId="1" applyNumberFormat="1" applyFont="1" applyFill="1" applyBorder="1" applyAlignment="1" applyProtection="1">
      <alignment vertical="top"/>
    </xf>
    <xf numFmtId="1" fontId="18" fillId="0" borderId="0" xfId="1" applyNumberFormat="1" applyFont="1" applyFill="1" applyBorder="1" applyAlignment="1" applyProtection="1">
      <alignment vertical="top"/>
    </xf>
    <xf numFmtId="164" fontId="18" fillId="0" borderId="0" xfId="1" applyNumberFormat="1" applyFont="1" applyBorder="1" applyAlignment="1" applyProtection="1">
      <alignment vertical="top"/>
    </xf>
    <xf numFmtId="164" fontId="17" fillId="0" borderId="0" xfId="1" applyNumberFormat="1" applyFont="1" applyBorder="1" applyAlignment="1" applyProtection="1">
      <alignment vertical="top"/>
    </xf>
    <xf numFmtId="1" fontId="18" fillId="0" borderId="0" xfId="1" applyNumberFormat="1" applyFont="1" applyBorder="1" applyAlignment="1" applyProtection="1">
      <alignment vertical="top"/>
    </xf>
    <xf numFmtId="0" fontId="17" fillId="0" borderId="0" xfId="1" applyFont="1" applyBorder="1" applyAlignment="1" applyProtection="1">
      <alignment vertical="top"/>
    </xf>
    <xf numFmtId="1" fontId="18" fillId="0" borderId="0" xfId="1" applyNumberFormat="1" applyFont="1" applyBorder="1" applyAlignment="1" applyProtection="1"/>
    <xf numFmtId="164" fontId="18" fillId="0" borderId="0" xfId="1" applyNumberFormat="1" applyFont="1" applyBorder="1" applyAlignment="1" applyProtection="1"/>
    <xf numFmtId="164" fontId="17" fillId="0" borderId="0" xfId="1" applyNumberFormat="1" applyFont="1" applyBorder="1" applyAlignment="1" applyProtection="1"/>
    <xf numFmtId="164" fontId="18" fillId="0" borderId="2" xfId="1" applyNumberFormat="1" applyFont="1" applyBorder="1" applyAlignment="1" applyProtection="1">
      <alignment horizontal="center" vertical="top"/>
    </xf>
    <xf numFmtId="0" fontId="18" fillId="0" borderId="2" xfId="1" applyFont="1" applyBorder="1" applyAlignment="1" applyProtection="1">
      <alignment vertical="top"/>
    </xf>
    <xf numFmtId="0" fontId="18" fillId="0" borderId="2" xfId="1" applyFont="1" applyFill="1" applyBorder="1" applyAlignment="1" applyProtection="1">
      <alignment vertical="top"/>
    </xf>
    <xf numFmtId="164" fontId="18" fillId="0" borderId="2" xfId="1" applyNumberFormat="1" applyFont="1" applyFill="1" applyBorder="1" applyAlignment="1" applyProtection="1">
      <alignment vertical="top"/>
    </xf>
    <xf numFmtId="164" fontId="17" fillId="0" borderId="2" xfId="1" applyNumberFormat="1" applyFont="1" applyFill="1" applyBorder="1" applyAlignment="1" applyProtection="1">
      <alignment vertical="top"/>
    </xf>
    <xf numFmtId="1" fontId="18" fillId="0" borderId="2" xfId="1" applyNumberFormat="1" applyFont="1" applyFill="1" applyBorder="1" applyAlignment="1" applyProtection="1">
      <alignment vertical="top"/>
    </xf>
    <xf numFmtId="164" fontId="18" fillId="0" borderId="2" xfId="1" applyNumberFormat="1" applyFont="1" applyBorder="1" applyAlignment="1" applyProtection="1">
      <alignment vertical="top"/>
    </xf>
    <xf numFmtId="164" fontId="17" fillId="0" borderId="2" xfId="1" applyNumberFormat="1" applyFont="1" applyBorder="1" applyAlignment="1" applyProtection="1">
      <alignment vertical="top"/>
    </xf>
    <xf numFmtId="1" fontId="18" fillId="0" borderId="2" xfId="1" applyNumberFormat="1" applyFont="1" applyBorder="1" applyAlignment="1" applyProtection="1">
      <alignment vertical="top"/>
    </xf>
    <xf numFmtId="0" fontId="17" fillId="0" borderId="2" xfId="1" applyFont="1" applyBorder="1" applyAlignment="1" applyProtection="1">
      <alignment vertical="top"/>
    </xf>
    <xf numFmtId="0" fontId="18" fillId="0" borderId="3" xfId="1" applyFont="1" applyBorder="1" applyAlignment="1" applyProtection="1">
      <alignment horizontal="left" vertical="top"/>
    </xf>
    <xf numFmtId="0" fontId="19" fillId="0" borderId="3" xfId="1" applyFont="1" applyBorder="1" applyAlignment="1" applyProtection="1">
      <alignment horizontal="left" vertical="top"/>
    </xf>
    <xf numFmtId="164" fontId="18" fillId="0" borderId="3" xfId="1" applyNumberFormat="1" applyFont="1" applyBorder="1" applyAlignment="1" applyProtection="1">
      <alignment horizontal="center" vertical="top"/>
    </xf>
    <xf numFmtId="0" fontId="18" fillId="0" borderId="3" xfId="1" applyFont="1" applyBorder="1" applyAlignment="1" applyProtection="1">
      <alignment horizontal="center" vertical="top"/>
    </xf>
    <xf numFmtId="164" fontId="19" fillId="0" borderId="3" xfId="1" applyNumberFormat="1" applyFont="1" applyBorder="1" applyAlignment="1" applyProtection="1">
      <alignment horizontal="center" vertical="top"/>
    </xf>
    <xf numFmtId="0" fontId="18" fillId="0" borderId="3" xfId="1" applyFont="1" applyFill="1" applyBorder="1" applyAlignment="1" applyProtection="1">
      <alignment horizontal="center" vertical="top"/>
    </xf>
    <xf numFmtId="1" fontId="18" fillId="0" borderId="3" xfId="1" applyNumberFormat="1" applyFont="1" applyFill="1" applyBorder="1" applyAlignment="1" applyProtection="1">
      <alignment horizontal="center" vertical="top"/>
    </xf>
    <xf numFmtId="164" fontId="18" fillId="0" borderId="3" xfId="1" applyNumberFormat="1" applyFont="1" applyFill="1" applyBorder="1" applyAlignment="1" applyProtection="1">
      <alignment horizontal="center"/>
    </xf>
    <xf numFmtId="1" fontId="18" fillId="0" borderId="3" xfId="1" applyNumberFormat="1" applyFont="1" applyFill="1" applyBorder="1" applyAlignment="1" applyProtection="1">
      <alignment horizontal="center"/>
    </xf>
    <xf numFmtId="0" fontId="18" fillId="0" borderId="3" xfId="1" applyFont="1" applyBorder="1" applyAlignment="1" applyProtection="1">
      <alignment vertical="top"/>
    </xf>
    <xf numFmtId="0" fontId="18" fillId="0" borderId="3" xfId="1" applyFont="1" applyFill="1" applyBorder="1" applyAlignment="1" applyProtection="1">
      <alignment vertical="top"/>
    </xf>
    <xf numFmtId="164" fontId="18" fillId="0" borderId="3" xfId="1" applyNumberFormat="1" applyFont="1" applyFill="1" applyBorder="1" applyAlignment="1" applyProtection="1">
      <alignment vertical="top"/>
    </xf>
    <xf numFmtId="164" fontId="17" fillId="0" borderId="3" xfId="1" applyNumberFormat="1" applyFont="1" applyFill="1" applyBorder="1" applyAlignment="1" applyProtection="1">
      <alignment vertical="top"/>
    </xf>
    <xf numFmtId="1" fontId="18" fillId="0" borderId="3" xfId="1" applyNumberFormat="1" applyFont="1" applyFill="1" applyBorder="1" applyAlignment="1" applyProtection="1">
      <alignment vertical="top"/>
    </xf>
    <xf numFmtId="164" fontId="18" fillId="0" borderId="3" xfId="1" applyNumberFormat="1" applyFont="1" applyBorder="1" applyAlignment="1" applyProtection="1">
      <alignment vertical="top"/>
    </xf>
    <xf numFmtId="164" fontId="17" fillId="0" borderId="3" xfId="1" applyNumberFormat="1" applyFont="1" applyBorder="1" applyAlignment="1" applyProtection="1">
      <alignment vertical="top"/>
    </xf>
    <xf numFmtId="1" fontId="18" fillId="0" borderId="3" xfId="1" applyNumberFormat="1" applyFont="1" applyBorder="1" applyAlignment="1" applyProtection="1">
      <alignment vertical="top"/>
    </xf>
    <xf numFmtId="0" fontId="17" fillId="0" borderId="3" xfId="1" applyFont="1" applyBorder="1" applyAlignment="1" applyProtection="1">
      <alignment vertical="top"/>
    </xf>
    <xf numFmtId="164" fontId="18" fillId="0" borderId="10" xfId="1" applyNumberFormat="1" applyFont="1" applyBorder="1" applyAlignment="1" applyProtection="1">
      <alignment horizontal="center" vertical="top"/>
    </xf>
    <xf numFmtId="0" fontId="18" fillId="0" borderId="10" xfId="1" applyFont="1" applyBorder="1" applyAlignment="1" applyProtection="1">
      <alignment horizontal="center" vertical="top"/>
    </xf>
    <xf numFmtId="0" fontId="18" fillId="0" borderId="10" xfId="1" applyFont="1" applyFill="1" applyBorder="1" applyAlignment="1" applyProtection="1">
      <alignment horizontal="center" vertical="top"/>
    </xf>
    <xf numFmtId="1" fontId="18" fillId="0" borderId="10" xfId="1" applyNumberFormat="1" applyFont="1" applyFill="1" applyBorder="1" applyAlignment="1" applyProtection="1">
      <alignment horizontal="center" vertical="top"/>
    </xf>
    <xf numFmtId="164" fontId="18" fillId="0" borderId="10" xfId="1" applyNumberFormat="1" applyFont="1" applyFill="1" applyBorder="1" applyAlignment="1" applyProtection="1">
      <alignment horizontal="center"/>
    </xf>
    <xf numFmtId="1" fontId="18" fillId="0" borderId="10" xfId="1" applyNumberFormat="1" applyFont="1" applyFill="1" applyBorder="1" applyAlignment="1" applyProtection="1">
      <alignment horizontal="center"/>
    </xf>
    <xf numFmtId="0" fontId="18" fillId="0" borderId="10" xfId="1" applyFont="1" applyBorder="1" applyAlignment="1" applyProtection="1">
      <alignment vertical="top"/>
    </xf>
    <xf numFmtId="0" fontId="18" fillId="0" borderId="10" xfId="1" applyFont="1" applyFill="1" applyBorder="1" applyAlignment="1" applyProtection="1">
      <alignment vertical="top"/>
    </xf>
    <xf numFmtId="164" fontId="18" fillId="0" borderId="10" xfId="1" applyNumberFormat="1" applyFont="1" applyFill="1" applyBorder="1" applyAlignment="1" applyProtection="1">
      <alignment vertical="top"/>
    </xf>
    <xf numFmtId="164" fontId="17" fillId="0" borderId="10" xfId="1" applyNumberFormat="1" applyFont="1" applyFill="1" applyBorder="1" applyAlignment="1" applyProtection="1">
      <alignment vertical="top"/>
    </xf>
    <xf numFmtId="1" fontId="18" fillId="0" borderId="10" xfId="1" applyNumberFormat="1" applyFont="1" applyFill="1" applyBorder="1" applyAlignment="1" applyProtection="1">
      <alignment vertical="top"/>
    </xf>
    <xf numFmtId="164" fontId="18" fillId="0" borderId="10" xfId="1" applyNumberFormat="1" applyFont="1" applyBorder="1" applyAlignment="1" applyProtection="1">
      <alignment vertical="top"/>
    </xf>
    <xf numFmtId="164" fontId="17" fillId="0" borderId="10" xfId="1" applyNumberFormat="1" applyFont="1" applyBorder="1" applyAlignment="1" applyProtection="1">
      <alignment vertical="top"/>
    </xf>
    <xf numFmtId="1" fontId="18" fillId="0" borderId="10" xfId="1" applyNumberFormat="1" applyFont="1" applyBorder="1" applyAlignment="1" applyProtection="1">
      <alignment vertical="top"/>
    </xf>
    <xf numFmtId="0" fontId="17" fillId="0" borderId="10" xfId="1" applyFont="1" applyBorder="1" applyAlignment="1" applyProtection="1">
      <alignment vertical="top"/>
    </xf>
    <xf numFmtId="164" fontId="18" fillId="0" borderId="2" xfId="1" applyNumberFormat="1" applyFont="1" applyFill="1" applyBorder="1" applyAlignment="1" applyProtection="1">
      <alignment horizontal="center" vertical="top"/>
    </xf>
    <xf numFmtId="164" fontId="18" fillId="0" borderId="0" xfId="1" applyNumberFormat="1" applyFont="1" applyFill="1" applyBorder="1" applyAlignment="1" applyProtection="1">
      <alignment horizontal="center" vertical="top"/>
    </xf>
    <xf numFmtId="0" fontId="18" fillId="0" borderId="9" xfId="1" applyFont="1" applyBorder="1" applyAlignment="1" applyProtection="1">
      <alignment horizontal="left" vertical="top"/>
    </xf>
    <xf numFmtId="0" fontId="19" fillId="0" borderId="9" xfId="1" applyFont="1" applyBorder="1" applyAlignment="1" applyProtection="1">
      <alignment horizontal="left" vertical="top"/>
    </xf>
    <xf numFmtId="164" fontId="18" fillId="0" borderId="9" xfId="1" applyNumberFormat="1" applyFont="1" applyBorder="1" applyAlignment="1" applyProtection="1">
      <alignment horizontal="center" vertical="top"/>
    </xf>
    <xf numFmtId="0" fontId="18" fillId="0" borderId="9" xfId="1" applyFont="1" applyBorder="1" applyAlignment="1" applyProtection="1">
      <alignment horizontal="center" vertical="top"/>
    </xf>
    <xf numFmtId="0" fontId="18" fillId="0" borderId="9" xfId="1" applyFont="1" applyFill="1" applyBorder="1" applyAlignment="1" applyProtection="1">
      <alignment horizontal="center" vertical="top"/>
    </xf>
    <xf numFmtId="164" fontId="18" fillId="0" borderId="9" xfId="1" applyNumberFormat="1" applyFont="1" applyFill="1" applyBorder="1" applyAlignment="1" applyProtection="1">
      <alignment horizontal="center" vertical="top"/>
    </xf>
    <xf numFmtId="164" fontId="18" fillId="0" borderId="9" xfId="1" applyNumberFormat="1" applyFont="1" applyFill="1" applyBorder="1" applyAlignment="1" applyProtection="1">
      <alignment horizontal="center"/>
    </xf>
    <xf numFmtId="1" fontId="18" fillId="0" borderId="9" xfId="1" applyNumberFormat="1" applyFont="1" applyFill="1" applyBorder="1" applyAlignment="1" applyProtection="1">
      <alignment horizontal="center" vertical="top"/>
    </xf>
    <xf numFmtId="0" fontId="18" fillId="0" borderId="9" xfId="1" applyFont="1" applyBorder="1" applyAlignment="1" applyProtection="1">
      <alignment vertical="top"/>
    </xf>
    <xf numFmtId="0" fontId="18" fillId="0" borderId="9" xfId="1" applyFont="1" applyFill="1" applyBorder="1" applyAlignment="1" applyProtection="1">
      <alignment vertical="top"/>
    </xf>
    <xf numFmtId="0" fontId="18" fillId="0" borderId="9" xfId="1" applyFont="1" applyFill="1" applyBorder="1" applyAlignment="1" applyProtection="1"/>
    <xf numFmtId="164" fontId="18" fillId="0" borderId="9" xfId="1" applyNumberFormat="1" applyFont="1" applyFill="1" applyBorder="1" applyAlignment="1" applyProtection="1">
      <alignment vertical="top"/>
    </xf>
    <xf numFmtId="164" fontId="17" fillId="0" borderId="9" xfId="1" applyNumberFormat="1" applyFont="1" applyFill="1" applyBorder="1" applyAlignment="1" applyProtection="1">
      <alignment vertical="top"/>
    </xf>
    <xf numFmtId="1" fontId="18" fillId="0" borderId="9" xfId="1" applyNumberFormat="1" applyFont="1" applyFill="1" applyBorder="1" applyAlignment="1" applyProtection="1">
      <alignment vertical="top"/>
    </xf>
    <xf numFmtId="164" fontId="18" fillId="0" borderId="9" xfId="1" applyNumberFormat="1" applyFont="1" applyBorder="1" applyAlignment="1" applyProtection="1">
      <alignment vertical="top"/>
    </xf>
    <xf numFmtId="164" fontId="17" fillId="0" borderId="9" xfId="1" applyNumberFormat="1" applyFont="1" applyBorder="1" applyAlignment="1" applyProtection="1">
      <alignment vertical="top"/>
    </xf>
    <xf numFmtId="1" fontId="18" fillId="0" borderId="9" xfId="1" applyNumberFormat="1" applyFont="1" applyBorder="1" applyAlignment="1" applyProtection="1">
      <alignment vertical="top"/>
    </xf>
    <xf numFmtId="0" fontId="17" fillId="0" borderId="9" xfId="1" applyFont="1" applyBorder="1" applyAlignment="1" applyProtection="1">
      <alignment vertical="top"/>
    </xf>
    <xf numFmtId="0" fontId="19" fillId="0" borderId="1" xfId="1" applyFont="1" applyBorder="1" applyAlignment="1" applyProtection="1">
      <alignment horizontal="left" vertical="top"/>
    </xf>
    <xf numFmtId="164" fontId="18" fillId="0" borderId="1" xfId="1" applyNumberFormat="1" applyFont="1" applyBorder="1" applyAlignment="1" applyProtection="1">
      <alignment horizontal="center" vertical="top"/>
    </xf>
    <xf numFmtId="0" fontId="18" fillId="0" borderId="1" xfId="1" applyFont="1" applyBorder="1" applyAlignment="1" applyProtection="1">
      <alignment horizontal="center" vertical="top"/>
    </xf>
    <xf numFmtId="0" fontId="18" fillId="0" borderId="1" xfId="1" applyFont="1" applyFill="1" applyBorder="1" applyAlignment="1" applyProtection="1">
      <alignment horizontal="center" vertical="top"/>
    </xf>
    <xf numFmtId="164" fontId="18" fillId="0" borderId="1" xfId="1" applyNumberFormat="1" applyFont="1" applyFill="1" applyBorder="1" applyAlignment="1" applyProtection="1">
      <alignment horizontal="center" vertical="top"/>
    </xf>
    <xf numFmtId="164" fontId="18" fillId="0" borderId="1" xfId="1" applyNumberFormat="1" applyFont="1" applyFill="1" applyBorder="1" applyAlignment="1" applyProtection="1">
      <alignment horizontal="center"/>
    </xf>
    <xf numFmtId="0" fontId="18" fillId="0" borderId="1" xfId="1" applyFont="1" applyBorder="1" applyAlignment="1" applyProtection="1">
      <alignment vertical="top"/>
    </xf>
    <xf numFmtId="0" fontId="18" fillId="0" borderId="1" xfId="1" applyFont="1" applyFill="1" applyBorder="1" applyAlignment="1" applyProtection="1">
      <alignment vertical="top"/>
    </xf>
    <xf numFmtId="0" fontId="18" fillId="0" borderId="1" xfId="1" applyFont="1" applyFill="1" applyBorder="1" applyAlignment="1" applyProtection="1"/>
    <xf numFmtId="164" fontId="18" fillId="0" borderId="1" xfId="1" applyNumberFormat="1" applyFont="1" applyFill="1" applyBorder="1" applyAlignment="1" applyProtection="1">
      <alignment vertical="top"/>
    </xf>
    <xf numFmtId="164" fontId="17" fillId="0" borderId="1" xfId="1" applyNumberFormat="1" applyFont="1" applyFill="1" applyBorder="1" applyAlignment="1" applyProtection="1">
      <alignment vertical="top"/>
    </xf>
    <xf numFmtId="1" fontId="18" fillId="0" borderId="1" xfId="1" applyNumberFormat="1" applyFont="1" applyFill="1" applyBorder="1" applyAlignment="1" applyProtection="1">
      <alignment vertical="top"/>
    </xf>
    <xf numFmtId="164" fontId="18" fillId="0" borderId="1" xfId="1" applyNumberFormat="1" applyFont="1" applyBorder="1" applyAlignment="1" applyProtection="1">
      <alignment vertical="top"/>
    </xf>
    <xf numFmtId="164" fontId="17" fillId="0" borderId="1" xfId="1" applyNumberFormat="1" applyFont="1" applyBorder="1" applyAlignment="1" applyProtection="1">
      <alignment vertical="top"/>
    </xf>
    <xf numFmtId="1" fontId="18" fillId="0" borderId="1" xfId="1" applyNumberFormat="1" applyFont="1" applyBorder="1" applyAlignment="1" applyProtection="1">
      <alignment vertical="top"/>
    </xf>
    <xf numFmtId="0" fontId="17" fillId="0" borderId="1" xfId="1" applyFont="1" applyBorder="1" applyAlignment="1" applyProtection="1">
      <alignment vertical="top"/>
    </xf>
    <xf numFmtId="164" fontId="19" fillId="0" borderId="0" xfId="0" applyNumberFormat="1" applyFont="1" applyAlignment="1" applyProtection="1">
      <alignment horizontal="center"/>
    </xf>
    <xf numFmtId="0" fontId="19" fillId="0" borderId="0" xfId="0" applyFont="1" applyAlignment="1" applyProtection="1">
      <alignment horizontal="center"/>
    </xf>
    <xf numFmtId="0" fontId="19" fillId="0" borderId="2" xfId="0" applyFont="1" applyBorder="1" applyAlignment="1" applyProtection="1">
      <alignment horizontal="center"/>
    </xf>
    <xf numFmtId="1" fontId="18" fillId="0" borderId="3" xfId="0" applyNumberFormat="1" applyFont="1" applyBorder="1" applyAlignment="1" applyProtection="1">
      <alignment horizontal="center"/>
    </xf>
    <xf numFmtId="0" fontId="19" fillId="0" borderId="3" xfId="0" applyFont="1" applyBorder="1" applyAlignment="1" applyProtection="1">
      <alignment horizontal="center"/>
    </xf>
    <xf numFmtId="164" fontId="19" fillId="0" borderId="2" xfId="0" applyNumberFormat="1" applyFont="1" applyBorder="1" applyAlignment="1" applyProtection="1">
      <alignment horizontal="center"/>
    </xf>
    <xf numFmtId="2" fontId="18" fillId="0" borderId="3" xfId="0" applyNumberFormat="1" applyFont="1" applyBorder="1" applyAlignment="1" applyProtection="1"/>
    <xf numFmtId="1" fontId="19" fillId="0" borderId="3" xfId="0" applyNumberFormat="1" applyFont="1" applyBorder="1" applyAlignment="1" applyProtection="1">
      <alignment horizontal="center"/>
    </xf>
    <xf numFmtId="164" fontId="19" fillId="0" borderId="0" xfId="0" applyNumberFormat="1" applyFont="1" applyFill="1" applyAlignment="1" applyProtection="1">
      <alignment horizontal="center"/>
    </xf>
    <xf numFmtId="164" fontId="19" fillId="0" borderId="2" xfId="0" applyNumberFormat="1" applyFont="1" applyFill="1" applyBorder="1" applyAlignment="1" applyProtection="1">
      <alignment horizontal="center"/>
    </xf>
    <xf numFmtId="164" fontId="19" fillId="0" borderId="3" xfId="0" applyNumberFormat="1" applyFont="1" applyFill="1" applyBorder="1" applyAlignment="1" applyProtection="1">
      <alignment horizontal="center"/>
    </xf>
    <xf numFmtId="164" fontId="19" fillId="0" borderId="0" xfId="0" applyNumberFormat="1" applyFont="1" applyFill="1" applyBorder="1" applyAlignment="1" applyProtection="1">
      <alignment horizontal="center"/>
    </xf>
    <xf numFmtId="0" fontId="19" fillId="0" borderId="0" xfId="0" applyFont="1" applyBorder="1" applyAlignment="1" applyProtection="1">
      <alignment horizontal="center"/>
    </xf>
    <xf numFmtId="0" fontId="17" fillId="0" borderId="0" xfId="0" applyFont="1" applyFill="1" applyBorder="1" applyAlignment="1" applyProtection="1">
      <alignment horizontal="center"/>
    </xf>
    <xf numFmtId="164" fontId="18" fillId="0" borderId="3" xfId="0" applyNumberFormat="1" applyFont="1" applyBorder="1" applyAlignment="1" applyProtection="1">
      <alignment horizontal="center"/>
    </xf>
    <xf numFmtId="164" fontId="19" fillId="0" borderId="3" xfId="0" applyNumberFormat="1" applyFont="1" applyBorder="1" applyAlignment="1" applyProtection="1">
      <alignment horizontal="center"/>
    </xf>
    <xf numFmtId="0" fontId="17" fillId="0" borderId="3" xfId="0" applyFont="1" applyFill="1" applyBorder="1" applyAlignment="1" applyProtection="1">
      <alignment horizontal="center"/>
    </xf>
    <xf numFmtId="164" fontId="18" fillId="0" borderId="0" xfId="0" applyNumberFormat="1" applyFont="1" applyFill="1" applyAlignment="1" applyProtection="1"/>
    <xf numFmtId="164" fontId="19" fillId="0" borderId="0" xfId="0" applyNumberFormat="1" applyFont="1" applyBorder="1" applyAlignment="1" applyProtection="1">
      <alignment horizontal="center"/>
    </xf>
    <xf numFmtId="0" fontId="19" fillId="0" borderId="10" xfId="0" applyFont="1" applyBorder="1" applyAlignment="1" applyProtection="1">
      <alignment horizontal="left"/>
    </xf>
    <xf numFmtId="0" fontId="19" fillId="0" borderId="10" xfId="0" applyFont="1" applyBorder="1" applyAlignment="1" applyProtection="1">
      <alignment horizontal="center"/>
    </xf>
    <xf numFmtId="0" fontId="17" fillId="0" borderId="10" xfId="0" applyFont="1" applyFill="1" applyBorder="1" applyAlignment="1" applyProtection="1">
      <alignment horizontal="center"/>
    </xf>
    <xf numFmtId="1" fontId="19" fillId="0" borderId="2" xfId="0" applyNumberFormat="1" applyFont="1" applyFill="1" applyBorder="1" applyAlignment="1" applyProtection="1">
      <alignment horizontal="center"/>
    </xf>
    <xf numFmtId="1" fontId="18" fillId="0" borderId="0" xfId="0" applyNumberFormat="1" applyFont="1" applyFill="1" applyAlignment="1" applyProtection="1"/>
    <xf numFmtId="0" fontId="18" fillId="0" borderId="1" xfId="0" applyFont="1" applyFill="1" applyBorder="1" applyAlignment="1" applyProtection="1">
      <alignment horizontal="left"/>
    </xf>
    <xf numFmtId="164" fontId="18" fillId="0" borderId="1" xfId="0" applyNumberFormat="1" applyFont="1" applyFill="1" applyBorder="1" applyAlignment="1" applyProtection="1"/>
    <xf numFmtId="1" fontId="19" fillId="0" borderId="1" xfId="0" applyNumberFormat="1" applyFont="1" applyFill="1" applyBorder="1" applyAlignment="1" applyProtection="1">
      <alignment horizontal="center"/>
    </xf>
    <xf numFmtId="0" fontId="19" fillId="0" borderId="1" xfId="0" applyFont="1" applyBorder="1" applyAlignment="1" applyProtection="1">
      <alignment horizontal="center"/>
    </xf>
    <xf numFmtId="1" fontId="18" fillId="0" borderId="1" xfId="0" applyNumberFormat="1" applyFont="1" applyFill="1" applyBorder="1" applyAlignment="1" applyProtection="1"/>
    <xf numFmtId="1" fontId="17" fillId="0" borderId="0" xfId="0" applyNumberFormat="1" applyFont="1" applyFill="1" applyBorder="1" applyAlignment="1" applyProtection="1"/>
    <xf numFmtId="0" fontId="15" fillId="0" borderId="0" xfId="0" applyFont="1" applyProtection="1"/>
    <xf numFmtId="0" fontId="32" fillId="2" borderId="0" xfId="0" applyFont="1" applyFill="1" applyAlignment="1" applyProtection="1">
      <alignment horizontal="right" vertical="center"/>
    </xf>
  </cellXfs>
  <cellStyles count="7">
    <cellStyle name="Followed Hyperlink" xfId="6" builtinId="9" hidden="1"/>
    <cellStyle name="Hyperlink" xfId="5" builtinId="8" hidden="1"/>
    <cellStyle name="Neutral 2" xfId="4"/>
    <cellStyle name="Normal" xfId="0" builtinId="0"/>
    <cellStyle name="Normal 2" xfId="1"/>
    <cellStyle name="Normal 2 2" xfId="3"/>
    <cellStyle name="Normal 3" xfId="2"/>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38101</xdr:colOff>
      <xdr:row>0</xdr:row>
      <xdr:rowOff>76200</xdr:rowOff>
    </xdr:from>
    <xdr:to>
      <xdr:col>10</xdr:col>
      <xdr:colOff>790576</xdr:colOff>
      <xdr:row>3</xdr:row>
      <xdr:rowOff>24977</xdr:rowOff>
    </xdr:to>
    <xdr:pic>
      <xdr:nvPicPr>
        <xdr:cNvPr id="2" name="Picture 72" descr="EA logo_black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1" y="76200"/>
          <a:ext cx="1809750" cy="691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72"/>
  <sheetViews>
    <sheetView showRowColHeaders="0" tabSelected="1" workbookViewId="0">
      <selection activeCell="F12" sqref="F12"/>
    </sheetView>
  </sheetViews>
  <sheetFormatPr defaultColWidth="0" defaultRowHeight="12.75" zeroHeight="1" x14ac:dyDescent="0.2"/>
  <cols>
    <col min="1" max="1" width="4.140625" style="17" customWidth="1"/>
    <col min="2" max="2" width="11" style="17" customWidth="1"/>
    <col min="3" max="3" width="12.5703125" style="17" customWidth="1"/>
    <col min="4" max="4" width="26" style="17" customWidth="1"/>
    <col min="5" max="5" width="19.140625" style="17" customWidth="1"/>
    <col min="6" max="6" width="35.85546875" style="17" customWidth="1"/>
    <col min="7" max="7" width="4.140625" style="17" customWidth="1"/>
    <col min="8" max="8" width="11" style="17" customWidth="1"/>
    <col min="9" max="9" width="16.140625" style="17" customWidth="1"/>
    <col min="10" max="10" width="15.85546875" style="17" customWidth="1"/>
    <col min="11" max="11" width="15.42578125" style="17" customWidth="1"/>
    <col min="12" max="12" width="11" style="17" customWidth="1"/>
    <col min="13" max="16384" width="11" style="17" hidden="1"/>
  </cols>
  <sheetData>
    <row r="1" spans="1:12" x14ac:dyDescent="0.2">
      <c r="A1" s="16"/>
      <c r="B1" s="16"/>
      <c r="C1" s="16"/>
      <c r="D1" s="16"/>
      <c r="E1" s="16"/>
      <c r="F1" s="16"/>
      <c r="G1" s="16"/>
      <c r="H1" s="16"/>
      <c r="I1" s="16"/>
      <c r="J1" s="16"/>
      <c r="K1" s="16"/>
      <c r="L1" s="16"/>
    </row>
    <row r="2" spans="1:12" ht="30.75" customHeight="1" x14ac:dyDescent="0.2">
      <c r="A2" s="16"/>
      <c r="B2" s="18" t="s">
        <v>430</v>
      </c>
      <c r="C2" s="16"/>
      <c r="D2" s="16"/>
      <c r="E2" s="16"/>
      <c r="F2" s="16"/>
      <c r="G2" s="16"/>
      <c r="H2" s="16"/>
      <c r="I2" s="783" t="s">
        <v>479</v>
      </c>
      <c r="J2" s="16"/>
      <c r="K2" s="16"/>
      <c r="L2" s="16"/>
    </row>
    <row r="3" spans="1:12" ht="15" x14ac:dyDescent="0.2">
      <c r="A3" s="16"/>
      <c r="B3" s="19" t="s">
        <v>431</v>
      </c>
      <c r="C3" s="16"/>
      <c r="D3" s="16"/>
      <c r="E3" s="16"/>
      <c r="F3" s="16"/>
      <c r="G3" s="16"/>
      <c r="H3" s="16"/>
      <c r="I3" s="16"/>
      <c r="J3" s="16"/>
      <c r="K3" s="16"/>
      <c r="L3" s="16"/>
    </row>
    <row r="4" spans="1:12" ht="15" x14ac:dyDescent="0.2">
      <c r="A4" s="16"/>
      <c r="B4" s="19"/>
      <c r="C4" s="16"/>
      <c r="D4" s="16"/>
      <c r="E4" s="16"/>
      <c r="F4" s="16"/>
      <c r="G4" s="16"/>
      <c r="I4" s="16"/>
      <c r="J4" s="16"/>
      <c r="K4" s="16"/>
      <c r="L4" s="16"/>
    </row>
    <row r="5" spans="1:12" x14ac:dyDescent="0.2">
      <c r="A5" s="16"/>
      <c r="B5" s="20" t="s">
        <v>480</v>
      </c>
      <c r="C5" s="21"/>
      <c r="D5" s="21"/>
      <c r="E5" s="21"/>
      <c r="F5" s="21"/>
      <c r="G5" s="22"/>
      <c r="H5" s="22"/>
      <c r="I5" s="22"/>
      <c r="J5" s="22"/>
      <c r="K5" s="23"/>
      <c r="L5" s="16"/>
    </row>
    <row r="6" spans="1:12" x14ac:dyDescent="0.2">
      <c r="A6" s="16"/>
      <c r="B6" s="24"/>
      <c r="C6" s="25"/>
      <c r="D6" s="25"/>
      <c r="E6" s="25"/>
      <c r="F6" s="25"/>
      <c r="G6" s="26"/>
      <c r="H6" s="26"/>
      <c r="I6" s="26"/>
      <c r="J6" s="26"/>
      <c r="K6" s="27"/>
      <c r="L6" s="16"/>
    </row>
    <row r="7" spans="1:12" x14ac:dyDescent="0.2">
      <c r="A7" s="16"/>
      <c r="B7" s="24"/>
      <c r="C7" s="25"/>
      <c r="D7" s="25"/>
      <c r="E7" s="25"/>
      <c r="F7" s="25"/>
      <c r="G7" s="26"/>
      <c r="H7" s="26"/>
      <c r="I7" s="26"/>
      <c r="J7" s="26"/>
      <c r="K7" s="27"/>
      <c r="L7" s="16"/>
    </row>
    <row r="8" spans="1:12" ht="56.25" customHeight="1" x14ac:dyDescent="0.25">
      <c r="A8" s="28"/>
      <c r="B8" s="29"/>
      <c r="C8" s="30"/>
      <c r="D8" s="30"/>
      <c r="E8" s="30"/>
      <c r="F8" s="30"/>
      <c r="G8" s="31"/>
      <c r="H8" s="31"/>
      <c r="I8" s="31"/>
      <c r="J8" s="31"/>
      <c r="K8" s="32"/>
      <c r="L8" s="16"/>
    </row>
    <row r="9" spans="1:12" ht="15.75" x14ac:dyDescent="0.25">
      <c r="A9" s="28"/>
      <c r="B9" s="16"/>
      <c r="C9" s="16"/>
      <c r="D9" s="16"/>
      <c r="E9" s="16"/>
      <c r="F9" s="16"/>
      <c r="G9" s="16"/>
      <c r="H9" s="16"/>
      <c r="I9" s="16"/>
      <c r="J9" s="16"/>
      <c r="K9" s="16"/>
      <c r="L9" s="16"/>
    </row>
    <row r="10" spans="1:12" ht="15" x14ac:dyDescent="0.25">
      <c r="A10" s="16"/>
      <c r="B10" s="33" t="s">
        <v>310</v>
      </c>
      <c r="C10" s="16"/>
      <c r="D10" s="16"/>
      <c r="E10" s="16"/>
      <c r="F10" s="34"/>
      <c r="G10" s="16"/>
      <c r="H10" s="33" t="s">
        <v>441</v>
      </c>
      <c r="I10" s="16"/>
      <c r="J10" s="16"/>
      <c r="K10" s="16"/>
      <c r="L10" s="16"/>
    </row>
    <row r="11" spans="1:12" x14ac:dyDescent="0.2">
      <c r="A11" s="16"/>
      <c r="B11" s="35" t="s">
        <v>454</v>
      </c>
      <c r="C11" s="16"/>
      <c r="D11" s="16"/>
      <c r="E11" s="16"/>
      <c r="F11" s="16"/>
      <c r="G11" s="16"/>
      <c r="H11" s="34" t="s">
        <v>463</v>
      </c>
      <c r="I11" s="16"/>
      <c r="J11" s="36"/>
      <c r="K11" s="36"/>
      <c r="L11" s="16"/>
    </row>
    <row r="12" spans="1:12" x14ac:dyDescent="0.2">
      <c r="A12" s="16"/>
      <c r="B12" s="16"/>
      <c r="C12" s="16"/>
      <c r="D12" s="16"/>
      <c r="E12" s="16"/>
      <c r="F12" s="16"/>
      <c r="G12" s="16"/>
      <c r="H12" s="34" t="s">
        <v>455</v>
      </c>
      <c r="I12" s="16"/>
      <c r="J12" s="37"/>
      <c r="K12" s="37"/>
      <c r="L12" s="16"/>
    </row>
    <row r="13" spans="1:12" ht="15" x14ac:dyDescent="0.2">
      <c r="A13" s="16"/>
      <c r="B13" s="38" t="s">
        <v>432</v>
      </c>
      <c r="C13" s="39"/>
      <c r="D13" s="16"/>
      <c r="E13" s="16"/>
      <c r="F13" s="34" t="s">
        <v>418</v>
      </c>
      <c r="G13" s="16"/>
      <c r="H13" s="40"/>
      <c r="I13" s="40"/>
      <c r="J13" s="41" t="s">
        <v>402</v>
      </c>
      <c r="K13" s="41" t="s">
        <v>403</v>
      </c>
      <c r="L13" s="41"/>
    </row>
    <row r="14" spans="1:12" ht="19.5" thickBot="1" x14ac:dyDescent="0.25">
      <c r="A14" s="16"/>
      <c r="B14" s="42" t="s">
        <v>456</v>
      </c>
      <c r="C14" s="43"/>
      <c r="D14" s="43"/>
      <c r="E14" s="6">
        <v>6.5</v>
      </c>
      <c r="F14" s="44" t="s">
        <v>435</v>
      </c>
      <c r="G14" s="16"/>
      <c r="H14" s="45" t="s">
        <v>443</v>
      </c>
      <c r="I14" s="46"/>
      <c r="J14" s="47">
        <f>'Toxicity data + calculations'!I3</f>
        <v>37</v>
      </c>
      <c r="K14" s="48" t="s">
        <v>442</v>
      </c>
      <c r="L14" s="16"/>
    </row>
    <row r="15" spans="1:12" ht="17.25" thickBot="1" x14ac:dyDescent="0.25">
      <c r="A15" s="16"/>
      <c r="B15" s="49" t="s">
        <v>457</v>
      </c>
      <c r="C15" s="50"/>
      <c r="D15" s="50"/>
      <c r="E15" s="7">
        <v>3.4</v>
      </c>
      <c r="F15" s="51" t="s">
        <v>436</v>
      </c>
      <c r="G15" s="16"/>
      <c r="H15" s="52" t="s">
        <v>444</v>
      </c>
      <c r="I15" s="53"/>
      <c r="J15" s="54">
        <f>'Toxicity data + calculations'!I4</f>
        <v>0.63795090710156654</v>
      </c>
      <c r="K15" s="55" t="s">
        <v>442</v>
      </c>
      <c r="L15" s="16"/>
    </row>
    <row r="16" spans="1:12" ht="17.25" thickBot="1" x14ac:dyDescent="0.25">
      <c r="A16" s="16"/>
      <c r="B16" s="49" t="s">
        <v>458</v>
      </c>
      <c r="C16" s="50"/>
      <c r="D16" s="50"/>
      <c r="E16" s="7">
        <v>10</v>
      </c>
      <c r="F16" s="51" t="s">
        <v>437</v>
      </c>
      <c r="G16" s="16"/>
      <c r="H16" s="45" t="s">
        <v>445</v>
      </c>
      <c r="I16" s="46"/>
      <c r="J16" s="47">
        <f>'Toxicity data + calculations'!I5</f>
        <v>4.1846025203044626</v>
      </c>
      <c r="K16" s="56">
        <f>'Toxicity data + calculations'!K5</f>
        <v>20.678738269138105</v>
      </c>
      <c r="L16" s="16"/>
    </row>
    <row r="17" spans="1:12" ht="19.5" thickBot="1" x14ac:dyDescent="0.25">
      <c r="A17" s="16"/>
      <c r="B17" s="49" t="s">
        <v>459</v>
      </c>
      <c r="C17" s="50"/>
      <c r="D17" s="50"/>
      <c r="E17" s="7"/>
      <c r="F17" s="51" t="s">
        <v>438</v>
      </c>
      <c r="G17" s="16"/>
      <c r="H17" s="52" t="s">
        <v>446</v>
      </c>
      <c r="I17" s="53"/>
      <c r="J17" s="54">
        <f>'Toxicity data + calculations'!I6</f>
        <v>35.103246514863784</v>
      </c>
      <c r="K17" s="57">
        <f>'Toxicity data + calculations'!K6</f>
        <v>71.547385612690164</v>
      </c>
      <c r="L17" s="16"/>
    </row>
    <row r="18" spans="1:12" ht="21" customHeight="1" thickBot="1" x14ac:dyDescent="0.25">
      <c r="A18" s="16"/>
      <c r="B18" s="49" t="s">
        <v>460</v>
      </c>
      <c r="C18" s="50"/>
      <c r="D18" s="50"/>
      <c r="E18" s="7"/>
      <c r="F18" s="51" t="s">
        <v>439</v>
      </c>
      <c r="G18" s="16"/>
      <c r="H18" s="45" t="s">
        <v>447</v>
      </c>
      <c r="I18" s="46"/>
      <c r="J18" s="47">
        <f>'Toxicity data + calculations'!I7</f>
        <v>5.1103190577753699</v>
      </c>
      <c r="K18" s="56">
        <f>'Toxicity data + calculations'!K7</f>
        <v>19.006185177742243</v>
      </c>
      <c r="L18" s="16"/>
    </row>
    <row r="19" spans="1:12" ht="18.75" customHeight="1" thickBot="1" x14ac:dyDescent="0.25">
      <c r="A19" s="16"/>
      <c r="B19" s="58" t="s">
        <v>461</v>
      </c>
      <c r="C19" s="59"/>
      <c r="D19" s="59"/>
      <c r="E19" s="8"/>
      <c r="F19" s="60" t="s">
        <v>440</v>
      </c>
      <c r="G19" s="16"/>
      <c r="H19" s="52" t="s">
        <v>448</v>
      </c>
      <c r="I19" s="53"/>
      <c r="J19" s="54">
        <f>'Toxicity data + calculations'!I8</f>
        <v>28.223174375996791</v>
      </c>
      <c r="K19" s="57">
        <f>'Toxicity data + calculations'!K8</f>
        <v>52.267192929255543</v>
      </c>
      <c r="L19" s="16"/>
    </row>
    <row r="20" spans="1:12" ht="18" customHeight="1" thickBot="1" x14ac:dyDescent="0.25">
      <c r="A20" s="16"/>
      <c r="B20" s="61" t="s">
        <v>462</v>
      </c>
      <c r="C20" s="16"/>
      <c r="D20" s="16"/>
      <c r="E20" s="16"/>
      <c r="F20" s="16"/>
      <c r="G20" s="16"/>
      <c r="H20" s="45" t="s">
        <v>449</v>
      </c>
      <c r="I20" s="46"/>
      <c r="J20" s="47">
        <f>'Toxicity data + calculations'!I9</f>
        <v>0.31733005642180928</v>
      </c>
      <c r="K20" s="56">
        <f>'Toxicity data + calculations'!K9</f>
        <v>1.716596773283162</v>
      </c>
      <c r="L20" s="16"/>
    </row>
    <row r="21" spans="1:12" ht="21.75" customHeight="1" thickBot="1" x14ac:dyDescent="0.35">
      <c r="A21" s="16"/>
      <c r="B21" s="16"/>
      <c r="C21" s="16"/>
      <c r="D21" s="62" t="s">
        <v>475</v>
      </c>
      <c r="E21" s="9">
        <f>IF(Intro!E17&gt;0, "User value",IF(AND(pH&gt;0,clay&gt;0,OM&gt;0),(30+4.4*pH)*clay/100+(-59+51*pH)*(OM*0.58)/100, "Insufficient data"))</f>
        <v>11.233699999999999</v>
      </c>
      <c r="F21" s="16"/>
      <c r="G21" s="16"/>
      <c r="H21" s="52" t="s">
        <v>450</v>
      </c>
      <c r="I21" s="53"/>
      <c r="J21" s="54">
        <f xml:space="preserve"> 'Toxicity data + calculations'!J10 + 17</f>
        <v>19.041831743121804</v>
      </c>
      <c r="K21" s="57">
        <f xml:space="preserve"> 'Toxicity data + calculations'!J10 + V_bg</f>
        <v>19.041831743121804</v>
      </c>
      <c r="L21" s="16"/>
    </row>
    <row r="22" spans="1:12" ht="18.75" customHeight="1" thickBot="1" x14ac:dyDescent="0.25">
      <c r="A22" s="16"/>
      <c r="B22" s="63"/>
      <c r="C22" s="16"/>
      <c r="D22" s="16"/>
      <c r="E22" s="16"/>
      <c r="F22" s="16"/>
      <c r="G22" s="64"/>
      <c r="H22" s="45" t="s">
        <v>451</v>
      </c>
      <c r="I22" s="46"/>
      <c r="J22" s="47">
        <f>'Toxicity data + calculations'!I11 + 24.1</f>
        <v>59.749835537456534</v>
      </c>
      <c r="K22" s="56">
        <f>'Toxicity data + calculations'!K11+Zn_bg</f>
        <v>122.32512475491814</v>
      </c>
      <c r="L22" s="16"/>
    </row>
    <row r="23" spans="1:12" ht="36" customHeight="1" x14ac:dyDescent="0.2">
      <c r="A23" s="16"/>
      <c r="B23" s="72" t="s">
        <v>453</v>
      </c>
      <c r="C23" s="71"/>
      <c r="D23" s="71"/>
      <c r="E23" s="71"/>
      <c r="F23" s="73"/>
      <c r="G23" s="16"/>
      <c r="H23" s="65" t="s">
        <v>452</v>
      </c>
      <c r="I23" s="66"/>
      <c r="J23" s="66"/>
      <c r="K23" s="66"/>
      <c r="L23" s="67"/>
    </row>
    <row r="24" spans="1:12" ht="17.25" customHeight="1" x14ac:dyDescent="0.2">
      <c r="A24" s="16"/>
      <c r="B24" s="16"/>
      <c r="C24" s="16"/>
      <c r="D24" s="16"/>
      <c r="E24" s="16"/>
      <c r="F24" s="16"/>
      <c r="G24" s="16"/>
      <c r="H24" s="68"/>
      <c r="I24" s="68"/>
      <c r="J24" s="68"/>
      <c r="K24" s="68"/>
      <c r="L24" s="67"/>
    </row>
    <row r="25" spans="1:12" hidden="1" x14ac:dyDescent="0.2">
      <c r="A25" s="16"/>
      <c r="B25" s="16"/>
      <c r="C25" s="16"/>
      <c r="D25" s="16"/>
      <c r="E25" s="16"/>
      <c r="F25" s="16"/>
      <c r="G25" s="16"/>
      <c r="H25" s="16"/>
      <c r="I25" s="16"/>
      <c r="J25" s="16"/>
      <c r="K25" s="16"/>
      <c r="L25" s="16"/>
    </row>
    <row r="26" spans="1:12" hidden="1" x14ac:dyDescent="0.2"/>
    <row r="27" spans="1:12" hidden="1" x14ac:dyDescent="0.2"/>
    <row r="28" spans="1:12" ht="15.75" hidden="1" x14ac:dyDescent="0.25">
      <c r="A28" s="69"/>
    </row>
    <row r="29" spans="1:12" ht="15.75" hidden="1" x14ac:dyDescent="0.25">
      <c r="A29" s="69"/>
    </row>
    <row r="30" spans="1:12" ht="15.75" hidden="1" x14ac:dyDescent="0.25">
      <c r="A30" s="69"/>
    </row>
    <row r="31" spans="1:12" ht="15.75" hidden="1" x14ac:dyDescent="0.25">
      <c r="A31" s="69"/>
    </row>
    <row r="32" spans="1:12" hidden="1" x14ac:dyDescent="0.2"/>
    <row r="33" spans="1:5" hidden="1" x14ac:dyDescent="0.2"/>
    <row r="34" spans="1:5" hidden="1" x14ac:dyDescent="0.2">
      <c r="B34" s="70"/>
      <c r="C34" s="70"/>
      <c r="D34" s="70"/>
      <c r="E34" s="70"/>
    </row>
    <row r="35" spans="1:5" hidden="1" x14ac:dyDescent="0.2"/>
    <row r="36" spans="1:5" ht="15.75" hidden="1" x14ac:dyDescent="0.25">
      <c r="A36" s="69"/>
    </row>
    <row r="37" spans="1:5" hidden="1" x14ac:dyDescent="0.2"/>
    <row r="38" spans="1:5" hidden="1" x14ac:dyDescent="0.2"/>
    <row r="39" spans="1:5" hidden="1" x14ac:dyDescent="0.2"/>
    <row r="40" spans="1:5" hidden="1" x14ac:dyDescent="0.2"/>
    <row r="41" spans="1:5" ht="15.75" hidden="1" x14ac:dyDescent="0.25">
      <c r="A41" s="69"/>
    </row>
    <row r="42" spans="1:5" hidden="1" x14ac:dyDescent="0.2"/>
    <row r="43" spans="1:5" hidden="1" x14ac:dyDescent="0.2"/>
    <row r="44" spans="1:5" hidden="1" x14ac:dyDescent="0.2"/>
    <row r="45" spans="1:5" hidden="1" x14ac:dyDescent="0.2"/>
    <row r="46" spans="1:5" hidden="1" x14ac:dyDescent="0.2"/>
    <row r="47" spans="1:5" hidden="1" x14ac:dyDescent="0.2"/>
    <row r="48" spans="1:5"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sheetData>
  <sheetProtection algorithmName="SHA-512" hashValue="rq4bxGvcUgCyaky0XHUDS9+4T6VYczffgkKIxgLIrV4c5LVu8LDfe0bQ1xgtwwTVH8+8BWUEfNUW5oq7xd/V1g==" saltValue="M38DkDAdsUTnM1qPEeC5HQ==" spinCount="100000" sheet="1" objects="1" scenarios="1"/>
  <mergeCells count="18">
    <mergeCell ref="H20:I20"/>
    <mergeCell ref="H21:I21"/>
    <mergeCell ref="B23:E23"/>
    <mergeCell ref="H22:I22"/>
    <mergeCell ref="H23:K23"/>
    <mergeCell ref="B5:K8"/>
    <mergeCell ref="H14:I14"/>
    <mergeCell ref="H15:I15"/>
    <mergeCell ref="H16:I16"/>
    <mergeCell ref="H17:I17"/>
    <mergeCell ref="B14:D14"/>
    <mergeCell ref="B15:D15"/>
    <mergeCell ref="B16:D16"/>
    <mergeCell ref="B17:D17"/>
    <mergeCell ref="B18:D18"/>
    <mergeCell ref="B19:D19"/>
    <mergeCell ref="H18:I18"/>
    <mergeCell ref="H19:I19"/>
  </mergeCells>
  <pageMargins left="0.7" right="0.7" top="0.75" bottom="0.75" header="0.3" footer="0.3"/>
  <pageSetup paperSize="9" orientation="portrait"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RowColHeaders="0" workbookViewId="0">
      <selection activeCell="J10" sqref="J10"/>
    </sheetView>
  </sheetViews>
  <sheetFormatPr defaultColWidth="0" defaultRowHeight="12.75" zeroHeight="1" x14ac:dyDescent="0.2"/>
  <cols>
    <col min="1" max="1" width="5.42578125" style="2" customWidth="1"/>
    <col min="2" max="18" width="9.140625" style="2" customWidth="1"/>
    <col min="19" max="16384" width="9.140625" style="2" hidden="1"/>
  </cols>
  <sheetData>
    <row r="1" spans="1:18" x14ac:dyDescent="0.2">
      <c r="A1" s="3"/>
      <c r="B1" s="3"/>
      <c r="C1" s="3"/>
      <c r="D1" s="3"/>
      <c r="E1" s="3"/>
      <c r="F1" s="3"/>
      <c r="G1" s="3"/>
      <c r="H1" s="3"/>
      <c r="I1" s="3"/>
      <c r="J1" s="3"/>
      <c r="K1" s="3"/>
      <c r="L1" s="3"/>
      <c r="M1" s="3"/>
      <c r="N1" s="3"/>
      <c r="O1" s="3"/>
      <c r="P1" s="3"/>
      <c r="Q1" s="3"/>
      <c r="R1" s="3"/>
    </row>
    <row r="2" spans="1:18" ht="23.25" x14ac:dyDescent="0.2">
      <c r="A2" s="3"/>
      <c r="B2" s="1" t="s">
        <v>464</v>
      </c>
      <c r="C2" s="3"/>
      <c r="D2" s="3"/>
      <c r="E2" s="3"/>
      <c r="F2" s="3"/>
      <c r="G2" s="3"/>
      <c r="H2" s="3"/>
      <c r="I2" s="3"/>
      <c r="J2" s="3"/>
      <c r="K2" s="3"/>
      <c r="L2" s="3"/>
      <c r="M2" s="3"/>
      <c r="N2" s="3"/>
      <c r="O2" s="3"/>
      <c r="P2" s="3"/>
      <c r="Q2" s="3"/>
      <c r="R2" s="3"/>
    </row>
    <row r="3" spans="1:18" x14ac:dyDescent="0.2">
      <c r="A3" s="3"/>
      <c r="B3" s="10" t="s">
        <v>477</v>
      </c>
      <c r="C3" s="11"/>
      <c r="D3" s="11"/>
      <c r="E3" s="11"/>
      <c r="F3" s="11"/>
      <c r="G3" s="11"/>
      <c r="H3" s="11"/>
      <c r="I3" s="11"/>
      <c r="J3" s="11"/>
      <c r="K3" s="11"/>
      <c r="L3" s="11"/>
      <c r="M3" s="11"/>
      <c r="N3" s="11"/>
      <c r="O3" s="11"/>
      <c r="P3" s="11"/>
      <c r="Q3" s="11"/>
      <c r="R3" s="11"/>
    </row>
    <row r="4" spans="1:18" x14ac:dyDescent="0.2">
      <c r="A4" s="3"/>
      <c r="B4" s="12"/>
      <c r="C4" s="12"/>
      <c r="D4" s="12"/>
      <c r="E4" s="12"/>
      <c r="F4" s="12"/>
      <c r="G4" s="12"/>
      <c r="H4" s="12"/>
      <c r="I4" s="12"/>
      <c r="J4" s="12"/>
      <c r="K4" s="12"/>
      <c r="L4" s="12"/>
      <c r="M4" s="12"/>
      <c r="N4" s="12"/>
      <c r="O4" s="12"/>
      <c r="P4" s="12"/>
      <c r="Q4" s="12"/>
      <c r="R4" s="12"/>
    </row>
    <row r="5" spans="1:18" x14ac:dyDescent="0.2">
      <c r="A5" s="3"/>
      <c r="B5" s="12"/>
      <c r="C5" s="12"/>
      <c r="D5" s="12"/>
      <c r="E5" s="12"/>
      <c r="F5" s="12"/>
      <c r="G5" s="12"/>
      <c r="H5" s="12"/>
      <c r="I5" s="12"/>
      <c r="J5" s="12"/>
      <c r="K5" s="12"/>
      <c r="L5" s="12"/>
      <c r="M5" s="12"/>
      <c r="N5" s="12"/>
      <c r="O5" s="12"/>
      <c r="P5" s="12"/>
      <c r="Q5" s="12"/>
      <c r="R5" s="12"/>
    </row>
    <row r="6" spans="1:18" x14ac:dyDescent="0.2">
      <c r="A6" s="3"/>
      <c r="B6" s="12"/>
      <c r="C6" s="12"/>
      <c r="D6" s="12"/>
      <c r="E6" s="12"/>
      <c r="F6" s="12"/>
      <c r="G6" s="12"/>
      <c r="H6" s="12"/>
      <c r="I6" s="12"/>
      <c r="J6" s="12"/>
      <c r="K6" s="12"/>
      <c r="L6" s="12"/>
      <c r="M6" s="12"/>
      <c r="N6" s="12"/>
      <c r="O6" s="12"/>
      <c r="P6" s="12"/>
      <c r="Q6" s="12"/>
      <c r="R6" s="12"/>
    </row>
    <row r="7" spans="1:18" x14ac:dyDescent="0.2">
      <c r="A7" s="3"/>
      <c r="B7" s="12"/>
      <c r="C7" s="12"/>
      <c r="D7" s="12"/>
      <c r="E7" s="12"/>
      <c r="F7" s="12"/>
      <c r="G7" s="12"/>
      <c r="H7" s="12"/>
      <c r="I7" s="12"/>
      <c r="J7" s="12"/>
      <c r="K7" s="12"/>
      <c r="L7" s="12"/>
      <c r="M7" s="12"/>
      <c r="N7" s="12"/>
      <c r="O7" s="12"/>
      <c r="P7" s="12"/>
      <c r="Q7" s="12"/>
      <c r="R7" s="12"/>
    </row>
    <row r="8" spans="1:18" x14ac:dyDescent="0.2">
      <c r="A8" s="3"/>
      <c r="B8" s="12"/>
      <c r="C8" s="12"/>
      <c r="D8" s="12"/>
      <c r="E8" s="12"/>
      <c r="F8" s="12"/>
      <c r="G8" s="12"/>
      <c r="H8" s="12"/>
      <c r="I8" s="12"/>
      <c r="J8" s="12"/>
      <c r="K8" s="12"/>
      <c r="L8" s="12"/>
      <c r="M8" s="12"/>
      <c r="N8" s="12"/>
      <c r="O8" s="12"/>
      <c r="P8" s="12"/>
      <c r="Q8" s="12"/>
      <c r="R8" s="12"/>
    </row>
    <row r="9" spans="1:18" ht="15.75" x14ac:dyDescent="0.2">
      <c r="A9" s="3"/>
      <c r="B9" s="4" t="s">
        <v>465</v>
      </c>
      <c r="C9" s="3"/>
      <c r="D9" s="3"/>
      <c r="E9" s="3"/>
      <c r="F9" s="3"/>
      <c r="G9" s="3"/>
      <c r="H9" s="3"/>
      <c r="I9" s="3"/>
      <c r="J9" s="3"/>
      <c r="K9" s="3"/>
      <c r="L9" s="3"/>
      <c r="M9" s="3"/>
      <c r="N9" s="3"/>
      <c r="O9" s="3"/>
      <c r="P9" s="3"/>
      <c r="Q9" s="3"/>
      <c r="R9" s="3"/>
    </row>
    <row r="10" spans="1:18" x14ac:dyDescent="0.2">
      <c r="A10" s="3"/>
      <c r="B10" s="5" t="s">
        <v>469</v>
      </c>
      <c r="C10" s="3"/>
      <c r="D10" s="3"/>
      <c r="E10" s="3"/>
      <c r="F10" s="3"/>
      <c r="G10" s="3"/>
      <c r="H10" s="3"/>
      <c r="I10" s="3"/>
      <c r="J10" s="3"/>
      <c r="K10" s="3"/>
      <c r="L10" s="3"/>
      <c r="M10" s="3"/>
      <c r="N10" s="3"/>
      <c r="O10" s="3"/>
      <c r="P10" s="3"/>
      <c r="Q10" s="3"/>
      <c r="R10" s="3"/>
    </row>
    <row r="11" spans="1:18" x14ac:dyDescent="0.2">
      <c r="A11" s="3"/>
      <c r="B11" s="3"/>
      <c r="C11" s="3"/>
      <c r="D11" s="3"/>
      <c r="E11" s="3"/>
      <c r="F11" s="3"/>
      <c r="G11" s="3"/>
      <c r="H11" s="3"/>
      <c r="I11" s="3"/>
      <c r="J11" s="3"/>
      <c r="K11" s="3"/>
      <c r="L11" s="3"/>
      <c r="M11" s="3"/>
      <c r="N11" s="3"/>
      <c r="O11" s="3"/>
      <c r="P11" s="3"/>
      <c r="Q11" s="3"/>
      <c r="R11" s="3"/>
    </row>
    <row r="12" spans="1:18" ht="19.5" customHeight="1" x14ac:dyDescent="0.2">
      <c r="A12" s="3"/>
      <c r="B12" s="10" t="s">
        <v>474</v>
      </c>
      <c r="C12" s="13"/>
      <c r="D12" s="13"/>
      <c r="E12" s="13"/>
      <c r="F12" s="13"/>
      <c r="G12" s="13"/>
      <c r="H12" s="13"/>
      <c r="I12" s="13"/>
      <c r="J12" s="13"/>
      <c r="K12" s="13"/>
      <c r="L12" s="13"/>
      <c r="M12" s="13"/>
      <c r="N12" s="13"/>
      <c r="O12" s="13"/>
      <c r="P12" s="3"/>
      <c r="Q12" s="3"/>
      <c r="R12" s="3"/>
    </row>
    <row r="13" spans="1:18" ht="33" customHeight="1" x14ac:dyDescent="0.2">
      <c r="A13" s="3"/>
      <c r="B13" s="10" t="s">
        <v>466</v>
      </c>
      <c r="C13" s="14"/>
      <c r="D13" s="14"/>
      <c r="E13" s="14"/>
      <c r="F13" s="14"/>
      <c r="G13" s="14"/>
      <c r="H13" s="14"/>
      <c r="I13" s="14"/>
      <c r="J13" s="14"/>
      <c r="K13" s="14"/>
      <c r="L13" s="14"/>
      <c r="M13" s="14"/>
      <c r="N13" s="14"/>
      <c r="O13" s="14"/>
      <c r="P13" s="15"/>
      <c r="Q13" s="15"/>
      <c r="R13" s="3"/>
    </row>
    <row r="14" spans="1:18" ht="30.75" customHeight="1" x14ac:dyDescent="0.2">
      <c r="A14" s="3"/>
      <c r="B14" s="10" t="s">
        <v>467</v>
      </c>
      <c r="C14" s="13"/>
      <c r="D14" s="13"/>
      <c r="E14" s="13"/>
      <c r="F14" s="13"/>
      <c r="G14" s="13"/>
      <c r="H14" s="13"/>
      <c r="I14" s="13"/>
      <c r="J14" s="13"/>
      <c r="K14" s="13"/>
      <c r="L14" s="13"/>
      <c r="M14" s="13"/>
      <c r="N14" s="13"/>
      <c r="O14" s="13"/>
      <c r="P14" s="15"/>
      <c r="Q14" s="15"/>
      <c r="R14" s="3"/>
    </row>
    <row r="15" spans="1:18" ht="59.1" customHeight="1" x14ac:dyDescent="0.2">
      <c r="A15" s="3"/>
      <c r="B15" s="10" t="s">
        <v>476</v>
      </c>
      <c r="C15" s="13"/>
      <c r="D15" s="13"/>
      <c r="E15" s="13"/>
      <c r="F15" s="13"/>
      <c r="G15" s="13"/>
      <c r="H15" s="13"/>
      <c r="I15" s="13"/>
      <c r="J15" s="13"/>
      <c r="K15" s="13"/>
      <c r="L15" s="13"/>
      <c r="M15" s="13"/>
      <c r="N15" s="13"/>
      <c r="O15" s="13"/>
      <c r="P15" s="15"/>
      <c r="Q15" s="15"/>
      <c r="R15" s="3"/>
    </row>
    <row r="16" spans="1:18" ht="60.75" customHeight="1" x14ac:dyDescent="0.2">
      <c r="A16" s="3"/>
      <c r="B16" s="10" t="s">
        <v>473</v>
      </c>
      <c r="C16" s="14"/>
      <c r="D16" s="14"/>
      <c r="E16" s="14"/>
      <c r="F16" s="14"/>
      <c r="G16" s="14"/>
      <c r="H16" s="14"/>
      <c r="I16" s="14"/>
      <c r="J16" s="14"/>
      <c r="K16" s="14"/>
      <c r="L16" s="14"/>
      <c r="M16" s="14"/>
      <c r="N16" s="14"/>
      <c r="O16" s="14"/>
      <c r="P16" s="15"/>
      <c r="Q16" s="15"/>
      <c r="R16" s="3"/>
    </row>
    <row r="17" spans="1:18" x14ac:dyDescent="0.2">
      <c r="A17" s="3"/>
      <c r="B17" s="3"/>
      <c r="C17" s="3"/>
      <c r="D17" s="3"/>
      <c r="E17" s="3"/>
      <c r="F17" s="3"/>
      <c r="G17" s="3"/>
      <c r="H17" s="3"/>
      <c r="I17" s="3"/>
      <c r="J17" s="3"/>
      <c r="K17" s="3"/>
      <c r="L17" s="3"/>
      <c r="M17" s="3"/>
      <c r="N17" s="3"/>
      <c r="O17" s="3"/>
      <c r="P17" s="3"/>
      <c r="Q17" s="3"/>
      <c r="R17" s="3"/>
    </row>
    <row r="18" spans="1:18" ht="15.75" x14ac:dyDescent="0.2">
      <c r="A18" s="3"/>
      <c r="B18" s="4" t="s">
        <v>468</v>
      </c>
      <c r="C18" s="3"/>
      <c r="D18" s="3"/>
      <c r="E18" s="3"/>
      <c r="F18" s="3"/>
      <c r="G18" s="3"/>
      <c r="H18" s="3"/>
      <c r="I18" s="3"/>
      <c r="J18" s="3"/>
      <c r="K18" s="3"/>
      <c r="L18" s="3"/>
      <c r="M18" s="3"/>
      <c r="N18" s="3"/>
      <c r="O18" s="3"/>
      <c r="P18" s="3"/>
      <c r="Q18" s="3"/>
      <c r="R18" s="3"/>
    </row>
    <row r="19" spans="1:18" ht="16.5" customHeight="1" x14ac:dyDescent="0.2">
      <c r="A19" s="3"/>
      <c r="B19" s="10" t="s">
        <v>472</v>
      </c>
      <c r="C19" s="14"/>
      <c r="D19" s="14"/>
      <c r="E19" s="14"/>
      <c r="F19" s="14"/>
      <c r="G19" s="14"/>
      <c r="H19" s="14"/>
      <c r="I19" s="14"/>
      <c r="J19" s="14"/>
      <c r="K19" s="14"/>
      <c r="L19" s="14"/>
      <c r="M19" s="14"/>
      <c r="N19" s="14"/>
      <c r="O19" s="14"/>
      <c r="P19" s="15"/>
      <c r="Q19" s="15"/>
      <c r="R19" s="3"/>
    </row>
    <row r="20" spans="1:18" ht="34.5" customHeight="1" x14ac:dyDescent="0.2">
      <c r="A20" s="3"/>
      <c r="B20" s="10" t="s">
        <v>471</v>
      </c>
      <c r="C20" s="14"/>
      <c r="D20" s="14"/>
      <c r="E20" s="14"/>
      <c r="F20" s="14"/>
      <c r="G20" s="14"/>
      <c r="H20" s="14"/>
      <c r="I20" s="14"/>
      <c r="J20" s="14"/>
      <c r="K20" s="14"/>
      <c r="L20" s="14"/>
      <c r="M20" s="14"/>
      <c r="N20" s="14"/>
      <c r="O20" s="14"/>
      <c r="P20" s="15"/>
      <c r="Q20" s="15"/>
      <c r="R20" s="3"/>
    </row>
    <row r="21" spans="1:18" ht="30.75" customHeight="1" x14ac:dyDescent="0.2">
      <c r="A21" s="3"/>
      <c r="B21" s="10" t="s">
        <v>470</v>
      </c>
      <c r="C21" s="14"/>
      <c r="D21" s="14"/>
      <c r="E21" s="14"/>
      <c r="F21" s="14"/>
      <c r="G21" s="14"/>
      <c r="H21" s="14"/>
      <c r="I21" s="14"/>
      <c r="J21" s="14"/>
      <c r="K21" s="14"/>
      <c r="L21" s="14"/>
      <c r="M21" s="14"/>
      <c r="N21" s="14"/>
      <c r="O21" s="14"/>
      <c r="P21" s="15"/>
      <c r="Q21" s="15"/>
      <c r="R21" s="3"/>
    </row>
    <row r="22" spans="1:18" s="3" customFormat="1" x14ac:dyDescent="0.2"/>
    <row r="23" spans="1:18" s="3" customFormat="1" x14ac:dyDescent="0.2"/>
    <row r="24" spans="1:18" s="3" customFormat="1" x14ac:dyDescent="0.2"/>
    <row r="25" spans="1:18" hidden="1" x14ac:dyDescent="0.2"/>
    <row r="26" spans="1:18" hidden="1" x14ac:dyDescent="0.2"/>
    <row r="27" spans="1:18" hidden="1" x14ac:dyDescent="0.2"/>
    <row r="28" spans="1:18" hidden="1" x14ac:dyDescent="0.2"/>
    <row r="29" spans="1:18" hidden="1" x14ac:dyDescent="0.2"/>
    <row r="30" spans="1:18" hidden="1" x14ac:dyDescent="0.2"/>
    <row r="31" spans="1:18" hidden="1" x14ac:dyDescent="0.2"/>
    <row r="32" spans="1:18"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sheetData>
  <sheetProtection algorithmName="SHA-512" hashValue="4dpbf7Rz4CZVLRDeBmqGysNFlJaD4M/0uNXS3qR9714/Gzk+qaonl/082jNCkClzqQAzocV465DknAEFhYL18g==" saltValue="7okIJUx/H3UhWlMF/BYo5w==" spinCount="100000" sheet="1" objects="1" scenarios="1" selectLockedCells="1" selectUnlockedCells="1"/>
  <mergeCells count="9">
    <mergeCell ref="B12:O12"/>
    <mergeCell ref="B21:Q21"/>
    <mergeCell ref="B13:Q13"/>
    <mergeCell ref="B14:Q14"/>
    <mergeCell ref="B15:Q15"/>
    <mergeCell ref="B16:Q16"/>
    <mergeCell ref="B20:Q20"/>
    <mergeCell ref="B19:Q19"/>
    <mergeCell ref="B3:R8"/>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R1087"/>
  <sheetViews>
    <sheetView showRowColHeaders="0" zoomScale="90" zoomScaleNormal="90" zoomScalePageLayoutView="90" workbookViewId="0">
      <pane xSplit="4" ySplit="15" topLeftCell="E16" activePane="bottomRight" state="frozen"/>
      <selection pane="topRight" activeCell="E1" sqref="E1"/>
      <selection pane="bottomLeft" activeCell="A16" sqref="A16"/>
      <selection pane="bottomRight" activeCell="E13" sqref="E13"/>
    </sheetView>
  </sheetViews>
  <sheetFormatPr defaultColWidth="8.85546875" defaultRowHeight="12.75" x14ac:dyDescent="0.2"/>
  <cols>
    <col min="1" max="1" width="14.85546875" style="232" bestFit="1" customWidth="1"/>
    <col min="2" max="2" width="11.85546875" style="232" bestFit="1" customWidth="1"/>
    <col min="3" max="3" width="21" style="264" customWidth="1"/>
    <col min="4" max="4" width="24.140625" style="232" customWidth="1"/>
    <col min="5" max="6" width="9" style="233" bestFit="1" customWidth="1"/>
    <col min="7" max="7" width="14.140625" style="233" bestFit="1" customWidth="1"/>
    <col min="8" max="8" width="9" style="233" bestFit="1" customWidth="1"/>
    <col min="9" max="9" width="12.42578125" style="233" customWidth="1"/>
    <col min="10" max="10" width="9" style="233" bestFit="1" customWidth="1"/>
    <col min="11" max="11" width="14.42578125" style="233" customWidth="1"/>
    <col min="12" max="12" width="16.42578125" style="233" customWidth="1"/>
    <col min="13" max="13" width="16.140625" style="233" customWidth="1"/>
    <col min="14" max="15" width="9" style="233" bestFit="1" customWidth="1"/>
    <col min="16" max="16" width="15.42578125" style="233" customWidth="1"/>
    <col min="17" max="17" width="11.85546875" style="233" customWidth="1"/>
    <col min="18" max="18" width="17.85546875" style="233" customWidth="1"/>
    <col min="19" max="19" width="9.85546875" style="236" customWidth="1"/>
    <col min="20" max="20" width="9.85546875" style="237" customWidth="1"/>
    <col min="21" max="21" width="9.85546875" style="236" customWidth="1"/>
    <col min="22" max="24" width="10.42578125" style="237" customWidth="1"/>
    <col min="25" max="25" width="8.85546875" style="236" customWidth="1"/>
    <col min="26" max="26" width="9.85546875" style="237" customWidth="1"/>
    <col min="27" max="27" width="8.85546875" style="236" customWidth="1"/>
    <col min="28" max="30" width="10.42578125" style="237" customWidth="1"/>
    <col min="31" max="31" width="8.85546875" style="129"/>
    <col min="32" max="33" width="10.5703125" style="238" customWidth="1"/>
    <col min="34" max="35" width="10.5703125" style="125" customWidth="1"/>
    <col min="36" max="38" width="10.5703125" style="238" customWidth="1"/>
    <col min="39" max="39" width="12.140625" style="238" customWidth="1"/>
    <col min="40" max="40" width="11.140625" style="238" bestFit="1" customWidth="1"/>
    <col min="41" max="42" width="10.85546875" style="125" customWidth="1"/>
    <col min="43" max="43" width="10.42578125" style="238" bestFit="1" customWidth="1"/>
    <col min="44" max="44" width="11" style="238" bestFit="1" customWidth="1"/>
    <col min="45" max="45" width="11.140625" style="238" bestFit="1" customWidth="1"/>
    <col min="46" max="47" width="10.140625" style="238" customWidth="1"/>
    <col min="48" max="49" width="8.85546875" style="126"/>
    <col min="50" max="51" width="9" style="238" bestFit="1" customWidth="1"/>
    <col min="52" max="52" width="10.140625" style="238" customWidth="1"/>
    <col min="53" max="55" width="10.140625" style="136" customWidth="1"/>
    <col min="56" max="57" width="10.140625" style="126" customWidth="1"/>
    <col min="58" max="59" width="8.85546875" style="782"/>
    <col min="60" max="60" width="9" style="782" customWidth="1"/>
    <col min="61" max="61" width="8.85546875" style="782"/>
    <col min="62" max="16384" width="8.85546875" style="136"/>
  </cols>
  <sheetData>
    <row r="1" spans="1:62" s="86" customFormat="1" ht="19.5" thickBot="1" x14ac:dyDescent="0.35">
      <c r="A1" s="74" t="s">
        <v>417</v>
      </c>
      <c r="B1" s="75"/>
      <c r="C1" s="76"/>
      <c r="D1" s="75"/>
      <c r="E1" s="77"/>
      <c r="F1" s="77"/>
      <c r="G1" s="77"/>
      <c r="H1" s="77"/>
      <c r="I1" s="77"/>
      <c r="J1" s="77"/>
      <c r="K1" s="77"/>
      <c r="L1" s="77"/>
      <c r="M1" s="77"/>
      <c r="N1" s="77"/>
      <c r="O1" s="77"/>
      <c r="P1" s="78"/>
      <c r="Q1" s="78"/>
      <c r="R1" s="78"/>
      <c r="S1" s="79"/>
      <c r="T1" s="80"/>
      <c r="U1" s="79"/>
      <c r="V1" s="80"/>
      <c r="W1" s="80"/>
      <c r="X1" s="80"/>
      <c r="Y1" s="79"/>
      <c r="Z1" s="80"/>
      <c r="AA1" s="79"/>
      <c r="AB1" s="80"/>
      <c r="AC1" s="80"/>
      <c r="AD1" s="80"/>
      <c r="AE1" s="81"/>
      <c r="AF1" s="77"/>
      <c r="AG1" s="77"/>
      <c r="AH1" s="82"/>
      <c r="AI1" s="82"/>
      <c r="AJ1" s="78"/>
      <c r="AK1" s="78"/>
      <c r="AL1" s="78"/>
      <c r="AM1" s="77"/>
      <c r="AN1" s="77"/>
      <c r="AO1" s="83"/>
      <c r="AP1" s="83"/>
      <c r="AQ1" s="78"/>
      <c r="AR1" s="78"/>
      <c r="AS1" s="84"/>
      <c r="AT1" s="84"/>
      <c r="AU1" s="84"/>
      <c r="AV1" s="84"/>
      <c r="AW1" s="84"/>
      <c r="AX1" s="84"/>
      <c r="AY1" s="84"/>
      <c r="AZ1" s="84"/>
      <c r="BA1" s="84"/>
      <c r="BB1" s="84"/>
      <c r="BC1" s="84"/>
      <c r="BD1" s="84"/>
      <c r="BE1" s="84"/>
      <c r="BF1" s="85"/>
      <c r="BG1" s="85"/>
      <c r="BH1" s="85"/>
      <c r="BI1" s="85"/>
      <c r="BJ1" s="85"/>
    </row>
    <row r="2" spans="1:62" s="92" customFormat="1" ht="47.25" x14ac:dyDescent="0.2">
      <c r="A2" s="87" t="s">
        <v>401</v>
      </c>
      <c r="B2" s="88" t="s">
        <v>419</v>
      </c>
      <c r="C2" s="89" t="s">
        <v>407</v>
      </c>
      <c r="D2" s="89" t="s">
        <v>410</v>
      </c>
      <c r="E2" s="90" t="s">
        <v>405</v>
      </c>
      <c r="F2" s="88" t="s">
        <v>411</v>
      </c>
      <c r="G2" s="90" t="s">
        <v>412</v>
      </c>
      <c r="H2" s="88"/>
      <c r="I2" s="90" t="s">
        <v>413</v>
      </c>
      <c r="J2" s="90" t="s">
        <v>414</v>
      </c>
      <c r="K2" s="91" t="s">
        <v>415</v>
      </c>
      <c r="M2" s="93" t="s">
        <v>427</v>
      </c>
      <c r="N2" s="94"/>
      <c r="O2" s="94"/>
      <c r="P2" s="94"/>
      <c r="Q2" s="94"/>
      <c r="R2" s="94"/>
      <c r="S2" s="95"/>
      <c r="T2" s="96"/>
      <c r="U2" s="95"/>
      <c r="V2" s="96"/>
      <c r="W2" s="95"/>
      <c r="X2" s="96"/>
      <c r="Y2" s="95"/>
      <c r="Z2" s="96"/>
      <c r="AA2" s="95"/>
      <c r="AB2" s="96"/>
      <c r="AC2" s="95"/>
      <c r="AD2" s="96"/>
      <c r="AE2" s="97"/>
    </row>
    <row r="3" spans="1:62" s="106" customFormat="1" ht="15.75" x14ac:dyDescent="0.25">
      <c r="A3" s="98" t="s">
        <v>306</v>
      </c>
      <c r="B3" s="75">
        <f>COUNT(O17:O20)</f>
        <v>4</v>
      </c>
      <c r="C3" s="75">
        <v>10</v>
      </c>
      <c r="D3" s="75" t="s">
        <v>408</v>
      </c>
      <c r="E3" s="75">
        <f>AI16</f>
        <v>370</v>
      </c>
      <c r="F3" s="77"/>
      <c r="G3" s="77"/>
      <c r="H3" s="77"/>
      <c r="I3" s="77">
        <f t="shared" ref="I3:I11" si="0">E3/C3</f>
        <v>37</v>
      </c>
      <c r="J3" s="77"/>
      <c r="K3" s="99"/>
      <c r="L3" s="100"/>
      <c r="M3" s="101" t="s">
        <v>5</v>
      </c>
      <c r="N3" s="102">
        <f>Intro!E14</f>
        <v>6.5</v>
      </c>
      <c r="O3" s="101"/>
      <c r="P3" s="100"/>
      <c r="Q3" s="100"/>
      <c r="R3" s="100"/>
      <c r="S3" s="103"/>
      <c r="T3" s="104"/>
      <c r="U3" s="103"/>
      <c r="V3" s="104"/>
      <c r="W3" s="103"/>
      <c r="X3" s="104"/>
      <c r="Y3" s="103"/>
      <c r="Z3" s="104"/>
      <c r="AA3" s="103"/>
      <c r="AB3" s="104"/>
      <c r="AC3" s="103"/>
      <c r="AD3" s="104"/>
      <c r="AE3" s="105"/>
      <c r="AF3" s="86"/>
      <c r="AG3" s="86"/>
      <c r="AH3" s="86"/>
      <c r="AI3" s="86"/>
      <c r="AJ3" s="86"/>
      <c r="AK3" s="86"/>
      <c r="AL3" s="86"/>
      <c r="AM3" s="86"/>
      <c r="AN3" s="86"/>
      <c r="AO3" s="86"/>
      <c r="AP3" s="86"/>
      <c r="AQ3" s="86"/>
      <c r="AR3" s="86"/>
      <c r="AS3" s="86"/>
      <c r="AT3" s="86"/>
      <c r="AU3" s="86"/>
      <c r="AX3" s="86"/>
      <c r="AY3" s="86"/>
      <c r="AZ3" s="86"/>
      <c r="BA3" s="86"/>
      <c r="BB3" s="86"/>
      <c r="BC3" s="86"/>
      <c r="BG3" s="86"/>
      <c r="BH3" s="86"/>
    </row>
    <row r="4" spans="1:62" s="106" customFormat="1" ht="15.75" x14ac:dyDescent="0.25">
      <c r="A4" s="98" t="s">
        <v>195</v>
      </c>
      <c r="B4" s="75">
        <f>COUNT(O23:O52)</f>
        <v>30</v>
      </c>
      <c r="C4" s="75">
        <v>2</v>
      </c>
      <c r="D4" s="75" t="s">
        <v>408</v>
      </c>
      <c r="E4" s="107">
        <f>AI22</f>
        <v>1.2759018142031331</v>
      </c>
      <c r="F4" s="77"/>
      <c r="G4" s="77"/>
      <c r="H4" s="77"/>
      <c r="I4" s="108">
        <f t="shared" si="0"/>
        <v>0.63795090710156654</v>
      </c>
      <c r="J4" s="77"/>
      <c r="K4" s="99"/>
      <c r="L4" s="100"/>
      <c r="M4" s="109" t="s">
        <v>428</v>
      </c>
      <c r="N4" s="102">
        <f>OM*0.58</f>
        <v>1.9719999999999998</v>
      </c>
      <c r="O4" s="109" t="s">
        <v>429</v>
      </c>
      <c r="P4" s="100"/>
      <c r="Q4" s="100"/>
      <c r="R4" s="100"/>
      <c r="S4" s="103"/>
      <c r="T4" s="104"/>
      <c r="U4" s="103"/>
      <c r="V4" s="104"/>
      <c r="W4" s="103"/>
      <c r="X4" s="104"/>
      <c r="Y4" s="103"/>
      <c r="Z4" s="104"/>
      <c r="AA4" s="103"/>
      <c r="AB4" s="104"/>
      <c r="AC4" s="103"/>
      <c r="AD4" s="104"/>
      <c r="AE4" s="105"/>
      <c r="AF4" s="86"/>
      <c r="AG4" s="86"/>
      <c r="AH4" s="86"/>
      <c r="AI4" s="86"/>
      <c r="AJ4" s="86"/>
      <c r="AK4" s="86"/>
      <c r="AL4" s="86"/>
      <c r="AM4" s="86"/>
      <c r="AN4" s="86"/>
      <c r="AO4" s="86"/>
      <c r="AP4" s="86"/>
      <c r="AQ4" s="86"/>
      <c r="AR4" s="86"/>
      <c r="AS4" s="86"/>
      <c r="AT4" s="86"/>
      <c r="AU4" s="86"/>
      <c r="AX4" s="86"/>
      <c r="AY4" s="86"/>
      <c r="AZ4" s="86"/>
      <c r="BA4" s="86"/>
      <c r="BB4" s="86"/>
      <c r="BC4" s="86"/>
      <c r="BG4" s="86"/>
      <c r="BH4" s="86"/>
    </row>
    <row r="5" spans="1:62" s="106" customFormat="1" ht="15.75" x14ac:dyDescent="0.25">
      <c r="A5" s="98" t="s">
        <v>205</v>
      </c>
      <c r="B5" s="75">
        <f>COUNT(O55:O195)</f>
        <v>141</v>
      </c>
      <c r="C5" s="75">
        <v>2</v>
      </c>
      <c r="D5" s="75" t="s">
        <v>408</v>
      </c>
      <c r="E5" s="107">
        <f>AI54</f>
        <v>8.3692050406089251</v>
      </c>
      <c r="F5" s="108">
        <f>AP54</f>
        <v>9.0960082865137597</v>
      </c>
      <c r="G5" s="108">
        <f>BE54</f>
        <v>41.35747653827621</v>
      </c>
      <c r="H5" s="77"/>
      <c r="I5" s="108">
        <f t="shared" si="0"/>
        <v>4.1846025203044626</v>
      </c>
      <c r="J5" s="108">
        <f t="shared" ref="J5:J11" si="1">F5/C5</f>
        <v>4.5480041432568798</v>
      </c>
      <c r="K5" s="110">
        <f t="shared" ref="K5:K11" si="2">G5/C5</f>
        <v>20.678738269138105</v>
      </c>
      <c r="L5" s="100"/>
      <c r="M5" s="111" t="s">
        <v>433</v>
      </c>
      <c r="N5" s="102">
        <f xml:space="preserve"> Intro!E15</f>
        <v>3.4</v>
      </c>
      <c r="O5" s="112" t="s">
        <v>434</v>
      </c>
      <c r="P5" s="100"/>
      <c r="Q5" s="100"/>
      <c r="R5" s="100"/>
      <c r="S5" s="103"/>
      <c r="T5" s="104"/>
      <c r="U5" s="103"/>
      <c r="V5" s="104"/>
      <c r="W5" s="103"/>
      <c r="X5" s="104"/>
      <c r="Y5" s="103"/>
      <c r="Z5" s="104"/>
      <c r="AA5" s="103"/>
      <c r="AB5" s="104"/>
      <c r="AC5" s="103"/>
      <c r="AD5" s="104"/>
      <c r="AE5" s="105"/>
      <c r="AF5" s="86"/>
      <c r="AG5" s="86"/>
      <c r="AH5" s="86"/>
      <c r="AI5" s="86"/>
      <c r="AJ5" s="86"/>
      <c r="AK5" s="86"/>
      <c r="AL5" s="86"/>
      <c r="AM5" s="86"/>
      <c r="AN5" s="86"/>
      <c r="AO5" s="86"/>
      <c r="AP5" s="86"/>
      <c r="AQ5" s="86"/>
      <c r="AR5" s="86"/>
      <c r="AS5" s="86"/>
      <c r="AT5" s="86"/>
      <c r="AU5" s="86"/>
      <c r="AX5" s="86"/>
      <c r="AY5" s="86"/>
      <c r="AZ5" s="86"/>
      <c r="BA5" s="86"/>
      <c r="BB5" s="86"/>
      <c r="BC5" s="86"/>
      <c r="BG5" s="86"/>
      <c r="BH5" s="86"/>
    </row>
    <row r="6" spans="1:62" s="106" customFormat="1" ht="15.75" x14ac:dyDescent="0.25">
      <c r="A6" s="98" t="s">
        <v>34</v>
      </c>
      <c r="B6" s="75">
        <f>COUNT(O198:O449)</f>
        <v>252</v>
      </c>
      <c r="C6" s="75">
        <v>1</v>
      </c>
      <c r="D6" s="75" t="s">
        <v>408</v>
      </c>
      <c r="E6" s="107">
        <f>AI197</f>
        <v>35.103246514863784</v>
      </c>
      <c r="F6" s="108">
        <f>AP197</f>
        <v>59.713388659829654</v>
      </c>
      <c r="G6" s="108">
        <f>BE197</f>
        <v>71.547385612690164</v>
      </c>
      <c r="H6" s="77"/>
      <c r="I6" s="108">
        <f t="shared" si="0"/>
        <v>35.103246514863784</v>
      </c>
      <c r="J6" s="108">
        <f t="shared" si="1"/>
        <v>59.713388659829654</v>
      </c>
      <c r="K6" s="110">
        <f t="shared" si="2"/>
        <v>71.547385612690164</v>
      </c>
      <c r="L6" s="100"/>
      <c r="M6" s="101" t="s">
        <v>420</v>
      </c>
      <c r="N6" s="102">
        <f xml:space="preserve"> Intro!E16</f>
        <v>10</v>
      </c>
      <c r="O6" s="101" t="s">
        <v>423</v>
      </c>
      <c r="P6" s="100"/>
      <c r="Q6" s="100"/>
      <c r="R6" s="100"/>
      <c r="S6" s="103"/>
      <c r="T6" s="104"/>
      <c r="U6" s="103"/>
      <c r="V6" s="104"/>
      <c r="W6" s="103"/>
      <c r="X6" s="104"/>
      <c r="Y6" s="103"/>
      <c r="Z6" s="104"/>
      <c r="AA6" s="103"/>
      <c r="AB6" s="104"/>
      <c r="AC6" s="103"/>
      <c r="AD6" s="104"/>
      <c r="AE6" s="105"/>
      <c r="AF6" s="86"/>
      <c r="AG6" s="86"/>
      <c r="AH6" s="86"/>
      <c r="AI6" s="86"/>
      <c r="AJ6" s="86"/>
      <c r="AK6" s="86"/>
      <c r="AL6" s="86"/>
      <c r="AM6" s="86"/>
      <c r="AN6" s="86"/>
      <c r="AO6" s="86"/>
      <c r="AP6" s="86"/>
      <c r="AQ6" s="86"/>
      <c r="AR6" s="86"/>
      <c r="AS6" s="86"/>
      <c r="AT6" s="86"/>
      <c r="AU6" s="86"/>
      <c r="AX6" s="86"/>
      <c r="AY6" s="86"/>
      <c r="AZ6" s="86"/>
      <c r="BA6" s="86"/>
      <c r="BB6" s="86"/>
      <c r="BC6" s="86"/>
      <c r="BG6" s="86"/>
      <c r="BH6" s="86"/>
    </row>
    <row r="7" spans="1:62" s="106" customFormat="1" ht="15.75" x14ac:dyDescent="0.25">
      <c r="A7" s="98" t="s">
        <v>197</v>
      </c>
      <c r="B7" s="75">
        <f>COUNT(O452:O537)</f>
        <v>86</v>
      </c>
      <c r="C7" s="75">
        <v>1</v>
      </c>
      <c r="D7" s="75" t="s">
        <v>408</v>
      </c>
      <c r="E7" s="107">
        <f>AI451</f>
        <v>5.1103190577753699</v>
      </c>
      <c r="F7" s="108">
        <f>AP451</f>
        <v>9.8365220918835341</v>
      </c>
      <c r="G7" s="108">
        <f>BE451</f>
        <v>19.006185177742243</v>
      </c>
      <c r="H7" s="77"/>
      <c r="I7" s="108">
        <f t="shared" si="0"/>
        <v>5.1103190577753699</v>
      </c>
      <c r="J7" s="108">
        <f t="shared" si="1"/>
        <v>9.8365220918835341</v>
      </c>
      <c r="K7" s="110">
        <f t="shared" si="2"/>
        <v>19.006185177742243</v>
      </c>
      <c r="L7" s="100"/>
      <c r="M7" s="101" t="s">
        <v>421</v>
      </c>
      <c r="N7" s="113">
        <f>IF(Intro!E17&gt;0,Intro!E17,IF(AND(pH&gt;0,clay&gt;0,OM&gt;0),(30+4.4*pH)*clay/100+(-59+51*pH)*(OM*0.58)/100,0))</f>
        <v>11.233699999999999</v>
      </c>
      <c r="O7" s="101" t="s">
        <v>424</v>
      </c>
      <c r="P7" s="100"/>
      <c r="Q7" s="100"/>
      <c r="R7" s="100"/>
      <c r="S7" s="103"/>
      <c r="T7" s="104"/>
      <c r="U7" s="103"/>
      <c r="V7" s="104"/>
      <c r="W7" s="103"/>
      <c r="X7" s="104"/>
      <c r="Y7" s="103"/>
      <c r="Z7" s="104"/>
      <c r="AA7" s="103"/>
      <c r="AB7" s="104"/>
      <c r="AC7" s="103"/>
      <c r="AD7" s="104"/>
      <c r="AE7" s="105"/>
      <c r="AF7" s="86"/>
      <c r="AG7" s="86"/>
      <c r="AH7" s="86"/>
      <c r="AI7" s="86"/>
      <c r="AJ7" s="86"/>
      <c r="AK7" s="86"/>
      <c r="AL7" s="86"/>
      <c r="AM7" s="86"/>
      <c r="AN7" s="86"/>
      <c r="AO7" s="86"/>
      <c r="AP7" s="86"/>
      <c r="AQ7" s="86"/>
      <c r="AR7" s="86"/>
      <c r="AS7" s="86"/>
      <c r="AT7" s="86"/>
      <c r="AU7" s="86"/>
      <c r="AX7" s="86"/>
      <c r="AY7" s="86"/>
      <c r="AZ7" s="86"/>
      <c r="BA7" s="86"/>
      <c r="BB7" s="86"/>
      <c r="BC7" s="86"/>
      <c r="BG7" s="86"/>
      <c r="BH7" s="86"/>
    </row>
    <row r="8" spans="1:62" s="106" customFormat="1" ht="15.75" x14ac:dyDescent="0.25">
      <c r="A8" s="98" t="s">
        <v>71</v>
      </c>
      <c r="B8" s="75">
        <f>COUNT(O540:O712)</f>
        <v>173</v>
      </c>
      <c r="C8" s="75">
        <v>1</v>
      </c>
      <c r="D8" s="75" t="s">
        <v>408</v>
      </c>
      <c r="E8" s="107">
        <f>AI539</f>
        <v>28.223174375996791</v>
      </c>
      <c r="F8" s="108">
        <f>AP539</f>
        <v>30.049771405774344</v>
      </c>
      <c r="G8" s="108">
        <f>BE539</f>
        <v>52.267192929255543</v>
      </c>
      <c r="H8" s="77"/>
      <c r="I8" s="108">
        <f t="shared" si="0"/>
        <v>28.223174375996791</v>
      </c>
      <c r="J8" s="108">
        <f t="shared" si="1"/>
        <v>30.049771405774344</v>
      </c>
      <c r="K8" s="110">
        <f>G8/C8</f>
        <v>52.267192929255543</v>
      </c>
      <c r="L8" s="100"/>
      <c r="M8" s="112" t="s">
        <v>426</v>
      </c>
      <c r="N8" s="113">
        <f>IF(Intro!E18&gt;0,Intro!E18,17)</f>
        <v>17</v>
      </c>
      <c r="O8" s="112" t="s">
        <v>425</v>
      </c>
      <c r="P8" s="100"/>
      <c r="Q8" s="100"/>
      <c r="R8" s="100"/>
      <c r="S8" s="103"/>
      <c r="T8" s="104"/>
      <c r="U8" s="103"/>
      <c r="V8" s="104"/>
      <c r="W8" s="103"/>
      <c r="X8" s="104"/>
      <c r="Y8" s="103"/>
      <c r="Z8" s="104"/>
      <c r="AA8" s="103"/>
      <c r="AB8" s="104"/>
      <c r="AC8" s="103"/>
      <c r="AD8" s="104"/>
      <c r="AE8" s="105"/>
      <c r="AF8" s="86"/>
      <c r="AG8" s="86"/>
      <c r="AH8" s="86"/>
      <c r="AI8" s="86"/>
      <c r="AJ8" s="86"/>
      <c r="AK8" s="86"/>
      <c r="AL8" s="86"/>
      <c r="AM8" s="86"/>
      <c r="AN8" s="86"/>
      <c r="AO8" s="86"/>
      <c r="AP8" s="86"/>
      <c r="AQ8" s="86"/>
      <c r="AR8" s="86"/>
      <c r="AS8" s="86"/>
      <c r="AT8" s="86"/>
      <c r="AU8" s="86"/>
      <c r="AX8" s="86"/>
      <c r="AY8" s="86"/>
      <c r="AZ8" s="86"/>
      <c r="BA8" s="86"/>
      <c r="BB8" s="86"/>
      <c r="BC8" s="86"/>
      <c r="BG8" s="86"/>
      <c r="BH8" s="86"/>
    </row>
    <row r="9" spans="1:62" s="106" customFormat="1" ht="15.75" x14ac:dyDescent="0.25">
      <c r="A9" s="98" t="s">
        <v>227</v>
      </c>
      <c r="B9" s="75">
        <f>COUNT(O715:O833)</f>
        <v>119</v>
      </c>
      <c r="C9" s="75">
        <v>3</v>
      </c>
      <c r="D9" s="75" t="s">
        <v>408</v>
      </c>
      <c r="E9" s="107">
        <f>AI714</f>
        <v>0.9519901692654279</v>
      </c>
      <c r="F9" s="108">
        <f>AP714</f>
        <v>2.880348510331614</v>
      </c>
      <c r="G9" s="108">
        <f>BE714</f>
        <v>5.1497903198494859</v>
      </c>
      <c r="H9" s="77"/>
      <c r="I9" s="108">
        <f t="shared" si="0"/>
        <v>0.31733005642180928</v>
      </c>
      <c r="J9" s="108">
        <f t="shared" si="1"/>
        <v>0.96011617011053796</v>
      </c>
      <c r="K9" s="110">
        <f t="shared" si="2"/>
        <v>1.716596773283162</v>
      </c>
      <c r="L9" s="100"/>
      <c r="M9" s="101" t="s">
        <v>422</v>
      </c>
      <c r="N9" s="113">
        <f>IF(Intro!E19&gt;0,Intro!E19,24.1)</f>
        <v>24.1</v>
      </c>
      <c r="O9" s="101" t="s">
        <v>425</v>
      </c>
      <c r="P9" s="100"/>
      <c r="Q9" s="100"/>
      <c r="R9" s="100"/>
      <c r="S9" s="103"/>
      <c r="T9" s="104"/>
      <c r="U9" s="103"/>
      <c r="V9" s="104"/>
      <c r="W9" s="103"/>
      <c r="X9" s="104"/>
      <c r="Y9" s="103"/>
      <c r="Z9" s="104"/>
      <c r="AA9" s="103"/>
      <c r="AB9" s="104"/>
      <c r="AC9" s="103"/>
      <c r="AD9" s="104"/>
      <c r="AE9" s="105"/>
      <c r="AF9" s="86"/>
      <c r="AG9" s="86"/>
      <c r="AH9" s="86"/>
      <c r="AI9" s="86"/>
      <c r="AJ9" s="86"/>
      <c r="AK9" s="86"/>
      <c r="AL9" s="86"/>
      <c r="AM9" s="86"/>
      <c r="AN9" s="86"/>
      <c r="AO9" s="86"/>
      <c r="AP9" s="86"/>
      <c r="AQ9" s="86"/>
      <c r="AR9" s="86"/>
      <c r="AS9" s="86"/>
      <c r="AT9" s="86"/>
      <c r="AU9" s="86"/>
      <c r="AX9" s="86"/>
      <c r="AY9" s="86"/>
      <c r="AZ9" s="86"/>
      <c r="BA9" s="86"/>
      <c r="BB9" s="86"/>
      <c r="BC9" s="86"/>
      <c r="BG9" s="86"/>
      <c r="BH9" s="86"/>
    </row>
    <row r="10" spans="1:62" s="106" customFormat="1" ht="15.75" x14ac:dyDescent="0.25">
      <c r="A10" s="98" t="s">
        <v>305</v>
      </c>
      <c r="B10" s="75">
        <f>COUNT(O836:O870)</f>
        <v>35</v>
      </c>
      <c r="C10" s="75">
        <v>3</v>
      </c>
      <c r="D10" s="75" t="s">
        <v>409</v>
      </c>
      <c r="E10" s="107">
        <f>AH835</f>
        <v>4.1453879994294613</v>
      </c>
      <c r="F10" s="108">
        <f>AO835</f>
        <v>6.1254952293654172</v>
      </c>
      <c r="G10" s="108">
        <f>BD835</f>
        <v>21.683068923289895</v>
      </c>
      <c r="H10" s="77"/>
      <c r="I10" s="108">
        <f t="shared" si="0"/>
        <v>1.3817959998098204</v>
      </c>
      <c r="J10" s="108">
        <f t="shared" si="1"/>
        <v>2.0418317431218056</v>
      </c>
      <c r="K10" s="110">
        <f t="shared" si="2"/>
        <v>7.2276896410966316</v>
      </c>
      <c r="L10" s="100"/>
      <c r="P10" s="100"/>
      <c r="Q10" s="100"/>
      <c r="R10" s="100"/>
      <c r="S10" s="103"/>
      <c r="T10" s="104"/>
      <c r="U10" s="103"/>
      <c r="V10" s="104"/>
      <c r="W10" s="103"/>
      <c r="X10" s="104"/>
      <c r="Y10" s="103"/>
      <c r="Z10" s="104"/>
      <c r="AA10" s="103"/>
      <c r="AB10" s="104"/>
      <c r="AC10" s="103"/>
      <c r="AD10" s="104"/>
      <c r="AE10" s="105"/>
      <c r="AF10" s="86"/>
      <c r="AG10" s="86"/>
      <c r="AH10" s="86"/>
      <c r="AI10" s="86"/>
      <c r="AJ10" s="86"/>
      <c r="AK10" s="86"/>
      <c r="AL10" s="86"/>
      <c r="AM10" s="86"/>
      <c r="AN10" s="86"/>
      <c r="AO10" s="86"/>
      <c r="AP10" s="86"/>
      <c r="AQ10" s="86"/>
      <c r="AR10" s="86"/>
      <c r="AS10" s="86"/>
      <c r="AT10" s="86"/>
      <c r="AU10" s="86"/>
      <c r="AX10" s="86"/>
      <c r="AY10" s="86"/>
      <c r="AZ10" s="86"/>
      <c r="BA10" s="86"/>
      <c r="BB10" s="86"/>
      <c r="BC10" s="86"/>
      <c r="BG10" s="86"/>
      <c r="BH10" s="86"/>
    </row>
    <row r="11" spans="1:62" s="106" customFormat="1" ht="16.5" thickBot="1" x14ac:dyDescent="0.3">
      <c r="A11" s="114" t="s">
        <v>89</v>
      </c>
      <c r="B11" s="115">
        <f>COUNT(O873:O1086)</f>
        <v>214</v>
      </c>
      <c r="C11" s="115">
        <v>1</v>
      </c>
      <c r="D11" s="115" t="s">
        <v>409</v>
      </c>
      <c r="E11" s="116">
        <f>AH872</f>
        <v>35.649835537456532</v>
      </c>
      <c r="F11" s="117">
        <f>AO872</f>
        <v>106.94950661236716</v>
      </c>
      <c r="G11" s="117">
        <f>BD872</f>
        <v>98.225124754918141</v>
      </c>
      <c r="H11" s="118"/>
      <c r="I11" s="117">
        <f t="shared" si="0"/>
        <v>35.649835537456532</v>
      </c>
      <c r="J11" s="117">
        <f t="shared" si="1"/>
        <v>106.94950661236716</v>
      </c>
      <c r="K11" s="119">
        <f t="shared" si="2"/>
        <v>98.225124754918141</v>
      </c>
      <c r="L11" s="100"/>
      <c r="M11" s="100"/>
      <c r="N11" s="100"/>
      <c r="O11" s="100"/>
      <c r="P11" s="100"/>
      <c r="Q11" s="100"/>
      <c r="R11" s="100"/>
      <c r="S11" s="103"/>
      <c r="T11" s="104"/>
      <c r="U11" s="103"/>
      <c r="V11" s="104"/>
      <c r="W11" s="103"/>
      <c r="X11" s="104"/>
      <c r="Y11" s="103"/>
      <c r="Z11" s="104"/>
      <c r="AA11" s="103"/>
      <c r="AB11" s="104"/>
      <c r="AC11" s="103"/>
      <c r="AD11" s="104"/>
      <c r="AE11" s="105"/>
      <c r="AF11" s="86"/>
      <c r="AG11" s="86"/>
      <c r="AH11" s="86"/>
      <c r="AI11" s="86"/>
      <c r="AJ11" s="86"/>
      <c r="AK11" s="86"/>
      <c r="AL11" s="86"/>
      <c r="AM11" s="86"/>
      <c r="AN11" s="86"/>
      <c r="AO11" s="86"/>
      <c r="AP11" s="86"/>
      <c r="AQ11" s="86"/>
      <c r="AR11" s="86"/>
      <c r="AS11" s="86"/>
      <c r="AT11" s="86"/>
      <c r="AU11" s="86"/>
      <c r="AX11" s="86"/>
      <c r="AY11" s="86"/>
      <c r="AZ11" s="86"/>
      <c r="BA11" s="86"/>
      <c r="BB11" s="86"/>
      <c r="BC11" s="86"/>
      <c r="BG11" s="86"/>
      <c r="BH11" s="86"/>
    </row>
    <row r="12" spans="1:62" s="126" customFormat="1" x14ac:dyDescent="0.2">
      <c r="A12" s="120"/>
      <c r="B12" s="120"/>
      <c r="C12" s="120"/>
      <c r="D12" s="120"/>
      <c r="E12" s="121"/>
      <c r="F12" s="121"/>
      <c r="G12" s="121"/>
      <c r="H12" s="121"/>
      <c r="I12" s="121"/>
      <c r="J12" s="121"/>
      <c r="K12" s="121"/>
      <c r="L12" s="121"/>
      <c r="M12" s="121"/>
      <c r="N12" s="121"/>
      <c r="O12" s="121"/>
      <c r="P12" s="121"/>
      <c r="Q12" s="121"/>
      <c r="R12" s="121"/>
      <c r="S12" s="122"/>
      <c r="T12" s="123"/>
      <c r="U12" s="122"/>
      <c r="V12" s="123"/>
      <c r="W12" s="122"/>
      <c r="X12" s="123"/>
      <c r="Y12" s="122"/>
      <c r="Z12" s="123"/>
      <c r="AA12" s="122"/>
      <c r="AB12" s="123"/>
      <c r="AC12" s="122"/>
      <c r="AD12" s="123"/>
      <c r="AE12" s="124"/>
      <c r="AF12" s="125"/>
      <c r="AG12" s="125"/>
      <c r="AH12" s="125"/>
      <c r="AI12" s="125"/>
      <c r="AJ12" s="125"/>
      <c r="AK12" s="125"/>
      <c r="AL12" s="125"/>
      <c r="AM12" s="125"/>
      <c r="AN12" s="125"/>
      <c r="AO12" s="125"/>
      <c r="AP12" s="125"/>
      <c r="AQ12" s="125"/>
      <c r="AR12" s="125"/>
      <c r="AS12" s="125"/>
      <c r="AT12" s="125"/>
      <c r="AU12" s="125"/>
      <c r="AX12" s="125"/>
      <c r="AY12" s="125"/>
      <c r="AZ12" s="125"/>
      <c r="BA12" s="125"/>
      <c r="BB12" s="125"/>
      <c r="BC12" s="125"/>
      <c r="BG12" s="125"/>
      <c r="BH12" s="125"/>
    </row>
    <row r="13" spans="1:62" s="126" customFormat="1" ht="18.75" x14ac:dyDescent="0.3">
      <c r="A13" s="127" t="s">
        <v>406</v>
      </c>
      <c r="B13" s="120"/>
      <c r="C13" s="120"/>
      <c r="D13" s="120"/>
      <c r="E13" s="121"/>
      <c r="F13" s="121"/>
      <c r="G13" s="121"/>
      <c r="H13" s="121"/>
      <c r="I13" s="121"/>
      <c r="J13" s="121"/>
      <c r="K13" s="121"/>
      <c r="L13" s="121"/>
      <c r="M13" s="121"/>
      <c r="N13" s="121"/>
      <c r="O13" s="121"/>
      <c r="P13" s="121"/>
      <c r="Q13" s="121"/>
      <c r="R13" s="121"/>
      <c r="S13" s="122"/>
      <c r="T13" s="123"/>
      <c r="U13" s="122"/>
      <c r="V13" s="123"/>
      <c r="W13" s="122"/>
      <c r="X13" s="123"/>
      <c r="Y13" s="122"/>
      <c r="Z13" s="123"/>
      <c r="AA13" s="122"/>
      <c r="AB13" s="123"/>
      <c r="AC13" s="122"/>
      <c r="AD13" s="123"/>
      <c r="AE13" s="124"/>
      <c r="AF13" s="125"/>
      <c r="AG13" s="125"/>
      <c r="AH13" s="125"/>
      <c r="AI13" s="125"/>
      <c r="AJ13" s="125"/>
      <c r="AK13" s="125"/>
      <c r="AL13" s="125"/>
      <c r="AM13" s="125"/>
      <c r="AN13" s="125"/>
      <c r="AO13" s="125"/>
      <c r="AP13" s="125"/>
      <c r="AQ13" s="125"/>
      <c r="AR13" s="125"/>
      <c r="AS13" s="125"/>
      <c r="AT13" s="125"/>
      <c r="AU13" s="125"/>
      <c r="AX13" s="125"/>
      <c r="AY13" s="125"/>
      <c r="AZ13" s="125"/>
      <c r="BA13" s="125"/>
      <c r="BB13" s="125"/>
      <c r="BC13" s="125"/>
      <c r="BG13" s="125"/>
      <c r="BH13" s="125"/>
    </row>
    <row r="14" spans="1:62" ht="13.5" thickBot="1" x14ac:dyDescent="0.25">
      <c r="A14" s="128" t="s">
        <v>478</v>
      </c>
      <c r="B14" s="128"/>
      <c r="C14" s="128"/>
      <c r="D14" s="128"/>
      <c r="E14" s="128"/>
      <c r="F14" s="128"/>
      <c r="G14" s="128"/>
      <c r="H14" s="128"/>
      <c r="I14" s="128"/>
      <c r="J14" s="128"/>
      <c r="K14" s="128"/>
      <c r="L14" s="128"/>
      <c r="M14" s="128"/>
      <c r="N14" s="128"/>
      <c r="O14" s="128"/>
      <c r="P14" s="128"/>
      <c r="Q14" s="121"/>
      <c r="R14" s="128" t="s">
        <v>416</v>
      </c>
      <c r="S14" s="128"/>
      <c r="T14" s="128"/>
      <c r="U14" s="128"/>
      <c r="V14" s="128"/>
      <c r="W14" s="128"/>
      <c r="X14" s="128"/>
      <c r="Y14" s="128"/>
      <c r="Z14" s="128"/>
      <c r="AA14" s="128"/>
      <c r="AB14" s="128"/>
      <c r="AC14" s="128"/>
      <c r="AD14" s="128"/>
      <c r="AF14" s="128" t="s">
        <v>404</v>
      </c>
      <c r="AG14" s="128"/>
      <c r="AH14" s="130"/>
      <c r="AI14" s="130"/>
      <c r="AJ14" s="121"/>
      <c r="AK14" s="128" t="s">
        <v>0</v>
      </c>
      <c r="AL14" s="128"/>
      <c r="AM14" s="131"/>
      <c r="AN14" s="131"/>
      <c r="AO14" s="132"/>
      <c r="AP14" s="132"/>
      <c r="AQ14" s="133"/>
      <c r="AR14" s="128" t="s">
        <v>1</v>
      </c>
      <c r="AS14" s="134"/>
      <c r="AT14" s="134"/>
      <c r="AU14" s="134"/>
      <c r="AV14" s="134"/>
      <c r="AW14" s="134"/>
      <c r="AX14" s="134"/>
      <c r="AY14" s="134"/>
      <c r="AZ14" s="134"/>
      <c r="BA14" s="134"/>
      <c r="BB14" s="134"/>
      <c r="BC14" s="134"/>
      <c r="BD14" s="134"/>
      <c r="BE14" s="134"/>
      <c r="BF14" s="135"/>
      <c r="BG14" s="135"/>
      <c r="BH14" s="135"/>
      <c r="BI14" s="135"/>
      <c r="BJ14" s="135"/>
    </row>
    <row r="15" spans="1:62" s="142" customFormat="1" ht="51" x14ac:dyDescent="0.2">
      <c r="A15" s="137" t="s">
        <v>401</v>
      </c>
      <c r="B15" s="137" t="s">
        <v>2</v>
      </c>
      <c r="C15" s="137" t="s">
        <v>3</v>
      </c>
      <c r="D15" s="137" t="s">
        <v>4</v>
      </c>
      <c r="E15" s="138" t="s">
        <v>5</v>
      </c>
      <c r="F15" s="138" t="s">
        <v>6</v>
      </c>
      <c r="G15" s="138" t="s">
        <v>7</v>
      </c>
      <c r="H15" s="138" t="s">
        <v>8</v>
      </c>
      <c r="I15" s="138" t="s">
        <v>9</v>
      </c>
      <c r="J15" s="138" t="s">
        <v>10</v>
      </c>
      <c r="K15" s="138" t="s">
        <v>11</v>
      </c>
      <c r="L15" s="138" t="s">
        <v>12</v>
      </c>
      <c r="M15" s="138" t="s">
        <v>288</v>
      </c>
      <c r="N15" s="138" t="s">
        <v>13</v>
      </c>
      <c r="O15" s="138" t="s">
        <v>14</v>
      </c>
      <c r="P15" s="138" t="s">
        <v>15</v>
      </c>
      <c r="Q15" s="138"/>
      <c r="R15" s="138" t="s">
        <v>396</v>
      </c>
      <c r="S15" s="139" t="s">
        <v>16</v>
      </c>
      <c r="T15" s="140" t="s">
        <v>17</v>
      </c>
      <c r="U15" s="139" t="s">
        <v>18</v>
      </c>
      <c r="V15" s="140" t="s">
        <v>19</v>
      </c>
      <c r="W15" s="139" t="s">
        <v>245</v>
      </c>
      <c r="X15" s="140" t="s">
        <v>286</v>
      </c>
      <c r="Y15" s="139" t="s">
        <v>20</v>
      </c>
      <c r="Z15" s="140" t="s">
        <v>17</v>
      </c>
      <c r="AA15" s="139" t="s">
        <v>21</v>
      </c>
      <c r="AB15" s="140" t="s">
        <v>19</v>
      </c>
      <c r="AC15" s="139" t="s">
        <v>246</v>
      </c>
      <c r="AD15" s="140" t="s">
        <v>286</v>
      </c>
      <c r="AE15" s="141"/>
      <c r="AF15" s="142" t="s">
        <v>26</v>
      </c>
      <c r="AG15" s="142" t="s">
        <v>27</v>
      </c>
      <c r="AH15" s="142" t="s">
        <v>394</v>
      </c>
      <c r="AI15" s="142" t="s">
        <v>395</v>
      </c>
      <c r="AK15" s="142" t="s">
        <v>13</v>
      </c>
      <c r="AL15" s="142" t="s">
        <v>14</v>
      </c>
      <c r="AM15" s="142" t="s">
        <v>28</v>
      </c>
      <c r="AN15" s="142" t="s">
        <v>29</v>
      </c>
      <c r="AO15" s="142" t="s">
        <v>394</v>
      </c>
      <c r="AP15" s="142" t="s">
        <v>395</v>
      </c>
      <c r="AR15" s="142" t="s">
        <v>13</v>
      </c>
      <c r="AS15" s="142" t="s">
        <v>14</v>
      </c>
      <c r="AT15" s="142" t="s">
        <v>32</v>
      </c>
      <c r="AU15" s="142" t="s">
        <v>33</v>
      </c>
      <c r="AV15" s="142" t="s">
        <v>394</v>
      </c>
      <c r="AW15" s="142" t="s">
        <v>395</v>
      </c>
      <c r="AX15" s="142" t="s">
        <v>22</v>
      </c>
      <c r="AY15" s="142" t="s">
        <v>23</v>
      </c>
      <c r="AZ15" s="142" t="s">
        <v>24</v>
      </c>
      <c r="BA15" s="142" t="s">
        <v>25</v>
      </c>
      <c r="BB15" s="142" t="s">
        <v>30</v>
      </c>
      <c r="BC15" s="142" t="s">
        <v>31</v>
      </c>
      <c r="BD15" s="142" t="s">
        <v>394</v>
      </c>
      <c r="BE15" s="142" t="s">
        <v>395</v>
      </c>
      <c r="BG15" s="142" t="s">
        <v>400</v>
      </c>
      <c r="BH15" s="142" t="s">
        <v>397</v>
      </c>
      <c r="BI15" s="142" t="s">
        <v>398</v>
      </c>
      <c r="BJ15" s="142" t="s">
        <v>399</v>
      </c>
    </row>
    <row r="16" spans="1:62" s="148" customFormat="1" x14ac:dyDescent="0.2">
      <c r="A16" s="143" t="s">
        <v>306</v>
      </c>
      <c r="B16" s="144"/>
      <c r="C16" s="145"/>
      <c r="D16" s="144"/>
      <c r="E16" s="146"/>
      <c r="F16" s="146"/>
      <c r="G16" s="146"/>
      <c r="H16" s="146"/>
      <c r="I16" s="146"/>
      <c r="J16" s="146"/>
      <c r="K16" s="146"/>
      <c r="L16" s="146"/>
      <c r="M16" s="147"/>
      <c r="N16" s="146"/>
      <c r="O16" s="146"/>
      <c r="R16" s="149"/>
      <c r="S16" s="149"/>
      <c r="T16" s="150"/>
      <c r="U16" s="149"/>
      <c r="V16" s="150"/>
      <c r="W16" s="150"/>
      <c r="X16" s="150"/>
      <c r="Y16" s="149"/>
      <c r="Z16" s="150"/>
      <c r="AA16" s="151"/>
      <c r="AH16" s="152"/>
      <c r="AI16" s="152">
        <f>MIN(O17:O20)</f>
        <v>370</v>
      </c>
      <c r="AO16" s="152"/>
      <c r="AP16" s="152">
        <f>MIN(AL17:AL20)</f>
        <v>370</v>
      </c>
      <c r="AR16" s="153"/>
      <c r="AS16" s="153"/>
      <c r="AV16" s="152"/>
      <c r="AW16" s="154">
        <f>MIN(AS17:AS20)</f>
        <v>370</v>
      </c>
      <c r="BD16" s="152"/>
      <c r="BE16" s="155">
        <f>MIN(AS17:AS20)</f>
        <v>370</v>
      </c>
      <c r="BJ16" s="155">
        <f>MIN(AS17:AS20)</f>
        <v>370</v>
      </c>
    </row>
    <row r="17" spans="1:62" s="165" customFormat="1" x14ac:dyDescent="0.2">
      <c r="A17" s="156" t="s">
        <v>306</v>
      </c>
      <c r="B17" s="157" t="s">
        <v>35</v>
      </c>
      <c r="C17" s="158" t="s">
        <v>41</v>
      </c>
      <c r="D17" s="157" t="s">
        <v>200</v>
      </c>
      <c r="E17" s="159">
        <v>7</v>
      </c>
      <c r="F17" s="159">
        <f>G17/0.58</f>
        <v>1.6034482758620692</v>
      </c>
      <c r="G17" s="160">
        <v>0.93</v>
      </c>
      <c r="H17" s="160">
        <v>14</v>
      </c>
      <c r="I17" s="161">
        <f>(30+4.4*E17)*H17/100+(-34.66+29.72*E17)*F17/100</f>
        <v>11.292058620689655</v>
      </c>
      <c r="J17" s="160">
        <v>0.6</v>
      </c>
      <c r="K17" s="160">
        <v>217</v>
      </c>
      <c r="L17" s="160">
        <v>5</v>
      </c>
      <c r="M17" s="160" t="s">
        <v>93</v>
      </c>
      <c r="N17" s="160"/>
      <c r="O17" s="160">
        <v>370</v>
      </c>
      <c r="P17" s="156" t="s">
        <v>307</v>
      </c>
      <c r="Q17" s="156"/>
      <c r="R17" s="160">
        <v>1</v>
      </c>
      <c r="S17" s="156" t="s">
        <v>309</v>
      </c>
      <c r="T17" s="162"/>
      <c r="U17" s="163"/>
      <c r="V17" s="162"/>
      <c r="W17" s="162"/>
      <c r="X17" s="162"/>
      <c r="Y17" s="163"/>
      <c r="Z17" s="162"/>
      <c r="AA17" s="163"/>
      <c r="AB17" s="162"/>
      <c r="AC17" s="162"/>
      <c r="AD17" s="162"/>
      <c r="AE17" s="164"/>
      <c r="AG17" s="166">
        <f>LN(O17)</f>
        <v>5.9135030056382698</v>
      </c>
      <c r="AH17" s="167"/>
      <c r="AL17" s="165">
        <f>O17*R17</f>
        <v>370</v>
      </c>
      <c r="AN17" s="166">
        <f>LN(AL17)</f>
        <v>5.9135030056382698</v>
      </c>
      <c r="AO17" s="167"/>
      <c r="AR17" s="168"/>
      <c r="AS17" s="168">
        <f t="shared" ref="AS17:AS20" si="3">AL17</f>
        <v>370</v>
      </c>
      <c r="AT17" s="166"/>
      <c r="AU17" s="166">
        <f>LN(AS17)</f>
        <v>5.9135030056382698</v>
      </c>
      <c r="AV17" s="167"/>
      <c r="BC17" s="166">
        <f t="shared" ref="BC17:BC20" si="4">LN(AS17)</f>
        <v>5.9135030056382698</v>
      </c>
      <c r="BD17" s="169"/>
    </row>
    <row r="18" spans="1:62" s="179" customFormat="1" ht="13.5" thickBot="1" x14ac:dyDescent="0.25">
      <c r="A18" s="170" t="s">
        <v>306</v>
      </c>
      <c r="B18" s="171" t="s">
        <v>35</v>
      </c>
      <c r="C18" s="172" t="s">
        <v>79</v>
      </c>
      <c r="D18" s="171" t="s">
        <v>72</v>
      </c>
      <c r="E18" s="173">
        <v>7</v>
      </c>
      <c r="F18" s="173">
        <f t="shared" ref="F18:F20" si="5">G18/0.58</f>
        <v>1.6034482758620692</v>
      </c>
      <c r="G18" s="174">
        <v>0.93</v>
      </c>
      <c r="H18" s="174">
        <v>14</v>
      </c>
      <c r="I18" s="175">
        <f t="shared" ref="I18:I20" si="6">(30+4.4*E18)*H18/100+(-34.66+29.72*E18)*F18/100</f>
        <v>11.292058620689655</v>
      </c>
      <c r="J18" s="174">
        <v>0.6</v>
      </c>
      <c r="K18" s="174">
        <v>217</v>
      </c>
      <c r="L18" s="174">
        <v>17</v>
      </c>
      <c r="M18" s="174" t="s">
        <v>93</v>
      </c>
      <c r="N18" s="174"/>
      <c r="O18" s="174">
        <v>710</v>
      </c>
      <c r="P18" s="170" t="s">
        <v>307</v>
      </c>
      <c r="Q18" s="170"/>
      <c r="R18" s="174">
        <v>1</v>
      </c>
      <c r="S18" s="170" t="s">
        <v>309</v>
      </c>
      <c r="T18" s="176"/>
      <c r="U18" s="177"/>
      <c r="V18" s="176"/>
      <c r="W18" s="176"/>
      <c r="X18" s="176"/>
      <c r="Y18" s="177"/>
      <c r="Z18" s="176"/>
      <c r="AA18" s="177"/>
      <c r="AB18" s="176"/>
      <c r="AC18" s="176"/>
      <c r="AD18" s="176"/>
      <c r="AE18" s="178"/>
      <c r="AG18" s="180">
        <f>LN(O18)</f>
        <v>6.5652649700353614</v>
      </c>
      <c r="AH18" s="181"/>
      <c r="AI18" s="181"/>
      <c r="AL18" s="179">
        <f>O18*R18</f>
        <v>710</v>
      </c>
      <c r="AN18" s="180">
        <f>LN(AL18)</f>
        <v>6.5652649700353614</v>
      </c>
      <c r="AO18" s="181"/>
      <c r="AP18" s="181"/>
      <c r="AR18" s="182"/>
      <c r="AS18" s="182">
        <f t="shared" si="3"/>
        <v>710</v>
      </c>
      <c r="AT18" s="180"/>
      <c r="AU18" s="180">
        <f>LN(AS18)</f>
        <v>6.5652649700353614</v>
      </c>
      <c r="AV18" s="181"/>
      <c r="AW18" s="181"/>
      <c r="BC18" s="180">
        <f t="shared" si="4"/>
        <v>6.5652649700353614</v>
      </c>
      <c r="BD18" s="183"/>
      <c r="BE18" s="183"/>
    </row>
    <row r="19" spans="1:62" s="193" customFormat="1" ht="14.25" thickTop="1" thickBot="1" x14ac:dyDescent="0.25">
      <c r="A19" s="184" t="s">
        <v>306</v>
      </c>
      <c r="B19" s="185" t="s">
        <v>49</v>
      </c>
      <c r="C19" s="186" t="s">
        <v>57</v>
      </c>
      <c r="D19" s="185" t="s">
        <v>44</v>
      </c>
      <c r="E19" s="187">
        <v>7</v>
      </c>
      <c r="F19" s="187">
        <f t="shared" si="5"/>
        <v>1.6034482758620692</v>
      </c>
      <c r="G19" s="188">
        <v>0.93</v>
      </c>
      <c r="H19" s="188">
        <v>14</v>
      </c>
      <c r="I19" s="189">
        <f t="shared" si="6"/>
        <v>11.292058620689655</v>
      </c>
      <c r="J19" s="188">
        <v>0.6</v>
      </c>
      <c r="K19" s="188">
        <v>217</v>
      </c>
      <c r="L19" s="188">
        <v>28</v>
      </c>
      <c r="M19" s="188" t="s">
        <v>93</v>
      </c>
      <c r="N19" s="188"/>
      <c r="O19" s="188">
        <v>370</v>
      </c>
      <c r="P19" s="184" t="s">
        <v>308</v>
      </c>
      <c r="Q19" s="184"/>
      <c r="R19" s="188">
        <v>1</v>
      </c>
      <c r="S19" s="184" t="s">
        <v>309</v>
      </c>
      <c r="T19" s="190"/>
      <c r="U19" s="191"/>
      <c r="V19" s="190"/>
      <c r="W19" s="190"/>
      <c r="X19" s="190"/>
      <c r="Y19" s="191"/>
      <c r="Z19" s="190"/>
      <c r="AA19" s="191"/>
      <c r="AB19" s="190"/>
      <c r="AC19" s="190"/>
      <c r="AD19" s="190"/>
      <c r="AE19" s="192"/>
      <c r="AG19" s="194">
        <f>LN(O19)</f>
        <v>5.9135030056382698</v>
      </c>
      <c r="AH19" s="195"/>
      <c r="AI19" s="195"/>
      <c r="AL19" s="193">
        <f>O19*R19</f>
        <v>370</v>
      </c>
      <c r="AN19" s="194">
        <f>LN(AL19)</f>
        <v>5.9135030056382698</v>
      </c>
      <c r="AO19" s="195"/>
      <c r="AP19" s="195"/>
      <c r="AR19" s="196"/>
      <c r="AS19" s="196">
        <f t="shared" si="3"/>
        <v>370</v>
      </c>
      <c r="AT19" s="194"/>
      <c r="AU19" s="194">
        <f>LN(AS19)</f>
        <v>5.9135030056382698</v>
      </c>
      <c r="AV19" s="195"/>
      <c r="AW19" s="195"/>
      <c r="BC19" s="194">
        <f t="shared" si="4"/>
        <v>5.9135030056382698</v>
      </c>
      <c r="BD19" s="197"/>
      <c r="BE19" s="197"/>
    </row>
    <row r="20" spans="1:62" s="207" customFormat="1" ht="14.25" thickTop="1" thickBot="1" x14ac:dyDescent="0.25">
      <c r="A20" s="198" t="s">
        <v>306</v>
      </c>
      <c r="B20" s="199" t="s">
        <v>62</v>
      </c>
      <c r="C20" s="200" t="s">
        <v>224</v>
      </c>
      <c r="D20" s="199" t="s">
        <v>303</v>
      </c>
      <c r="E20" s="201">
        <v>7</v>
      </c>
      <c r="F20" s="201">
        <f t="shared" si="5"/>
        <v>1.6034482758620692</v>
      </c>
      <c r="G20" s="202">
        <v>0.93</v>
      </c>
      <c r="H20" s="202">
        <v>14</v>
      </c>
      <c r="I20" s="203">
        <f t="shared" si="6"/>
        <v>11.292058620689655</v>
      </c>
      <c r="J20" s="202">
        <v>0.6</v>
      </c>
      <c r="K20" s="202">
        <v>217</v>
      </c>
      <c r="L20" s="202">
        <v>7</v>
      </c>
      <c r="M20" s="202" t="s">
        <v>93</v>
      </c>
      <c r="N20" s="202"/>
      <c r="O20" s="202">
        <v>710</v>
      </c>
      <c r="P20" s="198" t="s">
        <v>307</v>
      </c>
      <c r="Q20" s="198"/>
      <c r="R20" s="202">
        <v>1</v>
      </c>
      <c r="S20" s="198" t="s">
        <v>309</v>
      </c>
      <c r="T20" s="204"/>
      <c r="U20" s="205"/>
      <c r="V20" s="204"/>
      <c r="W20" s="204"/>
      <c r="X20" s="204"/>
      <c r="Y20" s="205"/>
      <c r="Z20" s="204"/>
      <c r="AA20" s="205"/>
      <c r="AB20" s="204"/>
      <c r="AC20" s="204"/>
      <c r="AD20" s="204"/>
      <c r="AE20" s="206"/>
      <c r="AG20" s="208">
        <f>LN(O20)</f>
        <v>6.5652649700353614</v>
      </c>
      <c r="AH20" s="209"/>
      <c r="AI20" s="209"/>
      <c r="AL20" s="207">
        <f>O20*R20</f>
        <v>710</v>
      </c>
      <c r="AN20" s="208">
        <f>LN(AL20)</f>
        <v>6.5652649700353614</v>
      </c>
      <c r="AO20" s="209"/>
      <c r="AP20" s="209"/>
      <c r="AR20" s="210"/>
      <c r="AS20" s="210">
        <f t="shared" si="3"/>
        <v>710</v>
      </c>
      <c r="AT20" s="208"/>
      <c r="AU20" s="208">
        <f>LN(AS20)</f>
        <v>6.5652649700353614</v>
      </c>
      <c r="AV20" s="209"/>
      <c r="AW20" s="209"/>
      <c r="BC20" s="208">
        <f t="shared" si="4"/>
        <v>6.5652649700353614</v>
      </c>
      <c r="BD20" s="211"/>
      <c r="BE20" s="211"/>
    </row>
    <row r="21" spans="1:62" s="218" customFormat="1" x14ac:dyDescent="0.2">
      <c r="A21" s="212"/>
      <c r="B21" s="212"/>
      <c r="C21" s="212"/>
      <c r="D21" s="212"/>
      <c r="E21" s="213"/>
      <c r="F21" s="213"/>
      <c r="G21" s="213"/>
      <c r="H21" s="213"/>
      <c r="I21" s="213"/>
      <c r="J21" s="213"/>
      <c r="K21" s="213"/>
      <c r="L21" s="213"/>
      <c r="M21" s="213"/>
      <c r="N21" s="213"/>
      <c r="O21" s="213"/>
      <c r="P21" s="213"/>
      <c r="Q21" s="213"/>
      <c r="R21" s="213"/>
      <c r="S21" s="214"/>
      <c r="T21" s="215"/>
      <c r="U21" s="214"/>
      <c r="V21" s="215"/>
      <c r="W21" s="214"/>
      <c r="X21" s="215"/>
      <c r="Y21" s="214"/>
      <c r="Z21" s="215"/>
      <c r="AA21" s="214"/>
      <c r="AB21" s="215"/>
      <c r="AC21" s="214"/>
      <c r="AD21" s="215"/>
      <c r="AE21" s="216"/>
      <c r="AF21" s="217"/>
      <c r="AG21" s="217"/>
      <c r="AH21" s="217"/>
      <c r="AI21" s="217"/>
      <c r="AJ21" s="217"/>
      <c r="AK21" s="217"/>
      <c r="AL21" s="217"/>
      <c r="AM21" s="217"/>
      <c r="AN21" s="217"/>
      <c r="AO21" s="217"/>
      <c r="AP21" s="217"/>
      <c r="AQ21" s="217"/>
      <c r="AR21" s="217"/>
      <c r="AS21" s="217"/>
      <c r="AT21" s="217"/>
      <c r="AU21" s="217"/>
      <c r="AX21" s="217"/>
      <c r="AY21" s="217"/>
      <c r="AZ21" s="217"/>
      <c r="BA21" s="217"/>
      <c r="BB21" s="217"/>
      <c r="BC21" s="217"/>
      <c r="BG21" s="217"/>
      <c r="BH21" s="217"/>
    </row>
    <row r="22" spans="1:62" s="225" customFormat="1" x14ac:dyDescent="0.2">
      <c r="A22" s="219" t="s">
        <v>195</v>
      </c>
      <c r="B22" s="220"/>
      <c r="C22" s="220"/>
      <c r="D22" s="220"/>
      <c r="E22" s="221"/>
      <c r="F22" s="221"/>
      <c r="G22" s="221"/>
      <c r="H22" s="221"/>
      <c r="I22" s="221"/>
      <c r="J22" s="221"/>
      <c r="K22" s="221"/>
      <c r="L22" s="221"/>
      <c r="M22" s="221"/>
      <c r="N22" s="221"/>
      <c r="O22" s="221"/>
      <c r="P22" s="221"/>
      <c r="Q22" s="221"/>
      <c r="R22" s="221"/>
      <c r="S22" s="222"/>
      <c r="T22" s="223"/>
      <c r="U22" s="222"/>
      <c r="V22" s="223"/>
      <c r="W22" s="222"/>
      <c r="X22" s="223"/>
      <c r="Y22" s="222"/>
      <c r="Z22" s="223"/>
      <c r="AA22" s="222"/>
      <c r="AB22" s="223"/>
      <c r="AC22" s="222"/>
      <c r="AD22" s="223"/>
      <c r="AE22" s="224"/>
      <c r="AH22" s="226"/>
      <c r="AI22" s="226">
        <f>LOGINV(0.05,AVERAGE(AG23:AG52),STDEV(AG23:AG52))</f>
        <v>1.2759018142031331</v>
      </c>
      <c r="AO22" s="227"/>
      <c r="AP22" s="226">
        <f>LOGINV(0.05,AVERAGE(AN23:AN52),STDEV(AN23:AN52))</f>
        <v>1.2759018142031331</v>
      </c>
      <c r="AV22" s="227"/>
      <c r="AW22" s="226">
        <f>LOGINV(0.05,AVERAGE(AU23:AU52),STDEV(AU23:AU52))</f>
        <v>1.2759018142031331</v>
      </c>
      <c r="BD22" s="226"/>
      <c r="BE22" s="226">
        <f>LOGINV(0.05,AVERAGE(BC23:BC52),STDEV(BC23:BC52))</f>
        <v>1.2759018142031331</v>
      </c>
      <c r="BG22" s="225">
        <f>COUNT(BC23:BC52)</f>
        <v>30</v>
      </c>
      <c r="BH22" s="228">
        <v>1.6619999999999999</v>
      </c>
      <c r="BI22" s="229"/>
      <c r="BJ22" s="230">
        <f>EXP(AVERAGE(BC23:BC52)-BH22*STDEV(BC23:BC52))</f>
        <v>1.2361551080042927</v>
      </c>
    </row>
    <row r="23" spans="1:62" s="165" customFormat="1" x14ac:dyDescent="0.2">
      <c r="A23" s="156" t="s">
        <v>195</v>
      </c>
      <c r="B23" s="156" t="s">
        <v>35</v>
      </c>
      <c r="C23" s="156" t="s">
        <v>196</v>
      </c>
      <c r="D23" s="156" t="s">
        <v>319</v>
      </c>
      <c r="E23" s="165">
        <v>3.3</v>
      </c>
      <c r="F23" s="160"/>
      <c r="G23" s="165">
        <v>45</v>
      </c>
      <c r="H23" s="165">
        <v>70</v>
      </c>
      <c r="I23" s="160"/>
      <c r="J23" s="160"/>
      <c r="K23" s="160"/>
      <c r="L23" s="160"/>
      <c r="M23" s="160"/>
      <c r="N23" s="166"/>
      <c r="O23" s="166">
        <v>1.8</v>
      </c>
      <c r="P23" s="166" t="s">
        <v>230</v>
      </c>
      <c r="Q23" s="166"/>
      <c r="R23" s="231">
        <v>1</v>
      </c>
      <c r="S23" s="163"/>
      <c r="T23" s="162"/>
      <c r="U23" s="163"/>
      <c r="V23" s="162"/>
      <c r="W23" s="162"/>
      <c r="X23" s="162"/>
      <c r="Y23" s="163"/>
      <c r="Z23" s="162"/>
      <c r="AA23" s="163"/>
      <c r="AB23" s="162"/>
      <c r="AC23" s="162"/>
      <c r="AD23" s="162"/>
      <c r="AE23" s="164"/>
      <c r="AG23" s="166">
        <f t="shared" ref="AG23:AG52" si="7">LN(O23)</f>
        <v>0.58778666490211906</v>
      </c>
      <c r="AL23" s="166">
        <f t="shared" ref="AL23:AL52" si="8">O23*R23</f>
        <v>1.8</v>
      </c>
      <c r="AN23" s="166">
        <f t="shared" ref="AN23:AN52" si="9">LN(AL23)</f>
        <v>0.58778666490211906</v>
      </c>
      <c r="AR23" s="168"/>
      <c r="AS23" s="166">
        <f>AL23</f>
        <v>1.8</v>
      </c>
      <c r="AT23" s="166"/>
      <c r="AU23" s="166">
        <f t="shared" ref="AU23:AU52" si="10">LN(AS23)</f>
        <v>0.58778666490211906</v>
      </c>
      <c r="BC23" s="166">
        <f>LN(AS23)</f>
        <v>0.58778666490211906</v>
      </c>
    </row>
    <row r="24" spans="1:62" x14ac:dyDescent="0.2">
      <c r="A24" s="232" t="s">
        <v>195</v>
      </c>
      <c r="B24" s="232" t="s">
        <v>35</v>
      </c>
      <c r="C24" s="232" t="s">
        <v>117</v>
      </c>
      <c r="D24" s="232" t="s">
        <v>312</v>
      </c>
      <c r="E24" s="136">
        <v>6.9</v>
      </c>
      <c r="G24" s="136">
        <v>1.3</v>
      </c>
      <c r="H24" s="136">
        <v>21</v>
      </c>
      <c r="N24" s="234"/>
      <c r="O24" s="234">
        <v>7.1</v>
      </c>
      <c r="P24" s="234" t="s">
        <v>231</v>
      </c>
      <c r="Q24" s="234"/>
      <c r="R24" s="235">
        <v>1</v>
      </c>
      <c r="AG24" s="239">
        <f t="shared" si="7"/>
        <v>1.9600947840472698</v>
      </c>
      <c r="AH24" s="240"/>
      <c r="AI24" s="241"/>
      <c r="AL24" s="238">
        <f t="shared" si="8"/>
        <v>7.1</v>
      </c>
      <c r="AN24" s="239">
        <f t="shared" si="9"/>
        <v>1.9600947840472698</v>
      </c>
      <c r="AO24" s="240"/>
      <c r="AP24" s="240"/>
      <c r="AQ24" s="239"/>
      <c r="AR24" s="239"/>
      <c r="AS24" s="239">
        <f t="shared" ref="AS24:AS52" si="11">AL24</f>
        <v>7.1</v>
      </c>
      <c r="AT24" s="239"/>
      <c r="AU24" s="239">
        <f t="shared" si="10"/>
        <v>1.9600947840472698</v>
      </c>
      <c r="AX24" s="239"/>
      <c r="AY24" s="239"/>
      <c r="AZ24" s="239"/>
      <c r="BA24" s="234"/>
      <c r="BB24" s="234"/>
      <c r="BC24" s="234">
        <f t="shared" ref="BC24:BC52" si="12">LN(AS24)</f>
        <v>1.9600947840472698</v>
      </c>
      <c r="BD24" s="242"/>
      <c r="BE24" s="242"/>
      <c r="BF24" s="136"/>
      <c r="BG24" s="136"/>
      <c r="BH24" s="136"/>
      <c r="BI24" s="136"/>
    </row>
    <row r="25" spans="1:62" x14ac:dyDescent="0.2">
      <c r="A25" s="232" t="s">
        <v>195</v>
      </c>
      <c r="B25" s="232" t="s">
        <v>35</v>
      </c>
      <c r="C25" s="232" t="s">
        <v>117</v>
      </c>
      <c r="D25" s="232" t="s">
        <v>312</v>
      </c>
      <c r="E25" s="136">
        <v>7</v>
      </c>
      <c r="G25" s="136">
        <v>1.4</v>
      </c>
      <c r="H25" s="136">
        <v>3</v>
      </c>
      <c r="N25" s="234"/>
      <c r="O25" s="234">
        <v>29</v>
      </c>
      <c r="P25" s="234" t="s">
        <v>231</v>
      </c>
      <c r="Q25" s="234"/>
      <c r="R25" s="235">
        <v>1</v>
      </c>
      <c r="AG25" s="239">
        <f t="shared" si="7"/>
        <v>3.3672958299864741</v>
      </c>
      <c r="AH25" s="240"/>
      <c r="AI25" s="240"/>
      <c r="AL25" s="238">
        <f t="shared" si="8"/>
        <v>29</v>
      </c>
      <c r="AN25" s="239">
        <f t="shared" si="9"/>
        <v>3.3672958299864741</v>
      </c>
      <c r="AO25" s="240"/>
      <c r="AP25" s="240"/>
      <c r="AQ25" s="239"/>
      <c r="AR25" s="239"/>
      <c r="AS25" s="239">
        <f t="shared" si="11"/>
        <v>29</v>
      </c>
      <c r="AT25" s="239"/>
      <c r="AU25" s="239">
        <f t="shared" si="10"/>
        <v>3.3672958299864741</v>
      </c>
      <c r="AX25" s="239"/>
      <c r="AY25" s="239"/>
      <c r="AZ25" s="239"/>
      <c r="BA25" s="234"/>
      <c r="BB25" s="234"/>
      <c r="BC25" s="234">
        <f t="shared" si="12"/>
        <v>3.3672958299864741</v>
      </c>
      <c r="BD25" s="242"/>
      <c r="BE25" s="242"/>
      <c r="BF25" s="136"/>
      <c r="BG25" s="136"/>
      <c r="BH25" s="136"/>
      <c r="BI25" s="136"/>
    </row>
    <row r="26" spans="1:62" s="165" customFormat="1" x14ac:dyDescent="0.2">
      <c r="A26" s="156" t="s">
        <v>195</v>
      </c>
      <c r="B26" s="156" t="s">
        <v>35</v>
      </c>
      <c r="C26" s="156" t="s">
        <v>117</v>
      </c>
      <c r="D26" s="156"/>
      <c r="F26" s="160"/>
      <c r="I26" s="160"/>
      <c r="J26" s="160"/>
      <c r="K26" s="160"/>
      <c r="L26" s="160"/>
      <c r="M26" s="160" t="s">
        <v>93</v>
      </c>
      <c r="N26" s="166"/>
      <c r="O26" s="166">
        <v>20</v>
      </c>
      <c r="P26" s="165" t="s">
        <v>229</v>
      </c>
      <c r="R26" s="231">
        <v>1</v>
      </c>
      <c r="S26" s="163"/>
      <c r="T26" s="162"/>
      <c r="U26" s="163"/>
      <c r="V26" s="162"/>
      <c r="W26" s="162"/>
      <c r="X26" s="162"/>
      <c r="Y26" s="163"/>
      <c r="Z26" s="162"/>
      <c r="AA26" s="163"/>
      <c r="AB26" s="162"/>
      <c r="AC26" s="162"/>
      <c r="AD26" s="162"/>
      <c r="AE26" s="164"/>
      <c r="AG26" s="166">
        <f t="shared" si="7"/>
        <v>2.9957322735539909</v>
      </c>
      <c r="AH26" s="169"/>
      <c r="AI26" s="169"/>
      <c r="AL26" s="165">
        <f t="shared" si="8"/>
        <v>20</v>
      </c>
      <c r="AN26" s="166">
        <f t="shared" si="9"/>
        <v>2.9957322735539909</v>
      </c>
      <c r="AO26" s="169"/>
      <c r="AP26" s="169"/>
      <c r="AQ26" s="166"/>
      <c r="AR26" s="166"/>
      <c r="AS26" s="166">
        <f t="shared" si="11"/>
        <v>20</v>
      </c>
      <c r="AT26" s="166"/>
      <c r="AU26" s="166">
        <f t="shared" si="10"/>
        <v>2.9957322735539909</v>
      </c>
      <c r="AV26" s="167"/>
      <c r="AW26" s="167"/>
      <c r="AX26" s="166"/>
      <c r="AY26" s="166"/>
      <c r="AZ26" s="166"/>
      <c r="BA26" s="166"/>
      <c r="BB26" s="166"/>
      <c r="BC26" s="166">
        <f t="shared" si="12"/>
        <v>2.9957322735539909</v>
      </c>
      <c r="BD26" s="169"/>
      <c r="BE26" s="169"/>
    </row>
    <row r="27" spans="1:62" s="165" customFormat="1" x14ac:dyDescent="0.2">
      <c r="A27" s="156" t="s">
        <v>195</v>
      </c>
      <c r="B27" s="156" t="s">
        <v>35</v>
      </c>
      <c r="C27" s="156" t="s">
        <v>39</v>
      </c>
      <c r="D27" s="156"/>
      <c r="F27" s="160"/>
      <c r="I27" s="160"/>
      <c r="J27" s="160"/>
      <c r="K27" s="160"/>
      <c r="L27" s="160"/>
      <c r="M27" s="160" t="s">
        <v>93</v>
      </c>
      <c r="N27" s="166"/>
      <c r="O27" s="166">
        <v>6.3</v>
      </c>
      <c r="P27" s="166" t="s">
        <v>229</v>
      </c>
      <c r="Q27" s="166"/>
      <c r="R27" s="231">
        <v>1</v>
      </c>
      <c r="S27" s="163"/>
      <c r="T27" s="162"/>
      <c r="U27" s="163"/>
      <c r="V27" s="162"/>
      <c r="W27" s="162"/>
      <c r="X27" s="162"/>
      <c r="Y27" s="163"/>
      <c r="Z27" s="162"/>
      <c r="AA27" s="163"/>
      <c r="AB27" s="162"/>
      <c r="AC27" s="162"/>
      <c r="AD27" s="162"/>
      <c r="AE27" s="164"/>
      <c r="AG27" s="166">
        <f t="shared" si="7"/>
        <v>1.8405496333974869</v>
      </c>
      <c r="AH27" s="169"/>
      <c r="AI27" s="169"/>
      <c r="AL27" s="165">
        <f t="shared" si="8"/>
        <v>6.3</v>
      </c>
      <c r="AN27" s="166">
        <f t="shared" si="9"/>
        <v>1.8405496333974869</v>
      </c>
      <c r="AO27" s="169"/>
      <c r="AP27" s="169"/>
      <c r="AQ27" s="166"/>
      <c r="AR27" s="166"/>
      <c r="AS27" s="166">
        <f t="shared" si="11"/>
        <v>6.3</v>
      </c>
      <c r="AT27" s="166"/>
      <c r="AU27" s="166">
        <f t="shared" si="10"/>
        <v>1.8405496333974869</v>
      </c>
      <c r="AV27" s="167"/>
      <c r="AW27" s="167"/>
      <c r="AX27" s="166"/>
      <c r="AY27" s="166"/>
      <c r="AZ27" s="166"/>
      <c r="BA27" s="166"/>
      <c r="BB27" s="166"/>
      <c r="BC27" s="166">
        <f t="shared" si="12"/>
        <v>1.8405496333974869</v>
      </c>
      <c r="BD27" s="169"/>
      <c r="BE27" s="169"/>
    </row>
    <row r="28" spans="1:62" s="165" customFormat="1" x14ac:dyDescent="0.2">
      <c r="A28" s="156" t="s">
        <v>195</v>
      </c>
      <c r="B28" s="156" t="s">
        <v>35</v>
      </c>
      <c r="C28" s="156" t="s">
        <v>228</v>
      </c>
      <c r="D28" s="156"/>
      <c r="F28" s="160"/>
      <c r="I28" s="160"/>
      <c r="J28" s="160"/>
      <c r="K28" s="160"/>
      <c r="L28" s="160"/>
      <c r="M28" s="160" t="s">
        <v>93</v>
      </c>
      <c r="N28" s="166"/>
      <c r="O28" s="166">
        <v>25</v>
      </c>
      <c r="P28" s="166" t="s">
        <v>229</v>
      </c>
      <c r="Q28" s="166"/>
      <c r="R28" s="231">
        <v>1</v>
      </c>
      <c r="S28" s="163"/>
      <c r="T28" s="162"/>
      <c r="U28" s="163"/>
      <c r="V28" s="162"/>
      <c r="W28" s="162"/>
      <c r="X28" s="162"/>
      <c r="Y28" s="163"/>
      <c r="Z28" s="162"/>
      <c r="AA28" s="163"/>
      <c r="AB28" s="162"/>
      <c r="AC28" s="162"/>
      <c r="AD28" s="162"/>
      <c r="AE28" s="164"/>
      <c r="AG28" s="166">
        <f t="shared" si="7"/>
        <v>3.2188758248682006</v>
      </c>
      <c r="AH28" s="169"/>
      <c r="AI28" s="169"/>
      <c r="AL28" s="165">
        <f t="shared" si="8"/>
        <v>25</v>
      </c>
      <c r="AN28" s="166">
        <f t="shared" si="9"/>
        <v>3.2188758248682006</v>
      </c>
      <c r="AO28" s="169"/>
      <c r="AP28" s="169"/>
      <c r="AQ28" s="166"/>
      <c r="AR28" s="166"/>
      <c r="AS28" s="166">
        <f t="shared" si="11"/>
        <v>25</v>
      </c>
      <c r="AT28" s="166"/>
      <c r="AU28" s="166">
        <f t="shared" si="10"/>
        <v>3.2188758248682006</v>
      </c>
      <c r="AV28" s="167"/>
      <c r="AW28" s="167"/>
      <c r="AX28" s="166"/>
      <c r="AY28" s="166"/>
      <c r="AZ28" s="166"/>
      <c r="BA28" s="166"/>
      <c r="BB28" s="166"/>
      <c r="BC28" s="166">
        <f t="shared" si="12"/>
        <v>3.2188758248682006</v>
      </c>
      <c r="BD28" s="169"/>
      <c r="BE28" s="169"/>
    </row>
    <row r="29" spans="1:62" s="179" customFormat="1" ht="13.5" thickBot="1" x14ac:dyDescent="0.25">
      <c r="A29" s="170" t="s">
        <v>195</v>
      </c>
      <c r="B29" s="170" t="s">
        <v>35</v>
      </c>
      <c r="C29" s="170" t="s">
        <v>79</v>
      </c>
      <c r="D29" s="170"/>
      <c r="F29" s="174"/>
      <c r="I29" s="174"/>
      <c r="J29" s="174"/>
      <c r="K29" s="174"/>
      <c r="L29" s="174"/>
      <c r="M29" s="174" t="s">
        <v>93</v>
      </c>
      <c r="N29" s="180"/>
      <c r="O29" s="180">
        <v>3.12</v>
      </c>
      <c r="P29" s="180" t="s">
        <v>229</v>
      </c>
      <c r="Q29" s="180"/>
      <c r="R29" s="243">
        <v>1</v>
      </c>
      <c r="S29" s="177"/>
      <c r="T29" s="176"/>
      <c r="U29" s="177"/>
      <c r="V29" s="176"/>
      <c r="W29" s="176"/>
      <c r="X29" s="176"/>
      <c r="Y29" s="177"/>
      <c r="Z29" s="176"/>
      <c r="AA29" s="177"/>
      <c r="AB29" s="176"/>
      <c r="AC29" s="176"/>
      <c r="AD29" s="176"/>
      <c r="AE29" s="178"/>
      <c r="AG29" s="180">
        <f t="shared" si="7"/>
        <v>1.1378330018213911</v>
      </c>
      <c r="AH29" s="183"/>
      <c r="AI29" s="183"/>
      <c r="AL29" s="179">
        <f t="shared" si="8"/>
        <v>3.12</v>
      </c>
      <c r="AN29" s="180">
        <f t="shared" si="9"/>
        <v>1.1378330018213911</v>
      </c>
      <c r="AO29" s="183"/>
      <c r="AP29" s="183"/>
      <c r="AQ29" s="180"/>
      <c r="AR29" s="180"/>
      <c r="AS29" s="180">
        <f t="shared" si="11"/>
        <v>3.12</v>
      </c>
      <c r="AT29" s="180"/>
      <c r="AU29" s="180">
        <f t="shared" si="10"/>
        <v>1.1378330018213911</v>
      </c>
      <c r="AV29" s="181"/>
      <c r="AW29" s="181"/>
      <c r="AX29" s="180"/>
      <c r="AY29" s="180"/>
      <c r="AZ29" s="180"/>
      <c r="BA29" s="180"/>
      <c r="BB29" s="180"/>
      <c r="BC29" s="180">
        <f t="shared" si="12"/>
        <v>1.1378330018213911</v>
      </c>
      <c r="BD29" s="183"/>
      <c r="BE29" s="183"/>
    </row>
    <row r="30" spans="1:62" ht="13.5" thickTop="1" x14ac:dyDescent="0.2">
      <c r="A30" s="232" t="s">
        <v>195</v>
      </c>
      <c r="B30" s="232" t="s">
        <v>49</v>
      </c>
      <c r="C30" s="232" t="s">
        <v>193</v>
      </c>
      <c r="D30" s="232" t="s">
        <v>324</v>
      </c>
      <c r="E30" s="136">
        <v>4.5</v>
      </c>
      <c r="G30" s="136">
        <v>5.5</v>
      </c>
      <c r="H30" s="136"/>
      <c r="N30" s="234"/>
      <c r="O30" s="234">
        <v>10</v>
      </c>
      <c r="P30" s="234" t="s">
        <v>232</v>
      </c>
      <c r="Q30" s="234"/>
      <c r="R30" s="235">
        <v>1</v>
      </c>
      <c r="AG30" s="239">
        <f t="shared" si="7"/>
        <v>2.3025850929940459</v>
      </c>
      <c r="AH30" s="240"/>
      <c r="AI30" s="240"/>
      <c r="AL30" s="238">
        <f t="shared" si="8"/>
        <v>10</v>
      </c>
      <c r="AN30" s="239">
        <f t="shared" si="9"/>
        <v>2.3025850929940459</v>
      </c>
      <c r="AO30" s="240"/>
      <c r="AP30" s="240"/>
      <c r="AQ30" s="239"/>
      <c r="AR30" s="239"/>
      <c r="AS30" s="239">
        <f t="shared" si="11"/>
        <v>10</v>
      </c>
      <c r="AT30" s="239"/>
      <c r="AU30" s="239">
        <f t="shared" si="10"/>
        <v>2.3025850929940459</v>
      </c>
      <c r="AX30" s="239"/>
      <c r="AY30" s="239"/>
      <c r="AZ30" s="239"/>
      <c r="BA30" s="234"/>
      <c r="BB30" s="234"/>
      <c r="BC30" s="234">
        <f t="shared" si="12"/>
        <v>2.3025850929940459</v>
      </c>
      <c r="BD30" s="242"/>
      <c r="BE30" s="242"/>
      <c r="BF30" s="136"/>
      <c r="BG30" s="136"/>
      <c r="BH30" s="136"/>
      <c r="BI30" s="136"/>
    </row>
    <row r="31" spans="1:62" s="165" customFormat="1" x14ac:dyDescent="0.2">
      <c r="A31" s="156" t="s">
        <v>195</v>
      </c>
      <c r="B31" s="156" t="s">
        <v>49</v>
      </c>
      <c r="C31" s="156" t="s">
        <v>193</v>
      </c>
      <c r="D31" s="156" t="s">
        <v>388</v>
      </c>
      <c r="E31" s="165">
        <v>6.5</v>
      </c>
      <c r="F31" s="160"/>
      <c r="G31" s="165">
        <v>5.5</v>
      </c>
      <c r="I31" s="160"/>
      <c r="J31" s="160"/>
      <c r="K31" s="160"/>
      <c r="L31" s="160"/>
      <c r="M31" s="160"/>
      <c r="N31" s="166"/>
      <c r="O31" s="166">
        <v>10</v>
      </c>
      <c r="P31" s="166" t="s">
        <v>232</v>
      </c>
      <c r="Q31" s="166"/>
      <c r="R31" s="231">
        <v>1</v>
      </c>
      <c r="S31" s="163"/>
      <c r="T31" s="162"/>
      <c r="U31" s="163"/>
      <c r="V31" s="162"/>
      <c r="W31" s="162"/>
      <c r="X31" s="162"/>
      <c r="Y31" s="163"/>
      <c r="Z31" s="162"/>
      <c r="AA31" s="163"/>
      <c r="AB31" s="162"/>
      <c r="AC31" s="162"/>
      <c r="AD31" s="162"/>
      <c r="AE31" s="164"/>
      <c r="AG31" s="166">
        <f t="shared" si="7"/>
        <v>2.3025850929940459</v>
      </c>
      <c r="AH31" s="169"/>
      <c r="AI31" s="169"/>
      <c r="AL31" s="165">
        <f t="shared" si="8"/>
        <v>10</v>
      </c>
      <c r="AN31" s="166">
        <f t="shared" si="9"/>
        <v>2.3025850929940459</v>
      </c>
      <c r="AO31" s="169"/>
      <c r="AP31" s="169"/>
      <c r="AQ31" s="166"/>
      <c r="AR31" s="166"/>
      <c r="AS31" s="166">
        <f t="shared" si="11"/>
        <v>10</v>
      </c>
      <c r="AT31" s="166"/>
      <c r="AU31" s="166">
        <f t="shared" si="10"/>
        <v>2.3025850929940459</v>
      </c>
      <c r="AV31" s="167"/>
      <c r="AW31" s="167"/>
      <c r="AX31" s="166"/>
      <c r="AY31" s="166"/>
      <c r="AZ31" s="166"/>
      <c r="BA31" s="166"/>
      <c r="BB31" s="166"/>
      <c r="BC31" s="166">
        <f t="shared" si="12"/>
        <v>2.3025850929940459</v>
      </c>
      <c r="BD31" s="169"/>
      <c r="BE31" s="169"/>
    </row>
    <row r="32" spans="1:62" x14ac:dyDescent="0.2">
      <c r="A32" s="232" t="s">
        <v>195</v>
      </c>
      <c r="B32" s="232" t="s">
        <v>49</v>
      </c>
      <c r="C32" s="232" t="s">
        <v>57</v>
      </c>
      <c r="D32" s="232" t="s">
        <v>389</v>
      </c>
      <c r="E32" s="136">
        <v>6</v>
      </c>
      <c r="G32" s="136">
        <v>5.9</v>
      </c>
      <c r="H32" s="136">
        <v>20</v>
      </c>
      <c r="N32" s="234"/>
      <c r="O32" s="234">
        <v>148</v>
      </c>
      <c r="P32" s="234" t="s">
        <v>233</v>
      </c>
      <c r="Q32" s="234"/>
      <c r="R32" s="235">
        <v>1</v>
      </c>
      <c r="AG32" s="239">
        <f t="shared" si="7"/>
        <v>4.9972122737641147</v>
      </c>
      <c r="AH32" s="240"/>
      <c r="AI32" s="240"/>
      <c r="AL32" s="238">
        <f t="shared" si="8"/>
        <v>148</v>
      </c>
      <c r="AN32" s="239">
        <f t="shared" si="9"/>
        <v>4.9972122737641147</v>
      </c>
      <c r="AO32" s="240"/>
      <c r="AP32" s="240"/>
      <c r="AQ32" s="239"/>
      <c r="AR32" s="239"/>
      <c r="AS32" s="239">
        <f t="shared" si="11"/>
        <v>148</v>
      </c>
      <c r="AT32" s="239"/>
      <c r="AU32" s="239">
        <f t="shared" si="10"/>
        <v>4.9972122737641147</v>
      </c>
      <c r="AX32" s="239"/>
      <c r="AY32" s="239"/>
      <c r="AZ32" s="239"/>
      <c r="BA32" s="234"/>
      <c r="BB32" s="234"/>
      <c r="BC32" s="234">
        <f t="shared" si="12"/>
        <v>4.9972122737641147</v>
      </c>
      <c r="BD32" s="242"/>
      <c r="BE32" s="242"/>
      <c r="BF32" s="136"/>
      <c r="BG32" s="136"/>
      <c r="BH32" s="136"/>
      <c r="BI32" s="136"/>
    </row>
    <row r="33" spans="1:61" x14ac:dyDescent="0.2">
      <c r="A33" s="232" t="s">
        <v>195</v>
      </c>
      <c r="B33" s="232" t="s">
        <v>49</v>
      </c>
      <c r="C33" s="232" t="s">
        <v>57</v>
      </c>
      <c r="D33" s="232" t="s">
        <v>44</v>
      </c>
      <c r="E33" s="136">
        <v>6.1</v>
      </c>
      <c r="G33" s="136">
        <v>5.9</v>
      </c>
      <c r="H33" s="136">
        <v>20</v>
      </c>
      <c r="N33" s="234"/>
      <c r="O33" s="234">
        <v>22</v>
      </c>
      <c r="P33" s="234" t="s">
        <v>235</v>
      </c>
      <c r="Q33" s="234"/>
      <c r="R33" s="235">
        <v>1</v>
      </c>
      <c r="AG33" s="239">
        <f t="shared" si="7"/>
        <v>3.0910424533583161</v>
      </c>
      <c r="AH33" s="240"/>
      <c r="AI33" s="240"/>
      <c r="AL33" s="238">
        <f t="shared" si="8"/>
        <v>22</v>
      </c>
      <c r="AN33" s="239">
        <f t="shared" si="9"/>
        <v>3.0910424533583161</v>
      </c>
      <c r="AO33" s="240"/>
      <c r="AP33" s="240"/>
      <c r="AQ33" s="239"/>
      <c r="AR33" s="239"/>
      <c r="AS33" s="239">
        <f t="shared" si="11"/>
        <v>22</v>
      </c>
      <c r="AT33" s="239"/>
      <c r="AU33" s="239">
        <f t="shared" si="10"/>
        <v>3.0910424533583161</v>
      </c>
      <c r="AX33" s="239"/>
      <c r="AY33" s="239"/>
      <c r="AZ33" s="239"/>
      <c r="BA33" s="234"/>
      <c r="BB33" s="234"/>
      <c r="BC33" s="234">
        <f t="shared" si="12"/>
        <v>3.0910424533583161</v>
      </c>
      <c r="BD33" s="242"/>
      <c r="BE33" s="242"/>
      <c r="BF33" s="136"/>
      <c r="BG33" s="136"/>
      <c r="BH33" s="136"/>
      <c r="BI33" s="136"/>
    </row>
    <row r="34" spans="1:61" x14ac:dyDescent="0.2">
      <c r="A34" s="232" t="s">
        <v>195</v>
      </c>
      <c r="B34" s="232" t="s">
        <v>49</v>
      </c>
      <c r="C34" s="232" t="s">
        <v>57</v>
      </c>
      <c r="D34" s="232" t="s">
        <v>390</v>
      </c>
      <c r="E34" s="136">
        <v>6.3</v>
      </c>
      <c r="G34" s="136">
        <v>5.9</v>
      </c>
      <c r="H34" s="136">
        <v>20</v>
      </c>
      <c r="N34" s="234"/>
      <c r="O34" s="234">
        <v>320</v>
      </c>
      <c r="P34" s="234" t="s">
        <v>234</v>
      </c>
      <c r="Q34" s="234"/>
      <c r="R34" s="235">
        <v>1</v>
      </c>
      <c r="AG34" s="239">
        <f t="shared" si="7"/>
        <v>5.768320995793772</v>
      </c>
      <c r="AH34" s="240"/>
      <c r="AI34" s="240"/>
      <c r="AL34" s="238">
        <f t="shared" si="8"/>
        <v>320</v>
      </c>
      <c r="AN34" s="239">
        <f t="shared" si="9"/>
        <v>5.768320995793772</v>
      </c>
      <c r="AO34" s="240"/>
      <c r="AP34" s="240"/>
      <c r="AQ34" s="239"/>
      <c r="AR34" s="239"/>
      <c r="AS34" s="239">
        <f t="shared" si="11"/>
        <v>320</v>
      </c>
      <c r="AT34" s="239"/>
      <c r="AU34" s="239">
        <f t="shared" si="10"/>
        <v>5.768320995793772</v>
      </c>
      <c r="AX34" s="239"/>
      <c r="AY34" s="239"/>
      <c r="AZ34" s="239"/>
      <c r="BA34" s="234"/>
      <c r="BB34" s="234"/>
      <c r="BC34" s="234">
        <f t="shared" si="12"/>
        <v>5.768320995793772</v>
      </c>
      <c r="BD34" s="242"/>
      <c r="BE34" s="242"/>
      <c r="BF34" s="136"/>
      <c r="BG34" s="136"/>
      <c r="BH34" s="136"/>
      <c r="BI34" s="136"/>
    </row>
    <row r="35" spans="1:61" s="165" customFormat="1" x14ac:dyDescent="0.2">
      <c r="A35" s="156" t="s">
        <v>195</v>
      </c>
      <c r="B35" s="156" t="s">
        <v>49</v>
      </c>
      <c r="C35" s="156" t="s">
        <v>57</v>
      </c>
      <c r="D35" s="156"/>
      <c r="F35" s="160"/>
      <c r="I35" s="160"/>
      <c r="J35" s="160"/>
      <c r="K35" s="160"/>
      <c r="L35" s="160"/>
      <c r="M35" s="160"/>
      <c r="N35" s="166"/>
      <c r="O35" s="166">
        <v>25</v>
      </c>
      <c r="P35" s="166" t="s">
        <v>239</v>
      </c>
      <c r="Q35" s="166"/>
      <c r="R35" s="231">
        <v>1</v>
      </c>
      <c r="S35" s="163"/>
      <c r="T35" s="162"/>
      <c r="U35" s="163"/>
      <c r="V35" s="162"/>
      <c r="W35" s="162"/>
      <c r="X35" s="162"/>
      <c r="Y35" s="163"/>
      <c r="Z35" s="162"/>
      <c r="AA35" s="163"/>
      <c r="AB35" s="162"/>
      <c r="AC35" s="162"/>
      <c r="AD35" s="162"/>
      <c r="AE35" s="164"/>
      <c r="AG35" s="166">
        <f t="shared" si="7"/>
        <v>3.2188758248682006</v>
      </c>
      <c r="AH35" s="169"/>
      <c r="AI35" s="169"/>
      <c r="AL35" s="165">
        <f t="shared" si="8"/>
        <v>25</v>
      </c>
      <c r="AN35" s="166">
        <f t="shared" si="9"/>
        <v>3.2188758248682006</v>
      </c>
      <c r="AO35" s="169"/>
      <c r="AP35" s="169"/>
      <c r="AQ35" s="166"/>
      <c r="AR35" s="166"/>
      <c r="AS35" s="166">
        <f t="shared" si="11"/>
        <v>25</v>
      </c>
      <c r="AT35" s="166"/>
      <c r="AU35" s="166">
        <f t="shared" si="10"/>
        <v>3.2188758248682006</v>
      </c>
      <c r="AV35" s="167"/>
      <c r="AW35" s="167"/>
      <c r="AX35" s="166"/>
      <c r="AY35" s="166"/>
      <c r="AZ35" s="166"/>
      <c r="BA35" s="166"/>
      <c r="BB35" s="166"/>
      <c r="BC35" s="166">
        <f t="shared" si="12"/>
        <v>3.2188758248682006</v>
      </c>
      <c r="BD35" s="169"/>
      <c r="BE35" s="169"/>
    </row>
    <row r="36" spans="1:61" s="245" customFormat="1" x14ac:dyDescent="0.2">
      <c r="A36" s="244" t="s">
        <v>195</v>
      </c>
      <c r="B36" s="244" t="s">
        <v>49</v>
      </c>
      <c r="C36" s="244" t="s">
        <v>236</v>
      </c>
      <c r="D36" s="244"/>
      <c r="F36" s="246"/>
      <c r="I36" s="246"/>
      <c r="J36" s="246"/>
      <c r="K36" s="246"/>
      <c r="L36" s="246"/>
      <c r="M36" s="246"/>
      <c r="N36" s="247"/>
      <c r="O36" s="247">
        <v>50</v>
      </c>
      <c r="P36" s="247" t="s">
        <v>239</v>
      </c>
      <c r="Q36" s="247"/>
      <c r="R36" s="248">
        <v>1</v>
      </c>
      <c r="S36" s="249"/>
      <c r="T36" s="250"/>
      <c r="U36" s="249"/>
      <c r="V36" s="250"/>
      <c r="W36" s="250"/>
      <c r="X36" s="250"/>
      <c r="Y36" s="249"/>
      <c r="Z36" s="250"/>
      <c r="AA36" s="249"/>
      <c r="AB36" s="250"/>
      <c r="AC36" s="250"/>
      <c r="AD36" s="250"/>
      <c r="AE36" s="251"/>
      <c r="AG36" s="247">
        <f t="shared" si="7"/>
        <v>3.912023005428146</v>
      </c>
      <c r="AH36" s="252"/>
      <c r="AI36" s="252"/>
      <c r="AL36" s="245">
        <f t="shared" si="8"/>
        <v>50</v>
      </c>
      <c r="AN36" s="247">
        <f t="shared" si="9"/>
        <v>3.912023005428146</v>
      </c>
      <c r="AO36" s="252"/>
      <c r="AP36" s="252"/>
      <c r="AQ36" s="247"/>
      <c r="AR36" s="247"/>
      <c r="AS36" s="247">
        <f t="shared" si="11"/>
        <v>50</v>
      </c>
      <c r="AT36" s="247"/>
      <c r="AU36" s="247">
        <f t="shared" si="10"/>
        <v>3.912023005428146</v>
      </c>
      <c r="AV36" s="253"/>
      <c r="AW36" s="253"/>
      <c r="AX36" s="247"/>
      <c r="AY36" s="247"/>
      <c r="AZ36" s="247"/>
      <c r="BA36" s="247"/>
      <c r="BB36" s="247"/>
      <c r="BC36" s="247">
        <f t="shared" si="12"/>
        <v>3.912023005428146</v>
      </c>
      <c r="BD36" s="252"/>
      <c r="BE36" s="252"/>
    </row>
    <row r="37" spans="1:61" s="165" customFormat="1" x14ac:dyDescent="0.2">
      <c r="A37" s="156" t="s">
        <v>195</v>
      </c>
      <c r="B37" s="156" t="s">
        <v>49</v>
      </c>
      <c r="C37" s="156" t="s">
        <v>237</v>
      </c>
      <c r="D37" s="156"/>
      <c r="F37" s="160"/>
      <c r="I37" s="160"/>
      <c r="J37" s="160"/>
      <c r="K37" s="160"/>
      <c r="L37" s="160"/>
      <c r="M37" s="160"/>
      <c r="N37" s="166"/>
      <c r="O37" s="166">
        <v>25</v>
      </c>
      <c r="P37" s="166" t="s">
        <v>239</v>
      </c>
      <c r="Q37" s="166"/>
      <c r="R37" s="231">
        <v>1</v>
      </c>
      <c r="S37" s="163"/>
      <c r="T37" s="162"/>
      <c r="U37" s="163"/>
      <c r="V37" s="162"/>
      <c r="W37" s="162"/>
      <c r="X37" s="162"/>
      <c r="Y37" s="163"/>
      <c r="Z37" s="162"/>
      <c r="AA37" s="163"/>
      <c r="AB37" s="162"/>
      <c r="AC37" s="162"/>
      <c r="AD37" s="162"/>
      <c r="AE37" s="164"/>
      <c r="AG37" s="166">
        <f t="shared" si="7"/>
        <v>3.2188758248682006</v>
      </c>
      <c r="AH37" s="169"/>
      <c r="AI37" s="169"/>
      <c r="AL37" s="165">
        <f t="shared" si="8"/>
        <v>25</v>
      </c>
      <c r="AN37" s="166">
        <f t="shared" si="9"/>
        <v>3.2188758248682006</v>
      </c>
      <c r="AO37" s="169"/>
      <c r="AP37" s="169"/>
      <c r="AQ37" s="166"/>
      <c r="AR37" s="166"/>
      <c r="AS37" s="166">
        <f t="shared" si="11"/>
        <v>25</v>
      </c>
      <c r="AT37" s="166"/>
      <c r="AU37" s="166">
        <f t="shared" si="10"/>
        <v>3.2188758248682006</v>
      </c>
      <c r="AV37" s="167"/>
      <c r="AW37" s="167"/>
      <c r="AX37" s="166"/>
      <c r="AY37" s="166"/>
      <c r="AZ37" s="166"/>
      <c r="BA37" s="166"/>
      <c r="BB37" s="166"/>
      <c r="BC37" s="166">
        <f t="shared" si="12"/>
        <v>3.2188758248682006</v>
      </c>
      <c r="BD37" s="169"/>
      <c r="BE37" s="169"/>
    </row>
    <row r="38" spans="1:61" s="179" customFormat="1" ht="13.5" thickBot="1" x14ac:dyDescent="0.25">
      <c r="A38" s="170" t="s">
        <v>195</v>
      </c>
      <c r="B38" s="170" t="s">
        <v>49</v>
      </c>
      <c r="C38" s="170" t="s">
        <v>238</v>
      </c>
      <c r="D38" s="170"/>
      <c r="F38" s="174"/>
      <c r="I38" s="174"/>
      <c r="J38" s="174"/>
      <c r="K38" s="174"/>
      <c r="L38" s="174"/>
      <c r="M38" s="174"/>
      <c r="N38" s="180"/>
      <c r="O38" s="180">
        <v>0.3</v>
      </c>
      <c r="P38" s="180" t="s">
        <v>240</v>
      </c>
      <c r="Q38" s="180"/>
      <c r="R38" s="243">
        <v>1</v>
      </c>
      <c r="S38" s="177"/>
      <c r="T38" s="176"/>
      <c r="U38" s="177"/>
      <c r="V38" s="176"/>
      <c r="W38" s="176"/>
      <c r="X38" s="176"/>
      <c r="Y38" s="177"/>
      <c r="Z38" s="176"/>
      <c r="AA38" s="177"/>
      <c r="AB38" s="176"/>
      <c r="AC38" s="176"/>
      <c r="AD38" s="176"/>
      <c r="AE38" s="178"/>
      <c r="AG38" s="180">
        <f t="shared" si="7"/>
        <v>-1.2039728043259361</v>
      </c>
      <c r="AH38" s="183"/>
      <c r="AI38" s="183"/>
      <c r="AL38" s="179">
        <f t="shared" si="8"/>
        <v>0.3</v>
      </c>
      <c r="AN38" s="180">
        <f t="shared" si="9"/>
        <v>-1.2039728043259361</v>
      </c>
      <c r="AO38" s="183"/>
      <c r="AP38" s="183"/>
      <c r="AQ38" s="180"/>
      <c r="AR38" s="180"/>
      <c r="AS38" s="180">
        <f t="shared" si="11"/>
        <v>0.3</v>
      </c>
      <c r="AT38" s="180"/>
      <c r="AU38" s="180">
        <f t="shared" si="10"/>
        <v>-1.2039728043259361</v>
      </c>
      <c r="AV38" s="181"/>
      <c r="AW38" s="181"/>
      <c r="AX38" s="180"/>
      <c r="AY38" s="180"/>
      <c r="AZ38" s="180"/>
      <c r="BA38" s="180"/>
      <c r="BB38" s="180"/>
      <c r="BC38" s="180">
        <f t="shared" si="12"/>
        <v>-1.2039728043259361</v>
      </c>
      <c r="BD38" s="183"/>
      <c r="BE38" s="183"/>
    </row>
    <row r="39" spans="1:61" ht="13.5" thickTop="1" x14ac:dyDescent="0.2">
      <c r="A39" s="232" t="s">
        <v>195</v>
      </c>
      <c r="B39" s="232" t="s">
        <v>260</v>
      </c>
      <c r="C39" s="232" t="s">
        <v>341</v>
      </c>
      <c r="D39" s="232" t="s">
        <v>69</v>
      </c>
      <c r="E39" s="136">
        <v>7.4</v>
      </c>
      <c r="G39" s="136">
        <v>5.7</v>
      </c>
      <c r="H39" s="136">
        <v>24</v>
      </c>
      <c r="N39" s="234"/>
      <c r="O39" s="234">
        <v>50</v>
      </c>
      <c r="P39" s="234" t="s">
        <v>241</v>
      </c>
      <c r="Q39" s="234"/>
      <c r="R39" s="235">
        <v>1</v>
      </c>
      <c r="AG39" s="239">
        <f t="shared" si="7"/>
        <v>3.912023005428146</v>
      </c>
      <c r="AH39" s="240"/>
      <c r="AI39" s="240"/>
      <c r="AL39" s="238">
        <f t="shared" si="8"/>
        <v>50</v>
      </c>
      <c r="AN39" s="239">
        <f t="shared" si="9"/>
        <v>3.912023005428146</v>
      </c>
      <c r="AO39" s="240"/>
      <c r="AP39" s="240"/>
      <c r="AQ39" s="239"/>
      <c r="AR39" s="239"/>
      <c r="AS39" s="239">
        <f t="shared" si="11"/>
        <v>50</v>
      </c>
      <c r="AT39" s="239"/>
      <c r="AU39" s="239">
        <f t="shared" si="10"/>
        <v>3.912023005428146</v>
      </c>
      <c r="AX39" s="239"/>
      <c r="AY39" s="239"/>
      <c r="AZ39" s="239"/>
      <c r="BA39" s="234"/>
      <c r="BB39" s="234"/>
      <c r="BC39" s="234">
        <f t="shared" si="12"/>
        <v>3.912023005428146</v>
      </c>
      <c r="BD39" s="242"/>
      <c r="BE39" s="242"/>
      <c r="BF39" s="136"/>
      <c r="BG39" s="136"/>
      <c r="BH39" s="136"/>
      <c r="BI39" s="136"/>
    </row>
    <row r="40" spans="1:61" x14ac:dyDescent="0.2">
      <c r="A40" s="232" t="s">
        <v>195</v>
      </c>
      <c r="B40" s="232" t="s">
        <v>260</v>
      </c>
      <c r="C40" s="232" t="s">
        <v>341</v>
      </c>
      <c r="D40" s="232" t="s">
        <v>69</v>
      </c>
      <c r="E40" s="136">
        <v>7.4</v>
      </c>
      <c r="G40" s="136">
        <v>5.7</v>
      </c>
      <c r="H40" s="136">
        <v>24</v>
      </c>
      <c r="N40" s="234"/>
      <c r="O40" s="234">
        <v>10</v>
      </c>
      <c r="P40" s="234" t="s">
        <v>241</v>
      </c>
      <c r="Q40" s="234"/>
      <c r="R40" s="235">
        <v>1</v>
      </c>
      <c r="AG40" s="239">
        <f t="shared" si="7"/>
        <v>2.3025850929940459</v>
      </c>
      <c r="AH40" s="240"/>
      <c r="AI40" s="240"/>
      <c r="AL40" s="238">
        <f t="shared" si="8"/>
        <v>10</v>
      </c>
      <c r="AN40" s="239">
        <f t="shared" si="9"/>
        <v>2.3025850929940459</v>
      </c>
      <c r="AO40" s="240"/>
      <c r="AP40" s="240"/>
      <c r="AQ40" s="239"/>
      <c r="AR40" s="239"/>
      <c r="AS40" s="239">
        <f t="shared" si="11"/>
        <v>10</v>
      </c>
      <c r="AT40" s="239"/>
      <c r="AU40" s="239">
        <f t="shared" si="10"/>
        <v>2.3025850929940459</v>
      </c>
      <c r="AX40" s="239"/>
      <c r="AY40" s="239"/>
      <c r="AZ40" s="239"/>
      <c r="BA40" s="234"/>
      <c r="BB40" s="234"/>
      <c r="BC40" s="234">
        <f t="shared" si="12"/>
        <v>2.3025850929940459</v>
      </c>
      <c r="BD40" s="242"/>
      <c r="BE40" s="242"/>
      <c r="BF40" s="136"/>
      <c r="BG40" s="136"/>
      <c r="BH40" s="136"/>
      <c r="BI40" s="136"/>
    </row>
    <row r="41" spans="1:61" x14ac:dyDescent="0.2">
      <c r="A41" s="232" t="s">
        <v>195</v>
      </c>
      <c r="B41" s="232" t="s">
        <v>260</v>
      </c>
      <c r="C41" s="232" t="s">
        <v>341</v>
      </c>
      <c r="D41" s="232" t="s">
        <v>69</v>
      </c>
      <c r="E41" s="136">
        <v>7.6</v>
      </c>
      <c r="G41" s="136">
        <v>2.9</v>
      </c>
      <c r="H41" s="136">
        <v>19</v>
      </c>
      <c r="N41" s="234"/>
      <c r="O41" s="234">
        <v>50</v>
      </c>
      <c r="P41" s="234" t="s">
        <v>241</v>
      </c>
      <c r="Q41" s="234"/>
      <c r="R41" s="235">
        <v>1</v>
      </c>
      <c r="AG41" s="239">
        <f t="shared" si="7"/>
        <v>3.912023005428146</v>
      </c>
      <c r="AH41" s="240"/>
      <c r="AI41" s="240"/>
      <c r="AL41" s="238">
        <f t="shared" si="8"/>
        <v>50</v>
      </c>
      <c r="AN41" s="239">
        <f t="shared" si="9"/>
        <v>3.912023005428146</v>
      </c>
      <c r="AO41" s="240"/>
      <c r="AP41" s="240"/>
      <c r="AQ41" s="239"/>
      <c r="AR41" s="239"/>
      <c r="AS41" s="239">
        <f t="shared" si="11"/>
        <v>50</v>
      </c>
      <c r="AT41" s="239"/>
      <c r="AU41" s="239">
        <f t="shared" si="10"/>
        <v>3.912023005428146</v>
      </c>
      <c r="AX41" s="239"/>
      <c r="AY41" s="239"/>
      <c r="AZ41" s="239"/>
      <c r="BA41" s="234"/>
      <c r="BB41" s="234"/>
      <c r="BC41" s="234">
        <f t="shared" si="12"/>
        <v>3.912023005428146</v>
      </c>
      <c r="BD41" s="242"/>
      <c r="BE41" s="242"/>
      <c r="BF41" s="136"/>
      <c r="BG41" s="136"/>
      <c r="BH41" s="136"/>
      <c r="BI41" s="136"/>
    </row>
    <row r="42" spans="1:61" s="165" customFormat="1" x14ac:dyDescent="0.2">
      <c r="A42" s="156" t="s">
        <v>195</v>
      </c>
      <c r="B42" s="156" t="s">
        <v>260</v>
      </c>
      <c r="C42" s="156" t="s">
        <v>341</v>
      </c>
      <c r="D42" s="156" t="s">
        <v>69</v>
      </c>
      <c r="E42" s="165">
        <v>7.6</v>
      </c>
      <c r="F42" s="160"/>
      <c r="G42" s="165">
        <v>2.9</v>
      </c>
      <c r="H42" s="165">
        <v>19</v>
      </c>
      <c r="I42" s="160"/>
      <c r="J42" s="160"/>
      <c r="K42" s="160"/>
      <c r="L42" s="160"/>
      <c r="M42" s="160"/>
      <c r="N42" s="166"/>
      <c r="O42" s="166">
        <v>100</v>
      </c>
      <c r="P42" s="166" t="s">
        <v>241</v>
      </c>
      <c r="Q42" s="166"/>
      <c r="R42" s="231">
        <v>1</v>
      </c>
      <c r="S42" s="163"/>
      <c r="T42" s="162"/>
      <c r="U42" s="163"/>
      <c r="V42" s="162"/>
      <c r="W42" s="162"/>
      <c r="X42" s="162"/>
      <c r="Y42" s="163"/>
      <c r="Z42" s="162"/>
      <c r="AA42" s="163"/>
      <c r="AB42" s="162"/>
      <c r="AC42" s="162"/>
      <c r="AD42" s="162"/>
      <c r="AE42" s="164"/>
      <c r="AG42" s="166">
        <f t="shared" si="7"/>
        <v>4.6051701859880918</v>
      </c>
      <c r="AH42" s="169"/>
      <c r="AI42" s="169"/>
      <c r="AL42" s="165">
        <f t="shared" si="8"/>
        <v>100</v>
      </c>
      <c r="AN42" s="166">
        <f t="shared" si="9"/>
        <v>4.6051701859880918</v>
      </c>
      <c r="AO42" s="169"/>
      <c r="AP42" s="169"/>
      <c r="AQ42" s="166"/>
      <c r="AR42" s="166"/>
      <c r="AS42" s="166">
        <f t="shared" si="11"/>
        <v>100</v>
      </c>
      <c r="AT42" s="166"/>
      <c r="AU42" s="166">
        <f t="shared" si="10"/>
        <v>4.6051701859880918</v>
      </c>
      <c r="AV42" s="167"/>
      <c r="AW42" s="167"/>
      <c r="AX42" s="166"/>
      <c r="AY42" s="166"/>
      <c r="AZ42" s="166"/>
      <c r="BA42" s="166"/>
      <c r="BB42" s="166"/>
      <c r="BC42" s="166">
        <f t="shared" si="12"/>
        <v>4.6051701859880918</v>
      </c>
      <c r="BD42" s="169"/>
      <c r="BE42" s="169"/>
    </row>
    <row r="43" spans="1:61" x14ac:dyDescent="0.2">
      <c r="A43" s="232" t="s">
        <v>195</v>
      </c>
      <c r="B43" s="232" t="s">
        <v>260</v>
      </c>
      <c r="C43" s="232" t="s">
        <v>341</v>
      </c>
      <c r="D43" s="232" t="s">
        <v>68</v>
      </c>
      <c r="E43" s="136">
        <v>4.5</v>
      </c>
      <c r="G43" s="136">
        <v>13.6</v>
      </c>
      <c r="H43" s="136">
        <v>5</v>
      </c>
      <c r="N43" s="234"/>
      <c r="O43" s="234">
        <v>400</v>
      </c>
      <c r="P43" s="234" t="s">
        <v>242</v>
      </c>
      <c r="Q43" s="234"/>
      <c r="R43" s="235">
        <v>1</v>
      </c>
      <c r="AG43" s="239">
        <f t="shared" si="7"/>
        <v>5.9914645471079817</v>
      </c>
      <c r="AH43" s="240"/>
      <c r="AI43" s="240"/>
      <c r="AL43" s="238">
        <f t="shared" si="8"/>
        <v>400</v>
      </c>
      <c r="AN43" s="239">
        <f t="shared" si="9"/>
        <v>5.9914645471079817</v>
      </c>
      <c r="AO43" s="240"/>
      <c r="AP43" s="240"/>
      <c r="AQ43" s="239"/>
      <c r="AR43" s="239"/>
      <c r="AS43" s="239">
        <f t="shared" si="11"/>
        <v>400</v>
      </c>
      <c r="AT43" s="239"/>
      <c r="AU43" s="239">
        <f t="shared" si="10"/>
        <v>5.9914645471079817</v>
      </c>
      <c r="AX43" s="239"/>
      <c r="AY43" s="239"/>
      <c r="AZ43" s="239"/>
      <c r="BA43" s="234"/>
      <c r="BB43" s="234"/>
      <c r="BC43" s="234">
        <f t="shared" si="12"/>
        <v>5.9914645471079817</v>
      </c>
      <c r="BD43" s="242"/>
      <c r="BE43" s="242"/>
      <c r="BF43" s="136"/>
      <c r="BG43" s="136"/>
      <c r="BH43" s="136"/>
      <c r="BI43" s="136"/>
    </row>
    <row r="44" spans="1:61" x14ac:dyDescent="0.2">
      <c r="A44" s="232" t="s">
        <v>195</v>
      </c>
      <c r="B44" s="232" t="s">
        <v>260</v>
      </c>
      <c r="C44" s="232" t="s">
        <v>341</v>
      </c>
      <c r="D44" s="232" t="s">
        <v>68</v>
      </c>
      <c r="E44" s="136">
        <v>5.6</v>
      </c>
      <c r="G44" s="136">
        <v>1</v>
      </c>
      <c r="H44" s="136">
        <v>7</v>
      </c>
      <c r="N44" s="234"/>
      <c r="O44" s="234">
        <v>14.3</v>
      </c>
      <c r="P44" s="234" t="s">
        <v>231</v>
      </c>
      <c r="Q44" s="234"/>
      <c r="R44" s="235">
        <v>1</v>
      </c>
      <c r="AG44" s="239">
        <f t="shared" si="7"/>
        <v>2.6602595372658615</v>
      </c>
      <c r="AH44" s="240"/>
      <c r="AI44" s="240"/>
      <c r="AL44" s="238">
        <f t="shared" si="8"/>
        <v>14.3</v>
      </c>
      <c r="AN44" s="239">
        <f t="shared" si="9"/>
        <v>2.6602595372658615</v>
      </c>
      <c r="AO44" s="240"/>
      <c r="AP44" s="240"/>
      <c r="AQ44" s="239"/>
      <c r="AR44" s="239"/>
      <c r="AS44" s="239">
        <f t="shared" si="11"/>
        <v>14.3</v>
      </c>
      <c r="AT44" s="239"/>
      <c r="AU44" s="239">
        <f t="shared" si="10"/>
        <v>2.6602595372658615</v>
      </c>
      <c r="AX44" s="239"/>
      <c r="AY44" s="239"/>
      <c r="AZ44" s="239"/>
      <c r="BA44" s="234"/>
      <c r="BB44" s="234"/>
      <c r="BC44" s="234">
        <f t="shared" si="12"/>
        <v>2.6602595372658615</v>
      </c>
      <c r="BD44" s="242"/>
      <c r="BE44" s="242"/>
      <c r="BF44" s="136"/>
      <c r="BG44" s="136"/>
      <c r="BH44" s="136"/>
      <c r="BI44" s="136"/>
    </row>
    <row r="45" spans="1:61" x14ac:dyDescent="0.2">
      <c r="A45" s="232" t="s">
        <v>195</v>
      </c>
      <c r="B45" s="232" t="s">
        <v>260</v>
      </c>
      <c r="C45" s="232" t="s">
        <v>341</v>
      </c>
      <c r="D45" s="232" t="s">
        <v>68</v>
      </c>
      <c r="E45" s="136">
        <v>5.8</v>
      </c>
      <c r="G45" s="136">
        <v>2.7</v>
      </c>
      <c r="H45" s="136">
        <v>16</v>
      </c>
      <c r="N45" s="234"/>
      <c r="O45" s="234">
        <v>14.6</v>
      </c>
      <c r="P45" s="234" t="s">
        <v>243</v>
      </c>
      <c r="Q45" s="234"/>
      <c r="R45" s="235">
        <v>1</v>
      </c>
      <c r="AG45" s="239">
        <f t="shared" si="7"/>
        <v>2.6810215287142909</v>
      </c>
      <c r="AH45" s="240"/>
      <c r="AI45" s="240"/>
      <c r="AL45" s="238">
        <f t="shared" si="8"/>
        <v>14.6</v>
      </c>
      <c r="AN45" s="239">
        <f t="shared" si="9"/>
        <v>2.6810215287142909</v>
      </c>
      <c r="AO45" s="240"/>
      <c r="AP45" s="240"/>
      <c r="AQ45" s="239"/>
      <c r="AR45" s="239"/>
      <c r="AS45" s="239">
        <f t="shared" si="11"/>
        <v>14.6</v>
      </c>
      <c r="AT45" s="239"/>
      <c r="AU45" s="239">
        <f t="shared" si="10"/>
        <v>2.6810215287142909</v>
      </c>
      <c r="AX45" s="239"/>
      <c r="AY45" s="239"/>
      <c r="AZ45" s="239"/>
      <c r="BA45" s="234"/>
      <c r="BB45" s="234"/>
      <c r="BC45" s="234">
        <f t="shared" si="12"/>
        <v>2.6810215287142909</v>
      </c>
      <c r="BD45" s="242"/>
      <c r="BE45" s="242"/>
      <c r="BF45" s="136"/>
      <c r="BG45" s="136"/>
      <c r="BH45" s="136"/>
      <c r="BI45" s="136"/>
    </row>
    <row r="46" spans="1:61" x14ac:dyDescent="0.2">
      <c r="A46" s="232" t="s">
        <v>195</v>
      </c>
      <c r="B46" s="232" t="s">
        <v>260</v>
      </c>
      <c r="C46" s="232" t="s">
        <v>341</v>
      </c>
      <c r="D46" s="232" t="s">
        <v>68</v>
      </c>
      <c r="E46" s="136">
        <v>6</v>
      </c>
      <c r="G46" s="136">
        <v>6.1</v>
      </c>
      <c r="H46" s="136">
        <v>9</v>
      </c>
      <c r="N46" s="234"/>
      <c r="O46" s="234">
        <v>150</v>
      </c>
      <c r="P46" s="234" t="s">
        <v>242</v>
      </c>
      <c r="Q46" s="234"/>
      <c r="R46" s="235">
        <v>1</v>
      </c>
      <c r="AG46" s="239">
        <f t="shared" si="7"/>
        <v>5.0106352940962555</v>
      </c>
      <c r="AH46" s="240"/>
      <c r="AI46" s="240"/>
      <c r="AL46" s="238">
        <f t="shared" si="8"/>
        <v>150</v>
      </c>
      <c r="AN46" s="239">
        <f t="shared" si="9"/>
        <v>5.0106352940962555</v>
      </c>
      <c r="AO46" s="240"/>
      <c r="AP46" s="240"/>
      <c r="AQ46" s="239"/>
      <c r="AR46" s="239"/>
      <c r="AS46" s="239">
        <f t="shared" si="11"/>
        <v>150</v>
      </c>
      <c r="AT46" s="239"/>
      <c r="AU46" s="239">
        <f t="shared" si="10"/>
        <v>5.0106352940962555</v>
      </c>
      <c r="AX46" s="239"/>
      <c r="AY46" s="239"/>
      <c r="AZ46" s="239"/>
      <c r="BA46" s="234"/>
      <c r="BB46" s="234"/>
      <c r="BC46" s="234">
        <f t="shared" si="12"/>
        <v>5.0106352940962555</v>
      </c>
      <c r="BD46" s="242"/>
      <c r="BE46" s="242"/>
      <c r="BF46" s="136"/>
      <c r="BG46" s="136"/>
      <c r="BH46" s="136"/>
      <c r="BI46" s="136"/>
    </row>
    <row r="47" spans="1:61" x14ac:dyDescent="0.2">
      <c r="A47" s="232" t="s">
        <v>195</v>
      </c>
      <c r="B47" s="232" t="s">
        <v>260</v>
      </c>
      <c r="C47" s="232" t="s">
        <v>341</v>
      </c>
      <c r="D47" s="232" t="s">
        <v>68</v>
      </c>
      <c r="E47" s="136">
        <v>6.9</v>
      </c>
      <c r="G47" s="136">
        <v>1.3</v>
      </c>
      <c r="H47" s="136">
        <v>21</v>
      </c>
      <c r="N47" s="234"/>
      <c r="O47" s="234">
        <v>3.6</v>
      </c>
      <c r="P47" s="234" t="s">
        <v>231</v>
      </c>
      <c r="Q47" s="234"/>
      <c r="R47" s="235">
        <v>1</v>
      </c>
      <c r="AG47" s="239">
        <f t="shared" si="7"/>
        <v>1.2809338454620642</v>
      </c>
      <c r="AH47" s="240"/>
      <c r="AI47" s="240"/>
      <c r="AL47" s="238">
        <f t="shared" si="8"/>
        <v>3.6</v>
      </c>
      <c r="AN47" s="239">
        <f t="shared" si="9"/>
        <v>1.2809338454620642</v>
      </c>
      <c r="AO47" s="240"/>
      <c r="AP47" s="240"/>
      <c r="AQ47" s="239"/>
      <c r="AR47" s="239"/>
      <c r="AS47" s="239">
        <f t="shared" si="11"/>
        <v>3.6</v>
      </c>
      <c r="AT47" s="239"/>
      <c r="AU47" s="239">
        <f t="shared" si="10"/>
        <v>1.2809338454620642</v>
      </c>
      <c r="AX47" s="239"/>
      <c r="AY47" s="239"/>
      <c r="AZ47" s="239"/>
      <c r="BA47" s="234"/>
      <c r="BB47" s="234"/>
      <c r="BC47" s="234">
        <f t="shared" si="12"/>
        <v>1.2809338454620642</v>
      </c>
      <c r="BD47" s="242"/>
      <c r="BE47" s="242"/>
      <c r="BF47" s="136"/>
      <c r="BG47" s="136"/>
      <c r="BH47" s="136"/>
      <c r="BI47" s="136"/>
    </row>
    <row r="48" spans="1:61" x14ac:dyDescent="0.2">
      <c r="A48" s="232" t="s">
        <v>195</v>
      </c>
      <c r="B48" s="232" t="s">
        <v>260</v>
      </c>
      <c r="C48" s="232" t="s">
        <v>341</v>
      </c>
      <c r="D48" s="232" t="s">
        <v>68</v>
      </c>
      <c r="E48" s="136">
        <v>7</v>
      </c>
      <c r="G48" s="136">
        <v>1.5</v>
      </c>
      <c r="H48" s="136">
        <v>3</v>
      </c>
      <c r="N48" s="234"/>
      <c r="O48" s="234">
        <v>3.6</v>
      </c>
      <c r="P48" s="234" t="s">
        <v>231</v>
      </c>
      <c r="Q48" s="234"/>
      <c r="R48" s="235">
        <v>1</v>
      </c>
      <c r="AG48" s="239">
        <f t="shared" si="7"/>
        <v>1.2809338454620642</v>
      </c>
      <c r="AH48" s="240"/>
      <c r="AI48" s="240"/>
      <c r="AL48" s="238">
        <f t="shared" si="8"/>
        <v>3.6</v>
      </c>
      <c r="AN48" s="239">
        <f t="shared" si="9"/>
        <v>1.2809338454620642</v>
      </c>
      <c r="AO48" s="240"/>
      <c r="AP48" s="240"/>
      <c r="AQ48" s="239"/>
      <c r="AR48" s="239"/>
      <c r="AS48" s="239">
        <f t="shared" si="11"/>
        <v>3.6</v>
      </c>
      <c r="AT48" s="239"/>
      <c r="AU48" s="239">
        <f t="shared" si="10"/>
        <v>1.2809338454620642</v>
      </c>
      <c r="AX48" s="239"/>
      <c r="AY48" s="239"/>
      <c r="AZ48" s="239"/>
      <c r="BA48" s="234"/>
      <c r="BB48" s="234"/>
      <c r="BC48" s="234">
        <f t="shared" si="12"/>
        <v>1.2809338454620642</v>
      </c>
      <c r="BD48" s="242"/>
      <c r="BE48" s="242"/>
      <c r="BF48" s="136"/>
      <c r="BG48" s="136"/>
      <c r="BH48" s="136"/>
      <c r="BI48" s="136"/>
    </row>
    <row r="49" spans="1:62" x14ac:dyDescent="0.2">
      <c r="A49" s="232" t="s">
        <v>195</v>
      </c>
      <c r="B49" s="232" t="s">
        <v>260</v>
      </c>
      <c r="C49" s="232" t="s">
        <v>341</v>
      </c>
      <c r="D49" s="232" t="s">
        <v>68</v>
      </c>
      <c r="E49" s="136">
        <v>7.5</v>
      </c>
      <c r="G49" s="136">
        <v>3.4</v>
      </c>
      <c r="H49" s="136">
        <v>60</v>
      </c>
      <c r="N49" s="234"/>
      <c r="O49" s="234">
        <v>150</v>
      </c>
      <c r="P49" s="234" t="s">
        <v>244</v>
      </c>
      <c r="Q49" s="234"/>
      <c r="R49" s="235">
        <v>1</v>
      </c>
      <c r="AG49" s="239">
        <f t="shared" si="7"/>
        <v>5.0106352940962555</v>
      </c>
      <c r="AH49" s="240"/>
      <c r="AI49" s="240"/>
      <c r="AL49" s="238">
        <f t="shared" si="8"/>
        <v>150</v>
      </c>
      <c r="AN49" s="239">
        <f t="shared" si="9"/>
        <v>5.0106352940962555</v>
      </c>
      <c r="AO49" s="240"/>
      <c r="AP49" s="240"/>
      <c r="AQ49" s="239"/>
      <c r="AR49" s="239"/>
      <c r="AS49" s="239">
        <f t="shared" si="11"/>
        <v>150</v>
      </c>
      <c r="AT49" s="239"/>
      <c r="AU49" s="239">
        <f t="shared" si="10"/>
        <v>5.0106352940962555</v>
      </c>
      <c r="AX49" s="239"/>
      <c r="AY49" s="239"/>
      <c r="AZ49" s="239"/>
      <c r="BA49" s="234"/>
      <c r="BB49" s="234"/>
      <c r="BC49" s="234">
        <f t="shared" si="12"/>
        <v>5.0106352940962555</v>
      </c>
      <c r="BD49" s="242"/>
      <c r="BE49" s="242"/>
      <c r="BF49" s="136"/>
      <c r="BG49" s="136"/>
      <c r="BH49" s="136"/>
      <c r="BI49" s="136"/>
    </row>
    <row r="50" spans="1:62" x14ac:dyDescent="0.2">
      <c r="A50" s="232" t="s">
        <v>195</v>
      </c>
      <c r="B50" s="232" t="s">
        <v>260</v>
      </c>
      <c r="C50" s="232" t="s">
        <v>341</v>
      </c>
      <c r="D50" s="232" t="s">
        <v>68</v>
      </c>
      <c r="E50" s="136">
        <v>7.5</v>
      </c>
      <c r="G50" s="136">
        <v>3.4</v>
      </c>
      <c r="H50" s="136">
        <v>60</v>
      </c>
      <c r="N50" s="234"/>
      <c r="O50" s="234">
        <v>3000</v>
      </c>
      <c r="P50" s="234" t="s">
        <v>242</v>
      </c>
      <c r="Q50" s="234"/>
      <c r="R50" s="235">
        <v>1</v>
      </c>
      <c r="AG50" s="239">
        <f t="shared" si="7"/>
        <v>8.0063675676502459</v>
      </c>
      <c r="AH50" s="240"/>
      <c r="AI50" s="240"/>
      <c r="AL50" s="238">
        <f t="shared" si="8"/>
        <v>3000</v>
      </c>
      <c r="AN50" s="239">
        <f t="shared" si="9"/>
        <v>8.0063675676502459</v>
      </c>
      <c r="AO50" s="240"/>
      <c r="AP50" s="240"/>
      <c r="AQ50" s="239"/>
      <c r="AR50" s="239"/>
      <c r="AS50" s="239">
        <f t="shared" si="11"/>
        <v>3000</v>
      </c>
      <c r="AT50" s="239"/>
      <c r="AU50" s="239">
        <f t="shared" si="10"/>
        <v>8.0063675676502459</v>
      </c>
      <c r="AX50" s="239"/>
      <c r="AY50" s="239"/>
      <c r="AZ50" s="239"/>
      <c r="BA50" s="234"/>
      <c r="BB50" s="234"/>
      <c r="BC50" s="234">
        <f t="shared" si="12"/>
        <v>8.0063675676502459</v>
      </c>
      <c r="BD50" s="242"/>
      <c r="BE50" s="242"/>
      <c r="BF50" s="136"/>
      <c r="BG50" s="136"/>
      <c r="BH50" s="136"/>
      <c r="BI50" s="136"/>
    </row>
    <row r="51" spans="1:62" x14ac:dyDescent="0.2">
      <c r="A51" s="232" t="s">
        <v>195</v>
      </c>
      <c r="B51" s="232" t="s">
        <v>260</v>
      </c>
      <c r="C51" s="232" t="s">
        <v>341</v>
      </c>
      <c r="D51" s="232" t="s">
        <v>68</v>
      </c>
      <c r="E51" s="136">
        <v>7.7</v>
      </c>
      <c r="G51" s="136">
        <v>2.6</v>
      </c>
      <c r="H51" s="136">
        <v>19</v>
      </c>
      <c r="N51" s="234"/>
      <c r="O51" s="234">
        <v>55</v>
      </c>
      <c r="P51" s="234" t="s">
        <v>244</v>
      </c>
      <c r="Q51" s="234"/>
      <c r="R51" s="235">
        <v>1</v>
      </c>
      <c r="AG51" s="239">
        <f t="shared" si="7"/>
        <v>4.0073331852324712</v>
      </c>
      <c r="AH51" s="240"/>
      <c r="AI51" s="240"/>
      <c r="AL51" s="238">
        <f t="shared" si="8"/>
        <v>55</v>
      </c>
      <c r="AN51" s="239">
        <f t="shared" si="9"/>
        <v>4.0073331852324712</v>
      </c>
      <c r="AO51" s="240"/>
      <c r="AP51" s="240"/>
      <c r="AQ51" s="239"/>
      <c r="AR51" s="239"/>
      <c r="AS51" s="239">
        <f t="shared" si="11"/>
        <v>55</v>
      </c>
      <c r="AT51" s="239"/>
      <c r="AU51" s="239">
        <f t="shared" si="10"/>
        <v>4.0073331852324712</v>
      </c>
      <c r="AX51" s="239"/>
      <c r="AY51" s="239"/>
      <c r="AZ51" s="239"/>
      <c r="BA51" s="234"/>
      <c r="BB51" s="234"/>
      <c r="BC51" s="234">
        <f t="shared" si="12"/>
        <v>4.0073331852324712</v>
      </c>
      <c r="BD51" s="242"/>
      <c r="BE51" s="242"/>
      <c r="BF51" s="136"/>
      <c r="BG51" s="136"/>
      <c r="BH51" s="136"/>
      <c r="BI51" s="136"/>
    </row>
    <row r="52" spans="1:62" s="255" customFormat="1" ht="13.5" thickBot="1" x14ac:dyDescent="0.25">
      <c r="A52" s="254" t="s">
        <v>195</v>
      </c>
      <c r="B52" s="254" t="s">
        <v>260</v>
      </c>
      <c r="C52" s="254" t="s">
        <v>341</v>
      </c>
      <c r="D52" s="254" t="s">
        <v>68</v>
      </c>
      <c r="E52" s="255">
        <v>7.7</v>
      </c>
      <c r="F52" s="256"/>
      <c r="G52" s="255">
        <v>2.6</v>
      </c>
      <c r="H52" s="255">
        <v>19</v>
      </c>
      <c r="I52" s="256"/>
      <c r="J52" s="256"/>
      <c r="K52" s="256"/>
      <c r="L52" s="256"/>
      <c r="M52" s="256"/>
      <c r="N52" s="257"/>
      <c r="O52" s="257">
        <v>150</v>
      </c>
      <c r="P52" s="257" t="s">
        <v>242</v>
      </c>
      <c r="Q52" s="257"/>
      <c r="R52" s="258">
        <v>1</v>
      </c>
      <c r="S52" s="259"/>
      <c r="T52" s="260"/>
      <c r="U52" s="259"/>
      <c r="V52" s="260"/>
      <c r="W52" s="260"/>
      <c r="X52" s="260"/>
      <c r="Y52" s="259"/>
      <c r="Z52" s="260"/>
      <c r="AA52" s="259"/>
      <c r="AB52" s="260"/>
      <c r="AC52" s="260"/>
      <c r="AD52" s="260"/>
      <c r="AE52" s="261"/>
      <c r="AG52" s="257">
        <f t="shared" si="7"/>
        <v>5.0106352940962555</v>
      </c>
      <c r="AH52" s="262"/>
      <c r="AI52" s="262"/>
      <c r="AL52" s="255">
        <f t="shared" si="8"/>
        <v>150</v>
      </c>
      <c r="AN52" s="257">
        <f t="shared" si="9"/>
        <v>5.0106352940962555</v>
      </c>
      <c r="AO52" s="262"/>
      <c r="AP52" s="262"/>
      <c r="AQ52" s="257"/>
      <c r="AR52" s="257"/>
      <c r="AS52" s="257">
        <f t="shared" si="11"/>
        <v>150</v>
      </c>
      <c r="AT52" s="257"/>
      <c r="AU52" s="257">
        <f t="shared" si="10"/>
        <v>5.0106352940962555</v>
      </c>
      <c r="AV52" s="263"/>
      <c r="AW52" s="263"/>
      <c r="AX52" s="257"/>
      <c r="AY52" s="257"/>
      <c r="AZ52" s="257"/>
      <c r="BA52" s="257"/>
      <c r="BB52" s="257"/>
      <c r="BC52" s="257">
        <f t="shared" si="12"/>
        <v>5.0106352940962555</v>
      </c>
      <c r="BD52" s="262"/>
      <c r="BE52" s="262"/>
    </row>
    <row r="53" spans="1:62" x14ac:dyDescent="0.2">
      <c r="AR53" s="265"/>
      <c r="AS53" s="265"/>
      <c r="BF53" s="136"/>
      <c r="BG53" s="136"/>
      <c r="BH53" s="136"/>
      <c r="BI53" s="136"/>
    </row>
    <row r="54" spans="1:62" s="272" customFormat="1" x14ac:dyDescent="0.2">
      <c r="A54" s="143" t="s">
        <v>205</v>
      </c>
      <c r="B54" s="266"/>
      <c r="C54" s="266"/>
      <c r="D54" s="266"/>
      <c r="E54" s="267"/>
      <c r="F54" s="267"/>
      <c r="G54" s="267"/>
      <c r="H54" s="267"/>
      <c r="I54" s="267"/>
      <c r="J54" s="267"/>
      <c r="K54" s="267"/>
      <c r="L54" s="267"/>
      <c r="M54" s="267"/>
      <c r="N54" s="267"/>
      <c r="O54" s="267"/>
      <c r="P54" s="267"/>
      <c r="Q54" s="267"/>
      <c r="R54" s="267"/>
      <c r="S54" s="268"/>
      <c r="T54" s="269"/>
      <c r="U54" s="268"/>
      <c r="V54" s="269"/>
      <c r="W54" s="268"/>
      <c r="X54" s="269"/>
      <c r="Y54" s="268"/>
      <c r="Z54" s="269"/>
      <c r="AA54" s="268"/>
      <c r="AB54" s="269"/>
      <c r="AC54" s="268"/>
      <c r="AD54" s="269"/>
      <c r="AE54" s="270"/>
      <c r="AF54" s="271"/>
      <c r="AG54" s="271"/>
      <c r="AH54" s="155">
        <f>LOGINV(0.05,AVERAGE(AF55:AF195),STDEV(AF55:AF195))</f>
        <v>6.6588901134603038</v>
      </c>
      <c r="AI54" s="155">
        <f>LOGINV(0.05,AVERAGE(AG55:AG195),STDEV(AG55:AG195))</f>
        <v>8.3692050406089251</v>
      </c>
      <c r="AJ54" s="271"/>
      <c r="AK54" s="271"/>
      <c r="AL54" s="271"/>
      <c r="AM54" s="271"/>
      <c r="AN54" s="271"/>
      <c r="AO54" s="155">
        <f>LOGINV(0.05,AVERAGE(AM55:AM195),STDEV(AM55:AM195))</f>
        <v>7.6484990841067546</v>
      </c>
      <c r="AP54" s="155">
        <f>LOGINV(0.05,AVERAGE(AN55:AN195),STDEV(AN55:AN195))</f>
        <v>9.0960082865137597</v>
      </c>
      <c r="AQ54" s="271"/>
      <c r="AR54" s="271"/>
      <c r="AS54" s="271"/>
      <c r="AT54" s="271"/>
      <c r="AU54" s="271"/>
      <c r="AV54" s="155">
        <f>LOGINV(0.05,AVERAGE(AT55:AT195),STDEV(AT55:AT195))</f>
        <v>19.313380037190733</v>
      </c>
      <c r="AW54" s="155">
        <f>LOGINV(0.05,AVERAGE(AU55:AU195),STDEV(AU55:AU195))</f>
        <v>22.124595005887173</v>
      </c>
      <c r="AX54" s="271"/>
      <c r="AY54" s="271"/>
      <c r="BD54" s="155">
        <f>LOGINV(0.05,AVERAGE(BB55:BB195),STDEV(BB55:BB195))</f>
        <v>32.247502229112172</v>
      </c>
      <c r="BE54" s="155">
        <f>LOGINV(0.05,AVERAGE(BC55:BC195),STDEV(BC55:BC195))</f>
        <v>41.35747653827621</v>
      </c>
      <c r="BG54" s="271">
        <f>COUNT(BB55:BB195)</f>
        <v>14</v>
      </c>
      <c r="BH54" s="273">
        <v>1.6837</v>
      </c>
      <c r="BI54" s="274">
        <f>EXP(AVERAGE(BB55:BB195)-BH54*STDEV(BB55:BB195))</f>
        <v>31.145151626773782</v>
      </c>
      <c r="BJ54" s="274">
        <f>EXP(AVERAGE(BC55:BC195)-BH54*STDEV(BC55:BC195))</f>
        <v>40.093562672900774</v>
      </c>
    </row>
    <row r="55" spans="1:62" s="238" customFormat="1" x14ac:dyDescent="0.2">
      <c r="A55" s="275" t="s">
        <v>205</v>
      </c>
      <c r="B55" s="275" t="s">
        <v>35</v>
      </c>
      <c r="C55" s="276" t="s">
        <v>206</v>
      </c>
      <c r="D55" s="276" t="s">
        <v>312</v>
      </c>
      <c r="E55" s="277">
        <v>4.3</v>
      </c>
      <c r="F55" s="277">
        <f>G55/0.58</f>
        <v>9.1293758620689687</v>
      </c>
      <c r="G55" s="278">
        <v>5.2950380000000017</v>
      </c>
      <c r="H55" s="278">
        <v>1.5220887043854308</v>
      </c>
      <c r="I55" s="278">
        <v>6.1560623950335334</v>
      </c>
      <c r="J55" s="278">
        <v>3.9615894527830369</v>
      </c>
      <c r="K55" s="279">
        <v>7</v>
      </c>
      <c r="L55" s="279">
        <v>21</v>
      </c>
      <c r="M55" s="235" t="s">
        <v>104</v>
      </c>
      <c r="N55" s="279">
        <v>26</v>
      </c>
      <c r="O55" s="280">
        <f t="shared" ref="O55:O74" si="13">N55+J55</f>
        <v>29.961589452783038</v>
      </c>
      <c r="P55" s="281" t="s">
        <v>207</v>
      </c>
      <c r="Q55" s="281"/>
      <c r="R55" s="282">
        <f>(84.1-(59.1/(10^(6.06-E55)+1))*(15^(0.00097/15))-3.64*LN(15))/(84.1-(59.1/(10^(6.06-E55)+1))*(365^(0.00097/365))-3.64*LN(365))</f>
        <v>1.1885610477282691</v>
      </c>
      <c r="S55" s="283">
        <v>1.3325232155759101</v>
      </c>
      <c r="T55" s="284" t="s">
        <v>37</v>
      </c>
      <c r="U55" s="283"/>
      <c r="V55" s="284"/>
      <c r="W55" s="284"/>
      <c r="X55" s="284"/>
      <c r="Y55" s="283">
        <v>1.3283582678673447</v>
      </c>
      <c r="Z55" s="284" t="s">
        <v>37</v>
      </c>
      <c r="AA55" s="283"/>
      <c r="AB55" s="284"/>
      <c r="AC55" s="284"/>
      <c r="AD55" s="284"/>
      <c r="AE55" s="285"/>
      <c r="AF55" s="239">
        <f t="shared" ref="AF55:AF86" si="14">LN(N55)</f>
        <v>3.2580965380214821</v>
      </c>
      <c r="AG55" s="239">
        <f t="shared" ref="AG55:AG86" si="15">LN(O55)</f>
        <v>3.399916209737881</v>
      </c>
      <c r="AK55" s="265">
        <f t="shared" ref="AK55:AK86" si="16">N55*R55</f>
        <v>30.902587240934995</v>
      </c>
      <c r="AL55" s="265">
        <f t="shared" ref="AL55:AL86" si="17">AK55+J55</f>
        <v>34.864176693718029</v>
      </c>
      <c r="AM55" s="239">
        <f t="shared" ref="AM55:AM86" si="18">LN(AK55)</f>
        <v>3.4308399098786793</v>
      </c>
      <c r="AN55" s="239">
        <f t="shared" ref="AN55:AN86" si="19">LN(AL55)</f>
        <v>3.5514598462744957</v>
      </c>
      <c r="AR55" s="265">
        <f t="shared" ref="AR55:AR86" si="20">AK55*(eCEC/$I55)^$S55</f>
        <v>68.87732953975457</v>
      </c>
      <c r="AS55" s="265">
        <f t="shared" ref="AS55:AS86" si="21">AL55*(eCEC/$I55)^$Y55</f>
        <v>77.512707431760944</v>
      </c>
      <c r="AT55" s="239">
        <f t="shared" ref="AT55:AT86" si="22">LN(AR55)</f>
        <v>4.2323270896198633</v>
      </c>
      <c r="AU55" s="239">
        <f t="shared" ref="AU55:AU86" si="23">LN(AS55)</f>
        <v>4.3504418897796366</v>
      </c>
      <c r="AX55" s="265">
        <f>GEOMEAN(AR55:AR66)</f>
        <v>139.72298737579618</v>
      </c>
      <c r="AY55" s="239">
        <f>GEOMEAN(AS55:AS66)</f>
        <v>152.14527211419696</v>
      </c>
      <c r="AZ55" s="265">
        <f>MIN(AX55:AX86)</f>
        <v>139.72298737579618</v>
      </c>
      <c r="BA55" s="265">
        <f>MIN(AY55:AY86)</f>
        <v>152.14527211419696</v>
      </c>
      <c r="BB55" s="239">
        <f>LN(AZ55)</f>
        <v>4.9396618008709234</v>
      </c>
      <c r="BC55" s="239">
        <f>LN(BA55)</f>
        <v>5.0248358020132962</v>
      </c>
    </row>
    <row r="56" spans="1:62" s="238" customFormat="1" x14ac:dyDescent="0.2">
      <c r="A56" s="275" t="s">
        <v>205</v>
      </c>
      <c r="B56" s="275" t="s">
        <v>35</v>
      </c>
      <c r="C56" s="276" t="s">
        <v>206</v>
      </c>
      <c r="D56" s="276" t="s">
        <v>312</v>
      </c>
      <c r="E56" s="277">
        <v>4.3550000000000004</v>
      </c>
      <c r="F56" s="277">
        <f t="shared" ref="F56:F119" si="24">G56/0.58</f>
        <v>2.1067948275862074</v>
      </c>
      <c r="G56" s="278">
        <v>1.2219410000000002</v>
      </c>
      <c r="H56" s="278">
        <v>13.22168202003054</v>
      </c>
      <c r="I56" s="278">
        <v>2.745744183645213</v>
      </c>
      <c r="J56" s="278">
        <v>1.990791585925495</v>
      </c>
      <c r="K56" s="279">
        <v>7</v>
      </c>
      <c r="L56" s="279">
        <v>21</v>
      </c>
      <c r="M56" s="235" t="s">
        <v>104</v>
      </c>
      <c r="N56" s="279">
        <v>9</v>
      </c>
      <c r="O56" s="280">
        <f t="shared" si="13"/>
        <v>10.990791585925495</v>
      </c>
      <c r="P56" s="281" t="s">
        <v>207</v>
      </c>
      <c r="Q56" s="281"/>
      <c r="R56" s="282">
        <f t="shared" ref="R56:R119" si="25">(84.1-(59.1/(10^(6.06-E56)+1))*(15^(0.00097/15))-3.64*LN(15))/(84.1-(59.1/(10^(6.06-E56)+1))*(365^(0.00097/365))-3.64*LN(365))</f>
        <v>1.1889706289078394</v>
      </c>
      <c r="S56" s="283">
        <v>1.3325232155759101</v>
      </c>
      <c r="T56" s="284" t="s">
        <v>37</v>
      </c>
      <c r="U56" s="283"/>
      <c r="V56" s="284"/>
      <c r="W56" s="284"/>
      <c r="X56" s="284"/>
      <c r="Y56" s="283">
        <v>1.3283582678673447</v>
      </c>
      <c r="Z56" s="284" t="s">
        <v>37</v>
      </c>
      <c r="AA56" s="283"/>
      <c r="AB56" s="284"/>
      <c r="AC56" s="284"/>
      <c r="AD56" s="284"/>
      <c r="AE56" s="285"/>
      <c r="AF56" s="239">
        <f t="shared" si="14"/>
        <v>2.1972245773362196</v>
      </c>
      <c r="AG56" s="239">
        <f t="shared" si="15"/>
        <v>2.3970577936583646</v>
      </c>
      <c r="AH56" s="240"/>
      <c r="AI56" s="240"/>
      <c r="AK56" s="265">
        <f t="shared" si="16"/>
        <v>10.700735660170555</v>
      </c>
      <c r="AL56" s="265">
        <f t="shared" si="17"/>
        <v>12.691527246096049</v>
      </c>
      <c r="AM56" s="239">
        <f t="shared" si="18"/>
        <v>2.3703124923914292</v>
      </c>
      <c r="AN56" s="239">
        <f t="shared" si="19"/>
        <v>2.5409346248469511</v>
      </c>
      <c r="AO56" s="240"/>
      <c r="AP56" s="240"/>
      <c r="AR56" s="286">
        <f t="shared" si="20"/>
        <v>69.941501931081902</v>
      </c>
      <c r="AS56" s="286">
        <f t="shared" si="21"/>
        <v>82.468259420661866</v>
      </c>
      <c r="AT56" s="287">
        <f t="shared" si="22"/>
        <v>4.2476592059697378</v>
      </c>
      <c r="AU56" s="287">
        <f t="shared" si="23"/>
        <v>4.4124134850164003</v>
      </c>
      <c r="AV56" s="125"/>
      <c r="AW56" s="125"/>
      <c r="AX56" s="286"/>
      <c r="AY56" s="286"/>
      <c r="AZ56" s="286"/>
      <c r="BA56" s="286"/>
      <c r="BB56" s="287"/>
      <c r="BC56" s="287"/>
      <c r="BD56" s="288"/>
      <c r="BE56" s="288"/>
    </row>
    <row r="57" spans="1:62" s="238" customFormat="1" x14ac:dyDescent="0.2">
      <c r="A57" s="275" t="s">
        <v>205</v>
      </c>
      <c r="B57" s="275" t="s">
        <v>35</v>
      </c>
      <c r="C57" s="276" t="s">
        <v>206</v>
      </c>
      <c r="D57" s="276" t="s">
        <v>312</v>
      </c>
      <c r="E57" s="277">
        <v>4.5250000000000004</v>
      </c>
      <c r="F57" s="277">
        <f t="shared" si="24"/>
        <v>2.6903258620689656</v>
      </c>
      <c r="G57" s="278">
        <v>1.560389</v>
      </c>
      <c r="H57" s="278">
        <v>0.9610998119323676</v>
      </c>
      <c r="I57" s="278">
        <v>1.6996584748962793</v>
      </c>
      <c r="J57" s="278">
        <v>0.81203546891056322</v>
      </c>
      <c r="K57" s="279">
        <v>7</v>
      </c>
      <c r="L57" s="279">
        <v>21</v>
      </c>
      <c r="M57" s="235" t="s">
        <v>104</v>
      </c>
      <c r="N57" s="279">
        <v>10</v>
      </c>
      <c r="O57" s="280">
        <f t="shared" si="13"/>
        <v>10.812035468910564</v>
      </c>
      <c r="P57" s="281" t="s">
        <v>207</v>
      </c>
      <c r="Q57" s="281"/>
      <c r="R57" s="282">
        <f t="shared" si="25"/>
        <v>1.1906192366824544</v>
      </c>
      <c r="S57" s="283">
        <v>1.3325232155759101</v>
      </c>
      <c r="T57" s="284" t="s">
        <v>37</v>
      </c>
      <c r="U57" s="283"/>
      <c r="V57" s="284"/>
      <c r="W57" s="284"/>
      <c r="X57" s="284"/>
      <c r="Y57" s="283">
        <v>1.3283582678673447</v>
      </c>
      <c r="Z57" s="284" t="s">
        <v>37</v>
      </c>
      <c r="AA57" s="283"/>
      <c r="AB57" s="284"/>
      <c r="AC57" s="284"/>
      <c r="AD57" s="284"/>
      <c r="AE57" s="285"/>
      <c r="AF57" s="239">
        <f t="shared" si="14"/>
        <v>2.3025850929940459</v>
      </c>
      <c r="AG57" s="239">
        <f t="shared" si="15"/>
        <v>2.3806599089221909</v>
      </c>
      <c r="AH57" s="240"/>
      <c r="AI57" s="240"/>
      <c r="AK57" s="265">
        <f t="shared" si="16"/>
        <v>11.906192366824545</v>
      </c>
      <c r="AL57" s="265">
        <f t="shared" si="17"/>
        <v>12.718227835735108</v>
      </c>
      <c r="AM57" s="239">
        <f t="shared" si="18"/>
        <v>2.4770586317335934</v>
      </c>
      <c r="AN57" s="239">
        <f t="shared" si="19"/>
        <v>2.5430362271158842</v>
      </c>
      <c r="AO57" s="240"/>
      <c r="AP57" s="240"/>
      <c r="AR57" s="265">
        <f t="shared" si="20"/>
        <v>147.45404071991965</v>
      </c>
      <c r="AS57" s="265">
        <f t="shared" si="21"/>
        <v>156.27678041846224</v>
      </c>
      <c r="AT57" s="239">
        <f t="shared" si="22"/>
        <v>4.9935165388866141</v>
      </c>
      <c r="AU57" s="239">
        <f t="shared" si="23"/>
        <v>5.0516286686082799</v>
      </c>
      <c r="AV57" s="125"/>
      <c r="AW57" s="125"/>
      <c r="AX57" s="286"/>
      <c r="AY57" s="286"/>
      <c r="BD57" s="125"/>
      <c r="BE57" s="125"/>
    </row>
    <row r="58" spans="1:62" s="238" customFormat="1" x14ac:dyDescent="0.2">
      <c r="A58" s="275" t="s">
        <v>205</v>
      </c>
      <c r="B58" s="275" t="s">
        <v>35</v>
      </c>
      <c r="C58" s="276" t="s">
        <v>206</v>
      </c>
      <c r="D58" s="276" t="s">
        <v>312</v>
      </c>
      <c r="E58" s="277">
        <v>4.72</v>
      </c>
      <c r="F58" s="277">
        <f t="shared" si="24"/>
        <v>3.6882896551724142</v>
      </c>
      <c r="G58" s="278">
        <v>2.139208</v>
      </c>
      <c r="H58" s="278">
        <v>1.897414769034566</v>
      </c>
      <c r="I58" s="278">
        <v>3.4601038238982307</v>
      </c>
      <c r="J58" s="278">
        <v>1.5383029420053971</v>
      </c>
      <c r="K58" s="279">
        <v>7</v>
      </c>
      <c r="L58" s="279">
        <v>21</v>
      </c>
      <c r="M58" s="235" t="s">
        <v>104</v>
      </c>
      <c r="N58" s="279">
        <v>68</v>
      </c>
      <c r="O58" s="280">
        <f t="shared" si="13"/>
        <v>69.538302942005402</v>
      </c>
      <c r="P58" s="281" t="s">
        <v>207</v>
      </c>
      <c r="Q58" s="281"/>
      <c r="R58" s="282">
        <f t="shared" si="25"/>
        <v>1.1934995660752823</v>
      </c>
      <c r="S58" s="283">
        <v>1.3325232155759101</v>
      </c>
      <c r="T58" s="284" t="s">
        <v>37</v>
      </c>
      <c r="U58" s="283"/>
      <c r="V58" s="284"/>
      <c r="W58" s="284"/>
      <c r="X58" s="284"/>
      <c r="Y58" s="283">
        <v>1.3283582678673447</v>
      </c>
      <c r="Z58" s="284" t="s">
        <v>37</v>
      </c>
      <c r="AA58" s="283"/>
      <c r="AB58" s="284"/>
      <c r="AC58" s="284"/>
      <c r="AD58" s="284"/>
      <c r="AE58" s="285"/>
      <c r="AF58" s="239">
        <f t="shared" si="14"/>
        <v>4.219507705176107</v>
      </c>
      <c r="AG58" s="239">
        <f t="shared" si="15"/>
        <v>4.2418777222267892</v>
      </c>
      <c r="AH58" s="240"/>
      <c r="AI58" s="240"/>
      <c r="AK58" s="265">
        <f t="shared" si="16"/>
        <v>81.157970493119194</v>
      </c>
      <c r="AL58" s="265">
        <f t="shared" si="17"/>
        <v>82.696273435124596</v>
      </c>
      <c r="AM58" s="239">
        <f t="shared" si="18"/>
        <v>4.3963975083995015</v>
      </c>
      <c r="AN58" s="239">
        <f t="shared" si="19"/>
        <v>4.4151745397703985</v>
      </c>
      <c r="AO58" s="240"/>
      <c r="AP58" s="240"/>
      <c r="AR58" s="265">
        <f t="shared" si="20"/>
        <v>389.78798221830482</v>
      </c>
      <c r="AS58" s="265">
        <f t="shared" si="21"/>
        <v>395.23292051623758</v>
      </c>
      <c r="AT58" s="239">
        <f t="shared" si="22"/>
        <v>5.965602955962745</v>
      </c>
      <c r="AU58" s="239">
        <f t="shared" si="23"/>
        <v>5.9794752633057966</v>
      </c>
      <c r="AV58" s="125"/>
      <c r="AW58" s="125"/>
      <c r="AX58" s="265"/>
      <c r="AY58" s="265"/>
      <c r="BD58" s="125"/>
      <c r="BE58" s="125"/>
    </row>
    <row r="59" spans="1:62" s="238" customFormat="1" x14ac:dyDescent="0.2">
      <c r="A59" s="275" t="s">
        <v>205</v>
      </c>
      <c r="B59" s="275" t="s">
        <v>35</v>
      </c>
      <c r="C59" s="276" t="s">
        <v>206</v>
      </c>
      <c r="D59" s="276" t="s">
        <v>312</v>
      </c>
      <c r="E59" s="277">
        <v>5.7050000000000001</v>
      </c>
      <c r="F59" s="277">
        <f t="shared" si="24"/>
        <v>1.3883413793103447</v>
      </c>
      <c r="G59" s="278">
        <v>0.8052379999999999</v>
      </c>
      <c r="H59" s="289">
        <v>47.947518321104361</v>
      </c>
      <c r="I59" s="278">
        <v>18.77565155327952</v>
      </c>
      <c r="J59" s="278">
        <v>10.903869470007898</v>
      </c>
      <c r="K59" s="279">
        <v>7</v>
      </c>
      <c r="L59" s="279">
        <v>21</v>
      </c>
      <c r="M59" s="235" t="s">
        <v>104</v>
      </c>
      <c r="N59" s="279">
        <v>23</v>
      </c>
      <c r="O59" s="280">
        <f t="shared" si="13"/>
        <v>33.903869470007898</v>
      </c>
      <c r="P59" s="281" t="s">
        <v>207</v>
      </c>
      <c r="Q59" s="281"/>
      <c r="R59" s="282">
        <f t="shared" si="25"/>
        <v>1.2608976679513182</v>
      </c>
      <c r="S59" s="283">
        <v>1.3325232155759101</v>
      </c>
      <c r="T59" s="284" t="s">
        <v>37</v>
      </c>
      <c r="U59" s="283"/>
      <c r="V59" s="284"/>
      <c r="W59" s="284"/>
      <c r="X59" s="284"/>
      <c r="Y59" s="283">
        <v>1.3283582678673447</v>
      </c>
      <c r="Z59" s="284" t="s">
        <v>37</v>
      </c>
      <c r="AA59" s="283"/>
      <c r="AB59" s="284"/>
      <c r="AC59" s="284"/>
      <c r="AD59" s="284"/>
      <c r="AE59" s="285"/>
      <c r="AF59" s="239">
        <f t="shared" si="14"/>
        <v>3.1354942159291497</v>
      </c>
      <c r="AG59" s="239">
        <f t="shared" si="15"/>
        <v>3.5235291515305631</v>
      </c>
      <c r="AH59" s="240"/>
      <c r="AI59" s="240"/>
      <c r="AK59" s="265">
        <f t="shared" si="16"/>
        <v>29.000646362880317</v>
      </c>
      <c r="AL59" s="265">
        <f t="shared" si="17"/>
        <v>39.904515832888215</v>
      </c>
      <c r="AM59" s="239">
        <f t="shared" si="18"/>
        <v>3.3673181181132752</v>
      </c>
      <c r="AN59" s="239">
        <f t="shared" si="19"/>
        <v>3.6864894962607124</v>
      </c>
      <c r="AO59" s="240"/>
      <c r="AP59" s="240"/>
      <c r="AR59" s="265">
        <f t="shared" si="20"/>
        <v>14.627119138160001</v>
      </c>
      <c r="AS59" s="265">
        <f t="shared" si="21"/>
        <v>20.169830616503461</v>
      </c>
      <c r="AT59" s="239">
        <f t="shared" si="22"/>
        <v>2.6828772809568968</v>
      </c>
      <c r="AU59" s="239">
        <f t="shared" si="23"/>
        <v>3.0041879541372771</v>
      </c>
      <c r="AV59" s="125"/>
      <c r="AW59" s="125"/>
      <c r="AX59" s="265"/>
      <c r="AY59" s="265"/>
      <c r="BD59" s="125"/>
      <c r="BE59" s="125"/>
    </row>
    <row r="60" spans="1:62" s="238" customFormat="1" x14ac:dyDescent="0.2">
      <c r="A60" s="275" t="s">
        <v>205</v>
      </c>
      <c r="B60" s="275" t="s">
        <v>35</v>
      </c>
      <c r="C60" s="276" t="s">
        <v>206</v>
      </c>
      <c r="D60" s="276" t="s">
        <v>312</v>
      </c>
      <c r="E60" s="277">
        <v>6.06</v>
      </c>
      <c r="F60" s="277">
        <f t="shared" si="24"/>
        <v>7.7947224137931057</v>
      </c>
      <c r="G60" s="278">
        <v>4.5209390000000012</v>
      </c>
      <c r="H60" s="278">
        <v>33.129342993821169</v>
      </c>
      <c r="I60" s="278">
        <v>28.890556248260236</v>
      </c>
      <c r="J60" s="278">
        <v>14.319040296590824</v>
      </c>
      <c r="K60" s="279">
        <v>7</v>
      </c>
      <c r="L60" s="279">
        <v>21</v>
      </c>
      <c r="M60" s="235" t="s">
        <v>104</v>
      </c>
      <c r="N60" s="279">
        <v>220</v>
      </c>
      <c r="O60" s="280">
        <f t="shared" si="13"/>
        <v>234.31904029659083</v>
      </c>
      <c r="P60" s="281" t="s">
        <v>207</v>
      </c>
      <c r="Q60" s="281"/>
      <c r="R60" s="282">
        <f t="shared" si="25"/>
        <v>1.3511411739173773</v>
      </c>
      <c r="S60" s="283">
        <v>1.3325232155759101</v>
      </c>
      <c r="T60" s="284" t="s">
        <v>37</v>
      </c>
      <c r="U60" s="283"/>
      <c r="V60" s="284"/>
      <c r="W60" s="284"/>
      <c r="X60" s="284"/>
      <c r="Y60" s="283">
        <v>1.3283582678673447</v>
      </c>
      <c r="Z60" s="284" t="s">
        <v>37</v>
      </c>
      <c r="AA60" s="283"/>
      <c r="AB60" s="284"/>
      <c r="AC60" s="284"/>
      <c r="AD60" s="284"/>
      <c r="AE60" s="285"/>
      <c r="AF60" s="239">
        <f t="shared" si="14"/>
        <v>5.393627546352362</v>
      </c>
      <c r="AG60" s="239">
        <f t="shared" si="15"/>
        <v>5.4566836068154219</v>
      </c>
      <c r="AH60" s="240"/>
      <c r="AI60" s="240"/>
      <c r="AK60" s="265">
        <f t="shared" si="16"/>
        <v>297.251058261823</v>
      </c>
      <c r="AL60" s="265">
        <f t="shared" si="17"/>
        <v>311.5700985584138</v>
      </c>
      <c r="AM60" s="239">
        <f t="shared" si="18"/>
        <v>5.6945770957388957</v>
      </c>
      <c r="AN60" s="239">
        <f t="shared" si="19"/>
        <v>5.7416243484113432</v>
      </c>
      <c r="AO60" s="240"/>
      <c r="AP60" s="240"/>
      <c r="AR60" s="265">
        <f t="shared" si="20"/>
        <v>84.426406392022372</v>
      </c>
      <c r="AS60" s="265">
        <f t="shared" si="21"/>
        <v>88.842192031028773</v>
      </c>
      <c r="AT60" s="239">
        <f t="shared" si="22"/>
        <v>4.4358802246110844</v>
      </c>
      <c r="AU60" s="239">
        <f t="shared" si="23"/>
        <v>4.4868616726415604</v>
      </c>
      <c r="AV60" s="125"/>
      <c r="AW60" s="125"/>
      <c r="AX60" s="265"/>
      <c r="AY60" s="265"/>
      <c r="BD60" s="125"/>
      <c r="BE60" s="125"/>
    </row>
    <row r="61" spans="1:62" s="238" customFormat="1" x14ac:dyDescent="0.2">
      <c r="A61" s="275" t="s">
        <v>205</v>
      </c>
      <c r="B61" s="275" t="s">
        <v>35</v>
      </c>
      <c r="C61" s="276" t="s">
        <v>206</v>
      </c>
      <c r="D61" s="276" t="s">
        <v>312</v>
      </c>
      <c r="E61" s="277">
        <v>6.375</v>
      </c>
      <c r="F61" s="277">
        <f t="shared" si="24"/>
        <v>2.4694491379310346</v>
      </c>
      <c r="G61" s="278">
        <v>1.4322805000000001</v>
      </c>
      <c r="H61" s="278">
        <v>19.230598425729699</v>
      </c>
      <c r="I61" s="278">
        <v>20.402867481369348</v>
      </c>
      <c r="J61" s="278">
        <v>6.3148678712416988</v>
      </c>
      <c r="K61" s="279">
        <v>7</v>
      </c>
      <c r="L61" s="279">
        <v>21</v>
      </c>
      <c r="M61" s="235" t="s">
        <v>104</v>
      </c>
      <c r="N61" s="279">
        <v>23</v>
      </c>
      <c r="O61" s="280">
        <f t="shared" si="13"/>
        <v>29.314867871241699</v>
      </c>
      <c r="P61" s="281" t="s">
        <v>207</v>
      </c>
      <c r="Q61" s="281"/>
      <c r="R61" s="282">
        <f t="shared" si="25"/>
        <v>1.5092172276738214</v>
      </c>
      <c r="S61" s="283">
        <v>1.3325232155759101</v>
      </c>
      <c r="T61" s="284" t="s">
        <v>37</v>
      </c>
      <c r="U61" s="283"/>
      <c r="V61" s="284"/>
      <c r="W61" s="284"/>
      <c r="X61" s="284"/>
      <c r="Y61" s="283">
        <v>1.3283582678673447</v>
      </c>
      <c r="Z61" s="284" t="s">
        <v>37</v>
      </c>
      <c r="AA61" s="283"/>
      <c r="AB61" s="284"/>
      <c r="AC61" s="284"/>
      <c r="AD61" s="284"/>
      <c r="AE61" s="285"/>
      <c r="AF61" s="239">
        <f t="shared" si="14"/>
        <v>3.1354942159291497</v>
      </c>
      <c r="AG61" s="239">
        <f t="shared" si="15"/>
        <v>3.3780948231995294</v>
      </c>
      <c r="AH61" s="240"/>
      <c r="AI61" s="240"/>
      <c r="AK61" s="265">
        <f t="shared" si="16"/>
        <v>34.711996236497889</v>
      </c>
      <c r="AL61" s="265">
        <f t="shared" si="17"/>
        <v>41.026864107739584</v>
      </c>
      <c r="AM61" s="239">
        <f t="shared" si="18"/>
        <v>3.547085340075264</v>
      </c>
      <c r="AN61" s="239">
        <f t="shared" si="19"/>
        <v>3.7142270742799912</v>
      </c>
      <c r="AO61" s="240"/>
      <c r="AP61" s="240"/>
      <c r="AR61" s="265">
        <f t="shared" si="20"/>
        <v>15.672262511128119</v>
      </c>
      <c r="AS61" s="265">
        <f t="shared" si="21"/>
        <v>18.569484735542034</v>
      </c>
      <c r="AT61" s="239">
        <f t="shared" si="22"/>
        <v>2.7518924308291699</v>
      </c>
      <c r="AU61" s="239">
        <f t="shared" si="23"/>
        <v>2.9215196278359845</v>
      </c>
      <c r="AV61" s="125"/>
      <c r="AW61" s="125"/>
      <c r="BD61" s="125"/>
      <c r="BE61" s="125"/>
    </row>
    <row r="62" spans="1:62" s="238" customFormat="1" x14ac:dyDescent="0.2">
      <c r="A62" s="275" t="s">
        <v>205</v>
      </c>
      <c r="B62" s="275" t="s">
        <v>35</v>
      </c>
      <c r="C62" s="276" t="s">
        <v>206</v>
      </c>
      <c r="D62" s="276" t="s">
        <v>312</v>
      </c>
      <c r="E62" s="277">
        <v>7</v>
      </c>
      <c r="F62" s="277">
        <f t="shared" si="24"/>
        <v>1.5964870689655173</v>
      </c>
      <c r="G62" s="278">
        <v>0.92596250000000002</v>
      </c>
      <c r="H62" s="278">
        <v>13.655945530252296</v>
      </c>
      <c r="I62" s="278">
        <v>9.8408841579607369</v>
      </c>
      <c r="J62" s="278">
        <v>6.5956352593315302</v>
      </c>
      <c r="K62" s="279">
        <v>7</v>
      </c>
      <c r="L62" s="279">
        <v>21</v>
      </c>
      <c r="M62" s="235" t="s">
        <v>104</v>
      </c>
      <c r="N62" s="279">
        <v>198</v>
      </c>
      <c r="O62" s="280">
        <f t="shared" si="13"/>
        <v>204.59563525933152</v>
      </c>
      <c r="P62" s="281" t="s">
        <v>207</v>
      </c>
      <c r="Q62" s="281"/>
      <c r="R62" s="282">
        <f t="shared" si="25"/>
        <v>2.2080679260898619</v>
      </c>
      <c r="S62" s="283">
        <v>1.3325232155759101</v>
      </c>
      <c r="T62" s="284" t="s">
        <v>37</v>
      </c>
      <c r="U62" s="283"/>
      <c r="V62" s="284"/>
      <c r="W62" s="284"/>
      <c r="X62" s="284"/>
      <c r="Y62" s="283">
        <v>1.3283582678673447</v>
      </c>
      <c r="Z62" s="284" t="s">
        <v>37</v>
      </c>
      <c r="AA62" s="283"/>
      <c r="AB62" s="284"/>
      <c r="AC62" s="284"/>
      <c r="AD62" s="284"/>
      <c r="AE62" s="285"/>
      <c r="AF62" s="239">
        <f t="shared" si="14"/>
        <v>5.2882670306945352</v>
      </c>
      <c r="AG62" s="239">
        <f t="shared" si="15"/>
        <v>5.3210355202466282</v>
      </c>
      <c r="AH62" s="240"/>
      <c r="AI62" s="240"/>
      <c r="AK62" s="265">
        <f t="shared" si="16"/>
        <v>437.19744936579264</v>
      </c>
      <c r="AL62" s="265">
        <f t="shared" si="17"/>
        <v>443.79308462512415</v>
      </c>
      <c r="AM62" s="239">
        <f t="shared" si="18"/>
        <v>6.080384922263848</v>
      </c>
      <c r="AN62" s="239">
        <f t="shared" si="19"/>
        <v>6.0953584281894475</v>
      </c>
      <c r="AO62" s="240"/>
      <c r="AP62" s="240"/>
      <c r="AR62" s="265">
        <f t="shared" si="20"/>
        <v>521.53402824297768</v>
      </c>
      <c r="AS62" s="265">
        <f t="shared" si="21"/>
        <v>529.11018736668893</v>
      </c>
      <c r="AT62" s="239">
        <f t="shared" si="22"/>
        <v>6.2567745230177065</v>
      </c>
      <c r="AU62" s="239">
        <f t="shared" si="23"/>
        <v>6.271196703867024</v>
      </c>
      <c r="AV62" s="125"/>
      <c r="AW62" s="125"/>
      <c r="BD62" s="125"/>
      <c r="BE62" s="125"/>
    </row>
    <row r="63" spans="1:62" s="238" customFormat="1" x14ac:dyDescent="0.2">
      <c r="A63" s="275" t="s">
        <v>205</v>
      </c>
      <c r="B63" s="275" t="s">
        <v>35</v>
      </c>
      <c r="C63" s="276" t="s">
        <v>206</v>
      </c>
      <c r="D63" s="276" t="s">
        <v>312</v>
      </c>
      <c r="E63" s="277">
        <v>7.5</v>
      </c>
      <c r="F63" s="277">
        <f t="shared" si="24"/>
        <v>3.504509905645727</v>
      </c>
      <c r="G63" s="278">
        <v>2.0326157452745215</v>
      </c>
      <c r="H63" s="278">
        <v>31.872519203485023</v>
      </c>
      <c r="I63" s="278">
        <v>28.529144751045347</v>
      </c>
      <c r="J63" s="278">
        <v>11.245946592653912</v>
      </c>
      <c r="K63" s="279">
        <v>7</v>
      </c>
      <c r="L63" s="279">
        <v>21</v>
      </c>
      <c r="M63" s="235" t="s">
        <v>104</v>
      </c>
      <c r="N63" s="279">
        <v>308</v>
      </c>
      <c r="O63" s="280">
        <f t="shared" si="13"/>
        <v>319.24594659265392</v>
      </c>
      <c r="P63" s="281" t="s">
        <v>207</v>
      </c>
      <c r="Q63" s="281"/>
      <c r="R63" s="282">
        <f t="shared" si="25"/>
        <v>3.0752664074181557</v>
      </c>
      <c r="S63" s="283">
        <v>1.3325232155759101</v>
      </c>
      <c r="T63" s="284" t="s">
        <v>37</v>
      </c>
      <c r="U63" s="283"/>
      <c r="V63" s="284"/>
      <c r="W63" s="284"/>
      <c r="X63" s="284"/>
      <c r="Y63" s="283">
        <v>1.3283582678673447</v>
      </c>
      <c r="Z63" s="284" t="s">
        <v>37</v>
      </c>
      <c r="AA63" s="283"/>
      <c r="AB63" s="284"/>
      <c r="AC63" s="284"/>
      <c r="AD63" s="284"/>
      <c r="AE63" s="285"/>
      <c r="AF63" s="239">
        <f t="shared" si="14"/>
        <v>5.730099782973574</v>
      </c>
      <c r="AG63" s="239">
        <f t="shared" si="15"/>
        <v>5.7659617981763018</v>
      </c>
      <c r="AH63" s="240"/>
      <c r="AI63" s="240"/>
      <c r="AK63" s="265">
        <f t="shared" si="16"/>
        <v>947.18205348479194</v>
      </c>
      <c r="AL63" s="265">
        <f t="shared" si="17"/>
        <v>958.42800007744586</v>
      </c>
      <c r="AM63" s="239">
        <f t="shared" si="18"/>
        <v>6.8534913170380758</v>
      </c>
      <c r="AN63" s="239">
        <f t="shared" si="19"/>
        <v>6.8652944423741609</v>
      </c>
      <c r="AO63" s="240"/>
      <c r="AP63" s="240"/>
      <c r="AR63" s="265">
        <f t="shared" si="20"/>
        <v>273.57314370278584</v>
      </c>
      <c r="AS63" s="265">
        <f t="shared" si="21"/>
        <v>277.89793663204614</v>
      </c>
      <c r="AT63" s="239">
        <f t="shared" si="22"/>
        <v>5.6115690219494416</v>
      </c>
      <c r="AU63" s="239">
        <f t="shared" si="23"/>
        <v>5.627253911863197</v>
      </c>
      <c r="AV63" s="125"/>
      <c r="AW63" s="125"/>
      <c r="BD63" s="125"/>
      <c r="BE63" s="125"/>
    </row>
    <row r="64" spans="1:62" s="298" customFormat="1" x14ac:dyDescent="0.2">
      <c r="A64" s="290" t="s">
        <v>205</v>
      </c>
      <c r="B64" s="290" t="s">
        <v>35</v>
      </c>
      <c r="C64" s="291" t="s">
        <v>206</v>
      </c>
      <c r="D64" s="291" t="s">
        <v>312</v>
      </c>
      <c r="E64" s="292">
        <v>7.5250000000000004</v>
      </c>
      <c r="F64" s="292">
        <f t="shared" si="24"/>
        <v>2.4958212723915376</v>
      </c>
      <c r="G64" s="293">
        <v>1.4475763379870918</v>
      </c>
      <c r="H64" s="293">
        <v>38.576937974924618</v>
      </c>
      <c r="I64" s="293">
        <v>23.971447340032601</v>
      </c>
      <c r="J64" s="293">
        <v>29.575802025601583</v>
      </c>
      <c r="K64" s="294">
        <v>7</v>
      </c>
      <c r="L64" s="294">
        <v>21</v>
      </c>
      <c r="M64" s="295" t="s">
        <v>104</v>
      </c>
      <c r="N64" s="294">
        <v>617</v>
      </c>
      <c r="O64" s="296">
        <f t="shared" si="13"/>
        <v>646.57580202560155</v>
      </c>
      <c r="P64" s="297" t="s">
        <v>207</v>
      </c>
      <c r="Q64" s="297"/>
      <c r="R64" s="282">
        <f t="shared" si="25"/>
        <v>3.1176578244515478</v>
      </c>
      <c r="S64" s="283">
        <v>1.3325232155759101</v>
      </c>
      <c r="T64" s="284" t="s">
        <v>37</v>
      </c>
      <c r="U64" s="283"/>
      <c r="V64" s="284"/>
      <c r="W64" s="284"/>
      <c r="X64" s="284"/>
      <c r="Y64" s="283">
        <v>1.3283582678673447</v>
      </c>
      <c r="Z64" s="284" t="s">
        <v>37</v>
      </c>
      <c r="AA64" s="283"/>
      <c r="AB64" s="284"/>
      <c r="AC64" s="284"/>
      <c r="AD64" s="284"/>
      <c r="AE64" s="285"/>
      <c r="AF64" s="287">
        <f t="shared" si="14"/>
        <v>6.4248690239053881</v>
      </c>
      <c r="AG64" s="287">
        <f t="shared" si="15"/>
        <v>6.4716904411849372</v>
      </c>
      <c r="AH64" s="288"/>
      <c r="AI64" s="288"/>
      <c r="AK64" s="286">
        <f t="shared" si="16"/>
        <v>1923.5948776866051</v>
      </c>
      <c r="AL64" s="286">
        <f t="shared" si="17"/>
        <v>1953.1706797122067</v>
      </c>
      <c r="AM64" s="287">
        <f t="shared" si="18"/>
        <v>7.5619510465212993</v>
      </c>
      <c r="AN64" s="287">
        <f t="shared" si="19"/>
        <v>7.5772093206639211</v>
      </c>
      <c r="AO64" s="288"/>
      <c r="AP64" s="288"/>
      <c r="AR64" s="286">
        <f t="shared" si="20"/>
        <v>700.62403721702663</v>
      </c>
      <c r="AS64" s="286">
        <f t="shared" si="21"/>
        <v>713.64561106649103</v>
      </c>
      <c r="AT64" s="287">
        <f t="shared" si="22"/>
        <v>6.5519714196481766</v>
      </c>
      <c r="AU64" s="287">
        <f t="shared" si="23"/>
        <v>6.5703864960764715</v>
      </c>
      <c r="AV64" s="299"/>
      <c r="AW64" s="299"/>
      <c r="BD64" s="299"/>
      <c r="BE64" s="299"/>
    </row>
    <row r="65" spans="1:57" s="298" customFormat="1" x14ac:dyDescent="0.2">
      <c r="A65" s="290" t="s">
        <v>205</v>
      </c>
      <c r="B65" s="290" t="s">
        <v>35</v>
      </c>
      <c r="C65" s="291" t="s">
        <v>206</v>
      </c>
      <c r="D65" s="291" t="s">
        <v>312</v>
      </c>
      <c r="E65" s="292">
        <v>5.01</v>
      </c>
      <c r="F65" s="292">
        <f t="shared" si="24"/>
        <v>5</v>
      </c>
      <c r="G65" s="293">
        <f>5*0.58</f>
        <v>2.9</v>
      </c>
      <c r="H65" s="293">
        <v>10</v>
      </c>
      <c r="I65" s="300">
        <f t="shared" ref="I65:I73" si="26">(30+4.4*E65)*(0/100)+(-34.66+29.72*E65)*(F65/100)</f>
        <v>5.7118600000000006</v>
      </c>
      <c r="J65" s="293">
        <v>0.3</v>
      </c>
      <c r="K65" s="294">
        <v>28</v>
      </c>
      <c r="L65" s="294">
        <v>14</v>
      </c>
      <c r="M65" s="295" t="s">
        <v>104</v>
      </c>
      <c r="N65" s="293">
        <v>15.9</v>
      </c>
      <c r="O65" s="296">
        <f t="shared" si="13"/>
        <v>16.2</v>
      </c>
      <c r="P65" s="297" t="s">
        <v>209</v>
      </c>
      <c r="Q65" s="297"/>
      <c r="R65" s="282">
        <f t="shared" si="25"/>
        <v>1.201037326620962</v>
      </c>
      <c r="S65" s="283">
        <v>1.3325232155759101</v>
      </c>
      <c r="T65" s="284" t="s">
        <v>37</v>
      </c>
      <c r="U65" s="283"/>
      <c r="V65" s="284"/>
      <c r="W65" s="284"/>
      <c r="X65" s="284"/>
      <c r="Y65" s="283">
        <v>1.3283582678673447</v>
      </c>
      <c r="Z65" s="284" t="s">
        <v>37</v>
      </c>
      <c r="AA65" s="283"/>
      <c r="AB65" s="284"/>
      <c r="AC65" s="284"/>
      <c r="AD65" s="284"/>
      <c r="AE65" s="285"/>
      <c r="AF65" s="287">
        <f t="shared" si="14"/>
        <v>2.7663191092261861</v>
      </c>
      <c r="AG65" s="287">
        <f t="shared" si="15"/>
        <v>2.7850112422383382</v>
      </c>
      <c r="AH65" s="288"/>
      <c r="AI65" s="288"/>
      <c r="AK65" s="286">
        <f t="shared" si="16"/>
        <v>19.096493493273297</v>
      </c>
      <c r="AL65" s="286">
        <f t="shared" si="17"/>
        <v>19.396493493273297</v>
      </c>
      <c r="AM65" s="287">
        <f t="shared" si="18"/>
        <v>2.9495047314588581</v>
      </c>
      <c r="AN65" s="287">
        <f t="shared" si="19"/>
        <v>2.965092301963018</v>
      </c>
      <c r="AO65" s="288"/>
      <c r="AP65" s="288"/>
      <c r="AR65" s="286">
        <f t="shared" si="20"/>
        <v>47.030112507114822</v>
      </c>
      <c r="AS65" s="286">
        <f t="shared" si="21"/>
        <v>47.634562397821483</v>
      </c>
      <c r="AT65" s="287">
        <f t="shared" si="22"/>
        <v>3.8507880881955332</v>
      </c>
      <c r="AU65" s="287">
        <f t="shared" si="23"/>
        <v>3.8635585985482974</v>
      </c>
      <c r="AV65" s="299"/>
      <c r="AW65" s="299"/>
      <c r="AX65" s="287"/>
      <c r="AY65" s="287"/>
      <c r="BD65" s="299"/>
      <c r="BE65" s="299"/>
    </row>
    <row r="66" spans="1:57" s="298" customFormat="1" x14ac:dyDescent="0.2">
      <c r="A66" s="290" t="s">
        <v>205</v>
      </c>
      <c r="B66" s="290" t="s">
        <v>35</v>
      </c>
      <c r="C66" s="291" t="s">
        <v>206</v>
      </c>
      <c r="D66" s="291" t="s">
        <v>312</v>
      </c>
      <c r="E66" s="292">
        <v>6.32</v>
      </c>
      <c r="F66" s="292">
        <f t="shared" si="24"/>
        <v>0.1</v>
      </c>
      <c r="G66" s="293">
        <f>0.1*0.58</f>
        <v>5.7999999999999996E-2</v>
      </c>
      <c r="H66" s="293">
        <v>3.2</v>
      </c>
      <c r="I66" s="296">
        <v>1.1000000000000001</v>
      </c>
      <c r="J66" s="293">
        <v>7.6</v>
      </c>
      <c r="K66" s="294">
        <v>28</v>
      </c>
      <c r="L66" s="294">
        <v>14</v>
      </c>
      <c r="M66" s="295" t="s">
        <v>104</v>
      </c>
      <c r="N66" s="293">
        <v>67.400000000000006</v>
      </c>
      <c r="O66" s="296">
        <f t="shared" si="13"/>
        <v>75</v>
      </c>
      <c r="P66" s="297" t="s">
        <v>209</v>
      </c>
      <c r="Q66" s="297"/>
      <c r="R66" s="282">
        <f t="shared" si="25"/>
        <v>1.4742895261945446</v>
      </c>
      <c r="S66" s="283">
        <v>1.3325232155759101</v>
      </c>
      <c r="T66" s="284" t="s">
        <v>37</v>
      </c>
      <c r="U66" s="283"/>
      <c r="V66" s="284"/>
      <c r="W66" s="284"/>
      <c r="X66" s="284"/>
      <c r="Y66" s="283">
        <v>1.3283582678673447</v>
      </c>
      <c r="Z66" s="284" t="s">
        <v>37</v>
      </c>
      <c r="AA66" s="283"/>
      <c r="AB66" s="284"/>
      <c r="AC66" s="284"/>
      <c r="AD66" s="284"/>
      <c r="AE66" s="285"/>
      <c r="AF66" s="287">
        <f t="shared" si="14"/>
        <v>4.2106450179182611</v>
      </c>
      <c r="AG66" s="287">
        <f t="shared" si="15"/>
        <v>4.3174881135363101</v>
      </c>
      <c r="AH66" s="288"/>
      <c r="AI66" s="288"/>
      <c r="AK66" s="286">
        <f t="shared" si="16"/>
        <v>99.367114065512311</v>
      </c>
      <c r="AL66" s="286">
        <f t="shared" si="17"/>
        <v>106.96711406551231</v>
      </c>
      <c r="AM66" s="287">
        <f t="shared" si="18"/>
        <v>4.5988212145100968</v>
      </c>
      <c r="AN66" s="287">
        <f t="shared" si="19"/>
        <v>4.6725214420395682</v>
      </c>
      <c r="AO66" s="288"/>
      <c r="AP66" s="288"/>
      <c r="AR66" s="286">
        <f t="shared" si="20"/>
        <v>2197.515824792385</v>
      </c>
      <c r="AS66" s="286">
        <f t="shared" si="21"/>
        <v>2342.8076803295048</v>
      </c>
      <c r="AT66" s="287">
        <f t="shared" si="22"/>
        <v>7.6950828308041128</v>
      </c>
      <c r="AU66" s="287">
        <f t="shared" si="23"/>
        <v>7.7591053524796338</v>
      </c>
      <c r="AV66" s="299"/>
      <c r="AW66" s="299"/>
      <c r="BD66" s="299"/>
      <c r="BE66" s="299"/>
    </row>
    <row r="67" spans="1:57" s="298" customFormat="1" x14ac:dyDescent="0.2">
      <c r="A67" s="290" t="s">
        <v>205</v>
      </c>
      <c r="B67" s="290" t="s">
        <v>35</v>
      </c>
      <c r="C67" s="291" t="s">
        <v>206</v>
      </c>
      <c r="D67" s="291" t="s">
        <v>384</v>
      </c>
      <c r="E67" s="292">
        <v>5.01</v>
      </c>
      <c r="F67" s="292">
        <f t="shared" si="24"/>
        <v>5</v>
      </c>
      <c r="G67" s="293">
        <f>5*0.58</f>
        <v>2.9</v>
      </c>
      <c r="H67" s="293">
        <v>10</v>
      </c>
      <c r="I67" s="300">
        <f t="shared" si="26"/>
        <v>5.7118600000000006</v>
      </c>
      <c r="J67" s="293">
        <v>0.3</v>
      </c>
      <c r="K67" s="294">
        <v>28</v>
      </c>
      <c r="L67" s="294">
        <v>14</v>
      </c>
      <c r="M67" s="295" t="s">
        <v>104</v>
      </c>
      <c r="N67" s="293">
        <v>33.5</v>
      </c>
      <c r="O67" s="296">
        <f t="shared" si="13"/>
        <v>33.799999999999997</v>
      </c>
      <c r="P67" s="297" t="s">
        <v>209</v>
      </c>
      <c r="Q67" s="297"/>
      <c r="R67" s="282">
        <f t="shared" si="25"/>
        <v>1.201037326620962</v>
      </c>
      <c r="S67" s="283">
        <v>1.3325232155759101</v>
      </c>
      <c r="T67" s="284" t="s">
        <v>37</v>
      </c>
      <c r="U67" s="283"/>
      <c r="V67" s="284"/>
      <c r="W67" s="284"/>
      <c r="X67" s="284"/>
      <c r="Y67" s="283">
        <v>1.3283582678673447</v>
      </c>
      <c r="Z67" s="284" t="s">
        <v>37</v>
      </c>
      <c r="AA67" s="283"/>
      <c r="AB67" s="284"/>
      <c r="AC67" s="284"/>
      <c r="AD67" s="284"/>
      <c r="AE67" s="285"/>
      <c r="AF67" s="287">
        <f t="shared" si="14"/>
        <v>3.5115454388310208</v>
      </c>
      <c r="AG67" s="287">
        <f t="shared" si="15"/>
        <v>3.520460802488973</v>
      </c>
      <c r="AH67" s="288"/>
      <c r="AI67" s="288"/>
      <c r="AK67" s="286">
        <f t="shared" si="16"/>
        <v>40.234750441802227</v>
      </c>
      <c r="AL67" s="286">
        <f t="shared" si="17"/>
        <v>40.534750441802224</v>
      </c>
      <c r="AM67" s="287">
        <f t="shared" si="18"/>
        <v>3.6947310610636928</v>
      </c>
      <c r="AN67" s="287">
        <f t="shared" si="19"/>
        <v>3.7021596418104368</v>
      </c>
      <c r="AO67" s="288"/>
      <c r="AP67" s="288"/>
      <c r="AR67" s="286">
        <f t="shared" si="20"/>
        <v>99.088601823166442</v>
      </c>
      <c r="AS67" s="286">
        <f t="shared" si="21"/>
        <v>99.546606187854039</v>
      </c>
      <c r="AT67" s="287">
        <f t="shared" si="22"/>
        <v>4.5960144178003679</v>
      </c>
      <c r="AU67" s="287">
        <f t="shared" si="23"/>
        <v>4.6006259383957158</v>
      </c>
      <c r="AV67" s="299"/>
      <c r="AW67" s="299"/>
      <c r="AX67" s="287">
        <f>GEOMEAN(AR67:AR68)</f>
        <v>422.67880721327339</v>
      </c>
      <c r="AY67" s="287">
        <f>GEOMEAN(AS67:AS68)</f>
        <v>440.82275402959613</v>
      </c>
      <c r="AZ67" s="287"/>
      <c r="BA67" s="287"/>
      <c r="BB67" s="287"/>
      <c r="BC67" s="287"/>
      <c r="BD67" s="288"/>
      <c r="BE67" s="288"/>
    </row>
    <row r="68" spans="1:57" s="298" customFormat="1" x14ac:dyDescent="0.2">
      <c r="A68" s="290" t="s">
        <v>205</v>
      </c>
      <c r="B68" s="290" t="s">
        <v>35</v>
      </c>
      <c r="C68" s="291" t="s">
        <v>206</v>
      </c>
      <c r="D68" s="291" t="s">
        <v>384</v>
      </c>
      <c r="E68" s="292">
        <v>6.32</v>
      </c>
      <c r="F68" s="292">
        <f t="shared" si="24"/>
        <v>0.1</v>
      </c>
      <c r="G68" s="293">
        <f>0.1*0.58</f>
        <v>5.7999999999999996E-2</v>
      </c>
      <c r="H68" s="293">
        <v>3.2</v>
      </c>
      <c r="I68" s="296">
        <v>1.1000000000000001</v>
      </c>
      <c r="J68" s="293">
        <v>7.6</v>
      </c>
      <c r="K68" s="294">
        <v>28</v>
      </c>
      <c r="L68" s="294">
        <v>14</v>
      </c>
      <c r="M68" s="295" t="s">
        <v>104</v>
      </c>
      <c r="N68" s="293">
        <v>55.3</v>
      </c>
      <c r="O68" s="296">
        <f t="shared" si="13"/>
        <v>62.9</v>
      </c>
      <c r="P68" s="297" t="s">
        <v>209</v>
      </c>
      <c r="Q68" s="297"/>
      <c r="R68" s="282">
        <f t="shared" si="25"/>
        <v>1.4742895261945446</v>
      </c>
      <c r="S68" s="283">
        <v>1.3325232155759101</v>
      </c>
      <c r="T68" s="284" t="s">
        <v>37</v>
      </c>
      <c r="U68" s="283"/>
      <c r="V68" s="284"/>
      <c r="W68" s="284"/>
      <c r="X68" s="284"/>
      <c r="Y68" s="283">
        <v>1.3283582678673447</v>
      </c>
      <c r="Z68" s="284" t="s">
        <v>37</v>
      </c>
      <c r="AA68" s="283"/>
      <c r="AB68" s="284"/>
      <c r="AC68" s="284"/>
      <c r="AD68" s="284"/>
      <c r="AE68" s="285"/>
      <c r="AF68" s="287">
        <f t="shared" si="14"/>
        <v>4.0127729085282891</v>
      </c>
      <c r="AG68" s="287">
        <f t="shared" si="15"/>
        <v>4.1415461637063951</v>
      </c>
      <c r="AH68" s="288"/>
      <c r="AI68" s="288"/>
      <c r="AK68" s="286">
        <f t="shared" si="16"/>
        <v>81.528210798558305</v>
      </c>
      <c r="AL68" s="286">
        <f t="shared" si="17"/>
        <v>89.1282107985583</v>
      </c>
      <c r="AM68" s="287">
        <f t="shared" si="18"/>
        <v>4.4009491051201248</v>
      </c>
      <c r="AN68" s="287">
        <f t="shared" si="19"/>
        <v>4.4900759038758222</v>
      </c>
      <c r="AO68" s="288"/>
      <c r="AP68" s="288"/>
      <c r="AR68" s="286">
        <f t="shared" si="20"/>
        <v>1803.0063072851462</v>
      </c>
      <c r="AS68" s="286">
        <f t="shared" si="21"/>
        <v>1952.097694857908</v>
      </c>
      <c r="AT68" s="287">
        <f t="shared" si="22"/>
        <v>7.4972107214141408</v>
      </c>
      <c r="AU68" s="287">
        <f t="shared" si="23"/>
        <v>7.5766598143158888</v>
      </c>
      <c r="AV68" s="299"/>
      <c r="AW68" s="299"/>
      <c r="BD68" s="299"/>
      <c r="BE68" s="299"/>
    </row>
    <row r="69" spans="1:57" s="298" customFormat="1" x14ac:dyDescent="0.2">
      <c r="A69" s="290" t="s">
        <v>205</v>
      </c>
      <c r="B69" s="290" t="s">
        <v>35</v>
      </c>
      <c r="C69" s="291" t="s">
        <v>206</v>
      </c>
      <c r="D69" s="291" t="s">
        <v>316</v>
      </c>
      <c r="E69" s="292">
        <v>5.01</v>
      </c>
      <c r="F69" s="292">
        <f t="shared" si="24"/>
        <v>5</v>
      </c>
      <c r="G69" s="293">
        <f>5*0.58</f>
        <v>2.9</v>
      </c>
      <c r="H69" s="293">
        <v>10</v>
      </c>
      <c r="I69" s="300">
        <f t="shared" si="26"/>
        <v>5.7118600000000006</v>
      </c>
      <c r="J69" s="293">
        <v>0.3</v>
      </c>
      <c r="K69" s="294">
        <v>28</v>
      </c>
      <c r="L69" s="294">
        <v>14</v>
      </c>
      <c r="M69" s="295" t="s">
        <v>104</v>
      </c>
      <c r="N69" s="293">
        <v>28</v>
      </c>
      <c r="O69" s="296">
        <f t="shared" si="13"/>
        <v>28.3</v>
      </c>
      <c r="P69" s="297" t="s">
        <v>209</v>
      </c>
      <c r="Q69" s="297"/>
      <c r="R69" s="282">
        <f t="shared" si="25"/>
        <v>1.201037326620962</v>
      </c>
      <c r="S69" s="283">
        <v>1.3325232155759101</v>
      </c>
      <c r="T69" s="284" t="s">
        <v>37</v>
      </c>
      <c r="U69" s="283"/>
      <c r="V69" s="284"/>
      <c r="W69" s="284"/>
      <c r="X69" s="284"/>
      <c r="Y69" s="283">
        <v>1.3283582678673447</v>
      </c>
      <c r="Z69" s="284" t="s">
        <v>37</v>
      </c>
      <c r="AA69" s="283"/>
      <c r="AB69" s="284"/>
      <c r="AC69" s="284"/>
      <c r="AD69" s="284"/>
      <c r="AE69" s="285"/>
      <c r="AF69" s="287">
        <f t="shared" si="14"/>
        <v>3.3322045101752038</v>
      </c>
      <c r="AG69" s="287">
        <f t="shared" si="15"/>
        <v>3.3428618046491918</v>
      </c>
      <c r="AH69" s="288"/>
      <c r="AI69" s="288"/>
      <c r="AK69" s="286">
        <f t="shared" si="16"/>
        <v>33.629045145386932</v>
      </c>
      <c r="AL69" s="286">
        <f t="shared" si="17"/>
        <v>33.92904514538693</v>
      </c>
      <c r="AM69" s="287">
        <f t="shared" si="18"/>
        <v>3.5153901324078758</v>
      </c>
      <c r="AN69" s="287">
        <f t="shared" si="19"/>
        <v>3.5242714365017376</v>
      </c>
      <c r="AO69" s="288"/>
      <c r="AP69" s="288"/>
      <c r="AR69" s="286">
        <f t="shared" si="20"/>
        <v>82.820323911900303</v>
      </c>
      <c r="AS69" s="286">
        <f t="shared" si="21"/>
        <v>83.324092503468847</v>
      </c>
      <c r="AT69" s="287">
        <f t="shared" si="22"/>
        <v>4.4166734891445509</v>
      </c>
      <c r="AU69" s="287">
        <f t="shared" si="23"/>
        <v>4.4227377330870166</v>
      </c>
      <c r="AV69" s="299"/>
      <c r="AW69" s="299"/>
      <c r="AX69" s="287">
        <f>GEOMEAN(AR69:AR70)</f>
        <v>331.92090139492302</v>
      </c>
      <c r="AY69" s="287">
        <f>GEOMEAN(AS69:AS70)</f>
        <v>351.6303652574037</v>
      </c>
      <c r="AZ69" s="287"/>
      <c r="BA69" s="287"/>
      <c r="BB69" s="287"/>
      <c r="BC69" s="287"/>
      <c r="BD69" s="288"/>
      <c r="BE69" s="288"/>
    </row>
    <row r="70" spans="1:57" s="298" customFormat="1" x14ac:dyDescent="0.2">
      <c r="A70" s="290" t="s">
        <v>205</v>
      </c>
      <c r="B70" s="290" t="s">
        <v>35</v>
      </c>
      <c r="C70" s="291" t="s">
        <v>206</v>
      </c>
      <c r="D70" s="291" t="s">
        <v>316</v>
      </c>
      <c r="E70" s="292">
        <v>6.32</v>
      </c>
      <c r="F70" s="292">
        <f t="shared" si="24"/>
        <v>0.1</v>
      </c>
      <c r="G70" s="293">
        <f>0.1*0.58</f>
        <v>5.7999999999999996E-2</v>
      </c>
      <c r="H70" s="293">
        <v>3.2</v>
      </c>
      <c r="I70" s="296">
        <v>1.1000000000000001</v>
      </c>
      <c r="J70" s="293">
        <v>7.6</v>
      </c>
      <c r="K70" s="294">
        <v>28</v>
      </c>
      <c r="L70" s="294">
        <v>14</v>
      </c>
      <c r="M70" s="295" t="s">
        <v>104</v>
      </c>
      <c r="N70" s="293">
        <v>40.799999999999997</v>
      </c>
      <c r="O70" s="296">
        <f t="shared" si="13"/>
        <v>48.4</v>
      </c>
      <c r="P70" s="297" t="s">
        <v>209</v>
      </c>
      <c r="Q70" s="297"/>
      <c r="R70" s="282">
        <f t="shared" si="25"/>
        <v>1.4742895261945446</v>
      </c>
      <c r="S70" s="283">
        <v>1.3325232155759101</v>
      </c>
      <c r="T70" s="284" t="s">
        <v>37</v>
      </c>
      <c r="U70" s="283"/>
      <c r="V70" s="284"/>
      <c r="W70" s="284"/>
      <c r="X70" s="284"/>
      <c r="Y70" s="283">
        <v>1.3283582678673447</v>
      </c>
      <c r="Z70" s="284" t="s">
        <v>37</v>
      </c>
      <c r="AA70" s="283"/>
      <c r="AB70" s="284"/>
      <c r="AC70" s="284"/>
      <c r="AD70" s="284"/>
      <c r="AE70" s="285"/>
      <c r="AF70" s="287">
        <f t="shared" si="14"/>
        <v>3.708682081410116</v>
      </c>
      <c r="AG70" s="287">
        <f t="shared" si="15"/>
        <v>3.8794998137225858</v>
      </c>
      <c r="AH70" s="288"/>
      <c r="AI70" s="288"/>
      <c r="AK70" s="286">
        <f t="shared" si="16"/>
        <v>60.151012668737415</v>
      </c>
      <c r="AL70" s="286">
        <f t="shared" si="17"/>
        <v>67.751012668737417</v>
      </c>
      <c r="AM70" s="287">
        <f t="shared" si="18"/>
        <v>4.0968582780019513</v>
      </c>
      <c r="AN70" s="287">
        <f t="shared" si="19"/>
        <v>4.2158394067881382</v>
      </c>
      <c r="AO70" s="288"/>
      <c r="AP70" s="288"/>
      <c r="AR70" s="286">
        <f t="shared" si="20"/>
        <v>1330.24696812358</v>
      </c>
      <c r="AS70" s="286">
        <f t="shared" si="21"/>
        <v>1483.8915139208714</v>
      </c>
      <c r="AT70" s="287">
        <f t="shared" si="22"/>
        <v>7.1931198942959673</v>
      </c>
      <c r="AU70" s="287">
        <f t="shared" si="23"/>
        <v>7.3024233172282047</v>
      </c>
      <c r="AV70" s="299"/>
      <c r="AW70" s="299"/>
      <c r="BD70" s="299"/>
      <c r="BE70" s="299"/>
    </row>
    <row r="71" spans="1:57" s="298" customFormat="1" x14ac:dyDescent="0.2">
      <c r="A71" s="290" t="s">
        <v>205</v>
      </c>
      <c r="B71" s="290" t="s">
        <v>35</v>
      </c>
      <c r="C71" s="291" t="s">
        <v>206</v>
      </c>
      <c r="D71" s="291" t="s">
        <v>383</v>
      </c>
      <c r="E71" s="292">
        <v>5.01</v>
      </c>
      <c r="F71" s="292">
        <f t="shared" si="24"/>
        <v>5</v>
      </c>
      <c r="G71" s="293">
        <f>5*0.58</f>
        <v>2.9</v>
      </c>
      <c r="H71" s="293">
        <v>10</v>
      </c>
      <c r="I71" s="300">
        <f t="shared" si="26"/>
        <v>5.7118600000000006</v>
      </c>
      <c r="J71" s="293">
        <v>0.3</v>
      </c>
      <c r="K71" s="294">
        <v>28</v>
      </c>
      <c r="L71" s="294">
        <v>14</v>
      </c>
      <c r="M71" s="295" t="s">
        <v>104</v>
      </c>
      <c r="N71" s="293">
        <v>21.4</v>
      </c>
      <c r="O71" s="296">
        <f t="shared" si="13"/>
        <v>21.7</v>
      </c>
      <c r="P71" s="297" t="s">
        <v>209</v>
      </c>
      <c r="Q71" s="297"/>
      <c r="R71" s="282">
        <f t="shared" si="25"/>
        <v>1.201037326620962</v>
      </c>
      <c r="S71" s="283">
        <v>1.3325232155759101</v>
      </c>
      <c r="T71" s="284" t="s">
        <v>37</v>
      </c>
      <c r="U71" s="283"/>
      <c r="V71" s="284"/>
      <c r="W71" s="284"/>
      <c r="X71" s="284"/>
      <c r="Y71" s="283">
        <v>1.3283582678673447</v>
      </c>
      <c r="Z71" s="284" t="s">
        <v>37</v>
      </c>
      <c r="AA71" s="283"/>
      <c r="AB71" s="284"/>
      <c r="AC71" s="284"/>
      <c r="AD71" s="284"/>
      <c r="AE71" s="285"/>
      <c r="AF71" s="287">
        <f t="shared" si="14"/>
        <v>3.0633909220278057</v>
      </c>
      <c r="AG71" s="287">
        <f t="shared" si="15"/>
        <v>3.0773122605464138</v>
      </c>
      <c r="AH71" s="288"/>
      <c r="AI71" s="288"/>
      <c r="AK71" s="286">
        <f t="shared" si="16"/>
        <v>25.702198789688584</v>
      </c>
      <c r="AL71" s="286">
        <f t="shared" si="17"/>
        <v>26.002198789688585</v>
      </c>
      <c r="AM71" s="287">
        <f t="shared" si="18"/>
        <v>3.2465765442604777</v>
      </c>
      <c r="AN71" s="287">
        <f t="shared" si="19"/>
        <v>3.2581811032799162</v>
      </c>
      <c r="AO71" s="288"/>
      <c r="AP71" s="288"/>
      <c r="AR71" s="286">
        <f t="shared" si="20"/>
        <v>63.298390418380947</v>
      </c>
      <c r="AS71" s="286">
        <f t="shared" si="21"/>
        <v>63.857076082206653</v>
      </c>
      <c r="AT71" s="287">
        <f t="shared" si="22"/>
        <v>4.1478599009971528</v>
      </c>
      <c r="AU71" s="287">
        <f t="shared" si="23"/>
        <v>4.1566473998651956</v>
      </c>
      <c r="AV71" s="299"/>
      <c r="AW71" s="299"/>
      <c r="AX71" s="287">
        <f>GEOMEAN(AR71:AR72)</f>
        <v>335.6825085826024</v>
      </c>
      <c r="AY71" s="287">
        <f>GEOMEAN(AS71:AS72)</f>
        <v>351.0155066221655</v>
      </c>
      <c r="AZ71" s="287"/>
      <c r="BA71" s="287"/>
      <c r="BB71" s="287"/>
      <c r="BC71" s="287"/>
      <c r="BD71" s="288"/>
      <c r="BE71" s="288"/>
    </row>
    <row r="72" spans="1:57" s="298" customFormat="1" x14ac:dyDescent="0.2">
      <c r="A72" s="290" t="s">
        <v>205</v>
      </c>
      <c r="B72" s="290" t="s">
        <v>35</v>
      </c>
      <c r="C72" s="291" t="s">
        <v>206</v>
      </c>
      <c r="D72" s="291" t="s">
        <v>383</v>
      </c>
      <c r="E72" s="292">
        <v>6.32</v>
      </c>
      <c r="F72" s="292">
        <f t="shared" si="24"/>
        <v>0.1</v>
      </c>
      <c r="G72" s="293">
        <f>0.1*0.58</f>
        <v>5.7999999999999996E-2</v>
      </c>
      <c r="H72" s="293">
        <v>3.2</v>
      </c>
      <c r="I72" s="296">
        <v>1.1000000000000001</v>
      </c>
      <c r="J72" s="293">
        <v>7.6</v>
      </c>
      <c r="K72" s="294">
        <v>28</v>
      </c>
      <c r="L72" s="294">
        <v>14</v>
      </c>
      <c r="M72" s="295" t="s">
        <v>104</v>
      </c>
      <c r="N72" s="293">
        <v>54.6</v>
      </c>
      <c r="O72" s="296">
        <f t="shared" si="13"/>
        <v>62.2</v>
      </c>
      <c r="P72" s="297" t="s">
        <v>209</v>
      </c>
      <c r="Q72" s="297"/>
      <c r="R72" s="282">
        <f t="shared" si="25"/>
        <v>1.4742895261945446</v>
      </c>
      <c r="S72" s="283">
        <v>1.3325232155759101</v>
      </c>
      <c r="T72" s="284" t="s">
        <v>37</v>
      </c>
      <c r="U72" s="283"/>
      <c r="V72" s="284"/>
      <c r="W72" s="284"/>
      <c r="X72" s="284"/>
      <c r="Y72" s="283">
        <v>1.3283582678673447</v>
      </c>
      <c r="Z72" s="284" t="s">
        <v>37</v>
      </c>
      <c r="AA72" s="283"/>
      <c r="AB72" s="284"/>
      <c r="AC72" s="284"/>
      <c r="AD72" s="284"/>
      <c r="AE72" s="285"/>
      <c r="AF72" s="287">
        <f t="shared" si="14"/>
        <v>4.0000338827508592</v>
      </c>
      <c r="AG72" s="287">
        <f t="shared" si="15"/>
        <v>4.1303549997451334</v>
      </c>
      <c r="AH72" s="288"/>
      <c r="AI72" s="288"/>
      <c r="AK72" s="286">
        <f t="shared" si="16"/>
        <v>80.496208130222129</v>
      </c>
      <c r="AL72" s="286">
        <f t="shared" si="17"/>
        <v>88.096208130222124</v>
      </c>
      <c r="AM72" s="287">
        <f t="shared" si="18"/>
        <v>4.388210079342695</v>
      </c>
      <c r="AN72" s="287">
        <f t="shared" si="19"/>
        <v>4.478429491496251</v>
      </c>
      <c r="AO72" s="288"/>
      <c r="AP72" s="288"/>
      <c r="AR72" s="286">
        <f t="shared" si="20"/>
        <v>1780.1834426359674</v>
      </c>
      <c r="AS72" s="286">
        <f t="shared" si="21"/>
        <v>1929.4946378471545</v>
      </c>
      <c r="AT72" s="287">
        <f t="shared" si="22"/>
        <v>7.484471695636711</v>
      </c>
      <c r="AU72" s="287">
        <f t="shared" si="23"/>
        <v>7.5650134019363175</v>
      </c>
      <c r="AV72" s="299"/>
      <c r="AW72" s="299"/>
      <c r="BD72" s="299"/>
      <c r="BE72" s="299"/>
    </row>
    <row r="73" spans="1:57" s="298" customFormat="1" x14ac:dyDescent="0.2">
      <c r="A73" s="290" t="s">
        <v>205</v>
      </c>
      <c r="B73" s="290" t="s">
        <v>35</v>
      </c>
      <c r="C73" s="291" t="s">
        <v>206</v>
      </c>
      <c r="D73" s="291" t="s">
        <v>319</v>
      </c>
      <c r="E73" s="292">
        <v>5.01</v>
      </c>
      <c r="F73" s="292">
        <f t="shared" si="24"/>
        <v>5</v>
      </c>
      <c r="G73" s="293">
        <f>5*0.58</f>
        <v>2.9</v>
      </c>
      <c r="H73" s="293">
        <v>10</v>
      </c>
      <c r="I73" s="300">
        <f t="shared" si="26"/>
        <v>5.7118600000000006</v>
      </c>
      <c r="J73" s="293">
        <v>0.3</v>
      </c>
      <c r="K73" s="294">
        <v>28</v>
      </c>
      <c r="L73" s="294">
        <v>14</v>
      </c>
      <c r="M73" s="295" t="s">
        <v>104</v>
      </c>
      <c r="N73" s="293">
        <v>20.6</v>
      </c>
      <c r="O73" s="296">
        <f t="shared" si="13"/>
        <v>20.900000000000002</v>
      </c>
      <c r="P73" s="297" t="s">
        <v>209</v>
      </c>
      <c r="Q73" s="297"/>
      <c r="R73" s="282">
        <f t="shared" si="25"/>
        <v>1.201037326620962</v>
      </c>
      <c r="S73" s="283">
        <v>1.1298114754548121</v>
      </c>
      <c r="T73" s="284" t="s">
        <v>37</v>
      </c>
      <c r="U73" s="283"/>
      <c r="V73" s="284"/>
      <c r="W73" s="284"/>
      <c r="X73" s="284"/>
      <c r="Y73" s="283">
        <v>1.1269828106433086</v>
      </c>
      <c r="Z73" s="284" t="s">
        <v>37</v>
      </c>
      <c r="AA73" s="283"/>
      <c r="AB73" s="284"/>
      <c r="AC73" s="284"/>
      <c r="AD73" s="284"/>
      <c r="AE73" s="285"/>
      <c r="AF73" s="287">
        <f t="shared" si="14"/>
        <v>3.0252910757955354</v>
      </c>
      <c r="AG73" s="287">
        <f t="shared" si="15"/>
        <v>3.0397491589707655</v>
      </c>
      <c r="AH73" s="288"/>
      <c r="AI73" s="288"/>
      <c r="AK73" s="286">
        <f t="shared" si="16"/>
        <v>24.741368928391818</v>
      </c>
      <c r="AL73" s="286">
        <f t="shared" si="17"/>
        <v>25.041368928391819</v>
      </c>
      <c r="AM73" s="287">
        <f t="shared" si="18"/>
        <v>3.2084766980282073</v>
      </c>
      <c r="AN73" s="287">
        <f t="shared" si="19"/>
        <v>3.2205292144017763</v>
      </c>
      <c r="AO73" s="288"/>
      <c r="AP73" s="288"/>
      <c r="AR73" s="286">
        <f t="shared" si="20"/>
        <v>53.125190379023351</v>
      </c>
      <c r="AS73" s="286">
        <f t="shared" si="21"/>
        <v>53.66658171533561</v>
      </c>
      <c r="AT73" s="287">
        <f t="shared" si="22"/>
        <v>3.9726512108433054</v>
      </c>
      <c r="AU73" s="287">
        <f t="shared" si="23"/>
        <v>3.9827904933710436</v>
      </c>
      <c r="AV73" s="299"/>
      <c r="AW73" s="299"/>
      <c r="AX73" s="287">
        <f>GEOMEAN(AR73:AR86)</f>
        <v>170.90324053278894</v>
      </c>
      <c r="AY73" s="287">
        <f>GEOMEAN(AS73:AS86)</f>
        <v>180.02810420483002</v>
      </c>
      <c r="AZ73" s="287"/>
      <c r="BA73" s="287"/>
      <c r="BB73" s="287"/>
      <c r="BC73" s="287"/>
      <c r="BD73" s="288"/>
      <c r="BE73" s="288"/>
    </row>
    <row r="74" spans="1:57" s="298" customFormat="1" x14ac:dyDescent="0.2">
      <c r="A74" s="290" t="s">
        <v>205</v>
      </c>
      <c r="B74" s="290" t="s">
        <v>35</v>
      </c>
      <c r="C74" s="291" t="s">
        <v>206</v>
      </c>
      <c r="D74" s="291" t="s">
        <v>319</v>
      </c>
      <c r="E74" s="292">
        <v>6.32</v>
      </c>
      <c r="F74" s="292">
        <f t="shared" si="24"/>
        <v>0.1</v>
      </c>
      <c r="G74" s="293">
        <f>0.1*0.58</f>
        <v>5.7999999999999996E-2</v>
      </c>
      <c r="H74" s="293">
        <v>3.2</v>
      </c>
      <c r="I74" s="296">
        <v>1.1000000000000001</v>
      </c>
      <c r="J74" s="293">
        <v>7.6</v>
      </c>
      <c r="K74" s="294">
        <v>28</v>
      </c>
      <c r="L74" s="294">
        <v>14</v>
      </c>
      <c r="M74" s="295" t="s">
        <v>104</v>
      </c>
      <c r="N74" s="293">
        <v>15.4</v>
      </c>
      <c r="O74" s="296">
        <f t="shared" si="13"/>
        <v>23</v>
      </c>
      <c r="P74" s="297" t="s">
        <v>209</v>
      </c>
      <c r="Q74" s="297"/>
      <c r="R74" s="282">
        <f t="shared" si="25"/>
        <v>1.4742895261945446</v>
      </c>
      <c r="S74" s="283">
        <v>1.1298114754548121</v>
      </c>
      <c r="T74" s="284" t="s">
        <v>37</v>
      </c>
      <c r="U74" s="283"/>
      <c r="V74" s="284"/>
      <c r="W74" s="284"/>
      <c r="X74" s="284"/>
      <c r="Y74" s="283">
        <v>1.1269828106433086</v>
      </c>
      <c r="Z74" s="284" t="s">
        <v>37</v>
      </c>
      <c r="AA74" s="283"/>
      <c r="AB74" s="284"/>
      <c r="AC74" s="284"/>
      <c r="AD74" s="284"/>
      <c r="AE74" s="285"/>
      <c r="AF74" s="287">
        <f t="shared" si="14"/>
        <v>2.7343675094195836</v>
      </c>
      <c r="AG74" s="287">
        <f t="shared" si="15"/>
        <v>3.1354942159291497</v>
      </c>
      <c r="AH74" s="288"/>
      <c r="AI74" s="288"/>
      <c r="AK74" s="286">
        <f t="shared" si="16"/>
        <v>22.704058703395987</v>
      </c>
      <c r="AL74" s="286">
        <f t="shared" si="17"/>
        <v>30.304058703395988</v>
      </c>
      <c r="AM74" s="287">
        <f t="shared" si="18"/>
        <v>3.122543706011419</v>
      </c>
      <c r="AN74" s="287">
        <f t="shared" si="19"/>
        <v>3.4112816541518702</v>
      </c>
      <c r="AO74" s="288"/>
      <c r="AP74" s="288"/>
      <c r="AR74" s="286">
        <f t="shared" si="20"/>
        <v>313.49477691637452</v>
      </c>
      <c r="AS74" s="286">
        <f t="shared" si="21"/>
        <v>415.69338753371613</v>
      </c>
      <c r="AT74" s="287">
        <f t="shared" si="22"/>
        <v>5.7477826993803571</v>
      </c>
      <c r="AU74" s="287">
        <f t="shared" si="23"/>
        <v>6.0299479393091664</v>
      </c>
      <c r="AV74" s="299"/>
      <c r="AW74" s="299"/>
      <c r="BD74" s="299"/>
      <c r="BE74" s="299"/>
    </row>
    <row r="75" spans="1:57" s="306" customFormat="1" x14ac:dyDescent="0.2">
      <c r="A75" s="301" t="s">
        <v>205</v>
      </c>
      <c r="B75" s="301" t="s">
        <v>35</v>
      </c>
      <c r="C75" s="302" t="s">
        <v>210</v>
      </c>
      <c r="D75" s="302" t="s">
        <v>319</v>
      </c>
      <c r="E75" s="303">
        <v>7.3</v>
      </c>
      <c r="F75" s="303">
        <f t="shared" si="24"/>
        <v>10</v>
      </c>
      <c r="G75" s="303">
        <f>0.58*10</f>
        <v>5.8</v>
      </c>
      <c r="H75" s="303">
        <v>20</v>
      </c>
      <c r="I75" s="303">
        <v>15.1</v>
      </c>
      <c r="J75" s="303">
        <v>0</v>
      </c>
      <c r="K75" s="304">
        <v>7</v>
      </c>
      <c r="L75" s="304">
        <v>4</v>
      </c>
      <c r="M75" s="303" t="s">
        <v>93</v>
      </c>
      <c r="N75" s="305">
        <v>180</v>
      </c>
      <c r="O75" s="305">
        <f>N75</f>
        <v>180</v>
      </c>
      <c r="P75" s="306" t="s">
        <v>211</v>
      </c>
      <c r="R75" s="282">
        <f t="shared" si="25"/>
        <v>2.7226443260410949</v>
      </c>
      <c r="S75" s="307">
        <v>1.1298114754548121</v>
      </c>
      <c r="T75" s="308" t="s">
        <v>37</v>
      </c>
      <c r="U75" s="307"/>
      <c r="V75" s="308"/>
      <c r="W75" s="308"/>
      <c r="X75" s="308"/>
      <c r="Y75" s="307">
        <v>1.1269828106433086</v>
      </c>
      <c r="Z75" s="308" t="s">
        <v>37</v>
      </c>
      <c r="AA75" s="307"/>
      <c r="AB75" s="308"/>
      <c r="AC75" s="308"/>
      <c r="AD75" s="308"/>
      <c r="AF75" s="309">
        <f t="shared" si="14"/>
        <v>5.1929568508902104</v>
      </c>
      <c r="AG75" s="309">
        <f t="shared" si="15"/>
        <v>5.1929568508902104</v>
      </c>
      <c r="AH75" s="310"/>
      <c r="AI75" s="310"/>
      <c r="AK75" s="311">
        <f t="shared" si="16"/>
        <v>490.07597868739708</v>
      </c>
      <c r="AL75" s="311">
        <f t="shared" si="17"/>
        <v>490.07597868739708</v>
      </c>
      <c r="AM75" s="309">
        <f t="shared" si="18"/>
        <v>6.1945604376300469</v>
      </c>
      <c r="AN75" s="309">
        <f t="shared" si="19"/>
        <v>6.1945604376300469</v>
      </c>
      <c r="AO75" s="310"/>
      <c r="AP75" s="310"/>
      <c r="AR75" s="311">
        <f t="shared" si="20"/>
        <v>350.86049416660438</v>
      </c>
      <c r="AS75" s="311">
        <f t="shared" si="21"/>
        <v>351.15416539102108</v>
      </c>
      <c r="AT75" s="309">
        <f t="shared" si="22"/>
        <v>5.860388691943883</v>
      </c>
      <c r="AU75" s="309">
        <f t="shared" si="23"/>
        <v>5.8612253446762699</v>
      </c>
      <c r="AV75" s="312"/>
      <c r="AW75" s="312"/>
      <c r="BD75" s="312"/>
      <c r="BE75" s="312"/>
    </row>
    <row r="76" spans="1:57" s="306" customFormat="1" x14ac:dyDescent="0.2">
      <c r="A76" s="301" t="s">
        <v>205</v>
      </c>
      <c r="B76" s="301" t="s">
        <v>35</v>
      </c>
      <c r="C76" s="302" t="s">
        <v>210</v>
      </c>
      <c r="D76" s="302" t="s">
        <v>319</v>
      </c>
      <c r="E76" s="303">
        <v>5.9</v>
      </c>
      <c r="F76" s="303">
        <f t="shared" si="24"/>
        <v>3.9482758620689657</v>
      </c>
      <c r="G76" s="303">
        <v>2.29</v>
      </c>
      <c r="H76" s="303">
        <v>7.9</v>
      </c>
      <c r="I76" s="303">
        <v>11</v>
      </c>
      <c r="J76" s="303">
        <v>0</v>
      </c>
      <c r="K76" s="304">
        <v>7</v>
      </c>
      <c r="L76" s="313">
        <v>4</v>
      </c>
      <c r="M76" s="303" t="s">
        <v>93</v>
      </c>
      <c r="N76" s="305">
        <v>180</v>
      </c>
      <c r="O76" s="305">
        <f>N76</f>
        <v>180</v>
      </c>
      <c r="P76" s="306" t="s">
        <v>211</v>
      </c>
      <c r="R76" s="282">
        <f t="shared" si="25"/>
        <v>1.3020152930792388</v>
      </c>
      <c r="S76" s="307">
        <v>1.1298114754548121</v>
      </c>
      <c r="T76" s="308" t="s">
        <v>37</v>
      </c>
      <c r="U76" s="307"/>
      <c r="V76" s="308"/>
      <c r="W76" s="308"/>
      <c r="X76" s="308"/>
      <c r="Y76" s="307">
        <v>1.1269828106433086</v>
      </c>
      <c r="Z76" s="308" t="s">
        <v>37</v>
      </c>
      <c r="AA76" s="307"/>
      <c r="AB76" s="308"/>
      <c r="AC76" s="308"/>
      <c r="AD76" s="308"/>
      <c r="AF76" s="309">
        <f t="shared" si="14"/>
        <v>5.1929568508902104</v>
      </c>
      <c r="AG76" s="309">
        <f t="shared" si="15"/>
        <v>5.1929568508902104</v>
      </c>
      <c r="AH76" s="310"/>
      <c r="AI76" s="310"/>
      <c r="AK76" s="311">
        <f t="shared" si="16"/>
        <v>234.36275275426297</v>
      </c>
      <c r="AL76" s="311">
        <f t="shared" si="17"/>
        <v>234.36275275426297</v>
      </c>
      <c r="AM76" s="309">
        <f t="shared" si="18"/>
        <v>5.4568701404441953</v>
      </c>
      <c r="AN76" s="309">
        <f t="shared" si="19"/>
        <v>5.4568701404441953</v>
      </c>
      <c r="AO76" s="310"/>
      <c r="AP76" s="310"/>
      <c r="AR76" s="311">
        <f t="shared" si="20"/>
        <v>239.9959558409418</v>
      </c>
      <c r="AS76" s="311">
        <f t="shared" si="21"/>
        <v>239.98168447771175</v>
      </c>
      <c r="AT76" s="309">
        <f t="shared" si="22"/>
        <v>5.4806220725372752</v>
      </c>
      <c r="AU76" s="309">
        <f t="shared" si="23"/>
        <v>5.4805626057536774</v>
      </c>
      <c r="AV76" s="312"/>
      <c r="AW76" s="312"/>
      <c r="BD76" s="312"/>
      <c r="BE76" s="312"/>
    </row>
    <row r="77" spans="1:57" s="306" customFormat="1" x14ac:dyDescent="0.2">
      <c r="A77" s="301" t="s">
        <v>205</v>
      </c>
      <c r="B77" s="301" t="s">
        <v>35</v>
      </c>
      <c r="C77" s="302" t="s">
        <v>210</v>
      </c>
      <c r="D77" s="302" t="s">
        <v>319</v>
      </c>
      <c r="E77" s="282">
        <v>4.3</v>
      </c>
      <c r="F77" s="282">
        <f t="shared" si="24"/>
        <v>9.1293758620689687</v>
      </c>
      <c r="G77" s="282">
        <v>5.2950380000000017</v>
      </c>
      <c r="H77" s="282">
        <v>1.5220887043854308</v>
      </c>
      <c r="I77" s="282">
        <v>6.1560623950335334</v>
      </c>
      <c r="J77" s="282">
        <v>3.9615894527830369</v>
      </c>
      <c r="K77" s="313">
        <v>7</v>
      </c>
      <c r="L77" s="313">
        <v>4</v>
      </c>
      <c r="M77" s="303" t="s">
        <v>104</v>
      </c>
      <c r="N77" s="305">
        <v>79</v>
      </c>
      <c r="O77" s="305">
        <f t="shared" ref="O77:O102" si="27">N77+J77</f>
        <v>82.961589452783031</v>
      </c>
      <c r="P77" s="306" t="s">
        <v>212</v>
      </c>
      <c r="R77" s="282">
        <f t="shared" si="25"/>
        <v>1.1885610477282691</v>
      </c>
      <c r="S77" s="307">
        <v>1.1298114754548121</v>
      </c>
      <c r="T77" s="308" t="s">
        <v>37</v>
      </c>
      <c r="U77" s="307"/>
      <c r="V77" s="308"/>
      <c r="W77" s="308"/>
      <c r="X77" s="308"/>
      <c r="Y77" s="307">
        <v>1.1269828106433086</v>
      </c>
      <c r="Z77" s="308" t="s">
        <v>37</v>
      </c>
      <c r="AA77" s="307"/>
      <c r="AB77" s="308"/>
      <c r="AC77" s="308"/>
      <c r="AD77" s="308"/>
      <c r="AF77" s="309">
        <f t="shared" si="14"/>
        <v>4.3694478524670215</v>
      </c>
      <c r="AG77" s="309">
        <f t="shared" si="15"/>
        <v>4.4183777230046477</v>
      </c>
      <c r="AH77" s="310"/>
      <c r="AI77" s="310"/>
      <c r="AK77" s="311">
        <f t="shared" si="16"/>
        <v>93.89632277053326</v>
      </c>
      <c r="AL77" s="311">
        <f t="shared" si="17"/>
        <v>97.857912223316291</v>
      </c>
      <c r="AM77" s="309">
        <f t="shared" si="18"/>
        <v>4.5421912243242186</v>
      </c>
      <c r="AN77" s="309">
        <f t="shared" si="19"/>
        <v>4.5835165513120844</v>
      </c>
      <c r="AO77" s="310"/>
      <c r="AP77" s="310"/>
      <c r="AR77" s="311">
        <f t="shared" si="20"/>
        <v>185.25832025761073</v>
      </c>
      <c r="AS77" s="311">
        <f t="shared" si="21"/>
        <v>192.74635777324553</v>
      </c>
      <c r="AT77" s="309">
        <f t="shared" si="22"/>
        <v>5.2217511768389206</v>
      </c>
      <c r="AU77" s="309">
        <f t="shared" si="23"/>
        <v>5.2613751161468532</v>
      </c>
      <c r="AV77" s="312"/>
      <c r="AW77" s="312"/>
      <c r="AX77" s="286"/>
      <c r="AY77" s="286"/>
      <c r="BD77" s="312"/>
      <c r="BE77" s="312"/>
    </row>
    <row r="78" spans="1:57" s="306" customFormat="1" x14ac:dyDescent="0.2">
      <c r="A78" s="301" t="s">
        <v>205</v>
      </c>
      <c r="B78" s="301" t="s">
        <v>35</v>
      </c>
      <c r="C78" s="302" t="s">
        <v>210</v>
      </c>
      <c r="D78" s="302" t="s">
        <v>319</v>
      </c>
      <c r="E78" s="282">
        <v>4.3550000000000004</v>
      </c>
      <c r="F78" s="282">
        <f t="shared" si="24"/>
        <v>2.1067948275862074</v>
      </c>
      <c r="G78" s="282">
        <v>1.2219410000000002</v>
      </c>
      <c r="H78" s="282">
        <v>13.22168202003054</v>
      </c>
      <c r="I78" s="282">
        <v>2.745744183645213</v>
      </c>
      <c r="J78" s="282">
        <v>1.990791585925495</v>
      </c>
      <c r="K78" s="313">
        <v>7</v>
      </c>
      <c r="L78" s="313">
        <v>4</v>
      </c>
      <c r="M78" s="303" t="s">
        <v>104</v>
      </c>
      <c r="N78" s="305">
        <v>13</v>
      </c>
      <c r="O78" s="305">
        <f t="shared" si="27"/>
        <v>14.990791585925495</v>
      </c>
      <c r="P78" s="306" t="s">
        <v>212</v>
      </c>
      <c r="R78" s="282">
        <f t="shared" si="25"/>
        <v>1.1889706289078394</v>
      </c>
      <c r="S78" s="307">
        <v>1.1298114754548121</v>
      </c>
      <c r="T78" s="308" t="s">
        <v>37</v>
      </c>
      <c r="U78" s="307"/>
      <c r="V78" s="308"/>
      <c r="W78" s="308"/>
      <c r="X78" s="308"/>
      <c r="Y78" s="307">
        <v>1.1269828106433086</v>
      </c>
      <c r="Z78" s="308" t="s">
        <v>37</v>
      </c>
      <c r="AA78" s="307"/>
      <c r="AB78" s="308"/>
      <c r="AC78" s="308"/>
      <c r="AD78" s="308"/>
      <c r="AF78" s="309">
        <f t="shared" si="14"/>
        <v>2.5649493574615367</v>
      </c>
      <c r="AG78" s="309">
        <f t="shared" si="15"/>
        <v>2.7074361183203339</v>
      </c>
      <c r="AH78" s="310"/>
      <c r="AI78" s="310"/>
      <c r="AK78" s="311">
        <f t="shared" si="16"/>
        <v>15.456618175801912</v>
      </c>
      <c r="AL78" s="311">
        <f t="shared" si="17"/>
        <v>17.447409761727407</v>
      </c>
      <c r="AM78" s="309">
        <f t="shared" si="18"/>
        <v>2.7380372725167468</v>
      </c>
      <c r="AN78" s="309">
        <f t="shared" si="19"/>
        <v>2.8591911999071091</v>
      </c>
      <c r="AO78" s="310"/>
      <c r="AP78" s="310"/>
      <c r="AR78" s="311">
        <f t="shared" si="20"/>
        <v>75.928362597947228</v>
      </c>
      <c r="AS78" s="311">
        <f t="shared" si="21"/>
        <v>85.366949351331868</v>
      </c>
      <c r="AT78" s="309">
        <f t="shared" si="22"/>
        <v>4.329790298366615</v>
      </c>
      <c r="AU78" s="309">
        <f t="shared" si="23"/>
        <v>4.4469590159492851</v>
      </c>
      <c r="AV78" s="312"/>
      <c r="AW78" s="312"/>
      <c r="BD78" s="312"/>
      <c r="BE78" s="312"/>
    </row>
    <row r="79" spans="1:57" s="306" customFormat="1" x14ac:dyDescent="0.2">
      <c r="A79" s="301" t="s">
        <v>205</v>
      </c>
      <c r="B79" s="301" t="s">
        <v>35</v>
      </c>
      <c r="C79" s="302" t="s">
        <v>210</v>
      </c>
      <c r="D79" s="302" t="s">
        <v>319</v>
      </c>
      <c r="E79" s="282">
        <v>4.5250000000000004</v>
      </c>
      <c r="F79" s="282">
        <f t="shared" si="24"/>
        <v>2.6903258620689656</v>
      </c>
      <c r="G79" s="282">
        <v>1.560389</v>
      </c>
      <c r="H79" s="282">
        <v>0.9610998119323676</v>
      </c>
      <c r="I79" s="282">
        <v>1.6996584748962793</v>
      </c>
      <c r="J79" s="282">
        <v>0.81203546891056322</v>
      </c>
      <c r="K79" s="313">
        <v>7</v>
      </c>
      <c r="L79" s="313">
        <v>4</v>
      </c>
      <c r="M79" s="303" t="s">
        <v>104</v>
      </c>
      <c r="N79" s="305">
        <v>18</v>
      </c>
      <c r="O79" s="305">
        <f t="shared" si="27"/>
        <v>18.812035468910562</v>
      </c>
      <c r="P79" s="306" t="s">
        <v>212</v>
      </c>
      <c r="R79" s="282">
        <f t="shared" si="25"/>
        <v>1.1906192366824544</v>
      </c>
      <c r="S79" s="307">
        <v>1.1298114754548121</v>
      </c>
      <c r="T79" s="308" t="s">
        <v>37</v>
      </c>
      <c r="U79" s="307"/>
      <c r="V79" s="308"/>
      <c r="W79" s="308"/>
      <c r="X79" s="308"/>
      <c r="Y79" s="307">
        <v>1.1269828106433086</v>
      </c>
      <c r="Z79" s="308" t="s">
        <v>37</v>
      </c>
      <c r="AA79" s="307"/>
      <c r="AB79" s="308"/>
      <c r="AC79" s="308"/>
      <c r="AD79" s="308"/>
      <c r="AF79" s="309">
        <f t="shared" si="14"/>
        <v>2.8903717578961645</v>
      </c>
      <c r="AG79" s="309">
        <f t="shared" si="15"/>
        <v>2.9344968495217301</v>
      </c>
      <c r="AH79" s="310"/>
      <c r="AI79" s="310"/>
      <c r="AK79" s="311">
        <f t="shared" si="16"/>
        <v>21.43114626028418</v>
      </c>
      <c r="AL79" s="311">
        <f t="shared" si="17"/>
        <v>22.243181729194742</v>
      </c>
      <c r="AM79" s="309">
        <f t="shared" si="18"/>
        <v>3.064845296635712</v>
      </c>
      <c r="AN79" s="309">
        <f t="shared" si="19"/>
        <v>3.1020355225128675</v>
      </c>
      <c r="AO79" s="310"/>
      <c r="AP79" s="310"/>
      <c r="AR79" s="311">
        <f t="shared" si="20"/>
        <v>180.99762982643469</v>
      </c>
      <c r="AS79" s="311">
        <f t="shared" si="21"/>
        <v>186.85487658981245</v>
      </c>
      <c r="AT79" s="309">
        <f t="shared" si="22"/>
        <v>5.1984839362985111</v>
      </c>
      <c r="AU79" s="309">
        <f t="shared" si="23"/>
        <v>5.2303322545462994</v>
      </c>
      <c r="AV79" s="312"/>
      <c r="AW79" s="312"/>
      <c r="BD79" s="312"/>
      <c r="BE79" s="312"/>
    </row>
    <row r="80" spans="1:57" s="306" customFormat="1" x14ac:dyDescent="0.2">
      <c r="A80" s="301" t="s">
        <v>205</v>
      </c>
      <c r="B80" s="301" t="s">
        <v>35</v>
      </c>
      <c r="C80" s="302" t="s">
        <v>210</v>
      </c>
      <c r="D80" s="302" t="s">
        <v>319</v>
      </c>
      <c r="E80" s="282">
        <v>4.72</v>
      </c>
      <c r="F80" s="282">
        <f t="shared" si="24"/>
        <v>3.6882896551724142</v>
      </c>
      <c r="G80" s="282">
        <v>2.139208</v>
      </c>
      <c r="H80" s="282">
        <v>1.897414769034566</v>
      </c>
      <c r="I80" s="282">
        <v>3.4601038238982307</v>
      </c>
      <c r="J80" s="282">
        <v>1.5383029420053971</v>
      </c>
      <c r="K80" s="313">
        <v>7</v>
      </c>
      <c r="L80" s="313">
        <v>4</v>
      </c>
      <c r="M80" s="303" t="s">
        <v>104</v>
      </c>
      <c r="N80" s="305">
        <v>73</v>
      </c>
      <c r="O80" s="305">
        <f t="shared" si="27"/>
        <v>74.538302942005402</v>
      </c>
      <c r="P80" s="306" t="s">
        <v>212</v>
      </c>
      <c r="R80" s="282">
        <f t="shared" si="25"/>
        <v>1.1934995660752823</v>
      </c>
      <c r="S80" s="307">
        <v>1.1298114754548121</v>
      </c>
      <c r="T80" s="308" t="s">
        <v>37</v>
      </c>
      <c r="U80" s="307"/>
      <c r="V80" s="308"/>
      <c r="W80" s="308"/>
      <c r="X80" s="308"/>
      <c r="Y80" s="307">
        <v>1.1269828106433086</v>
      </c>
      <c r="Z80" s="308" t="s">
        <v>37</v>
      </c>
      <c r="AA80" s="307"/>
      <c r="AB80" s="308"/>
      <c r="AC80" s="308"/>
      <c r="AD80" s="308"/>
      <c r="AF80" s="309">
        <f t="shared" si="14"/>
        <v>4.290459441148391</v>
      </c>
      <c r="AG80" s="309">
        <f t="shared" si="15"/>
        <v>4.311313126713932</v>
      </c>
      <c r="AH80" s="310"/>
      <c r="AI80" s="310"/>
      <c r="AK80" s="311">
        <f t="shared" si="16"/>
        <v>87.12546832349561</v>
      </c>
      <c r="AL80" s="311">
        <f t="shared" si="17"/>
        <v>88.663771265501012</v>
      </c>
      <c r="AM80" s="309">
        <f t="shared" si="18"/>
        <v>4.4673492443717864</v>
      </c>
      <c r="AN80" s="309">
        <f t="shared" si="19"/>
        <v>4.4848513646800416</v>
      </c>
      <c r="AO80" s="310"/>
      <c r="AP80" s="310"/>
      <c r="AR80" s="311">
        <f t="shared" si="20"/>
        <v>329.58601763765012</v>
      </c>
      <c r="AS80" s="311">
        <f t="shared" si="21"/>
        <v>334.28984101007137</v>
      </c>
      <c r="AT80" s="309">
        <f t="shared" si="22"/>
        <v>5.7978373749196015</v>
      </c>
      <c r="AU80" s="309">
        <f t="shared" si="23"/>
        <v>5.8120084041221594</v>
      </c>
      <c r="AV80" s="312"/>
      <c r="AW80" s="312"/>
      <c r="BD80" s="312"/>
      <c r="BE80" s="312"/>
    </row>
    <row r="81" spans="1:57" s="306" customFormat="1" x14ac:dyDescent="0.2">
      <c r="A81" s="301" t="s">
        <v>205</v>
      </c>
      <c r="B81" s="301" t="s">
        <v>35</v>
      </c>
      <c r="C81" s="302" t="s">
        <v>210</v>
      </c>
      <c r="D81" s="302" t="s">
        <v>319</v>
      </c>
      <c r="E81" s="282">
        <v>5.7050000000000001</v>
      </c>
      <c r="F81" s="282">
        <f t="shared" si="24"/>
        <v>1.3883413793103447</v>
      </c>
      <c r="G81" s="282">
        <v>0.8052379999999999</v>
      </c>
      <c r="H81" s="303">
        <v>47.947518321104361</v>
      </c>
      <c r="I81" s="282">
        <v>18.77565155327952</v>
      </c>
      <c r="J81" s="282">
        <v>10.903869470007898</v>
      </c>
      <c r="K81" s="313">
        <v>7</v>
      </c>
      <c r="L81" s="313">
        <v>4</v>
      </c>
      <c r="M81" s="303" t="s">
        <v>104</v>
      </c>
      <c r="N81" s="305">
        <v>154</v>
      </c>
      <c r="O81" s="305">
        <f t="shared" si="27"/>
        <v>164.90386947000789</v>
      </c>
      <c r="P81" s="306" t="s">
        <v>212</v>
      </c>
      <c r="R81" s="282">
        <f t="shared" si="25"/>
        <v>1.2608976679513182</v>
      </c>
      <c r="S81" s="307">
        <v>1.1298114754548121</v>
      </c>
      <c r="T81" s="308" t="s">
        <v>37</v>
      </c>
      <c r="U81" s="307"/>
      <c r="V81" s="308"/>
      <c r="W81" s="308"/>
      <c r="X81" s="308"/>
      <c r="Y81" s="307">
        <v>1.1269828106433086</v>
      </c>
      <c r="Z81" s="308" t="s">
        <v>37</v>
      </c>
      <c r="AA81" s="307"/>
      <c r="AB81" s="308"/>
      <c r="AC81" s="308"/>
      <c r="AD81" s="308"/>
      <c r="AF81" s="309">
        <f t="shared" si="14"/>
        <v>5.0369526024136295</v>
      </c>
      <c r="AG81" s="309">
        <f t="shared" si="15"/>
        <v>5.1053626948451711</v>
      </c>
      <c r="AH81" s="310"/>
      <c r="AI81" s="310"/>
      <c r="AK81" s="311">
        <f t="shared" si="16"/>
        <v>194.17824086450301</v>
      </c>
      <c r="AL81" s="311">
        <f t="shared" si="17"/>
        <v>205.0821103345109</v>
      </c>
      <c r="AM81" s="309">
        <f t="shared" si="18"/>
        <v>5.2687765045977546</v>
      </c>
      <c r="AN81" s="309">
        <f t="shared" si="19"/>
        <v>5.3234104371615159</v>
      </c>
      <c r="AO81" s="310"/>
      <c r="AP81" s="310"/>
      <c r="AR81" s="311">
        <f t="shared" si="20"/>
        <v>108.68535704168113</v>
      </c>
      <c r="AS81" s="311">
        <f t="shared" si="21"/>
        <v>114.95536595011082</v>
      </c>
      <c r="AT81" s="309">
        <f t="shared" si="22"/>
        <v>4.6884570752248393</v>
      </c>
      <c r="AU81" s="309">
        <f t="shared" si="23"/>
        <v>4.7445439308513953</v>
      </c>
      <c r="AV81" s="312"/>
      <c r="AW81" s="312"/>
      <c r="BD81" s="312"/>
      <c r="BE81" s="312"/>
    </row>
    <row r="82" spans="1:57" s="306" customFormat="1" x14ac:dyDescent="0.2">
      <c r="A82" s="301" t="s">
        <v>205</v>
      </c>
      <c r="B82" s="301" t="s">
        <v>35</v>
      </c>
      <c r="C82" s="302" t="s">
        <v>210</v>
      </c>
      <c r="D82" s="302" t="s">
        <v>319</v>
      </c>
      <c r="E82" s="282">
        <v>6.06</v>
      </c>
      <c r="F82" s="282">
        <f t="shared" si="24"/>
        <v>7.7947224137931057</v>
      </c>
      <c r="G82" s="282">
        <v>4.5209390000000012</v>
      </c>
      <c r="H82" s="282">
        <v>33.129342993821169</v>
      </c>
      <c r="I82" s="282">
        <v>28.890556248260236</v>
      </c>
      <c r="J82" s="282">
        <v>14.319040296590824</v>
      </c>
      <c r="K82" s="313">
        <v>7</v>
      </c>
      <c r="L82" s="313">
        <v>4</v>
      </c>
      <c r="M82" s="303" t="s">
        <v>104</v>
      </c>
      <c r="N82" s="305">
        <v>255</v>
      </c>
      <c r="O82" s="305">
        <f t="shared" si="27"/>
        <v>269.3190402965908</v>
      </c>
      <c r="P82" s="306" t="s">
        <v>212</v>
      </c>
      <c r="R82" s="282">
        <f t="shared" si="25"/>
        <v>1.3511411739173773</v>
      </c>
      <c r="S82" s="307">
        <v>1.1298114754548121</v>
      </c>
      <c r="T82" s="308" t="s">
        <v>37</v>
      </c>
      <c r="U82" s="307"/>
      <c r="V82" s="308"/>
      <c r="W82" s="308"/>
      <c r="X82" s="308"/>
      <c r="Y82" s="307">
        <v>1.1269828106433086</v>
      </c>
      <c r="Z82" s="308" t="s">
        <v>37</v>
      </c>
      <c r="AA82" s="307"/>
      <c r="AB82" s="308"/>
      <c r="AC82" s="308"/>
      <c r="AD82" s="308"/>
      <c r="AF82" s="309">
        <f t="shared" si="14"/>
        <v>5.5412635451584258</v>
      </c>
      <c r="AG82" s="309">
        <f t="shared" si="15"/>
        <v>5.5958967002390914</v>
      </c>
      <c r="AH82" s="310"/>
      <c r="AI82" s="310"/>
      <c r="AK82" s="311">
        <f t="shared" si="16"/>
        <v>344.54099934893122</v>
      </c>
      <c r="AL82" s="311">
        <f t="shared" si="17"/>
        <v>358.86003964552202</v>
      </c>
      <c r="AM82" s="309">
        <f t="shared" si="18"/>
        <v>5.8422130945449595</v>
      </c>
      <c r="AN82" s="309">
        <f t="shared" si="19"/>
        <v>5.8829324507608058</v>
      </c>
      <c r="AO82" s="310"/>
      <c r="AP82" s="310"/>
      <c r="AR82" s="311">
        <f t="shared" si="20"/>
        <v>118.50996379488922</v>
      </c>
      <c r="AS82" s="311">
        <f t="shared" si="21"/>
        <v>123.76546248514742</v>
      </c>
      <c r="AT82" s="309">
        <f t="shared" si="22"/>
        <v>4.7749970396977304</v>
      </c>
      <c r="AU82" s="309">
        <f t="shared" si="23"/>
        <v>4.8183883430182055</v>
      </c>
      <c r="AV82" s="312"/>
      <c r="AW82" s="312"/>
      <c r="BD82" s="312"/>
      <c r="BE82" s="312"/>
    </row>
    <row r="83" spans="1:57" s="306" customFormat="1" x14ac:dyDescent="0.2">
      <c r="A83" s="301" t="s">
        <v>205</v>
      </c>
      <c r="B83" s="301" t="s">
        <v>35</v>
      </c>
      <c r="C83" s="302" t="s">
        <v>210</v>
      </c>
      <c r="D83" s="302" t="s">
        <v>319</v>
      </c>
      <c r="E83" s="282">
        <v>6.375</v>
      </c>
      <c r="F83" s="282">
        <f t="shared" si="24"/>
        <v>2.4694491379310346</v>
      </c>
      <c r="G83" s="282">
        <v>1.4322805000000001</v>
      </c>
      <c r="H83" s="282">
        <v>19.230598425729699</v>
      </c>
      <c r="I83" s="282">
        <v>20.402867481369348</v>
      </c>
      <c r="J83" s="282">
        <v>6.3148678712416988</v>
      </c>
      <c r="K83" s="313">
        <v>7</v>
      </c>
      <c r="L83" s="313">
        <v>4</v>
      </c>
      <c r="M83" s="303" t="s">
        <v>104</v>
      </c>
      <c r="N83" s="305">
        <v>153</v>
      </c>
      <c r="O83" s="305">
        <f t="shared" si="27"/>
        <v>159.31486787124169</v>
      </c>
      <c r="P83" s="306" t="s">
        <v>212</v>
      </c>
      <c r="R83" s="282">
        <f t="shared" si="25"/>
        <v>1.5092172276738214</v>
      </c>
      <c r="S83" s="307">
        <v>1.1298114754548121</v>
      </c>
      <c r="T83" s="308" t="s">
        <v>37</v>
      </c>
      <c r="U83" s="307"/>
      <c r="V83" s="308"/>
      <c r="W83" s="308"/>
      <c r="X83" s="308"/>
      <c r="Y83" s="307">
        <v>1.1269828106433086</v>
      </c>
      <c r="Z83" s="308" t="s">
        <v>37</v>
      </c>
      <c r="AA83" s="307"/>
      <c r="AB83" s="308"/>
      <c r="AC83" s="308"/>
      <c r="AD83" s="308"/>
      <c r="AF83" s="309">
        <f t="shared" si="14"/>
        <v>5.0304379213924353</v>
      </c>
      <c r="AG83" s="309">
        <f t="shared" si="15"/>
        <v>5.0708825450858512</v>
      </c>
      <c r="AH83" s="310"/>
      <c r="AI83" s="310"/>
      <c r="AK83" s="311">
        <f t="shared" si="16"/>
        <v>230.91023583409466</v>
      </c>
      <c r="AL83" s="311">
        <f t="shared" si="17"/>
        <v>237.22510370533635</v>
      </c>
      <c r="AM83" s="309">
        <f t="shared" si="18"/>
        <v>5.4420290455385496</v>
      </c>
      <c r="AN83" s="309">
        <f t="shared" si="19"/>
        <v>5.4690094950199599</v>
      </c>
      <c r="AO83" s="310"/>
      <c r="AP83" s="310"/>
      <c r="AR83" s="311">
        <f t="shared" si="20"/>
        <v>117.66079190256313</v>
      </c>
      <c r="AS83" s="311">
        <f t="shared" si="21"/>
        <v>121.082764463354</v>
      </c>
      <c r="AT83" s="309">
        <f t="shared" si="22"/>
        <v>4.7678058398451002</v>
      </c>
      <c r="AU83" s="309">
        <f t="shared" si="23"/>
        <v>4.7964743156021123</v>
      </c>
      <c r="AV83" s="312"/>
      <c r="AW83" s="312"/>
      <c r="BD83" s="312"/>
      <c r="BE83" s="312"/>
    </row>
    <row r="84" spans="1:57" s="306" customFormat="1" x14ac:dyDescent="0.2">
      <c r="A84" s="301" t="s">
        <v>205</v>
      </c>
      <c r="B84" s="301" t="s">
        <v>35</v>
      </c>
      <c r="C84" s="302" t="s">
        <v>210</v>
      </c>
      <c r="D84" s="302" t="s">
        <v>319</v>
      </c>
      <c r="E84" s="282">
        <v>7</v>
      </c>
      <c r="F84" s="282">
        <f t="shared" si="24"/>
        <v>1.5964870689655173</v>
      </c>
      <c r="G84" s="282">
        <v>0.92596250000000002</v>
      </c>
      <c r="H84" s="282">
        <v>13.655945530252296</v>
      </c>
      <c r="I84" s="282">
        <v>9.8408841579607369</v>
      </c>
      <c r="J84" s="282">
        <v>6.5956352593315302</v>
      </c>
      <c r="K84" s="313">
        <v>7</v>
      </c>
      <c r="L84" s="313">
        <v>4</v>
      </c>
      <c r="M84" s="303" t="s">
        <v>104</v>
      </c>
      <c r="N84" s="305">
        <v>106</v>
      </c>
      <c r="O84" s="305">
        <f t="shared" si="27"/>
        <v>112.59563525933153</v>
      </c>
      <c r="P84" s="306" t="s">
        <v>212</v>
      </c>
      <c r="R84" s="282">
        <f t="shared" si="25"/>
        <v>2.2080679260898619</v>
      </c>
      <c r="S84" s="307">
        <v>1.1298114754548121</v>
      </c>
      <c r="T84" s="308" t="s">
        <v>37</v>
      </c>
      <c r="U84" s="307"/>
      <c r="V84" s="308"/>
      <c r="W84" s="308"/>
      <c r="X84" s="308"/>
      <c r="Y84" s="307">
        <v>1.1269828106433086</v>
      </c>
      <c r="Z84" s="308" t="s">
        <v>37</v>
      </c>
      <c r="AA84" s="307"/>
      <c r="AB84" s="308"/>
      <c r="AC84" s="308"/>
      <c r="AD84" s="308"/>
      <c r="AF84" s="309">
        <f t="shared" si="14"/>
        <v>4.6634390941120669</v>
      </c>
      <c r="AG84" s="309">
        <f t="shared" si="15"/>
        <v>4.7238029517156574</v>
      </c>
      <c r="AH84" s="310"/>
      <c r="AI84" s="310"/>
      <c r="AK84" s="311">
        <f t="shared" si="16"/>
        <v>234.05520016552535</v>
      </c>
      <c r="AL84" s="311">
        <f t="shared" si="17"/>
        <v>240.65083542485689</v>
      </c>
      <c r="AM84" s="309">
        <f t="shared" si="18"/>
        <v>5.4555569856813797</v>
      </c>
      <c r="AN84" s="309">
        <f t="shared" si="19"/>
        <v>5.483347067277923</v>
      </c>
      <c r="AO84" s="310"/>
      <c r="AP84" s="310"/>
      <c r="AR84" s="311">
        <f t="shared" si="20"/>
        <v>271.81266585562355</v>
      </c>
      <c r="AS84" s="311">
        <f t="shared" si="21"/>
        <v>279.36767459682295</v>
      </c>
      <c r="AT84" s="309">
        <f t="shared" si="22"/>
        <v>5.6051131005416162</v>
      </c>
      <c r="AU84" s="309">
        <f t="shared" si="23"/>
        <v>5.6325287443415526</v>
      </c>
      <c r="AV84" s="312"/>
      <c r="AW84" s="312"/>
      <c r="BD84" s="312"/>
      <c r="BE84" s="312"/>
    </row>
    <row r="85" spans="1:57" s="306" customFormat="1" x14ac:dyDescent="0.2">
      <c r="A85" s="301" t="s">
        <v>205</v>
      </c>
      <c r="B85" s="301" t="s">
        <v>35</v>
      </c>
      <c r="C85" s="302" t="s">
        <v>210</v>
      </c>
      <c r="D85" s="302" t="s">
        <v>319</v>
      </c>
      <c r="E85" s="282">
        <v>7.5</v>
      </c>
      <c r="F85" s="282">
        <f t="shared" si="24"/>
        <v>3.504509905645727</v>
      </c>
      <c r="G85" s="282">
        <v>2.0326157452745215</v>
      </c>
      <c r="H85" s="282">
        <v>31.872519203485023</v>
      </c>
      <c r="I85" s="282">
        <v>28.529144751045347</v>
      </c>
      <c r="J85" s="282">
        <v>11.245946592653912</v>
      </c>
      <c r="K85" s="313">
        <v>7</v>
      </c>
      <c r="L85" s="313">
        <v>4</v>
      </c>
      <c r="M85" s="303" t="s">
        <v>104</v>
      </c>
      <c r="N85" s="305">
        <v>116</v>
      </c>
      <c r="O85" s="305">
        <f t="shared" si="27"/>
        <v>127.24594659265391</v>
      </c>
      <c r="P85" s="306" t="s">
        <v>212</v>
      </c>
      <c r="R85" s="282">
        <f t="shared" si="25"/>
        <v>3.0752664074181557</v>
      </c>
      <c r="S85" s="307">
        <v>1.1298114754548121</v>
      </c>
      <c r="T85" s="308" t="s">
        <v>37</v>
      </c>
      <c r="U85" s="307"/>
      <c r="V85" s="308"/>
      <c r="W85" s="308"/>
      <c r="X85" s="308"/>
      <c r="Y85" s="307">
        <v>1.1269828106433086</v>
      </c>
      <c r="Z85" s="308" t="s">
        <v>37</v>
      </c>
      <c r="AA85" s="307"/>
      <c r="AB85" s="308"/>
      <c r="AC85" s="308"/>
      <c r="AD85" s="308"/>
      <c r="AF85" s="309">
        <f t="shared" si="14"/>
        <v>4.7535901911063645</v>
      </c>
      <c r="AG85" s="309">
        <f t="shared" si="15"/>
        <v>4.8461218010345153</v>
      </c>
      <c r="AH85" s="310"/>
      <c r="AI85" s="310"/>
      <c r="AK85" s="311">
        <f t="shared" si="16"/>
        <v>356.73090326050607</v>
      </c>
      <c r="AL85" s="311">
        <f t="shared" si="17"/>
        <v>367.97684985315999</v>
      </c>
      <c r="AM85" s="309">
        <f t="shared" si="18"/>
        <v>5.8769817251708654</v>
      </c>
      <c r="AN85" s="309">
        <f t="shared" si="19"/>
        <v>5.9080200281824222</v>
      </c>
      <c r="AO85" s="310"/>
      <c r="AP85" s="310"/>
      <c r="AR85" s="311">
        <f t="shared" si="20"/>
        <v>124.46049959857538</v>
      </c>
      <c r="AS85" s="311">
        <f t="shared" si="21"/>
        <v>128.72302905143917</v>
      </c>
      <c r="AT85" s="309">
        <f t="shared" si="22"/>
        <v>4.8239883932626579</v>
      </c>
      <c r="AU85" s="309">
        <f t="shared" si="23"/>
        <v>4.8576630345035792</v>
      </c>
      <c r="AV85" s="312"/>
      <c r="AW85" s="312"/>
      <c r="BD85" s="312"/>
      <c r="BE85" s="312"/>
    </row>
    <row r="86" spans="1:57" s="319" customFormat="1" x14ac:dyDescent="0.2">
      <c r="A86" s="314" t="s">
        <v>205</v>
      </c>
      <c r="B86" s="314" t="s">
        <v>35</v>
      </c>
      <c r="C86" s="315" t="s">
        <v>210</v>
      </c>
      <c r="D86" s="315" t="s">
        <v>319</v>
      </c>
      <c r="E86" s="316">
        <v>7.5250000000000004</v>
      </c>
      <c r="F86" s="316">
        <f t="shared" si="24"/>
        <v>2.4958212723915376</v>
      </c>
      <c r="G86" s="316">
        <v>1.4475763379870918</v>
      </c>
      <c r="H86" s="316">
        <v>38.576937974924618</v>
      </c>
      <c r="I86" s="316">
        <v>23.971447340032601</v>
      </c>
      <c r="J86" s="316">
        <v>29.575802025601583</v>
      </c>
      <c r="K86" s="317">
        <v>7</v>
      </c>
      <c r="L86" s="317">
        <v>4</v>
      </c>
      <c r="M86" s="316" t="s">
        <v>104</v>
      </c>
      <c r="N86" s="318">
        <v>227</v>
      </c>
      <c r="O86" s="318">
        <f t="shared" si="27"/>
        <v>256.5758020256016</v>
      </c>
      <c r="P86" s="319" t="s">
        <v>212</v>
      </c>
      <c r="R86" s="316">
        <f t="shared" si="25"/>
        <v>3.1176578244515478</v>
      </c>
      <c r="S86" s="320">
        <v>1.1298114754548121</v>
      </c>
      <c r="T86" s="321" t="s">
        <v>37</v>
      </c>
      <c r="U86" s="320"/>
      <c r="V86" s="321"/>
      <c r="W86" s="321"/>
      <c r="X86" s="321"/>
      <c r="Y86" s="320">
        <v>1.1269828106433086</v>
      </c>
      <c r="Z86" s="321" t="s">
        <v>37</v>
      </c>
      <c r="AA86" s="320"/>
      <c r="AB86" s="321"/>
      <c r="AC86" s="321"/>
      <c r="AD86" s="321"/>
      <c r="AF86" s="322">
        <f t="shared" si="14"/>
        <v>5.4249500174814029</v>
      </c>
      <c r="AG86" s="322">
        <f t="shared" si="15"/>
        <v>5.5474241454183533</v>
      </c>
      <c r="AH86" s="323"/>
      <c r="AI86" s="323"/>
      <c r="AK86" s="324">
        <f t="shared" si="16"/>
        <v>707.70832615050131</v>
      </c>
      <c r="AL86" s="324">
        <f t="shared" si="17"/>
        <v>737.28412817610285</v>
      </c>
      <c r="AM86" s="322">
        <f t="shared" si="18"/>
        <v>6.5620320400973142</v>
      </c>
      <c r="AN86" s="322">
        <f t="shared" si="19"/>
        <v>6.6029733378089297</v>
      </c>
      <c r="AO86" s="323"/>
      <c r="AP86" s="323"/>
      <c r="AR86" s="324">
        <f t="shared" si="20"/>
        <v>300.57485110795045</v>
      </c>
      <c r="AS86" s="324">
        <f t="shared" si="21"/>
        <v>313.80823482952803</v>
      </c>
      <c r="AT86" s="322">
        <f t="shared" si="22"/>
        <v>5.7056968115034534</v>
      </c>
      <c r="AU86" s="322">
        <f t="shared" si="23"/>
        <v>5.7487820822411866</v>
      </c>
      <c r="AV86" s="325"/>
      <c r="AW86" s="325"/>
      <c r="BD86" s="325"/>
      <c r="BE86" s="325"/>
    </row>
    <row r="87" spans="1:57" s="298" customFormat="1" x14ac:dyDescent="0.2">
      <c r="A87" s="290" t="s">
        <v>205</v>
      </c>
      <c r="B87" s="290" t="s">
        <v>35</v>
      </c>
      <c r="C87" s="291" t="s">
        <v>213</v>
      </c>
      <c r="D87" s="291" t="s">
        <v>312</v>
      </c>
      <c r="E87" s="292">
        <v>4.3</v>
      </c>
      <c r="F87" s="292">
        <f t="shared" si="24"/>
        <v>9.1293758620689687</v>
      </c>
      <c r="G87" s="293">
        <v>5.2950380000000017</v>
      </c>
      <c r="H87" s="293">
        <v>1.5220887043854308</v>
      </c>
      <c r="I87" s="293">
        <v>6.1560623950335334</v>
      </c>
      <c r="J87" s="293">
        <v>3.9615894527830369</v>
      </c>
      <c r="K87" s="294">
        <v>7</v>
      </c>
      <c r="L87" s="294">
        <v>21</v>
      </c>
      <c r="M87" s="235" t="s">
        <v>104</v>
      </c>
      <c r="N87" s="294">
        <v>19</v>
      </c>
      <c r="O87" s="296">
        <f t="shared" si="27"/>
        <v>22.961589452783038</v>
      </c>
      <c r="P87" s="297" t="s">
        <v>207</v>
      </c>
      <c r="Q87" s="297"/>
      <c r="R87" s="282">
        <f t="shared" si="25"/>
        <v>1.1885610477282691</v>
      </c>
      <c r="S87" s="283">
        <v>1.5821253011766514</v>
      </c>
      <c r="T87" s="284" t="s">
        <v>37</v>
      </c>
      <c r="U87" s="283"/>
      <c r="V87" s="284"/>
      <c r="W87" s="284"/>
      <c r="X87" s="284"/>
      <c r="Y87" s="283">
        <v>1.5518505375491356</v>
      </c>
      <c r="Z87" s="284" t="s">
        <v>37</v>
      </c>
      <c r="AA87" s="283"/>
      <c r="AB87" s="284"/>
      <c r="AC87" s="284"/>
      <c r="AD87" s="284"/>
      <c r="AE87" s="285"/>
      <c r="AF87" s="287">
        <f t="shared" ref="AF87:AF118" si="28">LN(N87)</f>
        <v>2.9444389791664403</v>
      </c>
      <c r="AG87" s="287">
        <f t="shared" ref="AG87:AG118" si="29">LN(O87)</f>
        <v>3.1338227960928737</v>
      </c>
      <c r="AH87" s="288"/>
      <c r="AI87" s="288"/>
      <c r="AK87" s="286">
        <f t="shared" ref="AK87:AK118" si="30">N87*R87</f>
        <v>22.582659906837112</v>
      </c>
      <c r="AL87" s="286">
        <f t="shared" ref="AL87:AL118" si="31">AK87+J87</f>
        <v>26.544249359620149</v>
      </c>
      <c r="AM87" s="287">
        <f t="shared" ref="AM87:AM118" si="32">LN(AK87)</f>
        <v>3.1171823510236378</v>
      </c>
      <c r="AN87" s="287">
        <f t="shared" ref="AN87:AN118" si="33">LN(AL87)</f>
        <v>3.2788131276030348</v>
      </c>
      <c r="AO87" s="288"/>
      <c r="AP87" s="288"/>
      <c r="AR87" s="286">
        <f t="shared" ref="AR87:AR118" si="34">AK87*(eCEC/$I87)^$S87</f>
        <v>58.486759907976939</v>
      </c>
      <c r="AS87" s="286">
        <f t="shared" ref="AS87:AS118" si="35">AL87*(eCEC/$I87)^$Y87</f>
        <v>67.50633792523486</v>
      </c>
      <c r="AT87" s="287">
        <f t="shared" ref="AT87:AT118" si="36">LN(AR87)</f>
        <v>4.0688004022627666</v>
      </c>
      <c r="AU87" s="287">
        <f t="shared" ref="AU87:AU118" si="37">LN(AS87)</f>
        <v>4.2122214886592717</v>
      </c>
      <c r="AV87" s="299"/>
      <c r="AW87" s="299"/>
      <c r="AX87" s="286">
        <f>GEOMEAN(AR87:AR93)</f>
        <v>31.339147479490958</v>
      </c>
      <c r="AY87" s="286">
        <f>GEOMEAN(AS87:AS93)</f>
        <v>37.945593025028707</v>
      </c>
      <c r="AZ87" s="286">
        <f>MIN(AX87:AX93)</f>
        <v>31.339147479490958</v>
      </c>
      <c r="BA87" s="286">
        <f>MIN(AY87:AY93)</f>
        <v>37.945593025028707</v>
      </c>
      <c r="BB87" s="287">
        <f>LN(AZ87)</f>
        <v>3.444868034244259</v>
      </c>
      <c r="BC87" s="287">
        <f>LN(BA87)</f>
        <v>3.6361533712758183</v>
      </c>
      <c r="BD87" s="288"/>
      <c r="BE87" s="288"/>
    </row>
    <row r="88" spans="1:57" s="298" customFormat="1" x14ac:dyDescent="0.2">
      <c r="A88" s="290" t="s">
        <v>205</v>
      </c>
      <c r="B88" s="290" t="s">
        <v>35</v>
      </c>
      <c r="C88" s="291" t="s">
        <v>213</v>
      </c>
      <c r="D88" s="291" t="s">
        <v>312</v>
      </c>
      <c r="E88" s="292">
        <v>4.72</v>
      </c>
      <c r="F88" s="292">
        <f t="shared" si="24"/>
        <v>3.6882896551724142</v>
      </c>
      <c r="G88" s="293">
        <v>2.139208</v>
      </c>
      <c r="H88" s="293">
        <v>1.897414769034566</v>
      </c>
      <c r="I88" s="293">
        <v>3.4601038238982307</v>
      </c>
      <c r="J88" s="293">
        <v>1.5383029420053971</v>
      </c>
      <c r="K88" s="294">
        <v>7</v>
      </c>
      <c r="L88" s="294">
        <v>21</v>
      </c>
      <c r="M88" s="235" t="s">
        <v>104</v>
      </c>
      <c r="N88" s="294">
        <v>17</v>
      </c>
      <c r="O88" s="296">
        <f t="shared" si="27"/>
        <v>18.538302942005398</v>
      </c>
      <c r="P88" s="297" t="s">
        <v>207</v>
      </c>
      <c r="Q88" s="297"/>
      <c r="R88" s="282">
        <f t="shared" si="25"/>
        <v>1.1934995660752823</v>
      </c>
      <c r="S88" s="283">
        <v>1.5821253011766514</v>
      </c>
      <c r="T88" s="284" t="s">
        <v>37</v>
      </c>
      <c r="U88" s="283"/>
      <c r="V88" s="284"/>
      <c r="W88" s="284"/>
      <c r="X88" s="284"/>
      <c r="Y88" s="283">
        <v>1.5518505375491356</v>
      </c>
      <c r="Z88" s="284" t="s">
        <v>37</v>
      </c>
      <c r="AA88" s="283"/>
      <c r="AB88" s="284"/>
      <c r="AC88" s="284"/>
      <c r="AD88" s="284"/>
      <c r="AE88" s="285"/>
      <c r="AF88" s="287">
        <f t="shared" si="28"/>
        <v>2.8332133440562162</v>
      </c>
      <c r="AG88" s="287">
        <f t="shared" si="29"/>
        <v>2.9198390209969647</v>
      </c>
      <c r="AH88" s="288"/>
      <c r="AI88" s="288"/>
      <c r="AK88" s="286">
        <f t="shared" si="30"/>
        <v>20.289492623279799</v>
      </c>
      <c r="AL88" s="286">
        <f t="shared" si="31"/>
        <v>21.827795565285196</v>
      </c>
      <c r="AM88" s="287">
        <f t="shared" si="32"/>
        <v>3.0101031472796111</v>
      </c>
      <c r="AN88" s="287">
        <f t="shared" si="33"/>
        <v>3.083184183570268</v>
      </c>
      <c r="AO88" s="288"/>
      <c r="AP88" s="288"/>
      <c r="AR88" s="286">
        <f t="shared" si="34"/>
        <v>130.74448227028336</v>
      </c>
      <c r="AS88" s="286">
        <f t="shared" si="35"/>
        <v>135.73083672195526</v>
      </c>
      <c r="AT88" s="287">
        <f t="shared" si="36"/>
        <v>4.873244901444874</v>
      </c>
      <c r="AU88" s="287">
        <f t="shared" si="37"/>
        <v>4.9106737828967466</v>
      </c>
      <c r="AV88" s="299"/>
      <c r="AW88" s="299"/>
      <c r="AX88" s="286"/>
      <c r="AY88" s="286"/>
      <c r="BD88" s="299"/>
      <c r="BE88" s="299"/>
    </row>
    <row r="89" spans="1:57" s="298" customFormat="1" x14ac:dyDescent="0.2">
      <c r="A89" s="290" t="s">
        <v>205</v>
      </c>
      <c r="B89" s="290" t="s">
        <v>35</v>
      </c>
      <c r="C89" s="291" t="s">
        <v>213</v>
      </c>
      <c r="D89" s="291" t="s">
        <v>312</v>
      </c>
      <c r="E89" s="292">
        <v>5.7050000000000001</v>
      </c>
      <c r="F89" s="292">
        <f t="shared" si="24"/>
        <v>1.3883413793103447</v>
      </c>
      <c r="G89" s="293">
        <v>0.8052379999999999</v>
      </c>
      <c r="H89" s="305">
        <v>47.947518321104361</v>
      </c>
      <c r="I89" s="293">
        <v>18.77565155327952</v>
      </c>
      <c r="J89" s="293">
        <v>10.903869470007898</v>
      </c>
      <c r="K89" s="294">
        <v>7</v>
      </c>
      <c r="L89" s="294">
        <v>21</v>
      </c>
      <c r="M89" s="235" t="s">
        <v>93</v>
      </c>
      <c r="N89" s="294">
        <v>21</v>
      </c>
      <c r="O89" s="296">
        <f t="shared" si="27"/>
        <v>31.903869470007898</v>
      </c>
      <c r="P89" s="297" t="s">
        <v>207</v>
      </c>
      <c r="Q89" s="297"/>
      <c r="R89" s="282">
        <f t="shared" si="25"/>
        <v>1.2608976679513182</v>
      </c>
      <c r="S89" s="283">
        <v>1.5821253011766514</v>
      </c>
      <c r="T89" s="284" t="s">
        <v>37</v>
      </c>
      <c r="U89" s="283"/>
      <c r="V89" s="284"/>
      <c r="W89" s="284"/>
      <c r="X89" s="284"/>
      <c r="Y89" s="283">
        <v>1.5518505375491356</v>
      </c>
      <c r="Z89" s="284" t="s">
        <v>37</v>
      </c>
      <c r="AA89" s="283"/>
      <c r="AB89" s="284"/>
      <c r="AC89" s="284"/>
      <c r="AD89" s="284"/>
      <c r="AE89" s="285"/>
      <c r="AF89" s="287">
        <f t="shared" si="28"/>
        <v>3.044522437723423</v>
      </c>
      <c r="AG89" s="287">
        <f t="shared" si="29"/>
        <v>3.4627273024347964</v>
      </c>
      <c r="AH89" s="288"/>
      <c r="AI89" s="288"/>
      <c r="AK89" s="286">
        <f t="shared" si="30"/>
        <v>26.478851026977683</v>
      </c>
      <c r="AL89" s="286">
        <f t="shared" si="31"/>
        <v>37.382720496985584</v>
      </c>
      <c r="AM89" s="287">
        <f t="shared" si="32"/>
        <v>3.2763463399075485</v>
      </c>
      <c r="AN89" s="287">
        <f t="shared" si="33"/>
        <v>3.621208578859739</v>
      </c>
      <c r="AO89" s="288"/>
      <c r="AP89" s="288"/>
      <c r="AR89" s="286">
        <f t="shared" si="34"/>
        <v>11.748190289196438</v>
      </c>
      <c r="AS89" s="286">
        <f t="shared" si="35"/>
        <v>16.845976778081194</v>
      </c>
      <c r="AT89" s="287">
        <f t="shared" si="36"/>
        <v>2.4636992107874582</v>
      </c>
      <c r="AU89" s="287">
        <f t="shared" si="37"/>
        <v>2.824111861409567</v>
      </c>
      <c r="AV89" s="299"/>
      <c r="AW89" s="299"/>
      <c r="AX89" s="286"/>
      <c r="AY89" s="286"/>
      <c r="BD89" s="299"/>
      <c r="BE89" s="299"/>
    </row>
    <row r="90" spans="1:57" s="298" customFormat="1" x14ac:dyDescent="0.2">
      <c r="A90" s="290" t="s">
        <v>205</v>
      </c>
      <c r="B90" s="290" t="s">
        <v>35</v>
      </c>
      <c r="C90" s="291" t="s">
        <v>213</v>
      </c>
      <c r="D90" s="291" t="s">
        <v>312</v>
      </c>
      <c r="E90" s="292">
        <v>6.06</v>
      </c>
      <c r="F90" s="292">
        <f t="shared" si="24"/>
        <v>7.7947224137931057</v>
      </c>
      <c r="G90" s="293">
        <v>4.5209390000000012</v>
      </c>
      <c r="H90" s="293">
        <v>33.129342993821169</v>
      </c>
      <c r="I90" s="293">
        <v>28.890556248260236</v>
      </c>
      <c r="J90" s="293">
        <v>14.319040296590824</v>
      </c>
      <c r="K90" s="294">
        <v>7</v>
      </c>
      <c r="L90" s="294">
        <v>21</v>
      </c>
      <c r="M90" s="235" t="s">
        <v>104</v>
      </c>
      <c r="N90" s="294">
        <v>25</v>
      </c>
      <c r="O90" s="296">
        <f t="shared" si="27"/>
        <v>39.319040296590828</v>
      </c>
      <c r="P90" s="297" t="s">
        <v>207</v>
      </c>
      <c r="Q90" s="297"/>
      <c r="R90" s="282">
        <f t="shared" si="25"/>
        <v>1.3511411739173773</v>
      </c>
      <c r="S90" s="283">
        <v>1.5821253011766514</v>
      </c>
      <c r="T90" s="284" t="s">
        <v>37</v>
      </c>
      <c r="U90" s="283"/>
      <c r="V90" s="284"/>
      <c r="W90" s="284"/>
      <c r="X90" s="284"/>
      <c r="Y90" s="283">
        <v>1.5518505375491356</v>
      </c>
      <c r="Z90" s="284" t="s">
        <v>37</v>
      </c>
      <c r="AA90" s="283"/>
      <c r="AB90" s="284"/>
      <c r="AC90" s="284"/>
      <c r="AD90" s="284"/>
      <c r="AE90" s="285"/>
      <c r="AF90" s="287">
        <f t="shared" si="28"/>
        <v>3.2188758248682006</v>
      </c>
      <c r="AG90" s="287">
        <f t="shared" si="29"/>
        <v>3.6717088874681481</v>
      </c>
      <c r="AH90" s="288"/>
      <c r="AI90" s="288"/>
      <c r="AK90" s="286">
        <f t="shared" si="30"/>
        <v>33.77852934793443</v>
      </c>
      <c r="AL90" s="286">
        <f t="shared" si="31"/>
        <v>48.097569644525251</v>
      </c>
      <c r="AM90" s="287">
        <f t="shared" si="32"/>
        <v>3.5198253742547343</v>
      </c>
      <c r="AN90" s="287">
        <f t="shared" si="33"/>
        <v>3.8732316486943295</v>
      </c>
      <c r="AO90" s="288"/>
      <c r="AP90" s="288"/>
      <c r="AR90" s="286">
        <f t="shared" si="34"/>
        <v>7.5788026611675461</v>
      </c>
      <c r="AS90" s="286">
        <f t="shared" si="35"/>
        <v>11.104594476799384</v>
      </c>
      <c r="AT90" s="287">
        <f t="shared" si="36"/>
        <v>2.0253552269091095</v>
      </c>
      <c r="AU90" s="287">
        <f t="shared" si="37"/>
        <v>2.4073589395071222</v>
      </c>
      <c r="AV90" s="299"/>
      <c r="AW90" s="299"/>
      <c r="AX90" s="286"/>
      <c r="AY90" s="286"/>
      <c r="BD90" s="299"/>
      <c r="BE90" s="299"/>
    </row>
    <row r="91" spans="1:57" s="298" customFormat="1" x14ac:dyDescent="0.2">
      <c r="A91" s="290" t="s">
        <v>205</v>
      </c>
      <c r="B91" s="290" t="s">
        <v>35</v>
      </c>
      <c r="C91" s="291" t="s">
        <v>213</v>
      </c>
      <c r="D91" s="291" t="s">
        <v>312</v>
      </c>
      <c r="E91" s="292">
        <v>6.375</v>
      </c>
      <c r="F91" s="292">
        <f t="shared" si="24"/>
        <v>2.4694491379310346</v>
      </c>
      <c r="G91" s="293">
        <v>1.4322805000000001</v>
      </c>
      <c r="H91" s="293">
        <v>19.230598425729699</v>
      </c>
      <c r="I91" s="293">
        <v>20.402867481369348</v>
      </c>
      <c r="J91" s="293">
        <v>6.3148678712416988</v>
      </c>
      <c r="K91" s="294">
        <v>7</v>
      </c>
      <c r="L91" s="294">
        <v>21</v>
      </c>
      <c r="M91" s="235" t="s">
        <v>104</v>
      </c>
      <c r="N91" s="294">
        <v>19</v>
      </c>
      <c r="O91" s="296">
        <f t="shared" si="27"/>
        <v>25.314867871241699</v>
      </c>
      <c r="P91" s="297" t="s">
        <v>207</v>
      </c>
      <c r="Q91" s="297"/>
      <c r="R91" s="282">
        <f t="shared" si="25"/>
        <v>1.5092172276738214</v>
      </c>
      <c r="S91" s="283">
        <v>1.5821253011766514</v>
      </c>
      <c r="T91" s="284" t="s">
        <v>37</v>
      </c>
      <c r="U91" s="283"/>
      <c r="V91" s="284"/>
      <c r="W91" s="284"/>
      <c r="X91" s="284"/>
      <c r="Y91" s="283">
        <v>1.5518505375491356</v>
      </c>
      <c r="Z91" s="284" t="s">
        <v>37</v>
      </c>
      <c r="AA91" s="283"/>
      <c r="AB91" s="284"/>
      <c r="AC91" s="284"/>
      <c r="AD91" s="284"/>
      <c r="AE91" s="285"/>
      <c r="AF91" s="287">
        <f t="shared" si="28"/>
        <v>2.9444389791664403</v>
      </c>
      <c r="AG91" s="287">
        <f t="shared" si="29"/>
        <v>3.231391886022184</v>
      </c>
      <c r="AH91" s="288"/>
      <c r="AI91" s="288"/>
      <c r="AK91" s="286">
        <f t="shared" si="30"/>
        <v>28.675127325802606</v>
      </c>
      <c r="AL91" s="286">
        <f t="shared" si="31"/>
        <v>34.989995197044308</v>
      </c>
      <c r="AM91" s="287">
        <f t="shared" si="32"/>
        <v>3.3560301033125546</v>
      </c>
      <c r="AN91" s="287">
        <f t="shared" si="33"/>
        <v>3.5550621691130626</v>
      </c>
      <c r="AO91" s="288"/>
      <c r="AP91" s="288"/>
      <c r="AR91" s="286">
        <f t="shared" si="34"/>
        <v>11.154972205356662</v>
      </c>
      <c r="AS91" s="286">
        <f t="shared" si="35"/>
        <v>13.859682517820248</v>
      </c>
      <c r="AT91" s="287">
        <f t="shared" si="36"/>
        <v>2.4118853362056107</v>
      </c>
      <c r="AU91" s="287">
        <f t="shared" si="37"/>
        <v>2.6289840871372272</v>
      </c>
      <c r="AV91" s="299"/>
      <c r="AW91" s="299"/>
      <c r="BD91" s="299"/>
      <c r="BE91" s="299"/>
    </row>
    <row r="92" spans="1:57" s="298" customFormat="1" x14ac:dyDescent="0.2">
      <c r="A92" s="290" t="s">
        <v>205</v>
      </c>
      <c r="B92" s="290" t="s">
        <v>35</v>
      </c>
      <c r="C92" s="291" t="s">
        <v>213</v>
      </c>
      <c r="D92" s="291" t="s">
        <v>312</v>
      </c>
      <c r="E92" s="292">
        <v>7</v>
      </c>
      <c r="F92" s="292">
        <f t="shared" si="24"/>
        <v>1.5964870689655173</v>
      </c>
      <c r="G92" s="293">
        <v>0.92596250000000002</v>
      </c>
      <c r="H92" s="293">
        <v>13.655945530252296</v>
      </c>
      <c r="I92" s="293">
        <v>9.8408841579607369</v>
      </c>
      <c r="J92" s="293">
        <v>6.5956352593315302</v>
      </c>
      <c r="K92" s="294">
        <v>7</v>
      </c>
      <c r="L92" s="294">
        <v>21</v>
      </c>
      <c r="M92" s="235" t="s">
        <v>104</v>
      </c>
      <c r="N92" s="294">
        <v>20</v>
      </c>
      <c r="O92" s="296">
        <f t="shared" si="27"/>
        <v>26.59563525933153</v>
      </c>
      <c r="P92" s="297" t="s">
        <v>207</v>
      </c>
      <c r="Q92" s="297"/>
      <c r="R92" s="282">
        <f t="shared" si="25"/>
        <v>2.2080679260898619</v>
      </c>
      <c r="S92" s="283">
        <v>1.5821253011766514</v>
      </c>
      <c r="T92" s="284" t="s">
        <v>37</v>
      </c>
      <c r="U92" s="283"/>
      <c r="V92" s="284"/>
      <c r="W92" s="284"/>
      <c r="X92" s="284"/>
      <c r="Y92" s="283">
        <v>1.5518505375491356</v>
      </c>
      <c r="Z92" s="284" t="s">
        <v>37</v>
      </c>
      <c r="AA92" s="283"/>
      <c r="AB92" s="284"/>
      <c r="AC92" s="284"/>
      <c r="AD92" s="284"/>
      <c r="AE92" s="285"/>
      <c r="AF92" s="287">
        <f t="shared" si="28"/>
        <v>2.9957322735539909</v>
      </c>
      <c r="AG92" s="287">
        <f t="shared" si="29"/>
        <v>3.2807471143286904</v>
      </c>
      <c r="AH92" s="288"/>
      <c r="AI92" s="288"/>
      <c r="AK92" s="286">
        <f t="shared" si="30"/>
        <v>44.16135852179724</v>
      </c>
      <c r="AL92" s="286">
        <f t="shared" si="31"/>
        <v>50.75699378112877</v>
      </c>
      <c r="AM92" s="287">
        <f t="shared" si="32"/>
        <v>3.7878501651233041</v>
      </c>
      <c r="AN92" s="287">
        <f t="shared" si="33"/>
        <v>3.9270494169223267</v>
      </c>
      <c r="AO92" s="288"/>
      <c r="AP92" s="288"/>
      <c r="AR92" s="286">
        <f t="shared" si="34"/>
        <v>54.449858467222953</v>
      </c>
      <c r="AS92" s="286">
        <f t="shared" si="35"/>
        <v>62.331813891411286</v>
      </c>
      <c r="AT92" s="287">
        <f t="shared" si="36"/>
        <v>3.9972802500592084</v>
      </c>
      <c r="AU92" s="287">
        <f t="shared" si="37"/>
        <v>4.1324719518157602</v>
      </c>
      <c r="AV92" s="299"/>
      <c r="AW92" s="299"/>
      <c r="BD92" s="299"/>
      <c r="BE92" s="299"/>
    </row>
    <row r="93" spans="1:57" s="336" customFormat="1" x14ac:dyDescent="0.2">
      <c r="A93" s="326" t="s">
        <v>205</v>
      </c>
      <c r="B93" s="326" t="s">
        <v>35</v>
      </c>
      <c r="C93" s="327" t="s">
        <v>213</v>
      </c>
      <c r="D93" s="327" t="s">
        <v>312</v>
      </c>
      <c r="E93" s="328">
        <v>7.5</v>
      </c>
      <c r="F93" s="328">
        <f t="shared" si="24"/>
        <v>3.504509905645727</v>
      </c>
      <c r="G93" s="318">
        <v>2.0326157452745215</v>
      </c>
      <c r="H93" s="318">
        <v>31.872519203485023</v>
      </c>
      <c r="I93" s="318">
        <v>28.529144751045347</v>
      </c>
      <c r="J93" s="318">
        <v>11.245946592653912</v>
      </c>
      <c r="K93" s="329">
        <v>7</v>
      </c>
      <c r="L93" s="329">
        <v>21</v>
      </c>
      <c r="M93" s="231" t="s">
        <v>104</v>
      </c>
      <c r="N93" s="329">
        <v>102</v>
      </c>
      <c r="O93" s="330">
        <f t="shared" si="27"/>
        <v>113.24594659265391</v>
      </c>
      <c r="P93" s="331" t="s">
        <v>207</v>
      </c>
      <c r="Q93" s="331"/>
      <c r="R93" s="316">
        <f t="shared" si="25"/>
        <v>3.0752664074181557</v>
      </c>
      <c r="S93" s="332">
        <v>1.5821253011766514</v>
      </c>
      <c r="T93" s="333" t="s">
        <v>37</v>
      </c>
      <c r="U93" s="332"/>
      <c r="V93" s="333"/>
      <c r="W93" s="333"/>
      <c r="X93" s="333"/>
      <c r="Y93" s="332">
        <v>1.5518505375491356</v>
      </c>
      <c r="Z93" s="333" t="s">
        <v>37</v>
      </c>
      <c r="AA93" s="332"/>
      <c r="AB93" s="333"/>
      <c r="AC93" s="333"/>
      <c r="AD93" s="333"/>
      <c r="AE93" s="163"/>
      <c r="AF93" s="334">
        <f t="shared" si="28"/>
        <v>4.6249728132842707</v>
      </c>
      <c r="AG93" s="334">
        <f t="shared" si="29"/>
        <v>4.7295619720462607</v>
      </c>
      <c r="AH93" s="335"/>
      <c r="AI93" s="335"/>
      <c r="AK93" s="337">
        <f t="shared" si="30"/>
        <v>313.67717355665189</v>
      </c>
      <c r="AL93" s="337">
        <f t="shared" si="31"/>
        <v>324.92312014930582</v>
      </c>
      <c r="AM93" s="334">
        <f t="shared" si="32"/>
        <v>5.7483643473487724</v>
      </c>
      <c r="AN93" s="334">
        <f t="shared" si="33"/>
        <v>5.7835886009598205</v>
      </c>
      <c r="AO93" s="335"/>
      <c r="AP93" s="335"/>
      <c r="AR93" s="337">
        <f t="shared" si="34"/>
        <v>71.794718298112343</v>
      </c>
      <c r="AS93" s="337">
        <f t="shared" si="35"/>
        <v>76.496997179385289</v>
      </c>
      <c r="AT93" s="334">
        <f t="shared" si="36"/>
        <v>4.2738109120407852</v>
      </c>
      <c r="AU93" s="334">
        <f t="shared" si="37"/>
        <v>4.337251487505033</v>
      </c>
      <c r="AV93" s="338"/>
      <c r="AW93" s="338"/>
      <c r="BD93" s="338"/>
      <c r="BE93" s="338"/>
    </row>
    <row r="94" spans="1:57" s="298" customFormat="1" x14ac:dyDescent="0.2">
      <c r="A94" s="290" t="s">
        <v>205</v>
      </c>
      <c r="B94" s="290" t="s">
        <v>35</v>
      </c>
      <c r="C94" s="291" t="s">
        <v>214</v>
      </c>
      <c r="D94" s="291" t="s">
        <v>312</v>
      </c>
      <c r="E94" s="292">
        <v>4.3</v>
      </c>
      <c r="F94" s="292">
        <f t="shared" si="24"/>
        <v>9.1293758620689687</v>
      </c>
      <c r="G94" s="293">
        <v>5.2950380000000017</v>
      </c>
      <c r="H94" s="293">
        <v>1.5220887043854308</v>
      </c>
      <c r="I94" s="293">
        <v>6.1560623950335334</v>
      </c>
      <c r="J94" s="293">
        <v>3.9615894527830369</v>
      </c>
      <c r="K94" s="294">
        <v>7</v>
      </c>
      <c r="L94" s="294">
        <v>21</v>
      </c>
      <c r="M94" s="295" t="s">
        <v>104</v>
      </c>
      <c r="N94" s="294">
        <v>21</v>
      </c>
      <c r="O94" s="296">
        <f t="shared" si="27"/>
        <v>24.961589452783038</v>
      </c>
      <c r="P94" s="297" t="s">
        <v>207</v>
      </c>
      <c r="Q94" s="297"/>
      <c r="R94" s="282">
        <f t="shared" si="25"/>
        <v>1.1885610477282691</v>
      </c>
      <c r="S94" s="283">
        <v>1.4085439300233236</v>
      </c>
      <c r="T94" s="284" t="s">
        <v>37</v>
      </c>
      <c r="U94" s="283"/>
      <c r="V94" s="284"/>
      <c r="W94" s="284"/>
      <c r="X94" s="284"/>
      <c r="Y94" s="283">
        <v>1.3992031490878185</v>
      </c>
      <c r="Z94" s="284" t="s">
        <v>37</v>
      </c>
      <c r="AA94" s="283"/>
      <c r="AB94" s="284"/>
      <c r="AC94" s="284"/>
      <c r="AD94" s="284"/>
      <c r="AE94" s="285"/>
      <c r="AF94" s="287">
        <f t="shared" si="28"/>
        <v>3.044522437723423</v>
      </c>
      <c r="AG94" s="287">
        <f t="shared" si="29"/>
        <v>3.2173382214730624</v>
      </c>
      <c r="AH94" s="288"/>
      <c r="AI94" s="288"/>
      <c r="AK94" s="286">
        <f t="shared" si="30"/>
        <v>24.95978200229365</v>
      </c>
      <c r="AL94" s="286">
        <f t="shared" si="31"/>
        <v>28.921371455076688</v>
      </c>
      <c r="AM94" s="287">
        <f t="shared" si="32"/>
        <v>3.2172658095806206</v>
      </c>
      <c r="AN94" s="287">
        <f t="shared" si="33"/>
        <v>3.3645808185408712</v>
      </c>
      <c r="AO94" s="288"/>
      <c r="AP94" s="288"/>
      <c r="AR94" s="286">
        <f t="shared" si="34"/>
        <v>58.234501729677433</v>
      </c>
      <c r="AS94" s="286">
        <f t="shared" si="35"/>
        <v>67.099373058106735</v>
      </c>
      <c r="AT94" s="287">
        <f t="shared" si="36"/>
        <v>4.0644779923177436</v>
      </c>
      <c r="AU94" s="287">
        <f t="shared" si="37"/>
        <v>4.2061747005376633</v>
      </c>
      <c r="AV94" s="299"/>
      <c r="AW94" s="299"/>
      <c r="AX94" s="287">
        <f>GEOMEAN(AR94:AR103)</f>
        <v>82.701520346557601</v>
      </c>
      <c r="AY94" s="287">
        <f>GEOMEAN(AS94:AS103)</f>
        <v>91.885620319033578</v>
      </c>
      <c r="AZ94" s="287">
        <f>MIN(AX94:AX106)</f>
        <v>82.701520346557601</v>
      </c>
      <c r="BA94" s="287">
        <f>MIN(AY94:AY106)</f>
        <v>91.885620319033578</v>
      </c>
      <c r="BB94" s="287">
        <f>LN(AZ94)</f>
        <v>4.4152379857368143</v>
      </c>
      <c r="BC94" s="287">
        <f>LN(BA94)</f>
        <v>4.5205445461615872</v>
      </c>
      <c r="BD94" s="288"/>
      <c r="BE94" s="288"/>
    </row>
    <row r="95" spans="1:57" s="298" customFormat="1" x14ac:dyDescent="0.2">
      <c r="A95" s="290" t="s">
        <v>205</v>
      </c>
      <c r="B95" s="290" t="s">
        <v>35</v>
      </c>
      <c r="C95" s="291" t="s">
        <v>214</v>
      </c>
      <c r="D95" s="291" t="s">
        <v>312</v>
      </c>
      <c r="E95" s="292">
        <v>4.3550000000000004</v>
      </c>
      <c r="F95" s="292">
        <f t="shared" si="24"/>
        <v>2.1067948275862074</v>
      </c>
      <c r="G95" s="293">
        <v>1.2219410000000002</v>
      </c>
      <c r="H95" s="293">
        <v>13.22168202003054</v>
      </c>
      <c r="I95" s="293">
        <v>2.745744183645213</v>
      </c>
      <c r="J95" s="293">
        <v>1.990791585925495</v>
      </c>
      <c r="K95" s="294">
        <v>7</v>
      </c>
      <c r="L95" s="294">
        <v>21</v>
      </c>
      <c r="M95" s="235" t="s">
        <v>93</v>
      </c>
      <c r="N95" s="294">
        <v>9</v>
      </c>
      <c r="O95" s="296">
        <f t="shared" si="27"/>
        <v>10.990791585925495</v>
      </c>
      <c r="P95" s="297" t="s">
        <v>207</v>
      </c>
      <c r="Q95" s="297"/>
      <c r="R95" s="282">
        <f t="shared" si="25"/>
        <v>1.1889706289078394</v>
      </c>
      <c r="S95" s="283">
        <v>1.4085439300233236</v>
      </c>
      <c r="T95" s="284" t="s">
        <v>37</v>
      </c>
      <c r="U95" s="283"/>
      <c r="V95" s="284"/>
      <c r="W95" s="284"/>
      <c r="X95" s="284"/>
      <c r="Y95" s="283">
        <v>1.3992031490878185</v>
      </c>
      <c r="Z95" s="284" t="s">
        <v>37</v>
      </c>
      <c r="AA95" s="283"/>
      <c r="AB95" s="284"/>
      <c r="AC95" s="284"/>
      <c r="AD95" s="284"/>
      <c r="AE95" s="285"/>
      <c r="AF95" s="287">
        <f t="shared" si="28"/>
        <v>2.1972245773362196</v>
      </c>
      <c r="AG95" s="287">
        <f t="shared" si="29"/>
        <v>2.3970577936583646</v>
      </c>
      <c r="AH95" s="288"/>
      <c r="AI95" s="288"/>
      <c r="AK95" s="286">
        <f t="shared" si="30"/>
        <v>10.700735660170555</v>
      </c>
      <c r="AL95" s="286">
        <f t="shared" si="31"/>
        <v>12.691527246096049</v>
      </c>
      <c r="AM95" s="287">
        <f t="shared" si="32"/>
        <v>2.3703124923914292</v>
      </c>
      <c r="AN95" s="287">
        <f t="shared" si="33"/>
        <v>2.5409346248469511</v>
      </c>
      <c r="AO95" s="288"/>
      <c r="AP95" s="288"/>
      <c r="AR95" s="286">
        <f t="shared" si="34"/>
        <v>77.848311533334737</v>
      </c>
      <c r="AS95" s="286">
        <f t="shared" si="35"/>
        <v>91.124293087179311</v>
      </c>
      <c r="AT95" s="287">
        <f t="shared" si="36"/>
        <v>4.3547622093272027</v>
      </c>
      <c r="AU95" s="287">
        <f t="shared" si="37"/>
        <v>4.5122244326820438</v>
      </c>
      <c r="AV95" s="299"/>
      <c r="AW95" s="299"/>
      <c r="AX95" s="286"/>
      <c r="AY95" s="286"/>
      <c r="BD95" s="299"/>
      <c r="BE95" s="299"/>
    </row>
    <row r="96" spans="1:57" s="298" customFormat="1" x14ac:dyDescent="0.2">
      <c r="A96" s="290" t="s">
        <v>205</v>
      </c>
      <c r="B96" s="290" t="s">
        <v>35</v>
      </c>
      <c r="C96" s="291" t="s">
        <v>214</v>
      </c>
      <c r="D96" s="291" t="s">
        <v>312</v>
      </c>
      <c r="E96" s="292">
        <v>4.72</v>
      </c>
      <c r="F96" s="292">
        <f t="shared" si="24"/>
        <v>3.6882896551724142</v>
      </c>
      <c r="G96" s="293">
        <v>2.139208</v>
      </c>
      <c r="H96" s="293">
        <v>1.897414769034566</v>
      </c>
      <c r="I96" s="293">
        <v>3.4601038238982307</v>
      </c>
      <c r="J96" s="293">
        <v>1.5383029420053971</v>
      </c>
      <c r="K96" s="294">
        <v>7</v>
      </c>
      <c r="L96" s="294">
        <v>21</v>
      </c>
      <c r="M96" s="235" t="s">
        <v>104</v>
      </c>
      <c r="N96" s="294">
        <v>8</v>
      </c>
      <c r="O96" s="296">
        <f t="shared" si="27"/>
        <v>9.538302942005398</v>
      </c>
      <c r="P96" s="297" t="s">
        <v>207</v>
      </c>
      <c r="Q96" s="297"/>
      <c r="R96" s="282">
        <f t="shared" si="25"/>
        <v>1.1934995660752823</v>
      </c>
      <c r="S96" s="283">
        <v>1.4085439300233236</v>
      </c>
      <c r="T96" s="284" t="s">
        <v>37</v>
      </c>
      <c r="U96" s="283"/>
      <c r="V96" s="284"/>
      <c r="W96" s="284"/>
      <c r="X96" s="284"/>
      <c r="Y96" s="283">
        <v>1.3992031490878185</v>
      </c>
      <c r="Z96" s="284" t="s">
        <v>37</v>
      </c>
      <c r="AA96" s="283"/>
      <c r="AB96" s="284"/>
      <c r="AC96" s="284"/>
      <c r="AD96" s="284"/>
      <c r="AE96" s="285"/>
      <c r="AF96" s="287">
        <f t="shared" si="28"/>
        <v>2.0794415416798357</v>
      </c>
      <c r="AG96" s="287">
        <f t="shared" si="29"/>
        <v>2.2553155809574479</v>
      </c>
      <c r="AH96" s="288"/>
      <c r="AI96" s="288"/>
      <c r="AK96" s="286">
        <f t="shared" si="30"/>
        <v>9.5479965286022583</v>
      </c>
      <c r="AL96" s="286">
        <f t="shared" si="31"/>
        <v>11.086299470607656</v>
      </c>
      <c r="AM96" s="287">
        <f t="shared" si="32"/>
        <v>2.2563313449032307</v>
      </c>
      <c r="AN96" s="287">
        <f t="shared" si="33"/>
        <v>2.4057100640377418</v>
      </c>
      <c r="AO96" s="288"/>
      <c r="AP96" s="288"/>
      <c r="AR96" s="286">
        <f t="shared" si="34"/>
        <v>50.152094353357256</v>
      </c>
      <c r="AS96" s="286">
        <f t="shared" si="35"/>
        <v>57.595192910443934</v>
      </c>
      <c r="AT96" s="287">
        <f t="shared" si="36"/>
        <v>3.9150602753177455</v>
      </c>
      <c r="AU96" s="287">
        <f t="shared" si="37"/>
        <v>4.0534391078032614</v>
      </c>
      <c r="AV96" s="299"/>
      <c r="AW96" s="299"/>
      <c r="AX96" s="286"/>
      <c r="AY96" s="286"/>
      <c r="BD96" s="299"/>
      <c r="BE96" s="299"/>
    </row>
    <row r="97" spans="1:57" s="298" customFormat="1" x14ac:dyDescent="0.2">
      <c r="A97" s="290" t="s">
        <v>205</v>
      </c>
      <c r="B97" s="290" t="s">
        <v>35</v>
      </c>
      <c r="C97" s="291" t="s">
        <v>214</v>
      </c>
      <c r="D97" s="291" t="s">
        <v>312</v>
      </c>
      <c r="E97" s="292">
        <v>5.7050000000000001</v>
      </c>
      <c r="F97" s="292">
        <f t="shared" si="24"/>
        <v>1.3883413793103447</v>
      </c>
      <c r="G97" s="293">
        <v>0.8052379999999999</v>
      </c>
      <c r="H97" s="305">
        <v>47.947518321104361</v>
      </c>
      <c r="I97" s="293">
        <v>18.77565155327952</v>
      </c>
      <c r="J97" s="293">
        <v>10.903869470007898</v>
      </c>
      <c r="K97" s="294">
        <v>7</v>
      </c>
      <c r="L97" s="294">
        <v>21</v>
      </c>
      <c r="M97" s="235" t="s">
        <v>93</v>
      </c>
      <c r="N97" s="294">
        <v>34</v>
      </c>
      <c r="O97" s="296">
        <f t="shared" si="27"/>
        <v>44.903869470007898</v>
      </c>
      <c r="P97" s="297" t="s">
        <v>207</v>
      </c>
      <c r="Q97" s="297"/>
      <c r="R97" s="282">
        <f t="shared" si="25"/>
        <v>1.2608976679513182</v>
      </c>
      <c r="S97" s="283">
        <v>1.4085439300233236</v>
      </c>
      <c r="T97" s="284" t="s">
        <v>37</v>
      </c>
      <c r="U97" s="283"/>
      <c r="V97" s="284"/>
      <c r="W97" s="284"/>
      <c r="X97" s="284"/>
      <c r="Y97" s="283">
        <v>1.3992031490878185</v>
      </c>
      <c r="Z97" s="284" t="s">
        <v>37</v>
      </c>
      <c r="AA97" s="283"/>
      <c r="AB97" s="284"/>
      <c r="AC97" s="284"/>
      <c r="AD97" s="284"/>
      <c r="AE97" s="285"/>
      <c r="AF97" s="287">
        <f t="shared" si="28"/>
        <v>3.5263605246161616</v>
      </c>
      <c r="AG97" s="287">
        <f t="shared" si="29"/>
        <v>3.804523970767864</v>
      </c>
      <c r="AH97" s="288"/>
      <c r="AI97" s="288"/>
      <c r="AK97" s="286">
        <f t="shared" si="30"/>
        <v>42.87052071034482</v>
      </c>
      <c r="AL97" s="286">
        <f t="shared" si="31"/>
        <v>53.774390180352718</v>
      </c>
      <c r="AM97" s="287">
        <f t="shared" si="32"/>
        <v>3.7581844268002871</v>
      </c>
      <c r="AN97" s="287">
        <f t="shared" si="33"/>
        <v>3.9847973348821983</v>
      </c>
      <c r="AO97" s="288"/>
      <c r="AP97" s="288"/>
      <c r="AR97" s="286">
        <f t="shared" si="34"/>
        <v>20.794657521118122</v>
      </c>
      <c r="AS97" s="286">
        <f t="shared" si="35"/>
        <v>26.209104119775805</v>
      </c>
      <c r="AT97" s="287">
        <f t="shared" si="36"/>
        <v>3.0346961037694311</v>
      </c>
      <c r="AU97" s="287">
        <f t="shared" si="37"/>
        <v>3.2661068358955774</v>
      </c>
      <c r="AV97" s="299"/>
      <c r="AW97" s="299"/>
      <c r="AX97" s="286"/>
      <c r="AY97" s="286"/>
      <c r="BD97" s="299"/>
      <c r="BE97" s="299"/>
    </row>
    <row r="98" spans="1:57" s="298" customFormat="1" x14ac:dyDescent="0.2">
      <c r="A98" s="290" t="s">
        <v>205</v>
      </c>
      <c r="B98" s="290" t="s">
        <v>35</v>
      </c>
      <c r="C98" s="291" t="s">
        <v>214</v>
      </c>
      <c r="D98" s="291" t="s">
        <v>312</v>
      </c>
      <c r="E98" s="292">
        <v>6.06</v>
      </c>
      <c r="F98" s="292">
        <f t="shared" si="24"/>
        <v>7.7947224137931057</v>
      </c>
      <c r="G98" s="293">
        <v>4.5209390000000012</v>
      </c>
      <c r="H98" s="293">
        <v>33.129342993821169</v>
      </c>
      <c r="I98" s="293">
        <v>28.890556248260236</v>
      </c>
      <c r="J98" s="293">
        <v>14.319040296590824</v>
      </c>
      <c r="K98" s="294">
        <v>7</v>
      </c>
      <c r="L98" s="294">
        <v>21</v>
      </c>
      <c r="M98" s="235" t="s">
        <v>104</v>
      </c>
      <c r="N98" s="294">
        <v>68</v>
      </c>
      <c r="O98" s="296">
        <f t="shared" si="27"/>
        <v>82.319040296590828</v>
      </c>
      <c r="P98" s="297" t="s">
        <v>207</v>
      </c>
      <c r="Q98" s="297"/>
      <c r="R98" s="282">
        <f t="shared" si="25"/>
        <v>1.3511411739173773</v>
      </c>
      <c r="S98" s="283">
        <v>1.4085439300233236</v>
      </c>
      <c r="T98" s="284" t="s">
        <v>37</v>
      </c>
      <c r="U98" s="283"/>
      <c r="V98" s="284"/>
      <c r="W98" s="284"/>
      <c r="X98" s="284"/>
      <c r="Y98" s="283">
        <v>1.3992031490878185</v>
      </c>
      <c r="Z98" s="284" t="s">
        <v>37</v>
      </c>
      <c r="AA98" s="283"/>
      <c r="AB98" s="284"/>
      <c r="AC98" s="284"/>
      <c r="AD98" s="284"/>
      <c r="AE98" s="285"/>
      <c r="AF98" s="287">
        <f t="shared" si="28"/>
        <v>4.219507705176107</v>
      </c>
      <c r="AG98" s="287">
        <f t="shared" si="29"/>
        <v>4.4106024332531577</v>
      </c>
      <c r="AH98" s="288"/>
      <c r="AI98" s="288"/>
      <c r="AK98" s="286">
        <f t="shared" si="30"/>
        <v>91.877599826381655</v>
      </c>
      <c r="AL98" s="286">
        <f t="shared" si="31"/>
        <v>106.19664012297248</v>
      </c>
      <c r="AM98" s="287">
        <f t="shared" si="32"/>
        <v>4.5204572545626407</v>
      </c>
      <c r="AN98" s="287">
        <f t="shared" si="33"/>
        <v>4.6652924710472234</v>
      </c>
      <c r="AO98" s="288"/>
      <c r="AP98" s="288"/>
      <c r="AR98" s="286">
        <f t="shared" si="34"/>
        <v>24.287248915093951</v>
      </c>
      <c r="AS98" s="286">
        <f t="shared" si="35"/>
        <v>28.321180798632248</v>
      </c>
      <c r="AT98" s="287">
        <f t="shared" si="36"/>
        <v>3.189951476620021</v>
      </c>
      <c r="AU98" s="287">
        <f t="shared" si="37"/>
        <v>3.3436099628232703</v>
      </c>
      <c r="AV98" s="299"/>
      <c r="AW98" s="299"/>
      <c r="AX98" s="286"/>
      <c r="AY98" s="286"/>
      <c r="BD98" s="299"/>
      <c r="BE98" s="299"/>
    </row>
    <row r="99" spans="1:57" s="298" customFormat="1" x14ac:dyDescent="0.2">
      <c r="A99" s="290" t="s">
        <v>205</v>
      </c>
      <c r="B99" s="290" t="s">
        <v>35</v>
      </c>
      <c r="C99" s="291" t="s">
        <v>214</v>
      </c>
      <c r="D99" s="291" t="s">
        <v>312</v>
      </c>
      <c r="E99" s="292">
        <v>6.375</v>
      </c>
      <c r="F99" s="292">
        <f t="shared" si="24"/>
        <v>2.4694491379310346</v>
      </c>
      <c r="G99" s="293">
        <v>1.4322805000000001</v>
      </c>
      <c r="H99" s="293">
        <v>19.230598425729699</v>
      </c>
      <c r="I99" s="293">
        <v>20.402867481369348</v>
      </c>
      <c r="J99" s="293">
        <v>6.3148678712416988</v>
      </c>
      <c r="K99" s="294">
        <v>7</v>
      </c>
      <c r="L99" s="294">
        <v>21</v>
      </c>
      <c r="M99" s="235" t="s">
        <v>104</v>
      </c>
      <c r="N99" s="294">
        <v>43</v>
      </c>
      <c r="O99" s="296">
        <f t="shared" si="27"/>
        <v>49.314867871241702</v>
      </c>
      <c r="P99" s="297" t="s">
        <v>207</v>
      </c>
      <c r="Q99" s="297"/>
      <c r="R99" s="282">
        <f t="shared" si="25"/>
        <v>1.5092172276738214</v>
      </c>
      <c r="S99" s="283">
        <v>1.4085439300233236</v>
      </c>
      <c r="T99" s="284" t="s">
        <v>37</v>
      </c>
      <c r="U99" s="283"/>
      <c r="V99" s="284"/>
      <c r="W99" s="284"/>
      <c r="X99" s="284"/>
      <c r="Y99" s="283">
        <v>1.3992031490878185</v>
      </c>
      <c r="Z99" s="284" t="s">
        <v>37</v>
      </c>
      <c r="AA99" s="283"/>
      <c r="AB99" s="284"/>
      <c r="AC99" s="284"/>
      <c r="AD99" s="284"/>
      <c r="AE99" s="285"/>
      <c r="AF99" s="287">
        <f t="shared" si="28"/>
        <v>3.7612001156935624</v>
      </c>
      <c r="AG99" s="287">
        <f t="shared" si="29"/>
        <v>3.8982256151210475</v>
      </c>
      <c r="AH99" s="288"/>
      <c r="AI99" s="288"/>
      <c r="AK99" s="286">
        <f t="shared" si="30"/>
        <v>64.896340789974317</v>
      </c>
      <c r="AL99" s="286">
        <f t="shared" si="31"/>
        <v>71.21120866121602</v>
      </c>
      <c r="AM99" s="287">
        <f t="shared" si="32"/>
        <v>4.1727912398396763</v>
      </c>
      <c r="AN99" s="287">
        <f t="shared" si="33"/>
        <v>4.2656502310449911</v>
      </c>
      <c r="AO99" s="288"/>
      <c r="AP99" s="288"/>
      <c r="AR99" s="286">
        <f t="shared" si="34"/>
        <v>28.000781401469069</v>
      </c>
      <c r="AS99" s="286">
        <f t="shared" si="35"/>
        <v>30.897200684566851</v>
      </c>
      <c r="AT99" s="287">
        <f t="shared" si="36"/>
        <v>3.3322324169811295</v>
      </c>
      <c r="AU99" s="287">
        <f t="shared" si="37"/>
        <v>3.430665587067466</v>
      </c>
      <c r="AV99" s="299"/>
      <c r="AW99" s="299"/>
      <c r="BD99" s="299"/>
      <c r="BE99" s="299"/>
    </row>
    <row r="100" spans="1:57" s="298" customFormat="1" x14ac:dyDescent="0.2">
      <c r="A100" s="290" t="s">
        <v>205</v>
      </c>
      <c r="B100" s="290" t="s">
        <v>35</v>
      </c>
      <c r="C100" s="291" t="s">
        <v>214</v>
      </c>
      <c r="D100" s="291" t="s">
        <v>312</v>
      </c>
      <c r="E100" s="292">
        <v>7</v>
      </c>
      <c r="F100" s="292">
        <f t="shared" si="24"/>
        <v>1.5964870689655173</v>
      </c>
      <c r="G100" s="293">
        <v>0.92596250000000002</v>
      </c>
      <c r="H100" s="293">
        <v>13.655945530252296</v>
      </c>
      <c r="I100" s="293">
        <v>9.8408841579607369</v>
      </c>
      <c r="J100" s="293">
        <v>6.5956352593315302</v>
      </c>
      <c r="K100" s="294">
        <v>7</v>
      </c>
      <c r="L100" s="294">
        <v>21</v>
      </c>
      <c r="M100" s="235" t="s">
        <v>104</v>
      </c>
      <c r="N100" s="294">
        <v>82</v>
      </c>
      <c r="O100" s="296">
        <f t="shared" si="27"/>
        <v>88.59563525933153</v>
      </c>
      <c r="P100" s="297" t="s">
        <v>207</v>
      </c>
      <c r="Q100" s="297"/>
      <c r="R100" s="282">
        <f t="shared" si="25"/>
        <v>2.2080679260898619</v>
      </c>
      <c r="S100" s="283">
        <v>1.4085439300233236</v>
      </c>
      <c r="T100" s="284" t="s">
        <v>37</v>
      </c>
      <c r="U100" s="283"/>
      <c r="V100" s="284"/>
      <c r="W100" s="284"/>
      <c r="X100" s="284"/>
      <c r="Y100" s="283">
        <v>1.3992031490878185</v>
      </c>
      <c r="Z100" s="284" t="s">
        <v>37</v>
      </c>
      <c r="AA100" s="283"/>
      <c r="AB100" s="284"/>
      <c r="AC100" s="284"/>
      <c r="AD100" s="284"/>
      <c r="AE100" s="285"/>
      <c r="AF100" s="287">
        <f t="shared" si="28"/>
        <v>4.4067192472642533</v>
      </c>
      <c r="AG100" s="287">
        <f t="shared" si="29"/>
        <v>4.4840825929588561</v>
      </c>
      <c r="AH100" s="288"/>
      <c r="AI100" s="288"/>
      <c r="AK100" s="286">
        <f t="shared" si="30"/>
        <v>181.06156993936867</v>
      </c>
      <c r="AL100" s="286">
        <f t="shared" si="31"/>
        <v>187.65720519870018</v>
      </c>
      <c r="AM100" s="287">
        <f t="shared" si="32"/>
        <v>5.1988371388335661</v>
      </c>
      <c r="AN100" s="287">
        <f t="shared" si="33"/>
        <v>5.2346169218526777</v>
      </c>
      <c r="AO100" s="288"/>
      <c r="AP100" s="288"/>
      <c r="AR100" s="286">
        <f t="shared" si="34"/>
        <v>218.17332187845599</v>
      </c>
      <c r="AS100" s="286">
        <f t="shared" si="35"/>
        <v>225.84143109322406</v>
      </c>
      <c r="AT100" s="287">
        <f t="shared" si="36"/>
        <v>5.3852898013890211</v>
      </c>
      <c r="AU100" s="287">
        <f t="shared" si="37"/>
        <v>5.4198331206822594</v>
      </c>
      <c r="AV100" s="299"/>
      <c r="AW100" s="299"/>
      <c r="BD100" s="299"/>
      <c r="BE100" s="299"/>
    </row>
    <row r="101" spans="1:57" s="298" customFormat="1" x14ac:dyDescent="0.2">
      <c r="A101" s="290" t="s">
        <v>205</v>
      </c>
      <c r="B101" s="290" t="s">
        <v>35</v>
      </c>
      <c r="C101" s="291" t="s">
        <v>214</v>
      </c>
      <c r="D101" s="291" t="s">
        <v>312</v>
      </c>
      <c r="E101" s="292">
        <v>7.5</v>
      </c>
      <c r="F101" s="292">
        <f t="shared" si="24"/>
        <v>3.504509905645727</v>
      </c>
      <c r="G101" s="293">
        <v>2.0326157452745215</v>
      </c>
      <c r="H101" s="293">
        <v>31.872519203485023</v>
      </c>
      <c r="I101" s="293">
        <v>28.529144751045347</v>
      </c>
      <c r="J101" s="293">
        <v>11.245946592653912</v>
      </c>
      <c r="K101" s="294">
        <v>7</v>
      </c>
      <c r="L101" s="294">
        <v>21</v>
      </c>
      <c r="M101" s="235" t="s">
        <v>104</v>
      </c>
      <c r="N101" s="294">
        <v>113</v>
      </c>
      <c r="O101" s="296">
        <f t="shared" si="27"/>
        <v>124.24594659265391</v>
      </c>
      <c r="P101" s="297" t="s">
        <v>207</v>
      </c>
      <c r="Q101" s="297"/>
      <c r="R101" s="282">
        <f t="shared" si="25"/>
        <v>3.0752664074181557</v>
      </c>
      <c r="S101" s="283">
        <v>1.4085439300233236</v>
      </c>
      <c r="T101" s="284" t="s">
        <v>37</v>
      </c>
      <c r="U101" s="283"/>
      <c r="V101" s="284"/>
      <c r="W101" s="284"/>
      <c r="X101" s="284"/>
      <c r="Y101" s="283">
        <v>1.3992031490878185</v>
      </c>
      <c r="Z101" s="284" t="s">
        <v>37</v>
      </c>
      <c r="AA101" s="283"/>
      <c r="AB101" s="284"/>
      <c r="AC101" s="284"/>
      <c r="AD101" s="284"/>
      <c r="AE101" s="285"/>
      <c r="AF101" s="287">
        <f t="shared" si="28"/>
        <v>4.7273878187123408</v>
      </c>
      <c r="AG101" s="287">
        <f t="shared" si="29"/>
        <v>4.8222630414478473</v>
      </c>
      <c r="AH101" s="288"/>
      <c r="AI101" s="288"/>
      <c r="AK101" s="286">
        <f t="shared" si="30"/>
        <v>347.5051040382516</v>
      </c>
      <c r="AL101" s="286">
        <f t="shared" si="31"/>
        <v>358.75105063090552</v>
      </c>
      <c r="AM101" s="287">
        <f t="shared" si="32"/>
        <v>5.8507793527768417</v>
      </c>
      <c r="AN101" s="287">
        <f t="shared" si="33"/>
        <v>5.8826286956574325</v>
      </c>
      <c r="AO101" s="288"/>
      <c r="AP101" s="288"/>
      <c r="AR101" s="286">
        <f t="shared" si="34"/>
        <v>93.5040867384796</v>
      </c>
      <c r="AS101" s="286">
        <f t="shared" si="35"/>
        <v>97.374091009210971</v>
      </c>
      <c r="AT101" s="287">
        <f t="shared" si="36"/>
        <v>4.5380051437723923</v>
      </c>
      <c r="AU101" s="287">
        <f t="shared" si="37"/>
        <v>4.5785601691970044</v>
      </c>
      <c r="AV101" s="299"/>
      <c r="AW101" s="299"/>
      <c r="BD101" s="299"/>
      <c r="BE101" s="299"/>
    </row>
    <row r="102" spans="1:57" s="298" customFormat="1" x14ac:dyDescent="0.2">
      <c r="A102" s="290" t="s">
        <v>205</v>
      </c>
      <c r="B102" s="290" t="s">
        <v>35</v>
      </c>
      <c r="C102" s="291" t="s">
        <v>214</v>
      </c>
      <c r="D102" s="291" t="s">
        <v>312</v>
      </c>
      <c r="E102" s="292">
        <v>7.5250000000000004</v>
      </c>
      <c r="F102" s="292">
        <f t="shared" si="24"/>
        <v>2.4958212723915376</v>
      </c>
      <c r="G102" s="293">
        <v>1.4475763379870918</v>
      </c>
      <c r="H102" s="293">
        <v>38.576937974924618</v>
      </c>
      <c r="I102" s="293">
        <v>23.971447340032601</v>
      </c>
      <c r="J102" s="293">
        <v>29.575802025601583</v>
      </c>
      <c r="K102" s="294">
        <v>7</v>
      </c>
      <c r="L102" s="294">
        <v>21</v>
      </c>
      <c r="M102" s="295" t="s">
        <v>104</v>
      </c>
      <c r="N102" s="294">
        <v>192</v>
      </c>
      <c r="O102" s="296">
        <f t="shared" si="27"/>
        <v>221.57580202560158</v>
      </c>
      <c r="P102" s="297" t="s">
        <v>207</v>
      </c>
      <c r="Q102" s="297"/>
      <c r="R102" s="282">
        <f t="shared" si="25"/>
        <v>3.1176578244515478</v>
      </c>
      <c r="S102" s="283">
        <v>1.4085439300233236</v>
      </c>
      <c r="T102" s="284" t="s">
        <v>37</v>
      </c>
      <c r="U102" s="283"/>
      <c r="V102" s="284"/>
      <c r="W102" s="284"/>
      <c r="X102" s="284"/>
      <c r="Y102" s="283">
        <v>1.3992031490878185</v>
      </c>
      <c r="Z102" s="284" t="s">
        <v>37</v>
      </c>
      <c r="AA102" s="283"/>
      <c r="AB102" s="284"/>
      <c r="AC102" s="284"/>
      <c r="AD102" s="284"/>
      <c r="AE102" s="285"/>
      <c r="AF102" s="287">
        <f t="shared" si="28"/>
        <v>5.2574953720277815</v>
      </c>
      <c r="AG102" s="287">
        <f t="shared" si="29"/>
        <v>5.4007647522753706</v>
      </c>
      <c r="AH102" s="288"/>
      <c r="AI102" s="288"/>
      <c r="AK102" s="286">
        <f t="shared" si="30"/>
        <v>598.59030229469715</v>
      </c>
      <c r="AL102" s="286">
        <f t="shared" si="31"/>
        <v>628.1661043202987</v>
      </c>
      <c r="AM102" s="287">
        <f t="shared" si="32"/>
        <v>6.3945773946436937</v>
      </c>
      <c r="AN102" s="287">
        <f t="shared" si="33"/>
        <v>6.4428046288202641</v>
      </c>
      <c r="AO102" s="288"/>
      <c r="AP102" s="288"/>
      <c r="AR102" s="286">
        <f t="shared" si="34"/>
        <v>205.81510746872306</v>
      </c>
      <c r="AS102" s="286">
        <f t="shared" si="35"/>
        <v>217.5187957021632</v>
      </c>
      <c r="AT102" s="287">
        <f t="shared" si="36"/>
        <v>5.326978229202874</v>
      </c>
      <c r="AU102" s="287">
        <f t="shared" si="37"/>
        <v>5.3822852638164429</v>
      </c>
      <c r="AV102" s="299"/>
      <c r="AW102" s="299"/>
      <c r="BD102" s="299"/>
      <c r="BE102" s="299"/>
    </row>
    <row r="103" spans="1:57" s="298" customFormat="1" x14ac:dyDescent="0.2">
      <c r="A103" s="290" t="s">
        <v>205</v>
      </c>
      <c r="B103" s="290" t="s">
        <v>35</v>
      </c>
      <c r="C103" s="291" t="s">
        <v>214</v>
      </c>
      <c r="D103" s="291" t="s">
        <v>312</v>
      </c>
      <c r="E103" s="292">
        <v>6.8</v>
      </c>
      <c r="F103" s="292">
        <f t="shared" si="24"/>
        <v>3.2931034482758621</v>
      </c>
      <c r="G103" s="293">
        <v>1.91</v>
      </c>
      <c r="H103" s="293">
        <v>4</v>
      </c>
      <c r="I103" s="296">
        <v>9</v>
      </c>
      <c r="J103" s="293">
        <v>3</v>
      </c>
      <c r="K103" s="294">
        <v>21</v>
      </c>
      <c r="L103" s="294">
        <v>21</v>
      </c>
      <c r="M103" s="295" t="s">
        <v>104</v>
      </c>
      <c r="N103" s="293">
        <f>O103-J103</f>
        <v>422.6</v>
      </c>
      <c r="O103" s="296">
        <v>425.6</v>
      </c>
      <c r="P103" s="297" t="s">
        <v>215</v>
      </c>
      <c r="Q103" s="297"/>
      <c r="R103" s="282">
        <f t="shared" si="25"/>
        <v>1.9198266822503527</v>
      </c>
      <c r="S103" s="283">
        <v>1.4085439300233236</v>
      </c>
      <c r="T103" s="284" t="s">
        <v>37</v>
      </c>
      <c r="U103" s="283"/>
      <c r="V103" s="284"/>
      <c r="W103" s="284"/>
      <c r="X103" s="284"/>
      <c r="Y103" s="283">
        <v>1.3992031490878185</v>
      </c>
      <c r="Z103" s="284" t="s">
        <v>37</v>
      </c>
      <c r="AA103" s="283"/>
      <c r="AB103" s="284"/>
      <c r="AC103" s="284"/>
      <c r="AD103" s="284"/>
      <c r="AE103" s="285"/>
      <c r="AF103" s="287">
        <f t="shared" si="28"/>
        <v>6.0464261051819568</v>
      </c>
      <c r="AG103" s="287">
        <f t="shared" si="29"/>
        <v>6.0534999380274348</v>
      </c>
      <c r="AH103" s="288"/>
      <c r="AI103" s="288"/>
      <c r="AK103" s="286">
        <f t="shared" si="30"/>
        <v>811.31875591899905</v>
      </c>
      <c r="AL103" s="286">
        <f t="shared" si="31"/>
        <v>814.31875591899905</v>
      </c>
      <c r="AM103" s="287">
        <f t="shared" si="32"/>
        <v>6.6986610174858212</v>
      </c>
      <c r="AN103" s="287">
        <f t="shared" si="33"/>
        <v>6.7023518813884708</v>
      </c>
      <c r="AO103" s="288"/>
      <c r="AP103" s="288"/>
      <c r="AR103" s="286">
        <f t="shared" si="34"/>
        <v>1108.6808993615</v>
      </c>
      <c r="AS103" s="286">
        <f t="shared" si="35"/>
        <v>1110.4784984588482</v>
      </c>
      <c r="AT103" s="287">
        <f t="shared" si="36"/>
        <v>7.0109262086705808</v>
      </c>
      <c r="AU103" s="287">
        <f t="shared" si="37"/>
        <v>7.012546281110879</v>
      </c>
      <c r="AV103" s="299"/>
      <c r="AW103" s="299"/>
      <c r="BD103" s="299"/>
      <c r="BE103" s="299"/>
    </row>
    <row r="104" spans="1:57" s="298" customFormat="1" x14ac:dyDescent="0.2">
      <c r="A104" s="290" t="s">
        <v>205</v>
      </c>
      <c r="B104" s="290" t="s">
        <v>35</v>
      </c>
      <c r="C104" s="291" t="s">
        <v>214</v>
      </c>
      <c r="D104" s="291" t="s">
        <v>384</v>
      </c>
      <c r="E104" s="292">
        <v>6.8</v>
      </c>
      <c r="F104" s="292">
        <f t="shared" si="24"/>
        <v>3.2931034482758621</v>
      </c>
      <c r="G104" s="293">
        <v>1.91</v>
      </c>
      <c r="H104" s="293">
        <v>4</v>
      </c>
      <c r="I104" s="296">
        <v>9</v>
      </c>
      <c r="J104" s="293">
        <v>3</v>
      </c>
      <c r="K104" s="294">
        <v>21</v>
      </c>
      <c r="L104" s="294">
        <v>21</v>
      </c>
      <c r="M104" s="295" t="s">
        <v>104</v>
      </c>
      <c r="N104" s="293">
        <f>O104-J104</f>
        <v>94.95</v>
      </c>
      <c r="O104" s="296">
        <v>97.95</v>
      </c>
      <c r="P104" s="297" t="s">
        <v>215</v>
      </c>
      <c r="Q104" s="297"/>
      <c r="R104" s="282">
        <f t="shared" si="25"/>
        <v>1.9198266822503527</v>
      </c>
      <c r="S104" s="283">
        <v>1.4085439300233236</v>
      </c>
      <c r="T104" s="284" t="s">
        <v>37</v>
      </c>
      <c r="U104" s="283"/>
      <c r="V104" s="284"/>
      <c r="W104" s="284"/>
      <c r="X104" s="284"/>
      <c r="Y104" s="283">
        <v>1.3992031490878185</v>
      </c>
      <c r="Z104" s="284" t="s">
        <v>37</v>
      </c>
      <c r="AA104" s="283"/>
      <c r="AB104" s="284"/>
      <c r="AC104" s="284"/>
      <c r="AD104" s="284"/>
      <c r="AE104" s="285"/>
      <c r="AF104" s="287">
        <f t="shared" si="28"/>
        <v>4.5533504372582954</v>
      </c>
      <c r="AG104" s="287">
        <f t="shared" si="29"/>
        <v>4.5844571443905497</v>
      </c>
      <c r="AH104" s="288"/>
      <c r="AI104" s="288"/>
      <c r="AK104" s="286">
        <f t="shared" si="30"/>
        <v>182.287543479671</v>
      </c>
      <c r="AL104" s="286">
        <f t="shared" si="31"/>
        <v>185.287543479671</v>
      </c>
      <c r="AM104" s="287">
        <f t="shared" si="32"/>
        <v>5.2055853495621598</v>
      </c>
      <c r="AN104" s="287">
        <f t="shared" si="33"/>
        <v>5.2219089075005236</v>
      </c>
      <c r="AO104" s="288"/>
      <c r="AP104" s="288"/>
      <c r="AR104" s="286">
        <f t="shared" si="34"/>
        <v>249.09903311494188</v>
      </c>
      <c r="AS104" s="286">
        <f t="shared" si="35"/>
        <v>252.67480525390295</v>
      </c>
      <c r="AT104" s="287">
        <f t="shared" si="36"/>
        <v>5.5178505407469203</v>
      </c>
      <c r="AU104" s="287">
        <f t="shared" si="37"/>
        <v>5.5321033072229326</v>
      </c>
      <c r="AV104" s="299"/>
      <c r="AW104" s="299"/>
      <c r="AX104" s="286">
        <f t="shared" ref="AX104:AY106" si="38">GEOMEAN(AR104)</f>
        <v>249.09903311494188</v>
      </c>
      <c r="AY104" s="286">
        <f t="shared" si="38"/>
        <v>252.67480525390295</v>
      </c>
      <c r="BD104" s="299"/>
      <c r="BE104" s="299"/>
    </row>
    <row r="105" spans="1:57" s="298" customFormat="1" x14ac:dyDescent="0.2">
      <c r="A105" s="290" t="s">
        <v>205</v>
      </c>
      <c r="B105" s="290" t="s">
        <v>35</v>
      </c>
      <c r="C105" s="291" t="s">
        <v>214</v>
      </c>
      <c r="D105" s="291" t="s">
        <v>319</v>
      </c>
      <c r="E105" s="292">
        <v>6.8</v>
      </c>
      <c r="F105" s="292">
        <f t="shared" si="24"/>
        <v>3.2931034482758621</v>
      </c>
      <c r="G105" s="293">
        <v>1.91</v>
      </c>
      <c r="H105" s="293">
        <v>4</v>
      </c>
      <c r="I105" s="296">
        <v>9</v>
      </c>
      <c r="J105" s="293">
        <v>3</v>
      </c>
      <c r="K105" s="294">
        <v>21</v>
      </c>
      <c r="L105" s="294">
        <v>21</v>
      </c>
      <c r="M105" s="295" t="s">
        <v>104</v>
      </c>
      <c r="N105" s="293">
        <f>O105-J105</f>
        <v>264.3</v>
      </c>
      <c r="O105" s="296">
        <v>267.3</v>
      </c>
      <c r="P105" s="297" t="s">
        <v>215</v>
      </c>
      <c r="Q105" s="297"/>
      <c r="R105" s="282">
        <f t="shared" si="25"/>
        <v>1.9198266822503527</v>
      </c>
      <c r="S105" s="283">
        <v>1.4085439300233236</v>
      </c>
      <c r="T105" s="284" t="s">
        <v>37</v>
      </c>
      <c r="U105" s="283"/>
      <c r="V105" s="284"/>
      <c r="W105" s="284"/>
      <c r="X105" s="284"/>
      <c r="Y105" s="283">
        <v>1.3992031490878185</v>
      </c>
      <c r="Z105" s="284" t="s">
        <v>37</v>
      </c>
      <c r="AA105" s="283"/>
      <c r="AB105" s="284"/>
      <c r="AC105" s="284"/>
      <c r="AD105" s="284"/>
      <c r="AE105" s="285"/>
      <c r="AF105" s="287">
        <f t="shared" si="28"/>
        <v>5.577084821610244</v>
      </c>
      <c r="AG105" s="287">
        <f t="shared" si="29"/>
        <v>5.588371623144873</v>
      </c>
      <c r="AH105" s="288"/>
      <c r="AI105" s="288"/>
      <c r="AK105" s="286">
        <f t="shared" si="30"/>
        <v>507.41019211876824</v>
      </c>
      <c r="AL105" s="286">
        <f t="shared" si="31"/>
        <v>510.41019211876824</v>
      </c>
      <c r="AM105" s="287">
        <f t="shared" si="32"/>
        <v>6.2293197339141084</v>
      </c>
      <c r="AN105" s="287">
        <f t="shared" si="33"/>
        <v>6.2352147007159386</v>
      </c>
      <c r="AO105" s="288"/>
      <c r="AP105" s="288"/>
      <c r="AR105" s="286">
        <f t="shared" si="34"/>
        <v>693.38467037682074</v>
      </c>
      <c r="AS105" s="286">
        <f t="shared" si="35"/>
        <v>696.0413715418855</v>
      </c>
      <c r="AT105" s="287">
        <f t="shared" si="36"/>
        <v>6.541584925098868</v>
      </c>
      <c r="AU105" s="287">
        <f t="shared" si="37"/>
        <v>6.5454091004383468</v>
      </c>
      <c r="AV105" s="299"/>
      <c r="AW105" s="299"/>
      <c r="AX105" s="286">
        <f t="shared" si="38"/>
        <v>693.38467037682074</v>
      </c>
      <c r="AY105" s="286">
        <f t="shared" si="38"/>
        <v>696.0413715418855</v>
      </c>
      <c r="BD105" s="299"/>
      <c r="BE105" s="299"/>
    </row>
    <row r="106" spans="1:57" s="336" customFormat="1" x14ac:dyDescent="0.2">
      <c r="A106" s="326" t="s">
        <v>205</v>
      </c>
      <c r="B106" s="326" t="s">
        <v>35</v>
      </c>
      <c r="C106" s="327" t="s">
        <v>214</v>
      </c>
      <c r="D106" s="327" t="s">
        <v>316</v>
      </c>
      <c r="E106" s="328">
        <v>6.8</v>
      </c>
      <c r="F106" s="328">
        <f t="shared" si="24"/>
        <v>3.2931034482758621</v>
      </c>
      <c r="G106" s="318">
        <v>1.91</v>
      </c>
      <c r="H106" s="318">
        <v>4</v>
      </c>
      <c r="I106" s="330">
        <v>9</v>
      </c>
      <c r="J106" s="318">
        <v>3</v>
      </c>
      <c r="K106" s="329">
        <v>21</v>
      </c>
      <c r="L106" s="329">
        <v>21</v>
      </c>
      <c r="M106" s="231" t="s">
        <v>104</v>
      </c>
      <c r="N106" s="318">
        <f>O106-J106</f>
        <v>46.74</v>
      </c>
      <c r="O106" s="330">
        <v>49.74</v>
      </c>
      <c r="P106" s="331" t="s">
        <v>215</v>
      </c>
      <c r="Q106" s="331"/>
      <c r="R106" s="316">
        <f t="shared" si="25"/>
        <v>1.9198266822503527</v>
      </c>
      <c r="S106" s="332">
        <v>1.4085439300233236</v>
      </c>
      <c r="T106" s="333" t="s">
        <v>37</v>
      </c>
      <c r="U106" s="332"/>
      <c r="V106" s="333"/>
      <c r="W106" s="333"/>
      <c r="X106" s="333"/>
      <c r="Y106" s="332">
        <v>1.3992031490878185</v>
      </c>
      <c r="Z106" s="333" t="s">
        <v>37</v>
      </c>
      <c r="AA106" s="332"/>
      <c r="AB106" s="333"/>
      <c r="AC106" s="333"/>
      <c r="AD106" s="333"/>
      <c r="AE106" s="163"/>
      <c r="AF106" s="334">
        <f t="shared" si="28"/>
        <v>3.8446003291107118</v>
      </c>
      <c r="AG106" s="334">
        <f t="shared" si="29"/>
        <v>3.9068094383752587</v>
      </c>
      <c r="AH106" s="335"/>
      <c r="AI106" s="335"/>
      <c r="AK106" s="337">
        <f t="shared" si="30"/>
        <v>89.732699128381483</v>
      </c>
      <c r="AL106" s="337">
        <f t="shared" si="31"/>
        <v>92.732699128381483</v>
      </c>
      <c r="AM106" s="334">
        <f t="shared" si="32"/>
        <v>4.4968352414145762</v>
      </c>
      <c r="AN106" s="334">
        <f t="shared" si="33"/>
        <v>4.5297211517796745</v>
      </c>
      <c r="AO106" s="335"/>
      <c r="AP106" s="335"/>
      <c r="AR106" s="337">
        <f t="shared" si="34"/>
        <v>122.62126179876127</v>
      </c>
      <c r="AS106" s="337">
        <f t="shared" si="35"/>
        <v>126.45867203427707</v>
      </c>
      <c r="AT106" s="334">
        <f t="shared" si="36"/>
        <v>4.8091004325993367</v>
      </c>
      <c r="AU106" s="334">
        <f t="shared" si="37"/>
        <v>4.8399155515020826</v>
      </c>
      <c r="AV106" s="338"/>
      <c r="AW106" s="338"/>
      <c r="AX106" s="337">
        <f t="shared" si="38"/>
        <v>122.62126179876127</v>
      </c>
      <c r="AY106" s="337">
        <f t="shared" si="38"/>
        <v>126.45867203427707</v>
      </c>
      <c r="BD106" s="338"/>
      <c r="BE106" s="338"/>
    </row>
    <row r="107" spans="1:57" s="298" customFormat="1" x14ac:dyDescent="0.2">
      <c r="A107" s="290" t="s">
        <v>205</v>
      </c>
      <c r="B107" s="290" t="s">
        <v>35</v>
      </c>
      <c r="C107" s="291" t="s">
        <v>216</v>
      </c>
      <c r="D107" s="291" t="s">
        <v>319</v>
      </c>
      <c r="E107" s="292">
        <v>6.8</v>
      </c>
      <c r="F107" s="292">
        <f t="shared" si="24"/>
        <v>3.2931034482758621</v>
      </c>
      <c r="G107" s="293">
        <v>1.91</v>
      </c>
      <c r="H107" s="293">
        <v>4</v>
      </c>
      <c r="I107" s="296">
        <v>9</v>
      </c>
      <c r="J107" s="293">
        <v>3</v>
      </c>
      <c r="K107" s="294">
        <v>21</v>
      </c>
      <c r="L107" s="294">
        <v>21</v>
      </c>
      <c r="M107" s="295" t="s">
        <v>104</v>
      </c>
      <c r="N107" s="293">
        <f>O107-J107</f>
        <v>19.170000000000002</v>
      </c>
      <c r="O107" s="296">
        <v>22.17</v>
      </c>
      <c r="P107" s="297" t="s">
        <v>215</v>
      </c>
      <c r="Q107" s="297"/>
      <c r="R107" s="282">
        <f t="shared" si="25"/>
        <v>1.9198266822503527</v>
      </c>
      <c r="S107" s="283">
        <v>1.1298114754548121</v>
      </c>
      <c r="T107" s="284" t="s">
        <v>37</v>
      </c>
      <c r="U107" s="283"/>
      <c r="V107" s="284"/>
      <c r="W107" s="284"/>
      <c r="X107" s="284"/>
      <c r="Y107" s="283">
        <v>1.1269828106433086</v>
      </c>
      <c r="Z107" s="284" t="s">
        <v>37</v>
      </c>
      <c r="AA107" s="283"/>
      <c r="AB107" s="284"/>
      <c r="AC107" s="284"/>
      <c r="AD107" s="284"/>
      <c r="AE107" s="285"/>
      <c r="AF107" s="287">
        <f t="shared" si="28"/>
        <v>2.9533465570575532</v>
      </c>
      <c r="AG107" s="287">
        <f t="shared" si="29"/>
        <v>3.0987400236282201</v>
      </c>
      <c r="AH107" s="288"/>
      <c r="AI107" s="288"/>
      <c r="AK107" s="286">
        <f t="shared" si="30"/>
        <v>36.803077498739263</v>
      </c>
      <c r="AL107" s="286">
        <f t="shared" si="31"/>
        <v>39.803077498739263</v>
      </c>
      <c r="AM107" s="287">
        <f t="shared" si="32"/>
        <v>3.6055814693614177</v>
      </c>
      <c r="AN107" s="287">
        <f t="shared" si="33"/>
        <v>3.683944233389965</v>
      </c>
      <c r="AO107" s="288"/>
      <c r="AP107" s="288"/>
      <c r="AR107" s="286">
        <f t="shared" si="34"/>
        <v>47.278396425632792</v>
      </c>
      <c r="AS107" s="286">
        <f t="shared" si="35"/>
        <v>51.100236382783322</v>
      </c>
      <c r="AT107" s="287">
        <f t="shared" si="36"/>
        <v>3.8560534559751338</v>
      </c>
      <c r="AU107" s="287">
        <f t="shared" si="37"/>
        <v>3.9337891230851301</v>
      </c>
      <c r="AV107" s="299"/>
      <c r="AW107" s="299"/>
      <c r="AX107" s="287">
        <f>GEOMEAN(AR107:AR109)</f>
        <v>117.45240584377169</v>
      </c>
      <c r="AY107" s="287">
        <f>GEOMEAN(AS107:AS109)</f>
        <v>128.64045832616227</v>
      </c>
      <c r="AZ107" s="287">
        <f>MIN(AX107:AX120)</f>
        <v>117.45240584377169</v>
      </c>
      <c r="BA107" s="287">
        <f>MIN(AY107:AY120)</f>
        <v>128.64045832616227</v>
      </c>
      <c r="BB107" s="287">
        <f>LN(AZ107)</f>
        <v>4.766033194877858</v>
      </c>
      <c r="BC107" s="287">
        <f>LN(BA107)</f>
        <v>4.8570213682831582</v>
      </c>
      <c r="BD107" s="288"/>
      <c r="BE107" s="288"/>
    </row>
    <row r="108" spans="1:57" s="298" customFormat="1" x14ac:dyDescent="0.2">
      <c r="A108" s="290" t="s">
        <v>205</v>
      </c>
      <c r="B108" s="290" t="s">
        <v>35</v>
      </c>
      <c r="C108" s="291" t="s">
        <v>216</v>
      </c>
      <c r="D108" s="291" t="s">
        <v>319</v>
      </c>
      <c r="E108" s="292">
        <v>5.01</v>
      </c>
      <c r="F108" s="292">
        <f t="shared" si="24"/>
        <v>5</v>
      </c>
      <c r="G108" s="293">
        <f>5*0.58</f>
        <v>2.9</v>
      </c>
      <c r="H108" s="293">
        <v>10</v>
      </c>
      <c r="I108" s="300">
        <f t="shared" ref="I108" si="39">(30+4.4*E108)*(0/100)+(-34.66+29.72*E108)*(F108/100)</f>
        <v>5.7118600000000006</v>
      </c>
      <c r="J108" s="293">
        <v>0.3</v>
      </c>
      <c r="K108" s="294">
        <v>28</v>
      </c>
      <c r="L108" s="294">
        <v>14</v>
      </c>
      <c r="M108" s="295" t="s">
        <v>104</v>
      </c>
      <c r="N108" s="293">
        <v>27.2</v>
      </c>
      <c r="O108" s="296">
        <f>N108+J108</f>
        <v>27.5</v>
      </c>
      <c r="P108" s="297" t="s">
        <v>209</v>
      </c>
      <c r="Q108" s="297"/>
      <c r="R108" s="282">
        <f t="shared" si="25"/>
        <v>1.201037326620962</v>
      </c>
      <c r="S108" s="283">
        <v>1.1298114754548121</v>
      </c>
      <c r="T108" s="284" t="s">
        <v>37</v>
      </c>
      <c r="U108" s="283"/>
      <c r="V108" s="284"/>
      <c r="W108" s="284"/>
      <c r="X108" s="284"/>
      <c r="Y108" s="283">
        <v>1.1269828106433086</v>
      </c>
      <c r="Z108" s="284" t="s">
        <v>37</v>
      </c>
      <c r="AA108" s="283"/>
      <c r="AB108" s="284"/>
      <c r="AC108" s="284"/>
      <c r="AD108" s="284"/>
      <c r="AE108" s="285"/>
      <c r="AF108" s="287">
        <f t="shared" si="28"/>
        <v>3.3032169733019514</v>
      </c>
      <c r="AG108" s="287">
        <f t="shared" si="29"/>
        <v>3.3141860046725258</v>
      </c>
      <c r="AH108" s="288"/>
      <c r="AI108" s="288"/>
      <c r="AK108" s="286">
        <f t="shared" si="30"/>
        <v>32.668215284090167</v>
      </c>
      <c r="AL108" s="286">
        <f t="shared" si="31"/>
        <v>32.968215284090164</v>
      </c>
      <c r="AM108" s="287">
        <f t="shared" si="32"/>
        <v>3.4864025955346238</v>
      </c>
      <c r="AN108" s="287">
        <f t="shared" si="33"/>
        <v>3.495543924107714</v>
      </c>
      <c r="AO108" s="288"/>
      <c r="AP108" s="288"/>
      <c r="AR108" s="286">
        <f t="shared" si="34"/>
        <v>70.14588244220559</v>
      </c>
      <c r="AS108" s="286">
        <f t="shared" si="35"/>
        <v>70.654740346338826</v>
      </c>
      <c r="AT108" s="287">
        <f t="shared" si="36"/>
        <v>4.2505771083497219</v>
      </c>
      <c r="AU108" s="287">
        <f t="shared" si="37"/>
        <v>4.2578052030769813</v>
      </c>
      <c r="AV108" s="299"/>
      <c r="AW108" s="299"/>
      <c r="AX108" s="287"/>
      <c r="AY108" s="287"/>
      <c r="BA108" s="287"/>
      <c r="BB108" s="287"/>
      <c r="BC108" s="287"/>
      <c r="BD108" s="288"/>
      <c r="BE108" s="288"/>
    </row>
    <row r="109" spans="1:57" s="298" customFormat="1" x14ac:dyDescent="0.2">
      <c r="A109" s="290" t="s">
        <v>205</v>
      </c>
      <c r="B109" s="290" t="s">
        <v>35</v>
      </c>
      <c r="C109" s="291" t="s">
        <v>216</v>
      </c>
      <c r="D109" s="291" t="s">
        <v>319</v>
      </c>
      <c r="E109" s="292">
        <v>6.32</v>
      </c>
      <c r="F109" s="292">
        <f t="shared" si="24"/>
        <v>0.1</v>
      </c>
      <c r="G109" s="293">
        <f>0.1*0.58</f>
        <v>5.7999999999999996E-2</v>
      </c>
      <c r="H109" s="293">
        <v>3.2</v>
      </c>
      <c r="I109" s="296">
        <v>1.1000000000000001</v>
      </c>
      <c r="J109" s="293">
        <v>7.6</v>
      </c>
      <c r="K109" s="294">
        <v>28</v>
      </c>
      <c r="L109" s="294">
        <v>14</v>
      </c>
      <c r="M109" s="295" t="s">
        <v>104</v>
      </c>
      <c r="N109" s="293">
        <v>24</v>
      </c>
      <c r="O109" s="296">
        <f>N109+J109</f>
        <v>31.6</v>
      </c>
      <c r="P109" s="297" t="s">
        <v>209</v>
      </c>
      <c r="Q109" s="297"/>
      <c r="R109" s="282">
        <f t="shared" si="25"/>
        <v>1.4742895261945446</v>
      </c>
      <c r="S109" s="283">
        <v>1.1298114754548121</v>
      </c>
      <c r="T109" s="284" t="s">
        <v>37</v>
      </c>
      <c r="U109" s="283"/>
      <c r="V109" s="284"/>
      <c r="W109" s="284"/>
      <c r="X109" s="284"/>
      <c r="Y109" s="283">
        <v>1.1269828106433086</v>
      </c>
      <c r="Z109" s="284" t="s">
        <v>37</v>
      </c>
      <c r="AA109" s="283"/>
      <c r="AB109" s="284"/>
      <c r="AC109" s="284"/>
      <c r="AD109" s="284"/>
      <c r="AE109" s="285"/>
      <c r="AF109" s="287">
        <f t="shared" si="28"/>
        <v>3.1780538303479458</v>
      </c>
      <c r="AG109" s="287">
        <f t="shared" si="29"/>
        <v>3.4531571205928664</v>
      </c>
      <c r="AH109" s="288"/>
      <c r="AI109" s="288"/>
      <c r="AK109" s="286">
        <f t="shared" si="30"/>
        <v>35.38294862866907</v>
      </c>
      <c r="AL109" s="286">
        <f t="shared" si="31"/>
        <v>42.982948628669071</v>
      </c>
      <c r="AM109" s="287">
        <f t="shared" si="32"/>
        <v>3.5662300269397811</v>
      </c>
      <c r="AN109" s="287">
        <f t="shared" si="33"/>
        <v>3.7608034935300658</v>
      </c>
      <c r="AO109" s="288"/>
      <c r="AP109" s="288"/>
      <c r="AR109" s="286">
        <f t="shared" si="34"/>
        <v>488.56328870084343</v>
      </c>
      <c r="AS109" s="286">
        <f t="shared" si="35"/>
        <v>589.61499832485538</v>
      </c>
      <c r="AT109" s="287">
        <f t="shared" si="36"/>
        <v>6.1914690203087197</v>
      </c>
      <c r="AU109" s="287">
        <f t="shared" si="37"/>
        <v>6.379469778687362</v>
      </c>
      <c r="AV109" s="299"/>
      <c r="AW109" s="299"/>
      <c r="BD109" s="299"/>
      <c r="BE109" s="299"/>
    </row>
    <row r="110" spans="1:57" s="298" customFormat="1" x14ac:dyDescent="0.2">
      <c r="A110" s="290" t="s">
        <v>205</v>
      </c>
      <c r="B110" s="290" t="s">
        <v>35</v>
      </c>
      <c r="C110" s="291" t="s">
        <v>216</v>
      </c>
      <c r="D110" s="291" t="s">
        <v>384</v>
      </c>
      <c r="E110" s="292">
        <v>6.8</v>
      </c>
      <c r="F110" s="292">
        <f t="shared" si="24"/>
        <v>3.2931034482758621</v>
      </c>
      <c r="G110" s="293">
        <v>1.91</v>
      </c>
      <c r="H110" s="293">
        <v>4</v>
      </c>
      <c r="I110" s="296">
        <v>9</v>
      </c>
      <c r="J110" s="293">
        <v>3</v>
      </c>
      <c r="K110" s="294">
        <v>21</v>
      </c>
      <c r="L110" s="294">
        <v>21</v>
      </c>
      <c r="M110" s="295" t="s">
        <v>104</v>
      </c>
      <c r="N110" s="293">
        <f>O110-J110</f>
        <v>115.93</v>
      </c>
      <c r="O110" s="296">
        <v>118.93</v>
      </c>
      <c r="P110" s="297" t="s">
        <v>215</v>
      </c>
      <c r="Q110" s="297"/>
      <c r="R110" s="282">
        <f t="shared" si="25"/>
        <v>1.9198266822503527</v>
      </c>
      <c r="S110" s="283">
        <v>1.1298114754548121</v>
      </c>
      <c r="T110" s="284" t="s">
        <v>37</v>
      </c>
      <c r="U110" s="283"/>
      <c r="V110" s="284"/>
      <c r="W110" s="284"/>
      <c r="X110" s="284"/>
      <c r="Y110" s="283">
        <v>1.1269828106433086</v>
      </c>
      <c r="Z110" s="284" t="s">
        <v>37</v>
      </c>
      <c r="AA110" s="283"/>
      <c r="AB110" s="284"/>
      <c r="AC110" s="284"/>
      <c r="AD110" s="284"/>
      <c r="AE110" s="285"/>
      <c r="AF110" s="287">
        <f t="shared" si="28"/>
        <v>4.7529865606823103</v>
      </c>
      <c r="AG110" s="287">
        <f t="shared" si="29"/>
        <v>4.7785350847391541</v>
      </c>
      <c r="AH110" s="288"/>
      <c r="AI110" s="288"/>
      <c r="AK110" s="286">
        <f t="shared" si="30"/>
        <v>222.5655072732834</v>
      </c>
      <c r="AL110" s="286">
        <f t="shared" si="31"/>
        <v>225.5655072732834</v>
      </c>
      <c r="AM110" s="287">
        <f t="shared" si="32"/>
        <v>5.4052214729861747</v>
      </c>
      <c r="AN110" s="287">
        <f t="shared" si="33"/>
        <v>5.4186106146423496</v>
      </c>
      <c r="AO110" s="288"/>
      <c r="AP110" s="288"/>
      <c r="AR110" s="286">
        <f t="shared" si="34"/>
        <v>285.91468427874855</v>
      </c>
      <c r="AS110" s="286">
        <f t="shared" si="35"/>
        <v>289.58692306725038</v>
      </c>
      <c r="AT110" s="287">
        <f t="shared" si="36"/>
        <v>5.6556934595998909</v>
      </c>
      <c r="AU110" s="287">
        <f t="shared" si="37"/>
        <v>5.6684555043375147</v>
      </c>
      <c r="AV110" s="299"/>
      <c r="AW110" s="299"/>
      <c r="AX110" s="287">
        <f>GEOMEAN(AR110:AR112)</f>
        <v>295.86806907557462</v>
      </c>
      <c r="AY110" s="287">
        <f>GEOMEAN(AS110:AS112)</f>
        <v>305.48305318330995</v>
      </c>
      <c r="AZ110" s="287"/>
      <c r="BA110" s="287"/>
      <c r="BB110" s="287"/>
      <c r="BC110" s="287"/>
      <c r="BD110" s="288"/>
      <c r="BE110" s="288"/>
    </row>
    <row r="111" spans="1:57" s="298" customFormat="1" x14ac:dyDescent="0.2">
      <c r="A111" s="290" t="s">
        <v>205</v>
      </c>
      <c r="B111" s="290" t="s">
        <v>35</v>
      </c>
      <c r="C111" s="291" t="s">
        <v>216</v>
      </c>
      <c r="D111" s="291" t="s">
        <v>384</v>
      </c>
      <c r="E111" s="292">
        <v>5.01</v>
      </c>
      <c r="F111" s="292">
        <f t="shared" si="24"/>
        <v>5</v>
      </c>
      <c r="G111" s="293">
        <f>5*0.58</f>
        <v>2.9</v>
      </c>
      <c r="H111" s="293">
        <v>10</v>
      </c>
      <c r="I111" s="300">
        <f t="shared" ref="I111" si="40">(30+4.4*E111)*(0/100)+(-34.66+29.72*E111)*(F111/100)</f>
        <v>5.7118600000000006</v>
      </c>
      <c r="J111" s="293">
        <v>0.3</v>
      </c>
      <c r="K111" s="294">
        <v>28</v>
      </c>
      <c r="L111" s="294">
        <v>14</v>
      </c>
      <c r="M111" s="295" t="s">
        <v>104</v>
      </c>
      <c r="N111" s="293">
        <v>29</v>
      </c>
      <c r="O111" s="296">
        <f>N111+J111</f>
        <v>29.3</v>
      </c>
      <c r="P111" s="297" t="s">
        <v>209</v>
      </c>
      <c r="Q111" s="297"/>
      <c r="R111" s="282">
        <f t="shared" si="25"/>
        <v>1.201037326620962</v>
      </c>
      <c r="S111" s="283">
        <v>1.1298114754548121</v>
      </c>
      <c r="T111" s="284" t="s">
        <v>37</v>
      </c>
      <c r="U111" s="283"/>
      <c r="V111" s="284"/>
      <c r="W111" s="284"/>
      <c r="X111" s="284"/>
      <c r="Y111" s="283">
        <v>1.1269828106433086</v>
      </c>
      <c r="Z111" s="284" t="s">
        <v>37</v>
      </c>
      <c r="AA111" s="283"/>
      <c r="AB111" s="284"/>
      <c r="AC111" s="284"/>
      <c r="AD111" s="284"/>
      <c r="AE111" s="285"/>
      <c r="AF111" s="287">
        <f t="shared" si="28"/>
        <v>3.3672958299864741</v>
      </c>
      <c r="AG111" s="287">
        <f t="shared" si="29"/>
        <v>3.3775875160230218</v>
      </c>
      <c r="AH111" s="288"/>
      <c r="AI111" s="288"/>
      <c r="AK111" s="286">
        <f t="shared" si="30"/>
        <v>34.830082472007895</v>
      </c>
      <c r="AL111" s="286">
        <f t="shared" si="31"/>
        <v>35.130082472007892</v>
      </c>
      <c r="AM111" s="287">
        <f t="shared" si="32"/>
        <v>3.5504814522191461</v>
      </c>
      <c r="AN111" s="287">
        <f t="shared" si="33"/>
        <v>3.5590578138983187</v>
      </c>
      <c r="AO111" s="288"/>
      <c r="AP111" s="288"/>
      <c r="AR111" s="286">
        <f t="shared" si="34"/>
        <v>74.787889368528013</v>
      </c>
      <c r="AS111" s="286">
        <f t="shared" si="35"/>
        <v>75.287874518430613</v>
      </c>
      <c r="AT111" s="287">
        <f t="shared" si="36"/>
        <v>4.3146559650342438</v>
      </c>
      <c r="AU111" s="287">
        <f t="shared" si="37"/>
        <v>4.3213190928675864</v>
      </c>
      <c r="AV111" s="299"/>
      <c r="AW111" s="299"/>
      <c r="AX111" s="287"/>
      <c r="AY111" s="287"/>
      <c r="AZ111" s="287"/>
      <c r="BA111" s="287"/>
      <c r="BB111" s="287"/>
      <c r="BC111" s="287"/>
      <c r="BD111" s="288"/>
      <c r="BE111" s="288"/>
    </row>
    <row r="112" spans="1:57" s="298" customFormat="1" x14ac:dyDescent="0.2">
      <c r="A112" s="290" t="s">
        <v>205</v>
      </c>
      <c r="B112" s="290" t="s">
        <v>35</v>
      </c>
      <c r="C112" s="291" t="s">
        <v>216</v>
      </c>
      <c r="D112" s="291" t="s">
        <v>384</v>
      </c>
      <c r="E112" s="292">
        <v>6.32</v>
      </c>
      <c r="F112" s="292">
        <f t="shared" si="24"/>
        <v>0.1</v>
      </c>
      <c r="G112" s="293">
        <f>0.1*0.58</f>
        <v>5.7999999999999996E-2</v>
      </c>
      <c r="H112" s="293">
        <v>3.2</v>
      </c>
      <c r="I112" s="296">
        <v>1.1000000000000001</v>
      </c>
      <c r="J112" s="293">
        <v>7.6</v>
      </c>
      <c r="K112" s="294">
        <v>28</v>
      </c>
      <c r="L112" s="294">
        <v>14</v>
      </c>
      <c r="M112" s="295" t="s">
        <v>104</v>
      </c>
      <c r="N112" s="293">
        <v>59.5</v>
      </c>
      <c r="O112" s="296">
        <f>N112+J112</f>
        <v>67.099999999999994</v>
      </c>
      <c r="P112" s="297" t="s">
        <v>209</v>
      </c>
      <c r="Q112" s="297"/>
      <c r="R112" s="282">
        <f t="shared" si="25"/>
        <v>1.4742895261945446</v>
      </c>
      <c r="S112" s="283">
        <v>1.1298114754548121</v>
      </c>
      <c r="T112" s="284" t="s">
        <v>37</v>
      </c>
      <c r="U112" s="283"/>
      <c r="V112" s="284"/>
      <c r="W112" s="284"/>
      <c r="X112" s="284"/>
      <c r="Y112" s="283">
        <v>1.1269828106433086</v>
      </c>
      <c r="Z112" s="284" t="s">
        <v>37</v>
      </c>
      <c r="AA112" s="283"/>
      <c r="AB112" s="284"/>
      <c r="AC112" s="284"/>
      <c r="AD112" s="284"/>
      <c r="AE112" s="285"/>
      <c r="AF112" s="287">
        <f t="shared" si="28"/>
        <v>4.0859763125515842</v>
      </c>
      <c r="AG112" s="287">
        <f t="shared" si="29"/>
        <v>4.2061840439776361</v>
      </c>
      <c r="AH112" s="288"/>
      <c r="AI112" s="288"/>
      <c r="AK112" s="286">
        <f t="shared" si="30"/>
        <v>87.720226808575404</v>
      </c>
      <c r="AL112" s="286">
        <f t="shared" si="31"/>
        <v>95.320226808575399</v>
      </c>
      <c r="AM112" s="287">
        <f t="shared" si="32"/>
        <v>4.47415250914342</v>
      </c>
      <c r="AN112" s="287">
        <f t="shared" si="33"/>
        <v>4.5572420316714304</v>
      </c>
      <c r="AO112" s="288"/>
      <c r="AP112" s="288"/>
      <c r="AR112" s="286">
        <f t="shared" si="34"/>
        <v>1211.2298199041743</v>
      </c>
      <c r="AS112" s="286">
        <f t="shared" si="35"/>
        <v>1307.547228916186</v>
      </c>
      <c r="AT112" s="287">
        <f t="shared" si="36"/>
        <v>7.0993915025123577</v>
      </c>
      <c r="AU112" s="287">
        <f t="shared" si="37"/>
        <v>7.1759083168287265</v>
      </c>
      <c r="AV112" s="299"/>
      <c r="AW112" s="299"/>
      <c r="BD112" s="299"/>
      <c r="BE112" s="299"/>
    </row>
    <row r="113" spans="1:57" s="298" customFormat="1" x14ac:dyDescent="0.2">
      <c r="A113" s="290" t="s">
        <v>205</v>
      </c>
      <c r="B113" s="290" t="s">
        <v>35</v>
      </c>
      <c r="C113" s="291" t="s">
        <v>216</v>
      </c>
      <c r="D113" s="291" t="s">
        <v>316</v>
      </c>
      <c r="E113" s="292">
        <v>6.8</v>
      </c>
      <c r="F113" s="292">
        <f t="shared" si="24"/>
        <v>3.2931034482758621</v>
      </c>
      <c r="G113" s="293">
        <v>1.91</v>
      </c>
      <c r="H113" s="293">
        <v>4</v>
      </c>
      <c r="I113" s="296">
        <v>9</v>
      </c>
      <c r="J113" s="293">
        <v>3</v>
      </c>
      <c r="K113" s="294">
        <v>21</v>
      </c>
      <c r="L113" s="294">
        <v>21</v>
      </c>
      <c r="M113" s="295" t="s">
        <v>104</v>
      </c>
      <c r="N113" s="293">
        <f>O113-J113</f>
        <v>404.38</v>
      </c>
      <c r="O113" s="296">
        <v>407.38</v>
      </c>
      <c r="P113" s="297" t="s">
        <v>215</v>
      </c>
      <c r="Q113" s="297"/>
      <c r="R113" s="282">
        <f t="shared" si="25"/>
        <v>1.9198266822503527</v>
      </c>
      <c r="S113" s="283">
        <v>1.1298114754548121</v>
      </c>
      <c r="T113" s="284" t="s">
        <v>37</v>
      </c>
      <c r="U113" s="283"/>
      <c r="V113" s="284"/>
      <c r="W113" s="284"/>
      <c r="X113" s="284"/>
      <c r="Y113" s="283">
        <v>1.1269828106433086</v>
      </c>
      <c r="Z113" s="284" t="s">
        <v>37</v>
      </c>
      <c r="AA113" s="283"/>
      <c r="AB113" s="284"/>
      <c r="AC113" s="284"/>
      <c r="AD113" s="284"/>
      <c r="AE113" s="285"/>
      <c r="AF113" s="287">
        <f t="shared" si="28"/>
        <v>6.0023550299391548</v>
      </c>
      <c r="AG113" s="287">
        <f t="shared" si="29"/>
        <v>6.0097464107859944</v>
      </c>
      <c r="AH113" s="288"/>
      <c r="AI113" s="288"/>
      <c r="AK113" s="286">
        <f t="shared" si="30"/>
        <v>776.33951376839764</v>
      </c>
      <c r="AL113" s="286">
        <f t="shared" si="31"/>
        <v>779.33951376839764</v>
      </c>
      <c r="AM113" s="287">
        <f t="shared" si="32"/>
        <v>6.6545899422430193</v>
      </c>
      <c r="AN113" s="287">
        <f t="shared" si="33"/>
        <v>6.658446783745287</v>
      </c>
      <c r="AO113" s="288"/>
      <c r="AP113" s="288"/>
      <c r="AR113" s="286">
        <f t="shared" si="34"/>
        <v>997.31027368791797</v>
      </c>
      <c r="AS113" s="286">
        <f t="shared" si="35"/>
        <v>1000.5365383435477</v>
      </c>
      <c r="AT113" s="287">
        <f t="shared" si="36"/>
        <v>6.9050619288567354</v>
      </c>
      <c r="AU113" s="287">
        <f t="shared" si="37"/>
        <v>6.908291673440452</v>
      </c>
      <c r="AV113" s="299"/>
      <c r="AW113" s="299"/>
      <c r="AX113" s="287">
        <f>GEOMEAN(AR113:AR115)</f>
        <v>595.68214284951159</v>
      </c>
      <c r="AY113" s="287">
        <f>GEOMEAN(AS113:AS115)</f>
        <v>608.91767999487638</v>
      </c>
      <c r="AZ113" s="287"/>
      <c r="BA113" s="287"/>
      <c r="BB113" s="287"/>
      <c r="BC113" s="287"/>
      <c r="BD113" s="288"/>
      <c r="BE113" s="288"/>
    </row>
    <row r="114" spans="1:57" s="298" customFormat="1" x14ac:dyDescent="0.2">
      <c r="A114" s="290" t="s">
        <v>205</v>
      </c>
      <c r="B114" s="290" t="s">
        <v>35</v>
      </c>
      <c r="C114" s="291" t="s">
        <v>216</v>
      </c>
      <c r="D114" s="291" t="s">
        <v>316</v>
      </c>
      <c r="E114" s="292">
        <v>5.01</v>
      </c>
      <c r="F114" s="292">
        <f t="shared" si="24"/>
        <v>5</v>
      </c>
      <c r="G114" s="293">
        <f>5*0.58</f>
        <v>2.9</v>
      </c>
      <c r="H114" s="293">
        <v>10</v>
      </c>
      <c r="I114" s="300">
        <f t="shared" ref="I114" si="41">(30+4.4*E114)*(0/100)+(-34.66+29.72*E114)*(F114/100)</f>
        <v>5.7118600000000006</v>
      </c>
      <c r="J114" s="293">
        <v>0.3</v>
      </c>
      <c r="K114" s="294">
        <v>28</v>
      </c>
      <c r="L114" s="294">
        <v>14</v>
      </c>
      <c r="M114" s="295" t="s">
        <v>104</v>
      </c>
      <c r="N114" s="293">
        <v>53.9</v>
      </c>
      <c r="O114" s="296">
        <f>N114+J114</f>
        <v>54.199999999999996</v>
      </c>
      <c r="P114" s="297" t="s">
        <v>209</v>
      </c>
      <c r="Q114" s="297"/>
      <c r="R114" s="282">
        <f t="shared" si="25"/>
        <v>1.201037326620962</v>
      </c>
      <c r="S114" s="283">
        <v>1.1298114754548121</v>
      </c>
      <c r="T114" s="284" t="s">
        <v>37</v>
      </c>
      <c r="U114" s="283"/>
      <c r="V114" s="284"/>
      <c r="W114" s="284"/>
      <c r="X114" s="284"/>
      <c r="Y114" s="283">
        <v>1.1269828106433086</v>
      </c>
      <c r="Z114" s="284" t="s">
        <v>37</v>
      </c>
      <c r="AA114" s="283"/>
      <c r="AB114" s="284"/>
      <c r="AC114" s="284"/>
      <c r="AD114" s="284"/>
      <c r="AE114" s="285"/>
      <c r="AF114" s="287">
        <f t="shared" si="28"/>
        <v>3.9871304779149512</v>
      </c>
      <c r="AG114" s="287">
        <f t="shared" si="29"/>
        <v>3.9926809084456005</v>
      </c>
      <c r="AH114" s="288"/>
      <c r="AI114" s="288"/>
      <c r="AK114" s="286">
        <f t="shared" si="30"/>
        <v>64.735911904869852</v>
      </c>
      <c r="AL114" s="286">
        <f t="shared" si="31"/>
        <v>65.035911904869849</v>
      </c>
      <c r="AM114" s="287">
        <f t="shared" si="32"/>
        <v>4.1703161001476232</v>
      </c>
      <c r="AN114" s="287">
        <f t="shared" si="33"/>
        <v>4.174939608172914</v>
      </c>
      <c r="AO114" s="288"/>
      <c r="AP114" s="288"/>
      <c r="AR114" s="286">
        <f t="shared" si="34"/>
        <v>139.00231851598826</v>
      </c>
      <c r="AS114" s="286">
        <f t="shared" si="35"/>
        <v>139.37956389903374</v>
      </c>
      <c r="AT114" s="287">
        <f t="shared" si="36"/>
        <v>4.9344906129627208</v>
      </c>
      <c r="AU114" s="287">
        <f t="shared" si="37"/>
        <v>4.9372008871421817</v>
      </c>
      <c r="AV114" s="299"/>
      <c r="AW114" s="299"/>
      <c r="AX114" s="287"/>
      <c r="AY114" s="287"/>
      <c r="AZ114" s="287"/>
      <c r="BA114" s="287"/>
      <c r="BB114" s="287"/>
      <c r="BC114" s="287"/>
      <c r="BD114" s="288"/>
      <c r="BE114" s="288"/>
    </row>
    <row r="115" spans="1:57" s="298" customFormat="1" x14ac:dyDescent="0.2">
      <c r="A115" s="290" t="s">
        <v>205</v>
      </c>
      <c r="B115" s="290" t="s">
        <v>35</v>
      </c>
      <c r="C115" s="291" t="s">
        <v>216</v>
      </c>
      <c r="D115" s="291" t="s">
        <v>316</v>
      </c>
      <c r="E115" s="292">
        <v>6.32</v>
      </c>
      <c r="F115" s="292">
        <f t="shared" si="24"/>
        <v>0.1</v>
      </c>
      <c r="G115" s="293">
        <f>0.1*0.58</f>
        <v>5.7999999999999996E-2</v>
      </c>
      <c r="H115" s="293">
        <v>3.2</v>
      </c>
      <c r="I115" s="296">
        <v>1.1000000000000001</v>
      </c>
      <c r="J115" s="293">
        <v>7.6</v>
      </c>
      <c r="K115" s="294">
        <v>28</v>
      </c>
      <c r="L115" s="294">
        <v>14</v>
      </c>
      <c r="M115" s="295" t="s">
        <v>104</v>
      </c>
      <c r="N115" s="293">
        <v>74.900000000000006</v>
      </c>
      <c r="O115" s="296">
        <f>N115+J115</f>
        <v>82.5</v>
      </c>
      <c r="P115" s="297" t="s">
        <v>209</v>
      </c>
      <c r="Q115" s="297"/>
      <c r="R115" s="282">
        <f t="shared" si="25"/>
        <v>1.4742895261945446</v>
      </c>
      <c r="S115" s="283">
        <v>1.1298114754548121</v>
      </c>
      <c r="T115" s="284" t="s">
        <v>37</v>
      </c>
      <c r="U115" s="283"/>
      <c r="V115" s="284"/>
      <c r="W115" s="284"/>
      <c r="X115" s="284"/>
      <c r="Y115" s="283">
        <v>1.1269828106433086</v>
      </c>
      <c r="Z115" s="284" t="s">
        <v>37</v>
      </c>
      <c r="AA115" s="283"/>
      <c r="AB115" s="284"/>
      <c r="AC115" s="284"/>
      <c r="AD115" s="284"/>
      <c r="AE115" s="285"/>
      <c r="AF115" s="287">
        <f t="shared" si="28"/>
        <v>4.3161538905231742</v>
      </c>
      <c r="AG115" s="287">
        <f t="shared" si="29"/>
        <v>4.4127982933406349</v>
      </c>
      <c r="AH115" s="288"/>
      <c r="AI115" s="288"/>
      <c r="AK115" s="286">
        <f t="shared" si="30"/>
        <v>110.42428551197139</v>
      </c>
      <c r="AL115" s="286">
        <f t="shared" si="31"/>
        <v>118.02428551197139</v>
      </c>
      <c r="AM115" s="287">
        <f t="shared" si="32"/>
        <v>4.7043300871150091</v>
      </c>
      <c r="AN115" s="287">
        <f t="shared" si="33"/>
        <v>4.7708904127132969</v>
      </c>
      <c r="AO115" s="288"/>
      <c r="AP115" s="288"/>
      <c r="AR115" s="286">
        <f t="shared" si="34"/>
        <v>1524.7245968205489</v>
      </c>
      <c r="AS115" s="286">
        <f t="shared" si="35"/>
        <v>1618.9882528910166</v>
      </c>
      <c r="AT115" s="287">
        <f t="shared" si="36"/>
        <v>7.3295690804839477</v>
      </c>
      <c r="AU115" s="287">
        <f t="shared" si="37"/>
        <v>7.3895566978705931</v>
      </c>
      <c r="AV115" s="299"/>
      <c r="AW115" s="299"/>
      <c r="BD115" s="299"/>
      <c r="BE115" s="299"/>
    </row>
    <row r="116" spans="1:57" s="298" customFormat="1" x14ac:dyDescent="0.2">
      <c r="A116" s="290" t="s">
        <v>205</v>
      </c>
      <c r="B116" s="290" t="s">
        <v>35</v>
      </c>
      <c r="C116" s="291" t="s">
        <v>216</v>
      </c>
      <c r="D116" s="291" t="s">
        <v>312</v>
      </c>
      <c r="E116" s="292">
        <v>6.8</v>
      </c>
      <c r="F116" s="292">
        <f t="shared" si="24"/>
        <v>3.2931034482758621</v>
      </c>
      <c r="G116" s="293">
        <v>1.91</v>
      </c>
      <c r="H116" s="293">
        <v>4</v>
      </c>
      <c r="I116" s="296">
        <v>9</v>
      </c>
      <c r="J116" s="293">
        <v>3</v>
      </c>
      <c r="K116" s="294">
        <v>21</v>
      </c>
      <c r="L116" s="294">
        <v>21</v>
      </c>
      <c r="M116" s="295" t="s">
        <v>104</v>
      </c>
      <c r="N116" s="293">
        <f>O116-J116</f>
        <v>449.9</v>
      </c>
      <c r="O116" s="296">
        <v>452.9</v>
      </c>
      <c r="P116" s="297" t="s">
        <v>215</v>
      </c>
      <c r="Q116" s="297"/>
      <c r="R116" s="282">
        <f t="shared" si="25"/>
        <v>1.9198266822503527</v>
      </c>
      <c r="S116" s="283">
        <v>1.1298114754548121</v>
      </c>
      <c r="T116" s="284" t="s">
        <v>37</v>
      </c>
      <c r="U116" s="283"/>
      <c r="V116" s="284"/>
      <c r="W116" s="284"/>
      <c r="X116" s="284"/>
      <c r="Y116" s="283">
        <v>1.1269828106433086</v>
      </c>
      <c r="Z116" s="284" t="s">
        <v>37</v>
      </c>
      <c r="AA116" s="283"/>
      <c r="AB116" s="284"/>
      <c r="AC116" s="284"/>
      <c r="AD116" s="284"/>
      <c r="AE116" s="285"/>
      <c r="AF116" s="287">
        <f t="shared" si="28"/>
        <v>6.1090253358471269</v>
      </c>
      <c r="AG116" s="287">
        <f t="shared" si="29"/>
        <v>6.1156713505621685</v>
      </c>
      <c r="AH116" s="288"/>
      <c r="AI116" s="288"/>
      <c r="AK116" s="286">
        <f t="shared" si="30"/>
        <v>863.73002434443367</v>
      </c>
      <c r="AL116" s="286">
        <f t="shared" si="31"/>
        <v>866.73002434443367</v>
      </c>
      <c r="AM116" s="287">
        <f t="shared" si="32"/>
        <v>6.7612602481509914</v>
      </c>
      <c r="AN116" s="287">
        <f t="shared" si="33"/>
        <v>6.7647275376822309</v>
      </c>
      <c r="AO116" s="288"/>
      <c r="AP116" s="288"/>
      <c r="AR116" s="286">
        <f t="shared" si="34"/>
        <v>1109.574885336056</v>
      </c>
      <c r="AS116" s="286">
        <f t="shared" si="35"/>
        <v>1112.7307712691052</v>
      </c>
      <c r="AT116" s="287">
        <f t="shared" si="36"/>
        <v>7.0117322347647075</v>
      </c>
      <c r="AU116" s="287">
        <f t="shared" si="37"/>
        <v>7.0145724273773959</v>
      </c>
      <c r="AV116" s="299"/>
      <c r="AW116" s="299"/>
      <c r="AX116" s="287">
        <f>GEOMEAN(AR116:AR118)</f>
        <v>255.78694245306116</v>
      </c>
      <c r="AY116" s="287">
        <f>GEOMEAN(AS116:AS118)</f>
        <v>270.27308488726254</v>
      </c>
      <c r="AZ116" s="287"/>
      <c r="BA116" s="287"/>
      <c r="BB116" s="287"/>
      <c r="BC116" s="287"/>
      <c r="BD116" s="288"/>
      <c r="BE116" s="288"/>
    </row>
    <row r="117" spans="1:57" s="298" customFormat="1" x14ac:dyDescent="0.2">
      <c r="A117" s="290" t="s">
        <v>205</v>
      </c>
      <c r="B117" s="290" t="s">
        <v>35</v>
      </c>
      <c r="C117" s="291" t="s">
        <v>216</v>
      </c>
      <c r="D117" s="291" t="s">
        <v>312</v>
      </c>
      <c r="E117" s="292">
        <v>5.01</v>
      </c>
      <c r="F117" s="292">
        <f t="shared" si="24"/>
        <v>5</v>
      </c>
      <c r="G117" s="293">
        <f>5*0.58</f>
        <v>2.9</v>
      </c>
      <c r="H117" s="293">
        <v>10</v>
      </c>
      <c r="I117" s="300">
        <f t="shared" ref="I117" si="42">(30+4.4*E117)*(0/100)+(-34.66+29.72*E117)*(F117/100)</f>
        <v>5.7118600000000006</v>
      </c>
      <c r="J117" s="293">
        <v>0.3</v>
      </c>
      <c r="K117" s="294">
        <v>28</v>
      </c>
      <c r="L117" s="294">
        <v>14</v>
      </c>
      <c r="M117" s="295" t="s">
        <v>104</v>
      </c>
      <c r="N117" s="293">
        <v>8.5</v>
      </c>
      <c r="O117" s="296">
        <f>N117+J117</f>
        <v>8.8000000000000007</v>
      </c>
      <c r="P117" s="297" t="s">
        <v>209</v>
      </c>
      <c r="Q117" s="297"/>
      <c r="R117" s="282">
        <f t="shared" si="25"/>
        <v>1.201037326620962</v>
      </c>
      <c r="S117" s="283">
        <v>1.1298114754548121</v>
      </c>
      <c r="T117" s="284" t="s">
        <v>37</v>
      </c>
      <c r="U117" s="283"/>
      <c r="V117" s="284"/>
      <c r="W117" s="284"/>
      <c r="X117" s="284"/>
      <c r="Y117" s="283">
        <v>1.1269828106433086</v>
      </c>
      <c r="Z117" s="284" t="s">
        <v>37</v>
      </c>
      <c r="AA117" s="283"/>
      <c r="AB117" s="284"/>
      <c r="AC117" s="284"/>
      <c r="AD117" s="284"/>
      <c r="AE117" s="285"/>
      <c r="AF117" s="287">
        <f t="shared" si="28"/>
        <v>2.1400661634962708</v>
      </c>
      <c r="AG117" s="287">
        <f t="shared" si="29"/>
        <v>2.174751721484161</v>
      </c>
      <c r="AH117" s="288"/>
      <c r="AI117" s="288"/>
      <c r="AK117" s="286">
        <f t="shared" si="30"/>
        <v>10.208817276278177</v>
      </c>
      <c r="AL117" s="286">
        <f t="shared" si="31"/>
        <v>10.508817276278178</v>
      </c>
      <c r="AM117" s="287">
        <f t="shared" si="32"/>
        <v>2.3232517857289428</v>
      </c>
      <c r="AN117" s="287">
        <f t="shared" si="33"/>
        <v>2.3522146453765242</v>
      </c>
      <c r="AO117" s="288"/>
      <c r="AP117" s="288"/>
      <c r="AR117" s="286">
        <f t="shared" si="34"/>
        <v>21.920588263189245</v>
      </c>
      <c r="AS117" s="286">
        <f t="shared" si="35"/>
        <v>22.521624225163006</v>
      </c>
      <c r="AT117" s="287">
        <f t="shared" si="36"/>
        <v>3.0874262985440404</v>
      </c>
      <c r="AU117" s="287">
        <f t="shared" si="37"/>
        <v>3.1144759243457916</v>
      </c>
      <c r="AV117" s="299"/>
      <c r="AW117" s="299"/>
      <c r="BD117" s="299"/>
      <c r="BE117" s="299"/>
    </row>
    <row r="118" spans="1:57" s="298" customFormat="1" x14ac:dyDescent="0.2">
      <c r="A118" s="290" t="s">
        <v>205</v>
      </c>
      <c r="B118" s="290" t="s">
        <v>35</v>
      </c>
      <c r="C118" s="291" t="s">
        <v>216</v>
      </c>
      <c r="D118" s="291" t="s">
        <v>312</v>
      </c>
      <c r="E118" s="292">
        <v>6.32</v>
      </c>
      <c r="F118" s="292">
        <f t="shared" si="24"/>
        <v>0.1</v>
      </c>
      <c r="G118" s="293">
        <f>0.1*0.58</f>
        <v>5.7999999999999996E-2</v>
      </c>
      <c r="H118" s="293">
        <v>3.2</v>
      </c>
      <c r="I118" s="296">
        <v>1.1000000000000001</v>
      </c>
      <c r="J118" s="293">
        <v>7.6</v>
      </c>
      <c r="K118" s="294">
        <v>28</v>
      </c>
      <c r="L118" s="294">
        <v>14</v>
      </c>
      <c r="M118" s="295" t="s">
        <v>104</v>
      </c>
      <c r="N118" s="293">
        <v>33.799999999999997</v>
      </c>
      <c r="O118" s="296">
        <f>N118+J118</f>
        <v>41.4</v>
      </c>
      <c r="P118" s="297" t="s">
        <v>209</v>
      </c>
      <c r="Q118" s="297"/>
      <c r="R118" s="282">
        <f t="shared" si="25"/>
        <v>1.4742895261945446</v>
      </c>
      <c r="S118" s="283">
        <v>1.1298114754548121</v>
      </c>
      <c r="T118" s="284" t="s">
        <v>37</v>
      </c>
      <c r="U118" s="283"/>
      <c r="V118" s="284"/>
      <c r="W118" s="284"/>
      <c r="X118" s="284"/>
      <c r="Y118" s="283">
        <v>1.1269828106433086</v>
      </c>
      <c r="Z118" s="284" t="s">
        <v>37</v>
      </c>
      <c r="AA118" s="283"/>
      <c r="AB118" s="284"/>
      <c r="AC118" s="284"/>
      <c r="AD118" s="284"/>
      <c r="AE118" s="285"/>
      <c r="AF118" s="287">
        <f t="shared" si="28"/>
        <v>3.520460802488973</v>
      </c>
      <c r="AG118" s="287">
        <f t="shared" si="29"/>
        <v>3.7232808808312687</v>
      </c>
      <c r="AH118" s="288"/>
      <c r="AI118" s="288"/>
      <c r="AK118" s="286">
        <f t="shared" si="30"/>
        <v>49.830985985375605</v>
      </c>
      <c r="AL118" s="286">
        <f t="shared" si="31"/>
        <v>57.430985985375607</v>
      </c>
      <c r="AM118" s="287">
        <f t="shared" si="32"/>
        <v>3.9086369990808087</v>
      </c>
      <c r="AN118" s="287">
        <f t="shared" si="33"/>
        <v>4.0505839832013271</v>
      </c>
      <c r="AO118" s="288"/>
      <c r="AP118" s="288"/>
      <c r="AR118" s="286">
        <f t="shared" si="34"/>
        <v>688.05996492035445</v>
      </c>
      <c r="AS118" s="286">
        <f t="shared" si="35"/>
        <v>787.80474085429307</v>
      </c>
      <c r="AT118" s="287">
        <f t="shared" si="36"/>
        <v>6.5338759924497474</v>
      </c>
      <c r="AU118" s="287">
        <f t="shared" si="37"/>
        <v>6.6692502683586232</v>
      </c>
      <c r="AV118" s="299"/>
      <c r="AW118" s="299"/>
      <c r="BD118" s="299"/>
      <c r="BE118" s="299"/>
    </row>
    <row r="119" spans="1:57" s="298" customFormat="1" x14ac:dyDescent="0.2">
      <c r="A119" s="290" t="s">
        <v>205</v>
      </c>
      <c r="B119" s="290" t="s">
        <v>35</v>
      </c>
      <c r="C119" s="291" t="s">
        <v>216</v>
      </c>
      <c r="D119" s="291" t="s">
        <v>383</v>
      </c>
      <c r="E119" s="292">
        <v>5.01</v>
      </c>
      <c r="F119" s="292">
        <f t="shared" si="24"/>
        <v>5</v>
      </c>
      <c r="G119" s="293">
        <f>5*0.58</f>
        <v>2.9</v>
      </c>
      <c r="H119" s="293">
        <v>10</v>
      </c>
      <c r="I119" s="300">
        <f t="shared" ref="I119" si="43">(30+4.4*E119)*(0/100)+(-34.66+29.72*E119)*(F119/100)</f>
        <v>5.7118600000000006</v>
      </c>
      <c r="J119" s="293">
        <v>0.3</v>
      </c>
      <c r="K119" s="294">
        <v>28</v>
      </c>
      <c r="L119" s="294">
        <v>14</v>
      </c>
      <c r="M119" s="295" t="s">
        <v>104</v>
      </c>
      <c r="N119" s="293">
        <v>9.1</v>
      </c>
      <c r="O119" s="296">
        <f>N119+J119</f>
        <v>9.4</v>
      </c>
      <c r="P119" s="297" t="s">
        <v>209</v>
      </c>
      <c r="Q119" s="297"/>
      <c r="R119" s="282">
        <f t="shared" si="25"/>
        <v>1.201037326620962</v>
      </c>
      <c r="S119" s="283">
        <v>1.1298114754548121</v>
      </c>
      <c r="T119" s="284" t="s">
        <v>37</v>
      </c>
      <c r="U119" s="283"/>
      <c r="V119" s="284"/>
      <c r="W119" s="284"/>
      <c r="X119" s="284"/>
      <c r="Y119" s="283">
        <v>1.1269828106433086</v>
      </c>
      <c r="Z119" s="284" t="s">
        <v>37</v>
      </c>
      <c r="AA119" s="283"/>
      <c r="AB119" s="284"/>
      <c r="AC119" s="284"/>
      <c r="AD119" s="284"/>
      <c r="AE119" s="285"/>
      <c r="AF119" s="287">
        <f t="shared" ref="AF119:AF150" si="44">LN(N119)</f>
        <v>2.2082744135228043</v>
      </c>
      <c r="AG119" s="287">
        <f t="shared" ref="AG119:AG150" si="45">LN(O119)</f>
        <v>2.2407096892759584</v>
      </c>
      <c r="AH119" s="288"/>
      <c r="AI119" s="288"/>
      <c r="AK119" s="286">
        <f t="shared" ref="AK119:AK150" si="46">N119*R119</f>
        <v>10.929439672250753</v>
      </c>
      <c r="AL119" s="286">
        <f t="shared" ref="AL119:AL150" si="47">AK119+J119</f>
        <v>11.229439672250754</v>
      </c>
      <c r="AM119" s="287">
        <f t="shared" ref="AM119:AM150" si="48">LN(AK119)</f>
        <v>2.3914600357554763</v>
      </c>
      <c r="AN119" s="287">
        <f t="shared" ref="AN119:AN150" si="49">LN(AL119)</f>
        <v>2.4185388718911658</v>
      </c>
      <c r="AO119" s="288"/>
      <c r="AP119" s="288"/>
      <c r="AR119" s="286">
        <f t="shared" ref="AR119:AR150" si="50">AK119*(eCEC/$I119)^$S119</f>
        <v>23.467923905296718</v>
      </c>
      <c r="AS119" s="286">
        <f t="shared" ref="AS119:AS150" si="51">AL119*(eCEC/$I119)^$Y119</f>
        <v>24.066002282526934</v>
      </c>
      <c r="AT119" s="287">
        <f t="shared" ref="AT119:AT150" si="52">LN(AR119)</f>
        <v>3.1556345485705739</v>
      </c>
      <c r="AU119" s="287">
        <f t="shared" ref="AU119:AU150" si="53">LN(AS119)</f>
        <v>3.1808001508604331</v>
      </c>
      <c r="AV119" s="299"/>
      <c r="AW119" s="299"/>
      <c r="AX119" s="287">
        <f>GEOMEAN(AR119:AR120)</f>
        <v>128.78995405509909</v>
      </c>
      <c r="AY119" s="287">
        <f>GEOMEAN(AS119:AS120)</f>
        <v>139.30926862740799</v>
      </c>
      <c r="AZ119" s="287"/>
      <c r="BA119" s="287"/>
      <c r="BB119" s="287"/>
      <c r="BC119" s="287"/>
      <c r="BD119" s="288"/>
      <c r="BE119" s="288"/>
    </row>
    <row r="120" spans="1:57" s="336" customFormat="1" x14ac:dyDescent="0.2">
      <c r="A120" s="326" t="s">
        <v>205</v>
      </c>
      <c r="B120" s="326" t="s">
        <v>35</v>
      </c>
      <c r="C120" s="327" t="s">
        <v>216</v>
      </c>
      <c r="D120" s="327" t="s">
        <v>383</v>
      </c>
      <c r="E120" s="328">
        <v>6.32</v>
      </c>
      <c r="F120" s="328">
        <f t="shared" ref="F120:F181" si="54">G120/0.58</f>
        <v>0.1</v>
      </c>
      <c r="G120" s="318">
        <f>0.1*0.58</f>
        <v>5.7999999999999996E-2</v>
      </c>
      <c r="H120" s="318">
        <v>3.2</v>
      </c>
      <c r="I120" s="330">
        <v>1.1000000000000001</v>
      </c>
      <c r="J120" s="318">
        <v>7.6</v>
      </c>
      <c r="K120" s="329">
        <v>28</v>
      </c>
      <c r="L120" s="329">
        <v>14</v>
      </c>
      <c r="M120" s="231" t="s">
        <v>104</v>
      </c>
      <c r="N120" s="318">
        <v>34.72</v>
      </c>
      <c r="O120" s="330">
        <f>N120+J120</f>
        <v>42.32</v>
      </c>
      <c r="P120" s="331" t="s">
        <v>209</v>
      </c>
      <c r="Q120" s="331"/>
      <c r="R120" s="316">
        <f t="shared" ref="R120:R183" si="55">(84.1-(59.1/(10^(6.06-E120)+1))*(15^(0.00097/15))-3.64*LN(15))/(84.1-(59.1/(10^(6.06-E120)+1))*(365^(0.00097/365))-3.64*LN(365))</f>
        <v>1.4742895261945446</v>
      </c>
      <c r="S120" s="332">
        <v>1.1298114754548121</v>
      </c>
      <c r="T120" s="333" t="s">
        <v>37</v>
      </c>
      <c r="U120" s="332"/>
      <c r="V120" s="333"/>
      <c r="W120" s="333"/>
      <c r="X120" s="333"/>
      <c r="Y120" s="332">
        <v>1.1269828106433086</v>
      </c>
      <c r="Z120" s="333" t="s">
        <v>37</v>
      </c>
      <c r="AA120" s="332"/>
      <c r="AB120" s="333"/>
      <c r="AC120" s="333"/>
      <c r="AD120" s="333"/>
      <c r="AE120" s="163"/>
      <c r="AF120" s="334">
        <f t="shared" si="44"/>
        <v>3.5473158897921495</v>
      </c>
      <c r="AG120" s="334">
        <f t="shared" si="45"/>
        <v>3.7452597875500437</v>
      </c>
      <c r="AH120" s="335"/>
      <c r="AI120" s="335"/>
      <c r="AK120" s="337">
        <f t="shared" si="46"/>
        <v>51.187332349474588</v>
      </c>
      <c r="AL120" s="337">
        <f t="shared" si="47"/>
        <v>58.787332349474589</v>
      </c>
      <c r="AM120" s="334">
        <f t="shared" si="48"/>
        <v>3.9354920863839848</v>
      </c>
      <c r="AN120" s="334">
        <f t="shared" si="49"/>
        <v>4.0739263954614371</v>
      </c>
      <c r="AO120" s="335"/>
      <c r="AP120" s="335"/>
      <c r="AR120" s="337">
        <f t="shared" si="50"/>
        <v>706.78822432055347</v>
      </c>
      <c r="AS120" s="337">
        <f t="shared" si="51"/>
        <v>806.41030852032202</v>
      </c>
      <c r="AT120" s="334">
        <f t="shared" si="52"/>
        <v>6.5607310797529239</v>
      </c>
      <c r="AU120" s="334">
        <f t="shared" si="53"/>
        <v>6.6925926806187332</v>
      </c>
      <c r="AV120" s="338"/>
      <c r="AW120" s="338"/>
      <c r="BD120" s="338"/>
      <c r="BE120" s="338"/>
    </row>
    <row r="121" spans="1:57" s="298" customFormat="1" x14ac:dyDescent="0.2">
      <c r="A121" s="290" t="s">
        <v>205</v>
      </c>
      <c r="B121" s="290" t="s">
        <v>35</v>
      </c>
      <c r="C121" s="291" t="s">
        <v>217</v>
      </c>
      <c r="D121" s="291" t="s">
        <v>319</v>
      </c>
      <c r="E121" s="292">
        <v>6.8</v>
      </c>
      <c r="F121" s="292">
        <f t="shared" si="54"/>
        <v>3.2931034482758621</v>
      </c>
      <c r="G121" s="293">
        <v>1.91</v>
      </c>
      <c r="H121" s="293">
        <v>4</v>
      </c>
      <c r="I121" s="296">
        <v>9</v>
      </c>
      <c r="J121" s="293">
        <v>3</v>
      </c>
      <c r="K121" s="294">
        <v>21</v>
      </c>
      <c r="L121" s="294">
        <v>21</v>
      </c>
      <c r="M121" s="295" t="s">
        <v>104</v>
      </c>
      <c r="N121" s="293">
        <f t="shared" ref="N121:N127" si="56">O121-J121</f>
        <v>90.05</v>
      </c>
      <c r="O121" s="296">
        <v>93.05</v>
      </c>
      <c r="P121" s="297" t="s">
        <v>215</v>
      </c>
      <c r="Q121" s="297"/>
      <c r="R121" s="282">
        <f t="shared" si="55"/>
        <v>1.9198266822503527</v>
      </c>
      <c r="S121" s="283">
        <v>1.1298114754548121</v>
      </c>
      <c r="T121" s="284" t="s">
        <v>37</v>
      </c>
      <c r="U121" s="283"/>
      <c r="V121" s="284"/>
      <c r="W121" s="284"/>
      <c r="X121" s="284"/>
      <c r="Y121" s="283">
        <v>1.1269828106433086</v>
      </c>
      <c r="Z121" s="284" t="s">
        <v>37</v>
      </c>
      <c r="AA121" s="283"/>
      <c r="AB121" s="284"/>
      <c r="AC121" s="284"/>
      <c r="AD121" s="284"/>
      <c r="AE121" s="285"/>
      <c r="AF121" s="287">
        <f t="shared" si="44"/>
        <v>4.5003650716219648</v>
      </c>
      <c r="AG121" s="287">
        <f t="shared" si="45"/>
        <v>4.5331369830882595</v>
      </c>
      <c r="AH121" s="288"/>
      <c r="AI121" s="288"/>
      <c r="AK121" s="286">
        <f t="shared" si="46"/>
        <v>172.88039273664427</v>
      </c>
      <c r="AL121" s="286">
        <f t="shared" si="47"/>
        <v>175.88039273664427</v>
      </c>
      <c r="AM121" s="287">
        <f t="shared" si="48"/>
        <v>5.1525999839258292</v>
      </c>
      <c r="AN121" s="287">
        <f t="shared" si="49"/>
        <v>5.1698041772908088</v>
      </c>
      <c r="AO121" s="288"/>
      <c r="AP121" s="288"/>
      <c r="AR121" s="286">
        <f t="shared" si="50"/>
        <v>222.08761596913058</v>
      </c>
      <c r="AS121" s="286">
        <f t="shared" si="51"/>
        <v>225.79986796809777</v>
      </c>
      <c r="AT121" s="287">
        <f t="shared" si="52"/>
        <v>5.4030719705395462</v>
      </c>
      <c r="AU121" s="287">
        <f t="shared" si="53"/>
        <v>5.4196490669859747</v>
      </c>
      <c r="AV121" s="299"/>
      <c r="AW121" s="299"/>
      <c r="AX121" s="287">
        <f t="shared" ref="AX121:AY127" si="57">GEOMEAN(AR121)</f>
        <v>222.08761596913058</v>
      </c>
      <c r="AY121" s="287">
        <f t="shared" si="57"/>
        <v>225.79986796809777</v>
      </c>
      <c r="AZ121" s="287">
        <f>MIN(AX121:AX123)</f>
        <v>222.08761596913058</v>
      </c>
      <c r="BA121" s="287">
        <f>MIN(AY121:AY123)</f>
        <v>225.79986796809777</v>
      </c>
      <c r="BB121" s="287">
        <f>LN(AZ121)</f>
        <v>5.4030719705395462</v>
      </c>
      <c r="BC121" s="287">
        <f>LN(BA121)</f>
        <v>5.4196490669859747</v>
      </c>
      <c r="BD121" s="288"/>
      <c r="BE121" s="288"/>
    </row>
    <row r="122" spans="1:57" s="298" customFormat="1" x14ac:dyDescent="0.2">
      <c r="A122" s="290" t="s">
        <v>205</v>
      </c>
      <c r="B122" s="290" t="s">
        <v>35</v>
      </c>
      <c r="C122" s="291" t="s">
        <v>217</v>
      </c>
      <c r="D122" s="291" t="s">
        <v>384</v>
      </c>
      <c r="E122" s="292">
        <v>6.8</v>
      </c>
      <c r="F122" s="292">
        <f t="shared" si="54"/>
        <v>3.2931034482758621</v>
      </c>
      <c r="G122" s="293">
        <v>1.91</v>
      </c>
      <c r="H122" s="293">
        <v>4</v>
      </c>
      <c r="I122" s="296">
        <v>9</v>
      </c>
      <c r="J122" s="293">
        <v>3</v>
      </c>
      <c r="K122" s="294">
        <v>21</v>
      </c>
      <c r="L122" s="294">
        <v>21</v>
      </c>
      <c r="M122" s="295" t="s">
        <v>104</v>
      </c>
      <c r="N122" s="293">
        <f t="shared" si="56"/>
        <v>99.45</v>
      </c>
      <c r="O122" s="296">
        <v>102.45</v>
      </c>
      <c r="P122" s="297" t="s">
        <v>215</v>
      </c>
      <c r="Q122" s="297"/>
      <c r="R122" s="282">
        <f t="shared" si="55"/>
        <v>1.9198266822503527</v>
      </c>
      <c r="S122" s="283">
        <v>1.1298114754548121</v>
      </c>
      <c r="T122" s="284" t="s">
        <v>37</v>
      </c>
      <c r="U122" s="283"/>
      <c r="V122" s="284"/>
      <c r="W122" s="284"/>
      <c r="X122" s="284"/>
      <c r="Y122" s="283">
        <v>1.1269828106433086</v>
      </c>
      <c r="Z122" s="284" t="s">
        <v>37</v>
      </c>
      <c r="AA122" s="283"/>
      <c r="AB122" s="284"/>
      <c r="AC122" s="284"/>
      <c r="AD122" s="284"/>
      <c r="AE122" s="285"/>
      <c r="AF122" s="287">
        <f t="shared" si="44"/>
        <v>4.5996550052999812</v>
      </c>
      <c r="AG122" s="287">
        <f t="shared" si="45"/>
        <v>4.6293748746849088</v>
      </c>
      <c r="AH122" s="288"/>
      <c r="AI122" s="288"/>
      <c r="AK122" s="286">
        <f t="shared" si="46"/>
        <v>190.92676354979758</v>
      </c>
      <c r="AL122" s="286">
        <f t="shared" si="47"/>
        <v>193.92676354979758</v>
      </c>
      <c r="AM122" s="287">
        <f t="shared" si="48"/>
        <v>5.2518899176038456</v>
      </c>
      <c r="AN122" s="287">
        <f t="shared" si="49"/>
        <v>5.2674805803141727</v>
      </c>
      <c r="AO122" s="288"/>
      <c r="AP122" s="288"/>
      <c r="AR122" s="286">
        <f t="shared" si="50"/>
        <v>245.27055422687434</v>
      </c>
      <c r="AS122" s="286">
        <f t="shared" si="51"/>
        <v>248.96827283409601</v>
      </c>
      <c r="AT122" s="287">
        <f t="shared" si="52"/>
        <v>5.5023619042175618</v>
      </c>
      <c r="AU122" s="287">
        <f t="shared" si="53"/>
        <v>5.5173254700093377</v>
      </c>
      <c r="AV122" s="299"/>
      <c r="AW122" s="299"/>
      <c r="AX122" s="287">
        <f t="shared" si="57"/>
        <v>245.27055422687434</v>
      </c>
      <c r="AY122" s="287">
        <f t="shared" si="57"/>
        <v>248.96827283409601</v>
      </c>
      <c r="AZ122" s="287"/>
      <c r="BA122" s="287"/>
      <c r="BB122" s="287"/>
      <c r="BC122" s="287"/>
      <c r="BD122" s="288"/>
      <c r="BE122" s="288"/>
    </row>
    <row r="123" spans="1:57" s="336" customFormat="1" x14ac:dyDescent="0.2">
      <c r="A123" s="326" t="s">
        <v>205</v>
      </c>
      <c r="B123" s="326" t="s">
        <v>35</v>
      </c>
      <c r="C123" s="327" t="s">
        <v>217</v>
      </c>
      <c r="D123" s="327" t="s">
        <v>312</v>
      </c>
      <c r="E123" s="328">
        <v>6.8</v>
      </c>
      <c r="F123" s="328">
        <f t="shared" si="54"/>
        <v>3.2931034482758621</v>
      </c>
      <c r="G123" s="318">
        <v>1.91</v>
      </c>
      <c r="H123" s="318">
        <v>4</v>
      </c>
      <c r="I123" s="330">
        <v>9</v>
      </c>
      <c r="J123" s="318">
        <v>3</v>
      </c>
      <c r="K123" s="329">
        <v>21</v>
      </c>
      <c r="L123" s="329">
        <v>21</v>
      </c>
      <c r="M123" s="231" t="s">
        <v>104</v>
      </c>
      <c r="N123" s="318">
        <f t="shared" si="56"/>
        <v>513.41999999999996</v>
      </c>
      <c r="O123" s="330">
        <v>516.41999999999996</v>
      </c>
      <c r="P123" s="331" t="s">
        <v>215</v>
      </c>
      <c r="Q123" s="331"/>
      <c r="R123" s="316">
        <f t="shared" si="55"/>
        <v>1.9198266822503527</v>
      </c>
      <c r="S123" s="332">
        <v>1.1298114754548121</v>
      </c>
      <c r="T123" s="333" t="s">
        <v>37</v>
      </c>
      <c r="U123" s="332"/>
      <c r="V123" s="333"/>
      <c r="W123" s="333"/>
      <c r="X123" s="333"/>
      <c r="Y123" s="332">
        <v>1.1269828106433086</v>
      </c>
      <c r="Z123" s="333" t="s">
        <v>37</v>
      </c>
      <c r="AA123" s="332"/>
      <c r="AB123" s="333"/>
      <c r="AC123" s="333"/>
      <c r="AD123" s="333"/>
      <c r="AE123" s="163"/>
      <c r="AF123" s="334">
        <f t="shared" si="44"/>
        <v>6.2410942236580187</v>
      </c>
      <c r="AG123" s="334">
        <f t="shared" si="45"/>
        <v>6.2469203878894382</v>
      </c>
      <c r="AH123" s="335"/>
      <c r="AI123" s="335"/>
      <c r="AK123" s="337">
        <f t="shared" si="46"/>
        <v>985.67741520097604</v>
      </c>
      <c r="AL123" s="337">
        <f t="shared" si="47"/>
        <v>988.67741520097604</v>
      </c>
      <c r="AM123" s="334">
        <f t="shared" si="48"/>
        <v>6.8933291359618831</v>
      </c>
      <c r="AN123" s="334">
        <f t="shared" si="49"/>
        <v>6.8963681057181176</v>
      </c>
      <c r="AO123" s="335"/>
      <c r="AP123" s="335"/>
      <c r="AR123" s="337">
        <f t="shared" si="50"/>
        <v>1266.2323574777458</v>
      </c>
      <c r="AS123" s="337">
        <f t="shared" si="51"/>
        <v>1269.2900347891273</v>
      </c>
      <c r="AT123" s="334">
        <f t="shared" si="52"/>
        <v>7.1438011225755993</v>
      </c>
      <c r="AU123" s="334">
        <f t="shared" si="53"/>
        <v>7.1462129954132827</v>
      </c>
      <c r="AV123" s="338"/>
      <c r="AW123" s="338"/>
      <c r="AX123" s="334">
        <f t="shared" si="57"/>
        <v>1266.2323574777458</v>
      </c>
      <c r="AY123" s="334">
        <f t="shared" si="57"/>
        <v>1269.2900347891273</v>
      </c>
      <c r="AZ123" s="334"/>
      <c r="BA123" s="334"/>
      <c r="BB123" s="334"/>
      <c r="BC123" s="334"/>
      <c r="BD123" s="335"/>
      <c r="BE123" s="335"/>
    </row>
    <row r="124" spans="1:57" s="298" customFormat="1" x14ac:dyDescent="0.2">
      <c r="A124" s="290" t="s">
        <v>205</v>
      </c>
      <c r="B124" s="290" t="s">
        <v>35</v>
      </c>
      <c r="C124" s="291" t="s">
        <v>218</v>
      </c>
      <c r="D124" s="291" t="s">
        <v>316</v>
      </c>
      <c r="E124" s="292">
        <v>6.8</v>
      </c>
      <c r="F124" s="292">
        <f t="shared" si="54"/>
        <v>3.2931034482758621</v>
      </c>
      <c r="G124" s="293">
        <v>1.91</v>
      </c>
      <c r="H124" s="293">
        <v>4</v>
      </c>
      <c r="I124" s="296">
        <v>9</v>
      </c>
      <c r="J124" s="293">
        <v>3</v>
      </c>
      <c r="K124" s="294">
        <v>21</v>
      </c>
      <c r="L124" s="294">
        <v>21</v>
      </c>
      <c r="M124" s="295" t="s">
        <v>104</v>
      </c>
      <c r="N124" s="293">
        <f t="shared" si="56"/>
        <v>41.36</v>
      </c>
      <c r="O124" s="296">
        <v>44.36</v>
      </c>
      <c r="P124" s="297" t="s">
        <v>215</v>
      </c>
      <c r="Q124" s="297"/>
      <c r="R124" s="282">
        <f t="shared" si="55"/>
        <v>1.9198266822503527</v>
      </c>
      <c r="S124" s="283">
        <v>1.1298114754548121</v>
      </c>
      <c r="T124" s="284" t="s">
        <v>37</v>
      </c>
      <c r="U124" s="283"/>
      <c r="V124" s="284"/>
      <c r="W124" s="284"/>
      <c r="X124" s="284"/>
      <c r="Y124" s="283">
        <v>1.1269828106433086</v>
      </c>
      <c r="Z124" s="284" t="s">
        <v>37</v>
      </c>
      <c r="AA124" s="283"/>
      <c r="AB124" s="284"/>
      <c r="AC124" s="284"/>
      <c r="AD124" s="284"/>
      <c r="AE124" s="285"/>
      <c r="AF124" s="287">
        <f t="shared" si="44"/>
        <v>3.7223142302001735</v>
      </c>
      <c r="AG124" s="287">
        <f t="shared" si="45"/>
        <v>3.7923381624821664</v>
      </c>
      <c r="AH124" s="288"/>
      <c r="AI124" s="288"/>
      <c r="AK124" s="286">
        <f t="shared" si="46"/>
        <v>79.404031577874591</v>
      </c>
      <c r="AL124" s="286">
        <f t="shared" si="47"/>
        <v>82.404031577874591</v>
      </c>
      <c r="AM124" s="287">
        <f t="shared" si="48"/>
        <v>4.3745491425040379</v>
      </c>
      <c r="AN124" s="287">
        <f t="shared" si="49"/>
        <v>4.4116343626344969</v>
      </c>
      <c r="AO124" s="288"/>
      <c r="AP124" s="288"/>
      <c r="AR124" s="286">
        <f t="shared" si="50"/>
        <v>102.00492833407263</v>
      </c>
      <c r="AS124" s="286">
        <f t="shared" si="51"/>
        <v>105.79246021007067</v>
      </c>
      <c r="AT124" s="287">
        <f t="shared" si="52"/>
        <v>4.6250211291177541</v>
      </c>
      <c r="AU124" s="287">
        <f t="shared" si="53"/>
        <v>4.661479252329662</v>
      </c>
      <c r="AV124" s="299"/>
      <c r="AW124" s="299"/>
      <c r="AX124" s="287">
        <f t="shared" si="57"/>
        <v>102.00492833407263</v>
      </c>
      <c r="AY124" s="287">
        <f t="shared" si="57"/>
        <v>105.79246021007067</v>
      </c>
      <c r="AZ124" s="287">
        <f>MIN(AX124:AX127)</f>
        <v>102.00492833407263</v>
      </c>
      <c r="BA124" s="287">
        <f>MIN(AY124:AY127)</f>
        <v>105.79246021007067</v>
      </c>
      <c r="BB124" s="287">
        <f>LN(AZ124)</f>
        <v>4.6250211291177541</v>
      </c>
      <c r="BC124" s="287">
        <f>LN(BA124)</f>
        <v>4.661479252329662</v>
      </c>
      <c r="BD124" s="288"/>
      <c r="BE124" s="288"/>
    </row>
    <row r="125" spans="1:57" s="298" customFormat="1" x14ac:dyDescent="0.2">
      <c r="A125" s="290" t="s">
        <v>205</v>
      </c>
      <c r="B125" s="290" t="s">
        <v>35</v>
      </c>
      <c r="C125" s="291" t="s">
        <v>218</v>
      </c>
      <c r="D125" s="291" t="s">
        <v>319</v>
      </c>
      <c r="E125" s="292">
        <v>6.8</v>
      </c>
      <c r="F125" s="292">
        <f t="shared" si="54"/>
        <v>3.2931034482758621</v>
      </c>
      <c r="G125" s="293">
        <v>1.91</v>
      </c>
      <c r="H125" s="293">
        <v>4</v>
      </c>
      <c r="I125" s="296">
        <v>9</v>
      </c>
      <c r="J125" s="293">
        <v>3</v>
      </c>
      <c r="K125" s="294">
        <v>21</v>
      </c>
      <c r="L125" s="294">
        <v>21</v>
      </c>
      <c r="M125" s="295" t="s">
        <v>104</v>
      </c>
      <c r="N125" s="293">
        <f t="shared" si="56"/>
        <v>61.599999999999994</v>
      </c>
      <c r="O125" s="296">
        <v>64.599999999999994</v>
      </c>
      <c r="P125" s="297" t="s">
        <v>215</v>
      </c>
      <c r="Q125" s="297"/>
      <c r="R125" s="282">
        <f t="shared" si="55"/>
        <v>1.9198266822503527</v>
      </c>
      <c r="S125" s="283">
        <v>1.1298114754548121</v>
      </c>
      <c r="T125" s="284" t="s">
        <v>37</v>
      </c>
      <c r="U125" s="283"/>
      <c r="V125" s="284"/>
      <c r="W125" s="284"/>
      <c r="X125" s="284"/>
      <c r="Y125" s="283">
        <v>1.1269828106433086</v>
      </c>
      <c r="Z125" s="284" t="s">
        <v>37</v>
      </c>
      <c r="AA125" s="283"/>
      <c r="AB125" s="284"/>
      <c r="AC125" s="284"/>
      <c r="AD125" s="284"/>
      <c r="AE125" s="285"/>
      <c r="AF125" s="287">
        <f t="shared" si="44"/>
        <v>4.1206618705394744</v>
      </c>
      <c r="AG125" s="287">
        <f t="shared" si="45"/>
        <v>4.1682144107885559</v>
      </c>
      <c r="AH125" s="288"/>
      <c r="AI125" s="288"/>
      <c r="AK125" s="286">
        <f t="shared" si="46"/>
        <v>118.26132362662172</v>
      </c>
      <c r="AL125" s="286">
        <f t="shared" si="47"/>
        <v>121.26132362662172</v>
      </c>
      <c r="AM125" s="287">
        <f t="shared" si="48"/>
        <v>4.7728967828433388</v>
      </c>
      <c r="AN125" s="287">
        <f t="shared" si="49"/>
        <v>4.7979479161919736</v>
      </c>
      <c r="AO125" s="288"/>
      <c r="AP125" s="288"/>
      <c r="AR125" s="286">
        <f t="shared" si="50"/>
        <v>151.92223368904433</v>
      </c>
      <c r="AS125" s="286">
        <f t="shared" si="51"/>
        <v>155.67847238962432</v>
      </c>
      <c r="AT125" s="287">
        <f t="shared" si="52"/>
        <v>5.023368769457055</v>
      </c>
      <c r="AU125" s="287">
        <f t="shared" si="53"/>
        <v>5.0477928058871386</v>
      </c>
      <c r="AV125" s="299"/>
      <c r="AW125" s="299"/>
      <c r="AX125" s="287">
        <f t="shared" si="57"/>
        <v>151.92223368904433</v>
      </c>
      <c r="AY125" s="287">
        <f t="shared" si="57"/>
        <v>155.67847238962432</v>
      </c>
      <c r="AZ125" s="287"/>
      <c r="BA125" s="287"/>
      <c r="BB125" s="287"/>
      <c r="BC125" s="287"/>
      <c r="BD125" s="288"/>
      <c r="BE125" s="288"/>
    </row>
    <row r="126" spans="1:57" s="298" customFormat="1" x14ac:dyDescent="0.2">
      <c r="A126" s="290" t="s">
        <v>205</v>
      </c>
      <c r="B126" s="290" t="s">
        <v>35</v>
      </c>
      <c r="C126" s="291" t="s">
        <v>218</v>
      </c>
      <c r="D126" s="291" t="s">
        <v>384</v>
      </c>
      <c r="E126" s="292">
        <v>6.8</v>
      </c>
      <c r="F126" s="292">
        <f t="shared" si="54"/>
        <v>3.2931034482758621</v>
      </c>
      <c r="G126" s="293">
        <v>1.91</v>
      </c>
      <c r="H126" s="293">
        <v>4</v>
      </c>
      <c r="I126" s="296">
        <v>9</v>
      </c>
      <c r="J126" s="293">
        <v>3</v>
      </c>
      <c r="K126" s="294">
        <v>21</v>
      </c>
      <c r="L126" s="294">
        <v>21</v>
      </c>
      <c r="M126" s="295" t="s">
        <v>104</v>
      </c>
      <c r="N126" s="293">
        <f t="shared" si="56"/>
        <v>186.67</v>
      </c>
      <c r="O126" s="296">
        <v>189.67</v>
      </c>
      <c r="P126" s="297" t="s">
        <v>215</v>
      </c>
      <c r="Q126" s="297"/>
      <c r="R126" s="282">
        <f t="shared" si="55"/>
        <v>1.9198266822503527</v>
      </c>
      <c r="S126" s="283">
        <v>1.1298114754548121</v>
      </c>
      <c r="T126" s="284" t="s">
        <v>37</v>
      </c>
      <c r="U126" s="283"/>
      <c r="V126" s="284"/>
      <c r="W126" s="284"/>
      <c r="X126" s="284"/>
      <c r="Y126" s="283">
        <v>1.1269828106433086</v>
      </c>
      <c r="Z126" s="284" t="s">
        <v>37</v>
      </c>
      <c r="AA126" s="283"/>
      <c r="AB126" s="284"/>
      <c r="AC126" s="284"/>
      <c r="AD126" s="284"/>
      <c r="AE126" s="285"/>
      <c r="AF126" s="287">
        <f t="shared" si="44"/>
        <v>5.2293423520445055</v>
      </c>
      <c r="AG126" s="287">
        <f t="shared" si="45"/>
        <v>5.2452857199962306</v>
      </c>
      <c r="AH126" s="288"/>
      <c r="AI126" s="288"/>
      <c r="AK126" s="286">
        <f t="shared" si="46"/>
        <v>358.37404677567332</v>
      </c>
      <c r="AL126" s="286">
        <f t="shared" si="47"/>
        <v>361.37404677567332</v>
      </c>
      <c r="AM126" s="287">
        <f t="shared" si="48"/>
        <v>5.8815772643483699</v>
      </c>
      <c r="AN126" s="287">
        <f t="shared" si="49"/>
        <v>5.889913562562497</v>
      </c>
      <c r="AO126" s="288"/>
      <c r="AP126" s="288"/>
      <c r="AR126" s="286">
        <f t="shared" si="50"/>
        <v>460.37862601840754</v>
      </c>
      <c r="AS126" s="286">
        <f t="shared" si="51"/>
        <v>463.94149330349671</v>
      </c>
      <c r="AT126" s="287">
        <f t="shared" si="52"/>
        <v>6.1320492509620861</v>
      </c>
      <c r="AU126" s="287">
        <f t="shared" si="53"/>
        <v>6.139758452257662</v>
      </c>
      <c r="AV126" s="299"/>
      <c r="AW126" s="299"/>
      <c r="AX126" s="287">
        <f t="shared" si="57"/>
        <v>460.37862601840754</v>
      </c>
      <c r="AY126" s="287">
        <f t="shared" si="57"/>
        <v>463.94149330349671</v>
      </c>
      <c r="AZ126" s="287"/>
      <c r="BA126" s="287"/>
      <c r="BB126" s="287"/>
      <c r="BC126" s="287"/>
      <c r="BD126" s="288"/>
      <c r="BE126" s="288"/>
    </row>
    <row r="127" spans="1:57" s="336" customFormat="1" x14ac:dyDescent="0.2">
      <c r="A127" s="326" t="s">
        <v>205</v>
      </c>
      <c r="B127" s="326" t="s">
        <v>35</v>
      </c>
      <c r="C127" s="327" t="s">
        <v>218</v>
      </c>
      <c r="D127" s="327" t="s">
        <v>312</v>
      </c>
      <c r="E127" s="328">
        <v>6.8</v>
      </c>
      <c r="F127" s="328">
        <f t="shared" si="54"/>
        <v>3.2931034482758621</v>
      </c>
      <c r="G127" s="318">
        <v>1.91</v>
      </c>
      <c r="H127" s="318">
        <v>4</v>
      </c>
      <c r="I127" s="330">
        <v>9</v>
      </c>
      <c r="J127" s="318">
        <v>3</v>
      </c>
      <c r="K127" s="329">
        <v>21</v>
      </c>
      <c r="L127" s="329">
        <v>21</v>
      </c>
      <c r="M127" s="231" t="s">
        <v>104</v>
      </c>
      <c r="N127" s="318">
        <f t="shared" si="56"/>
        <v>520.6</v>
      </c>
      <c r="O127" s="330">
        <v>523.6</v>
      </c>
      <c r="P127" s="331" t="s">
        <v>215</v>
      </c>
      <c r="Q127" s="331"/>
      <c r="R127" s="316">
        <f t="shared" si="55"/>
        <v>1.9198266822503527</v>
      </c>
      <c r="S127" s="332">
        <v>1.1298114754548121</v>
      </c>
      <c r="T127" s="333" t="s">
        <v>37</v>
      </c>
      <c r="U127" s="332"/>
      <c r="V127" s="333"/>
      <c r="W127" s="333"/>
      <c r="X127" s="333"/>
      <c r="Y127" s="332">
        <v>1.1269828106433086</v>
      </c>
      <c r="Z127" s="333" t="s">
        <v>37</v>
      </c>
      <c r="AA127" s="332"/>
      <c r="AB127" s="333"/>
      <c r="AC127" s="333"/>
      <c r="AD127" s="333"/>
      <c r="AE127" s="163"/>
      <c r="AF127" s="334">
        <f t="shared" si="44"/>
        <v>6.2549819925604648</v>
      </c>
      <c r="AG127" s="334">
        <f t="shared" si="45"/>
        <v>6.2607280340357452</v>
      </c>
      <c r="AH127" s="335"/>
      <c r="AI127" s="335"/>
      <c r="AK127" s="337">
        <f t="shared" si="46"/>
        <v>999.46177077953371</v>
      </c>
      <c r="AL127" s="337">
        <f t="shared" si="47"/>
        <v>1002.4617707795337</v>
      </c>
      <c r="AM127" s="334">
        <f t="shared" si="48"/>
        <v>6.9072169048643293</v>
      </c>
      <c r="AN127" s="334">
        <f t="shared" si="49"/>
        <v>6.9102140245678569</v>
      </c>
      <c r="AO127" s="335"/>
      <c r="AP127" s="335"/>
      <c r="AR127" s="337">
        <f t="shared" si="50"/>
        <v>1283.9401762746184</v>
      </c>
      <c r="AS127" s="337">
        <f t="shared" si="51"/>
        <v>1286.9867525484751</v>
      </c>
      <c r="AT127" s="334">
        <f t="shared" si="52"/>
        <v>7.1576888914780454</v>
      </c>
      <c r="AU127" s="334">
        <f t="shared" si="53"/>
        <v>7.160058914263022</v>
      </c>
      <c r="AV127" s="338"/>
      <c r="AW127" s="338"/>
      <c r="AX127" s="334">
        <f t="shared" si="57"/>
        <v>1283.9401762746184</v>
      </c>
      <c r="AY127" s="334">
        <f t="shared" si="57"/>
        <v>1286.9867525484751</v>
      </c>
      <c r="AZ127" s="334"/>
      <c r="BA127" s="334"/>
      <c r="BB127" s="334"/>
      <c r="BC127" s="334"/>
      <c r="BD127" s="335"/>
      <c r="BE127" s="335"/>
    </row>
    <row r="128" spans="1:57" s="298" customFormat="1" x14ac:dyDescent="0.2">
      <c r="A128" s="290" t="s">
        <v>205</v>
      </c>
      <c r="B128" s="290" t="s">
        <v>35</v>
      </c>
      <c r="C128" s="291" t="s">
        <v>219</v>
      </c>
      <c r="D128" s="291" t="s">
        <v>312</v>
      </c>
      <c r="E128" s="292">
        <v>5.01</v>
      </c>
      <c r="F128" s="292">
        <f t="shared" si="54"/>
        <v>5</v>
      </c>
      <c r="G128" s="293">
        <f>5*0.58</f>
        <v>2.9</v>
      </c>
      <c r="H128" s="293">
        <v>10</v>
      </c>
      <c r="I128" s="300">
        <f t="shared" ref="I128" si="58">(30+4.4*E128)*(0/100)+(-34.66+29.72*E128)*(F128/100)</f>
        <v>5.7118600000000006</v>
      </c>
      <c r="J128" s="293">
        <v>0.3</v>
      </c>
      <c r="K128" s="294">
        <v>28</v>
      </c>
      <c r="L128" s="294">
        <v>14</v>
      </c>
      <c r="M128" s="295" t="s">
        <v>104</v>
      </c>
      <c r="N128" s="293">
        <v>2.9</v>
      </c>
      <c r="O128" s="296">
        <f t="shared" ref="O128:O147" si="59">N128+J128</f>
        <v>3.1999999999999997</v>
      </c>
      <c r="P128" s="297" t="s">
        <v>209</v>
      </c>
      <c r="Q128" s="297"/>
      <c r="R128" s="282">
        <f t="shared" si="55"/>
        <v>1.201037326620962</v>
      </c>
      <c r="S128" s="283">
        <v>1.1298114754548121</v>
      </c>
      <c r="T128" s="284" t="s">
        <v>37</v>
      </c>
      <c r="U128" s="283"/>
      <c r="V128" s="284"/>
      <c r="W128" s="284"/>
      <c r="X128" s="284"/>
      <c r="Y128" s="283">
        <v>1.1269828106433086</v>
      </c>
      <c r="Z128" s="284" t="s">
        <v>37</v>
      </c>
      <c r="AA128" s="283"/>
      <c r="AB128" s="284"/>
      <c r="AC128" s="284"/>
      <c r="AD128" s="284"/>
      <c r="AE128" s="285"/>
      <c r="AF128" s="287">
        <f t="shared" si="44"/>
        <v>1.0647107369924282</v>
      </c>
      <c r="AG128" s="287">
        <f t="shared" si="45"/>
        <v>1.1631508098056809</v>
      </c>
      <c r="AH128" s="288"/>
      <c r="AI128" s="288"/>
      <c r="AK128" s="286">
        <f t="shared" si="46"/>
        <v>3.4830082472007895</v>
      </c>
      <c r="AL128" s="286">
        <f t="shared" si="47"/>
        <v>3.7830082472007893</v>
      </c>
      <c r="AM128" s="287">
        <f t="shared" si="48"/>
        <v>1.2478963592251002</v>
      </c>
      <c r="AN128" s="287">
        <f t="shared" si="49"/>
        <v>1.3305195257174531</v>
      </c>
      <c r="AO128" s="288"/>
      <c r="AP128" s="288"/>
      <c r="AR128" s="286">
        <f t="shared" si="50"/>
        <v>7.4787889368528004</v>
      </c>
      <c r="AS128" s="286">
        <f t="shared" si="51"/>
        <v>8.1074290230996535</v>
      </c>
      <c r="AT128" s="287">
        <f t="shared" si="52"/>
        <v>2.0120708720401979</v>
      </c>
      <c r="AU128" s="287">
        <f t="shared" si="53"/>
        <v>2.0927808046867202</v>
      </c>
      <c r="AV128" s="299"/>
      <c r="AW128" s="299"/>
      <c r="AX128" s="287">
        <f>GEOMEAN(AR128:AR129)</f>
        <v>23.08364862724714</v>
      </c>
      <c r="AY128" s="287">
        <f>GEOMEAN(AS128:AS129)</f>
        <v>37.670666198682333</v>
      </c>
      <c r="AZ128" s="287">
        <f>MIN(AX128:AX137)</f>
        <v>23.08364862724714</v>
      </c>
      <c r="BA128" s="287">
        <f>MIN(AY128:AY137)</f>
        <v>37.670666198682333</v>
      </c>
      <c r="BB128" s="287">
        <f>LN(AZ128)</f>
        <v>3.1391245152481702</v>
      </c>
      <c r="BC128" s="287">
        <f>LN(BA128)</f>
        <v>3.6288817066731958</v>
      </c>
      <c r="BD128" s="288"/>
      <c r="BE128" s="288"/>
    </row>
    <row r="129" spans="1:57" s="298" customFormat="1" x14ac:dyDescent="0.2">
      <c r="A129" s="290" t="s">
        <v>205</v>
      </c>
      <c r="B129" s="290" t="s">
        <v>35</v>
      </c>
      <c r="C129" s="291" t="s">
        <v>219</v>
      </c>
      <c r="D129" s="291" t="s">
        <v>312</v>
      </c>
      <c r="E129" s="292">
        <v>6.32</v>
      </c>
      <c r="F129" s="292">
        <f t="shared" si="54"/>
        <v>0.1</v>
      </c>
      <c r="G129" s="293">
        <f>0.1*0.58</f>
        <v>5.7999999999999996E-2</v>
      </c>
      <c r="H129" s="293">
        <v>3.2</v>
      </c>
      <c r="I129" s="296">
        <v>1.1000000000000001</v>
      </c>
      <c r="J129" s="293">
        <v>7.6</v>
      </c>
      <c r="K129" s="294">
        <v>28</v>
      </c>
      <c r="L129" s="294">
        <v>14</v>
      </c>
      <c r="M129" s="295" t="s">
        <v>104</v>
      </c>
      <c r="N129" s="293">
        <v>3.5</v>
      </c>
      <c r="O129" s="296">
        <f t="shared" si="59"/>
        <v>11.1</v>
      </c>
      <c r="P129" s="297" t="s">
        <v>209</v>
      </c>
      <c r="Q129" s="297"/>
      <c r="R129" s="282">
        <f t="shared" si="55"/>
        <v>1.4742895261945446</v>
      </c>
      <c r="S129" s="283">
        <v>1.1298114754548121</v>
      </c>
      <c r="T129" s="284" t="s">
        <v>37</v>
      </c>
      <c r="U129" s="283"/>
      <c r="V129" s="284"/>
      <c r="W129" s="284"/>
      <c r="X129" s="284"/>
      <c r="Y129" s="283">
        <v>1.1269828106433086</v>
      </c>
      <c r="Z129" s="284" t="s">
        <v>37</v>
      </c>
      <c r="AA129" s="283"/>
      <c r="AB129" s="284"/>
      <c r="AC129" s="284"/>
      <c r="AD129" s="284"/>
      <c r="AE129" s="285"/>
      <c r="AF129" s="287">
        <f t="shared" si="44"/>
        <v>1.2527629684953681</v>
      </c>
      <c r="AG129" s="287">
        <f t="shared" si="45"/>
        <v>2.4069451083182885</v>
      </c>
      <c r="AH129" s="288"/>
      <c r="AI129" s="288"/>
      <c r="AK129" s="286">
        <f t="shared" si="46"/>
        <v>5.160013341680906</v>
      </c>
      <c r="AL129" s="286">
        <f t="shared" si="47"/>
        <v>12.760013341680907</v>
      </c>
      <c r="AM129" s="287">
        <f t="shared" si="48"/>
        <v>1.6409391650872036</v>
      </c>
      <c r="AN129" s="287">
        <f t="shared" si="49"/>
        <v>2.5463163235023751</v>
      </c>
      <c r="AO129" s="288"/>
      <c r="AP129" s="288"/>
      <c r="AR129" s="286">
        <f t="shared" si="50"/>
        <v>71.248812935539661</v>
      </c>
      <c r="AS129" s="286">
        <f t="shared" si="51"/>
        <v>175.034414462256</v>
      </c>
      <c r="AT129" s="287">
        <f t="shared" si="52"/>
        <v>4.2661781584561425</v>
      </c>
      <c r="AU129" s="287">
        <f t="shared" si="53"/>
        <v>5.1649826086596713</v>
      </c>
      <c r="AV129" s="299"/>
      <c r="AW129" s="299"/>
      <c r="BD129" s="299"/>
      <c r="BE129" s="299"/>
    </row>
    <row r="130" spans="1:57" s="298" customFormat="1" x14ac:dyDescent="0.2">
      <c r="A130" s="290" t="s">
        <v>205</v>
      </c>
      <c r="B130" s="290" t="s">
        <v>35</v>
      </c>
      <c r="C130" s="291" t="s">
        <v>219</v>
      </c>
      <c r="D130" s="291" t="s">
        <v>384</v>
      </c>
      <c r="E130" s="292">
        <v>5.01</v>
      </c>
      <c r="F130" s="292">
        <f t="shared" si="54"/>
        <v>5</v>
      </c>
      <c r="G130" s="293">
        <f>5*0.58</f>
        <v>2.9</v>
      </c>
      <c r="H130" s="293">
        <v>10</v>
      </c>
      <c r="I130" s="300">
        <f t="shared" ref="I130" si="60">(30+4.4*E130)*(0/100)+(-34.66+29.72*E130)*(F130/100)</f>
        <v>5.7118600000000006</v>
      </c>
      <c r="J130" s="293">
        <v>0.3</v>
      </c>
      <c r="K130" s="294">
        <v>28</v>
      </c>
      <c r="L130" s="294">
        <v>14</v>
      </c>
      <c r="M130" s="295" t="s">
        <v>104</v>
      </c>
      <c r="N130" s="293">
        <v>6.6</v>
      </c>
      <c r="O130" s="296">
        <f t="shared" si="59"/>
        <v>6.8999999999999995</v>
      </c>
      <c r="P130" s="297" t="s">
        <v>209</v>
      </c>
      <c r="Q130" s="297"/>
      <c r="R130" s="282">
        <f t="shared" si="55"/>
        <v>1.201037326620962</v>
      </c>
      <c r="S130" s="283">
        <v>1.1298114754548121</v>
      </c>
      <c r="T130" s="284" t="s">
        <v>37</v>
      </c>
      <c r="U130" s="283"/>
      <c r="V130" s="284"/>
      <c r="W130" s="284"/>
      <c r="X130" s="284"/>
      <c r="Y130" s="283">
        <v>1.1269828106433086</v>
      </c>
      <c r="Z130" s="284" t="s">
        <v>37</v>
      </c>
      <c r="AA130" s="283"/>
      <c r="AB130" s="284"/>
      <c r="AC130" s="284"/>
      <c r="AD130" s="284"/>
      <c r="AE130" s="285"/>
      <c r="AF130" s="287">
        <f t="shared" si="44"/>
        <v>1.8870696490323797</v>
      </c>
      <c r="AG130" s="287">
        <f t="shared" si="45"/>
        <v>1.9315214116032136</v>
      </c>
      <c r="AH130" s="288"/>
      <c r="AI130" s="288"/>
      <c r="AK130" s="286">
        <f t="shared" si="46"/>
        <v>7.9268463556983484</v>
      </c>
      <c r="AL130" s="286">
        <f t="shared" si="47"/>
        <v>8.2268463556983491</v>
      </c>
      <c r="AM130" s="287">
        <f t="shared" si="48"/>
        <v>2.0702552712650517</v>
      </c>
      <c r="AN130" s="287">
        <f t="shared" si="49"/>
        <v>2.1074027523953296</v>
      </c>
      <c r="AO130" s="288"/>
      <c r="AP130" s="288"/>
      <c r="AR130" s="286">
        <f t="shared" si="50"/>
        <v>17.020692063182235</v>
      </c>
      <c r="AS130" s="286">
        <f t="shared" si="51"/>
        <v>17.631093710177225</v>
      </c>
      <c r="AT130" s="287">
        <f t="shared" si="52"/>
        <v>2.8344297840801493</v>
      </c>
      <c r="AU130" s="287">
        <f t="shared" si="53"/>
        <v>2.8696640313645969</v>
      </c>
      <c r="AV130" s="299"/>
      <c r="AW130" s="299"/>
      <c r="AX130" s="287">
        <f>GEOMEAN(AR130:AR131)</f>
        <v>47.090509419917886</v>
      </c>
      <c r="AY130" s="287">
        <f>GEOMEAN(AS130:AS131)</f>
        <v>64.187820370701672</v>
      </c>
      <c r="AZ130" s="287"/>
      <c r="BA130" s="287"/>
      <c r="BB130" s="287"/>
      <c r="BC130" s="287"/>
      <c r="BD130" s="288"/>
      <c r="BE130" s="288"/>
    </row>
    <row r="131" spans="1:57" s="298" customFormat="1" x14ac:dyDescent="0.2">
      <c r="A131" s="290" t="s">
        <v>205</v>
      </c>
      <c r="B131" s="290" t="s">
        <v>35</v>
      </c>
      <c r="C131" s="291" t="s">
        <v>219</v>
      </c>
      <c r="D131" s="291" t="s">
        <v>384</v>
      </c>
      <c r="E131" s="292">
        <v>6.32</v>
      </c>
      <c r="F131" s="292">
        <f t="shared" si="54"/>
        <v>0.1</v>
      </c>
      <c r="G131" s="293">
        <f>0.1*0.58</f>
        <v>5.7999999999999996E-2</v>
      </c>
      <c r="H131" s="293">
        <v>3.2</v>
      </c>
      <c r="I131" s="296">
        <v>1.1000000000000001</v>
      </c>
      <c r="J131" s="293">
        <v>7.6</v>
      </c>
      <c r="K131" s="294">
        <v>28</v>
      </c>
      <c r="L131" s="294">
        <v>14</v>
      </c>
      <c r="M131" s="295" t="s">
        <v>104</v>
      </c>
      <c r="N131" s="293">
        <v>6.4</v>
      </c>
      <c r="O131" s="296">
        <f t="shared" si="59"/>
        <v>14</v>
      </c>
      <c r="P131" s="297" t="s">
        <v>209</v>
      </c>
      <c r="Q131" s="297"/>
      <c r="R131" s="282">
        <f t="shared" si="55"/>
        <v>1.4742895261945446</v>
      </c>
      <c r="S131" s="283">
        <v>1.1298114754548121</v>
      </c>
      <c r="T131" s="284" t="s">
        <v>37</v>
      </c>
      <c r="U131" s="283"/>
      <c r="V131" s="284"/>
      <c r="W131" s="284"/>
      <c r="X131" s="284"/>
      <c r="Y131" s="283">
        <v>1.1269828106433086</v>
      </c>
      <c r="Z131" s="284" t="s">
        <v>37</v>
      </c>
      <c r="AA131" s="283"/>
      <c r="AB131" s="284"/>
      <c r="AC131" s="284"/>
      <c r="AD131" s="284"/>
      <c r="AE131" s="285"/>
      <c r="AF131" s="287">
        <f t="shared" si="44"/>
        <v>1.8562979903656263</v>
      </c>
      <c r="AG131" s="287">
        <f t="shared" si="45"/>
        <v>2.6390573296152584</v>
      </c>
      <c r="AH131" s="288"/>
      <c r="AI131" s="288"/>
      <c r="AK131" s="286">
        <f t="shared" si="46"/>
        <v>9.4354529676450856</v>
      </c>
      <c r="AL131" s="286">
        <f t="shared" si="47"/>
        <v>17.035452967645085</v>
      </c>
      <c r="AM131" s="287">
        <f t="shared" si="48"/>
        <v>2.2444741869574618</v>
      </c>
      <c r="AN131" s="287">
        <f t="shared" si="49"/>
        <v>2.8352966411700415</v>
      </c>
      <c r="AO131" s="288"/>
      <c r="AP131" s="288"/>
      <c r="AR131" s="286">
        <f t="shared" si="50"/>
        <v>130.28354365355824</v>
      </c>
      <c r="AS131" s="286">
        <f t="shared" si="51"/>
        <v>233.68239949647736</v>
      </c>
      <c r="AT131" s="287">
        <f t="shared" si="52"/>
        <v>4.8697131803264</v>
      </c>
      <c r="AU131" s="287">
        <f t="shared" si="53"/>
        <v>5.4539629263273373</v>
      </c>
      <c r="AV131" s="299"/>
      <c r="AW131" s="299"/>
      <c r="BD131" s="299"/>
      <c r="BE131" s="299"/>
    </row>
    <row r="132" spans="1:57" s="298" customFormat="1" x14ac:dyDescent="0.2">
      <c r="A132" s="290" t="s">
        <v>205</v>
      </c>
      <c r="B132" s="290" t="s">
        <v>35</v>
      </c>
      <c r="C132" s="291" t="s">
        <v>219</v>
      </c>
      <c r="D132" s="291" t="s">
        <v>319</v>
      </c>
      <c r="E132" s="292">
        <v>5.01</v>
      </c>
      <c r="F132" s="292">
        <f t="shared" si="54"/>
        <v>5</v>
      </c>
      <c r="G132" s="293">
        <f>5*0.58</f>
        <v>2.9</v>
      </c>
      <c r="H132" s="293">
        <v>10</v>
      </c>
      <c r="I132" s="300">
        <f t="shared" ref="I132" si="61">(30+4.4*E132)*(0/100)+(-34.66+29.72*E132)*(F132/100)</f>
        <v>5.7118600000000006</v>
      </c>
      <c r="J132" s="293">
        <v>0.3</v>
      </c>
      <c r="K132" s="294">
        <v>28</v>
      </c>
      <c r="L132" s="294">
        <v>14</v>
      </c>
      <c r="M132" s="295" t="s">
        <v>104</v>
      </c>
      <c r="N132" s="293">
        <v>5</v>
      </c>
      <c r="O132" s="296">
        <f t="shared" si="59"/>
        <v>5.3</v>
      </c>
      <c r="P132" s="297" t="s">
        <v>209</v>
      </c>
      <c r="Q132" s="297"/>
      <c r="R132" s="282">
        <f t="shared" si="55"/>
        <v>1.201037326620962</v>
      </c>
      <c r="S132" s="283">
        <v>1.1298114754548121</v>
      </c>
      <c r="T132" s="284" t="s">
        <v>37</v>
      </c>
      <c r="U132" s="283"/>
      <c r="V132" s="284"/>
      <c r="W132" s="284"/>
      <c r="X132" s="284"/>
      <c r="Y132" s="283">
        <v>1.1269828106433086</v>
      </c>
      <c r="Z132" s="284" t="s">
        <v>37</v>
      </c>
      <c r="AA132" s="283"/>
      <c r="AB132" s="284"/>
      <c r="AC132" s="284"/>
      <c r="AD132" s="284"/>
      <c r="AE132" s="285"/>
      <c r="AF132" s="287">
        <f t="shared" si="44"/>
        <v>1.6094379124341003</v>
      </c>
      <c r="AG132" s="287">
        <f t="shared" si="45"/>
        <v>1.6677068205580761</v>
      </c>
      <c r="AH132" s="288"/>
      <c r="AI132" s="288"/>
      <c r="AK132" s="286">
        <f t="shared" si="46"/>
        <v>6.0051866331048096</v>
      </c>
      <c r="AL132" s="286">
        <f t="shared" si="47"/>
        <v>6.3051866331048094</v>
      </c>
      <c r="AM132" s="287">
        <f t="shared" si="48"/>
        <v>1.7926235346667723</v>
      </c>
      <c r="AN132" s="287">
        <f t="shared" si="49"/>
        <v>1.8413725697884322</v>
      </c>
      <c r="AO132" s="288"/>
      <c r="AP132" s="288"/>
      <c r="AR132" s="286">
        <f t="shared" si="50"/>
        <v>12.894463684228967</v>
      </c>
      <c r="AS132" s="286">
        <f t="shared" si="51"/>
        <v>13.512752223873409</v>
      </c>
      <c r="AT132" s="287">
        <f t="shared" si="52"/>
        <v>2.5567980474818701</v>
      </c>
      <c r="AU132" s="287">
        <f t="shared" si="53"/>
        <v>2.6036338487576995</v>
      </c>
      <c r="AV132" s="299"/>
      <c r="AW132" s="299"/>
      <c r="AX132" s="287">
        <f>GEOMEAN(AR132:AR133)</f>
        <v>55.8894604125135</v>
      </c>
      <c r="AY132" s="287">
        <f>GEOMEAN(AS132:AS133)</f>
        <v>68.269330091124019</v>
      </c>
      <c r="AZ132" s="287"/>
      <c r="BA132" s="287"/>
      <c r="BB132" s="287"/>
      <c r="BC132" s="287"/>
      <c r="BD132" s="288"/>
      <c r="BE132" s="288"/>
    </row>
    <row r="133" spans="1:57" s="298" customFormat="1" x14ac:dyDescent="0.2">
      <c r="A133" s="290" t="s">
        <v>205</v>
      </c>
      <c r="B133" s="290" t="s">
        <v>35</v>
      </c>
      <c r="C133" s="291" t="s">
        <v>219</v>
      </c>
      <c r="D133" s="291" t="s">
        <v>319</v>
      </c>
      <c r="E133" s="292">
        <v>6.32</v>
      </c>
      <c r="F133" s="292">
        <f t="shared" si="54"/>
        <v>0.1</v>
      </c>
      <c r="G133" s="293">
        <f>0.1*0.58</f>
        <v>5.7999999999999996E-2</v>
      </c>
      <c r="H133" s="293">
        <v>3.2</v>
      </c>
      <c r="I133" s="296">
        <v>1.1000000000000001</v>
      </c>
      <c r="J133" s="293">
        <v>7.6</v>
      </c>
      <c r="K133" s="294">
        <v>28</v>
      </c>
      <c r="L133" s="294">
        <v>14</v>
      </c>
      <c r="M133" s="295" t="s">
        <v>104</v>
      </c>
      <c r="N133" s="293">
        <v>11.9</v>
      </c>
      <c r="O133" s="296">
        <f t="shared" si="59"/>
        <v>19.5</v>
      </c>
      <c r="P133" s="297" t="s">
        <v>209</v>
      </c>
      <c r="Q133" s="297"/>
      <c r="R133" s="282">
        <f t="shared" si="55"/>
        <v>1.4742895261945446</v>
      </c>
      <c r="S133" s="283">
        <v>1.1298114754548121</v>
      </c>
      <c r="T133" s="284" t="s">
        <v>37</v>
      </c>
      <c r="U133" s="283"/>
      <c r="V133" s="284"/>
      <c r="W133" s="284"/>
      <c r="X133" s="284"/>
      <c r="Y133" s="283">
        <v>1.1269828106433086</v>
      </c>
      <c r="Z133" s="284" t="s">
        <v>37</v>
      </c>
      <c r="AA133" s="283"/>
      <c r="AB133" s="284"/>
      <c r="AC133" s="284"/>
      <c r="AD133" s="284"/>
      <c r="AE133" s="285"/>
      <c r="AF133" s="287">
        <f t="shared" si="44"/>
        <v>2.4765384001174837</v>
      </c>
      <c r="AG133" s="287">
        <f t="shared" si="45"/>
        <v>2.9704144655697009</v>
      </c>
      <c r="AH133" s="288"/>
      <c r="AI133" s="288"/>
      <c r="AK133" s="286">
        <f t="shared" si="46"/>
        <v>17.544045361715082</v>
      </c>
      <c r="AL133" s="286">
        <f t="shared" si="47"/>
        <v>25.144045361715079</v>
      </c>
      <c r="AM133" s="287">
        <f t="shared" si="48"/>
        <v>2.8647145967093195</v>
      </c>
      <c r="AN133" s="287">
        <f t="shared" si="49"/>
        <v>3.2246211035707582</v>
      </c>
      <c r="AO133" s="288"/>
      <c r="AP133" s="288"/>
      <c r="AR133" s="286">
        <f t="shared" si="50"/>
        <v>242.24596398083489</v>
      </c>
      <c r="AS133" s="286">
        <f t="shared" si="51"/>
        <v>344.91133663034549</v>
      </c>
      <c r="AT133" s="287">
        <f t="shared" si="52"/>
        <v>5.4899535900782581</v>
      </c>
      <c r="AU133" s="287">
        <f t="shared" si="53"/>
        <v>5.8432873887280543</v>
      </c>
      <c r="AV133" s="299"/>
      <c r="AW133" s="299"/>
      <c r="BD133" s="299"/>
      <c r="BE133" s="299"/>
    </row>
    <row r="134" spans="1:57" s="298" customFormat="1" x14ac:dyDescent="0.2">
      <c r="A134" s="290" t="s">
        <v>205</v>
      </c>
      <c r="B134" s="290" t="s">
        <v>35</v>
      </c>
      <c r="C134" s="291" t="s">
        <v>219</v>
      </c>
      <c r="D134" s="291" t="s">
        <v>316</v>
      </c>
      <c r="E134" s="292">
        <v>5.01</v>
      </c>
      <c r="F134" s="292">
        <f t="shared" si="54"/>
        <v>5</v>
      </c>
      <c r="G134" s="293">
        <f>5*0.58</f>
        <v>2.9</v>
      </c>
      <c r="H134" s="293">
        <v>10</v>
      </c>
      <c r="I134" s="300">
        <f t="shared" ref="I134" si="62">(30+4.4*E134)*(0/100)+(-34.66+29.72*E134)*(F134/100)</f>
        <v>5.7118600000000006</v>
      </c>
      <c r="J134" s="293">
        <v>0.3</v>
      </c>
      <c r="K134" s="294">
        <v>28</v>
      </c>
      <c r="L134" s="294">
        <v>14</v>
      </c>
      <c r="M134" s="295" t="s">
        <v>104</v>
      </c>
      <c r="N134" s="293">
        <v>8.6</v>
      </c>
      <c r="O134" s="296">
        <f t="shared" si="59"/>
        <v>8.9</v>
      </c>
      <c r="P134" s="297" t="s">
        <v>209</v>
      </c>
      <c r="Q134" s="297"/>
      <c r="R134" s="282">
        <f t="shared" si="55"/>
        <v>1.201037326620962</v>
      </c>
      <c r="S134" s="283">
        <v>1.1298114754548121</v>
      </c>
      <c r="T134" s="284" t="s">
        <v>37</v>
      </c>
      <c r="U134" s="283"/>
      <c r="V134" s="284"/>
      <c r="W134" s="284"/>
      <c r="X134" s="284"/>
      <c r="Y134" s="283">
        <v>1.1269828106433086</v>
      </c>
      <c r="Z134" s="284" t="s">
        <v>37</v>
      </c>
      <c r="AA134" s="283"/>
      <c r="AB134" s="284"/>
      <c r="AC134" s="284"/>
      <c r="AD134" s="284"/>
      <c r="AE134" s="285"/>
      <c r="AF134" s="287">
        <f t="shared" si="44"/>
        <v>2.1517622032594619</v>
      </c>
      <c r="AG134" s="287">
        <f t="shared" si="45"/>
        <v>2.1860512767380942</v>
      </c>
      <c r="AH134" s="288"/>
      <c r="AI134" s="288"/>
      <c r="AK134" s="286">
        <f t="shared" si="46"/>
        <v>10.328921008940272</v>
      </c>
      <c r="AL134" s="286">
        <f t="shared" si="47"/>
        <v>10.628921008940273</v>
      </c>
      <c r="AM134" s="287">
        <f t="shared" si="48"/>
        <v>2.3349478254921339</v>
      </c>
      <c r="AN134" s="287">
        <f t="shared" si="49"/>
        <v>2.3635786828689489</v>
      </c>
      <c r="AO134" s="288"/>
      <c r="AP134" s="288"/>
      <c r="AR134" s="286">
        <f t="shared" si="50"/>
        <v>22.178477536873821</v>
      </c>
      <c r="AS134" s="286">
        <f t="shared" si="51"/>
        <v>22.779020568056993</v>
      </c>
      <c r="AT134" s="287">
        <f t="shared" si="52"/>
        <v>3.0991223383072315</v>
      </c>
      <c r="AU134" s="287">
        <f t="shared" si="53"/>
        <v>3.1258399618382162</v>
      </c>
      <c r="AV134" s="299"/>
      <c r="AW134" s="299"/>
      <c r="AX134" s="287">
        <f>GEOMEAN(AR134:AR135)</f>
        <v>78.646779430767253</v>
      </c>
      <c r="AY134" s="287">
        <f>GEOMEAN(AS134:AS135)</f>
        <v>93.198437965886498</v>
      </c>
      <c r="AZ134" s="287"/>
      <c r="BA134" s="287"/>
      <c r="BB134" s="287"/>
      <c r="BC134" s="287"/>
      <c r="BD134" s="288"/>
      <c r="BE134" s="288"/>
    </row>
    <row r="135" spans="1:57" s="298" customFormat="1" x14ac:dyDescent="0.2">
      <c r="A135" s="290" t="s">
        <v>205</v>
      </c>
      <c r="B135" s="290" t="s">
        <v>35</v>
      </c>
      <c r="C135" s="291" t="s">
        <v>219</v>
      </c>
      <c r="D135" s="291" t="s">
        <v>316</v>
      </c>
      <c r="E135" s="292">
        <v>6.32</v>
      </c>
      <c r="F135" s="292">
        <f t="shared" si="54"/>
        <v>0.1</v>
      </c>
      <c r="G135" s="293">
        <f>0.1*0.58</f>
        <v>5.7999999999999996E-2</v>
      </c>
      <c r="H135" s="293">
        <v>3.2</v>
      </c>
      <c r="I135" s="296">
        <v>1.1000000000000001</v>
      </c>
      <c r="J135" s="293">
        <v>7.6</v>
      </c>
      <c r="K135" s="294">
        <v>28</v>
      </c>
      <c r="L135" s="294">
        <v>14</v>
      </c>
      <c r="M135" s="295" t="s">
        <v>104</v>
      </c>
      <c r="N135" s="293">
        <v>13.7</v>
      </c>
      <c r="O135" s="296">
        <f t="shared" si="59"/>
        <v>21.299999999999997</v>
      </c>
      <c r="P135" s="297" t="s">
        <v>209</v>
      </c>
      <c r="Q135" s="297"/>
      <c r="R135" s="282">
        <f t="shared" si="55"/>
        <v>1.4742895261945446</v>
      </c>
      <c r="S135" s="283">
        <v>1.1298114754548121</v>
      </c>
      <c r="T135" s="284" t="s">
        <v>37</v>
      </c>
      <c r="U135" s="283"/>
      <c r="V135" s="284"/>
      <c r="W135" s="284"/>
      <c r="X135" s="284"/>
      <c r="Y135" s="283">
        <v>1.1269828106433086</v>
      </c>
      <c r="Z135" s="284" t="s">
        <v>37</v>
      </c>
      <c r="AA135" s="283"/>
      <c r="AB135" s="284"/>
      <c r="AC135" s="284"/>
      <c r="AD135" s="284"/>
      <c r="AE135" s="285"/>
      <c r="AF135" s="287">
        <f t="shared" si="44"/>
        <v>2.6173958328340792</v>
      </c>
      <c r="AG135" s="287">
        <f t="shared" si="45"/>
        <v>3.0587070727153791</v>
      </c>
      <c r="AH135" s="288"/>
      <c r="AI135" s="288"/>
      <c r="AK135" s="286">
        <f t="shared" si="46"/>
        <v>20.197766508865261</v>
      </c>
      <c r="AL135" s="286">
        <f t="shared" si="47"/>
        <v>27.797766508865259</v>
      </c>
      <c r="AM135" s="287">
        <f t="shared" si="48"/>
        <v>3.0055720294259149</v>
      </c>
      <c r="AN135" s="287">
        <f t="shared" si="49"/>
        <v>3.324955676061323</v>
      </c>
      <c r="AO135" s="288"/>
      <c r="AP135" s="288"/>
      <c r="AR135" s="286">
        <f t="shared" si="50"/>
        <v>278.8882106333981</v>
      </c>
      <c r="AS135" s="286">
        <f t="shared" si="51"/>
        <v>381.31353423779319</v>
      </c>
      <c r="AT135" s="287">
        <f t="shared" si="52"/>
        <v>5.6308110227948536</v>
      </c>
      <c r="AU135" s="287">
        <f t="shared" si="53"/>
        <v>5.9436219612186196</v>
      </c>
      <c r="AV135" s="299"/>
      <c r="AW135" s="299"/>
      <c r="BD135" s="299"/>
      <c r="BE135" s="299"/>
    </row>
    <row r="136" spans="1:57" s="298" customFormat="1" x14ac:dyDescent="0.2">
      <c r="A136" s="290" t="s">
        <v>205</v>
      </c>
      <c r="B136" s="290" t="s">
        <v>35</v>
      </c>
      <c r="C136" s="291" t="s">
        <v>219</v>
      </c>
      <c r="D136" s="291" t="s">
        <v>383</v>
      </c>
      <c r="E136" s="292">
        <v>5.01</v>
      </c>
      <c r="F136" s="292">
        <f t="shared" si="54"/>
        <v>5</v>
      </c>
      <c r="G136" s="293">
        <f>5*0.58</f>
        <v>2.9</v>
      </c>
      <c r="H136" s="293">
        <v>10</v>
      </c>
      <c r="I136" s="300">
        <f t="shared" ref="I136" si="63">(30+4.4*E136)*(0/100)+(-34.66+29.72*E136)*(F136/100)</f>
        <v>5.7118600000000006</v>
      </c>
      <c r="J136" s="293">
        <v>0.3</v>
      </c>
      <c r="K136" s="294">
        <v>28</v>
      </c>
      <c r="L136" s="294">
        <v>14</v>
      </c>
      <c r="M136" s="295" t="s">
        <v>104</v>
      </c>
      <c r="N136" s="293">
        <v>3.2</v>
      </c>
      <c r="O136" s="296">
        <f t="shared" si="59"/>
        <v>3.5</v>
      </c>
      <c r="P136" s="297" t="s">
        <v>209</v>
      </c>
      <c r="Q136" s="297"/>
      <c r="R136" s="282">
        <f t="shared" si="55"/>
        <v>1.201037326620962</v>
      </c>
      <c r="S136" s="283">
        <v>1.1298114754548121</v>
      </c>
      <c r="T136" s="284" t="s">
        <v>37</v>
      </c>
      <c r="U136" s="283"/>
      <c r="V136" s="284"/>
      <c r="W136" s="284"/>
      <c r="X136" s="284"/>
      <c r="Y136" s="283">
        <v>1.1269828106433086</v>
      </c>
      <c r="Z136" s="284" t="s">
        <v>37</v>
      </c>
      <c r="AA136" s="283"/>
      <c r="AB136" s="284"/>
      <c r="AC136" s="284"/>
      <c r="AD136" s="284"/>
      <c r="AE136" s="285"/>
      <c r="AF136" s="287">
        <f t="shared" si="44"/>
        <v>1.1631508098056809</v>
      </c>
      <c r="AG136" s="287">
        <f t="shared" si="45"/>
        <v>1.2527629684953681</v>
      </c>
      <c r="AH136" s="288"/>
      <c r="AI136" s="288"/>
      <c r="AK136" s="286">
        <f t="shared" si="46"/>
        <v>3.8433194451870785</v>
      </c>
      <c r="AL136" s="286">
        <f t="shared" si="47"/>
        <v>4.1433194451870783</v>
      </c>
      <c r="AM136" s="287">
        <f t="shared" si="48"/>
        <v>1.3463364320383528</v>
      </c>
      <c r="AN136" s="287">
        <f t="shared" si="49"/>
        <v>1.4214972649230062</v>
      </c>
      <c r="AO136" s="288"/>
      <c r="AP136" s="288"/>
      <c r="AR136" s="286">
        <f t="shared" si="50"/>
        <v>8.2524567579065398</v>
      </c>
      <c r="AS136" s="286">
        <f t="shared" si="51"/>
        <v>8.8796180517816197</v>
      </c>
      <c r="AT136" s="287">
        <f t="shared" si="52"/>
        <v>2.1105109448534507</v>
      </c>
      <c r="AU136" s="287">
        <f t="shared" si="53"/>
        <v>2.1837585438922735</v>
      </c>
      <c r="AV136" s="299"/>
      <c r="AW136" s="299"/>
      <c r="AX136" s="287">
        <f>GEOMEAN(AR136:AR137)</f>
        <v>28.099290355415192</v>
      </c>
      <c r="AY136" s="287">
        <f>GEOMEAN(AS136:AS137)</f>
        <v>42.068164768723676</v>
      </c>
      <c r="AZ136" s="287"/>
      <c r="BA136" s="287"/>
      <c r="BB136" s="287"/>
      <c r="BC136" s="287"/>
      <c r="BD136" s="288"/>
      <c r="BE136" s="288"/>
    </row>
    <row r="137" spans="1:57" s="353" customFormat="1" ht="13.5" thickBot="1" x14ac:dyDescent="0.25">
      <c r="A137" s="339" t="s">
        <v>205</v>
      </c>
      <c r="B137" s="339" t="s">
        <v>35</v>
      </c>
      <c r="C137" s="340" t="s">
        <v>219</v>
      </c>
      <c r="D137" s="340" t="s">
        <v>383</v>
      </c>
      <c r="E137" s="341">
        <v>6.32</v>
      </c>
      <c r="F137" s="341">
        <f t="shared" si="54"/>
        <v>0.1</v>
      </c>
      <c r="G137" s="342">
        <f>0.1*0.58</f>
        <v>5.7999999999999996E-2</v>
      </c>
      <c r="H137" s="342">
        <v>3.2</v>
      </c>
      <c r="I137" s="343">
        <v>1.1000000000000001</v>
      </c>
      <c r="J137" s="342">
        <v>7.6</v>
      </c>
      <c r="K137" s="344">
        <v>28</v>
      </c>
      <c r="L137" s="344">
        <v>14</v>
      </c>
      <c r="M137" s="345" t="s">
        <v>104</v>
      </c>
      <c r="N137" s="342">
        <v>4.7</v>
      </c>
      <c r="O137" s="343">
        <f t="shared" si="59"/>
        <v>12.3</v>
      </c>
      <c r="P137" s="346" t="s">
        <v>209</v>
      </c>
      <c r="Q137" s="346"/>
      <c r="R137" s="347">
        <f t="shared" si="55"/>
        <v>1.4742895261945446</v>
      </c>
      <c r="S137" s="348">
        <v>1.1298114754548121</v>
      </c>
      <c r="T137" s="349" t="s">
        <v>37</v>
      </c>
      <c r="U137" s="348"/>
      <c r="V137" s="349"/>
      <c r="W137" s="349"/>
      <c r="X137" s="349"/>
      <c r="Y137" s="348">
        <v>1.1269828106433086</v>
      </c>
      <c r="Z137" s="349" t="s">
        <v>37</v>
      </c>
      <c r="AA137" s="348"/>
      <c r="AB137" s="349"/>
      <c r="AC137" s="349"/>
      <c r="AD137" s="349"/>
      <c r="AE137" s="350"/>
      <c r="AF137" s="351">
        <f t="shared" si="44"/>
        <v>1.547562508716013</v>
      </c>
      <c r="AG137" s="351">
        <f t="shared" si="45"/>
        <v>2.5095992623783721</v>
      </c>
      <c r="AH137" s="352"/>
      <c r="AI137" s="352"/>
      <c r="AK137" s="354">
        <f t="shared" si="46"/>
        <v>6.9291607731143596</v>
      </c>
      <c r="AL137" s="354">
        <f t="shared" si="47"/>
        <v>14.529160773114359</v>
      </c>
      <c r="AM137" s="351">
        <f t="shared" si="48"/>
        <v>1.9357387053078485</v>
      </c>
      <c r="AN137" s="351">
        <f t="shared" si="49"/>
        <v>2.6761577176976288</v>
      </c>
      <c r="AO137" s="352"/>
      <c r="AP137" s="352"/>
      <c r="AR137" s="354">
        <f t="shared" si="50"/>
        <v>95.676977370581838</v>
      </c>
      <c r="AS137" s="354">
        <f t="shared" si="51"/>
        <v>199.30254620055447</v>
      </c>
      <c r="AT137" s="351">
        <f t="shared" si="52"/>
        <v>4.5609776986767869</v>
      </c>
      <c r="AU137" s="351">
        <f t="shared" si="53"/>
        <v>5.2948240028549245</v>
      </c>
      <c r="AV137" s="355"/>
      <c r="AW137" s="355"/>
      <c r="BD137" s="355"/>
      <c r="BE137" s="355"/>
    </row>
    <row r="138" spans="1:57" s="298" customFormat="1" ht="13.5" thickTop="1" x14ac:dyDescent="0.2">
      <c r="A138" s="290" t="s">
        <v>205</v>
      </c>
      <c r="B138" s="290" t="s">
        <v>49</v>
      </c>
      <c r="C138" s="291" t="s">
        <v>57</v>
      </c>
      <c r="D138" s="291" t="s">
        <v>328</v>
      </c>
      <c r="E138" s="292">
        <v>4.3</v>
      </c>
      <c r="F138" s="292">
        <f t="shared" si="54"/>
        <v>9.1293758620689687</v>
      </c>
      <c r="G138" s="293">
        <v>5.2950380000000017</v>
      </c>
      <c r="H138" s="293">
        <v>1.5220887043854308</v>
      </c>
      <c r="I138" s="293">
        <v>6.1560623950335334</v>
      </c>
      <c r="J138" s="293">
        <v>3.9615894527830369</v>
      </c>
      <c r="K138" s="294">
        <v>7</v>
      </c>
      <c r="L138" s="294">
        <v>28</v>
      </c>
      <c r="M138" s="235" t="s">
        <v>104</v>
      </c>
      <c r="N138" s="293">
        <v>448.03841054721698</v>
      </c>
      <c r="O138" s="296">
        <f t="shared" si="59"/>
        <v>452</v>
      </c>
      <c r="P138" s="297" t="s">
        <v>220</v>
      </c>
      <c r="Q138" s="297"/>
      <c r="R138" s="282">
        <f t="shared" si="55"/>
        <v>1.1885610477282691</v>
      </c>
      <c r="S138" s="283">
        <v>0.97929846684369903</v>
      </c>
      <c r="T138" s="284" t="s">
        <v>37</v>
      </c>
      <c r="U138" s="283"/>
      <c r="V138" s="284"/>
      <c r="W138" s="284"/>
      <c r="X138" s="284"/>
      <c r="Y138" s="283">
        <v>0.97902994342356398</v>
      </c>
      <c r="Z138" s="284" t="s">
        <v>37</v>
      </c>
      <c r="AA138" s="283"/>
      <c r="AB138" s="284"/>
      <c r="AC138" s="284"/>
      <c r="AD138" s="284"/>
      <c r="AE138" s="285"/>
      <c r="AF138" s="287">
        <f t="shared" si="44"/>
        <v>6.1048789665683172</v>
      </c>
      <c r="AG138" s="287">
        <f t="shared" si="45"/>
        <v>6.1136821798322316</v>
      </c>
      <c r="AH138" s="288"/>
      <c r="AI138" s="288"/>
      <c r="AK138" s="286">
        <f t="shared" si="46"/>
        <v>532.52100266250864</v>
      </c>
      <c r="AL138" s="286">
        <f t="shared" si="47"/>
        <v>536.48259211529171</v>
      </c>
      <c r="AM138" s="287">
        <f t="shared" si="48"/>
        <v>6.2776223384255143</v>
      </c>
      <c r="AN138" s="287">
        <f t="shared" si="49"/>
        <v>6.2850341144153337</v>
      </c>
      <c r="AO138" s="288"/>
      <c r="AP138" s="288"/>
      <c r="AR138" s="286">
        <f t="shared" si="50"/>
        <v>959.72962144130349</v>
      </c>
      <c r="AS138" s="286">
        <f t="shared" si="51"/>
        <v>966.71320065734028</v>
      </c>
      <c r="AT138" s="287">
        <f t="shared" si="52"/>
        <v>6.8666516004606928</v>
      </c>
      <c r="AU138" s="287">
        <f t="shared" si="53"/>
        <v>6.8739018647588717</v>
      </c>
      <c r="AV138" s="299"/>
      <c r="AW138" s="299"/>
      <c r="AX138" s="286">
        <f>GEOMEAN(AR138:AR151)</f>
        <v>515.40614728793412</v>
      </c>
      <c r="AY138" s="286">
        <f>GEOMEAN(AS138:AS151)</f>
        <v>523.5358326009399</v>
      </c>
      <c r="AZ138" s="286">
        <f>MIN(AX138:AX148)</f>
        <v>515.40614728793412</v>
      </c>
      <c r="BA138" s="286">
        <f>MIN(AY138:AY148)</f>
        <v>523.5358326009399</v>
      </c>
      <c r="BB138" s="287">
        <f>LN(AZ138)</f>
        <v>6.2449552253647029</v>
      </c>
      <c r="BC138" s="287">
        <f>LN(BA138)</f>
        <v>6.2606054761074557</v>
      </c>
      <c r="BD138" s="288"/>
      <c r="BE138" s="288"/>
    </row>
    <row r="139" spans="1:57" s="298" customFormat="1" x14ac:dyDescent="0.2">
      <c r="A139" s="290" t="s">
        <v>205</v>
      </c>
      <c r="B139" s="290" t="s">
        <v>49</v>
      </c>
      <c r="C139" s="291" t="s">
        <v>57</v>
      </c>
      <c r="D139" s="291" t="s">
        <v>328</v>
      </c>
      <c r="E139" s="292">
        <v>4.3550000000000004</v>
      </c>
      <c r="F139" s="292">
        <f t="shared" si="54"/>
        <v>2.1067948275862074</v>
      </c>
      <c r="G139" s="293">
        <v>1.2219410000000002</v>
      </c>
      <c r="H139" s="293">
        <v>13.22168202003054</v>
      </c>
      <c r="I139" s="293">
        <v>2.745744183645213</v>
      </c>
      <c r="J139" s="293">
        <v>1.990791585925495</v>
      </c>
      <c r="K139" s="294">
        <v>7</v>
      </c>
      <c r="L139" s="294">
        <v>28</v>
      </c>
      <c r="M139" s="235" t="s">
        <v>104</v>
      </c>
      <c r="N139" s="293">
        <v>14.309208414074506</v>
      </c>
      <c r="O139" s="296">
        <f t="shared" si="59"/>
        <v>16.3</v>
      </c>
      <c r="P139" s="297" t="s">
        <v>220</v>
      </c>
      <c r="Q139" s="297"/>
      <c r="R139" s="282">
        <f t="shared" si="55"/>
        <v>1.1889706289078394</v>
      </c>
      <c r="S139" s="283">
        <v>0.97929846684369903</v>
      </c>
      <c r="T139" s="284" t="s">
        <v>37</v>
      </c>
      <c r="U139" s="283"/>
      <c r="V139" s="284"/>
      <c r="W139" s="284"/>
      <c r="X139" s="284"/>
      <c r="Y139" s="283">
        <v>0.97902994342356398</v>
      </c>
      <c r="Z139" s="284" t="s">
        <v>37</v>
      </c>
      <c r="AA139" s="283"/>
      <c r="AB139" s="284"/>
      <c r="AC139" s="284"/>
      <c r="AD139" s="284"/>
      <c r="AE139" s="285"/>
      <c r="AF139" s="287">
        <f t="shared" si="44"/>
        <v>2.6609032750623935</v>
      </c>
      <c r="AG139" s="287">
        <f t="shared" si="45"/>
        <v>2.7911651078127169</v>
      </c>
      <c r="AH139" s="288"/>
      <c r="AI139" s="288"/>
      <c r="AK139" s="286">
        <f t="shared" si="46"/>
        <v>17.013228527255514</v>
      </c>
      <c r="AL139" s="286">
        <f t="shared" si="47"/>
        <v>19.00402011318101</v>
      </c>
      <c r="AM139" s="287">
        <f t="shared" si="48"/>
        <v>2.8339911901176036</v>
      </c>
      <c r="AN139" s="287">
        <f t="shared" si="49"/>
        <v>2.944650541689775</v>
      </c>
      <c r="AO139" s="288"/>
      <c r="AP139" s="288"/>
      <c r="AR139" s="286">
        <f t="shared" si="50"/>
        <v>67.605649273638633</v>
      </c>
      <c r="AS139" s="286">
        <f t="shared" si="51"/>
        <v>75.487915718576204</v>
      </c>
      <c r="AT139" s="287">
        <f t="shared" si="52"/>
        <v>4.2136915486938786</v>
      </c>
      <c r="AU139" s="287">
        <f t="shared" si="53"/>
        <v>4.3239725867369376</v>
      </c>
      <c r="AV139" s="299"/>
      <c r="AW139" s="299"/>
      <c r="AX139" s="286"/>
      <c r="AY139" s="286"/>
      <c r="BD139" s="299"/>
      <c r="BE139" s="299"/>
    </row>
    <row r="140" spans="1:57" s="298" customFormat="1" x14ac:dyDescent="0.2">
      <c r="A140" s="290" t="s">
        <v>205</v>
      </c>
      <c r="B140" s="290" t="s">
        <v>49</v>
      </c>
      <c r="C140" s="291" t="s">
        <v>57</v>
      </c>
      <c r="D140" s="291" t="s">
        <v>328</v>
      </c>
      <c r="E140" s="292">
        <v>4.5250000000000004</v>
      </c>
      <c r="F140" s="292">
        <f t="shared" si="54"/>
        <v>2.6903258620689656</v>
      </c>
      <c r="G140" s="293">
        <v>1.560389</v>
      </c>
      <c r="H140" s="293">
        <v>0.9610998119323676</v>
      </c>
      <c r="I140" s="293">
        <v>1.6996584748962793</v>
      </c>
      <c r="J140" s="293">
        <v>0.81203546891056322</v>
      </c>
      <c r="K140" s="294">
        <v>7</v>
      </c>
      <c r="L140" s="294">
        <v>28</v>
      </c>
      <c r="M140" s="235" t="s">
        <v>104</v>
      </c>
      <c r="N140" s="293">
        <v>108.48796453108943</v>
      </c>
      <c r="O140" s="296">
        <f t="shared" si="59"/>
        <v>109.3</v>
      </c>
      <c r="P140" s="297" t="s">
        <v>220</v>
      </c>
      <c r="Q140" s="297"/>
      <c r="R140" s="282">
        <f t="shared" si="55"/>
        <v>1.1906192366824544</v>
      </c>
      <c r="S140" s="283">
        <v>0.97929846684369903</v>
      </c>
      <c r="T140" s="284" t="s">
        <v>37</v>
      </c>
      <c r="U140" s="283"/>
      <c r="V140" s="284"/>
      <c r="W140" s="284"/>
      <c r="X140" s="284"/>
      <c r="Y140" s="283">
        <v>0.97902994342356398</v>
      </c>
      <c r="Z140" s="284" t="s">
        <v>37</v>
      </c>
      <c r="AA140" s="283"/>
      <c r="AB140" s="284"/>
      <c r="AC140" s="284"/>
      <c r="AD140" s="284"/>
      <c r="AE140" s="285"/>
      <c r="AF140" s="287">
        <f t="shared" si="44"/>
        <v>4.6866392408470299</v>
      </c>
      <c r="AG140" s="287">
        <f t="shared" si="45"/>
        <v>4.694096395182493</v>
      </c>
      <c r="AH140" s="288"/>
      <c r="AI140" s="288"/>
      <c r="AK140" s="286">
        <f t="shared" si="46"/>
        <v>129.16785751923888</v>
      </c>
      <c r="AL140" s="286">
        <f t="shared" si="47"/>
        <v>129.97989298814943</v>
      </c>
      <c r="AM140" s="287">
        <f t="shared" si="48"/>
        <v>4.8611127795865778</v>
      </c>
      <c r="AN140" s="287">
        <f t="shared" si="49"/>
        <v>4.867379769171122</v>
      </c>
      <c r="AO140" s="288"/>
      <c r="AP140" s="288"/>
      <c r="AR140" s="286">
        <f t="shared" si="50"/>
        <v>820.98839887911754</v>
      </c>
      <c r="AS140" s="286">
        <f t="shared" si="51"/>
        <v>825.73084295992351</v>
      </c>
      <c r="AT140" s="287">
        <f t="shared" si="52"/>
        <v>6.7105089788764865</v>
      </c>
      <c r="AU140" s="287">
        <f t="shared" si="53"/>
        <v>6.7162688644376596</v>
      </c>
      <c r="AV140" s="299"/>
      <c r="AW140" s="299"/>
      <c r="AX140" s="286"/>
      <c r="AY140" s="286"/>
      <c r="BD140" s="299"/>
      <c r="BE140" s="299"/>
    </row>
    <row r="141" spans="1:57" s="298" customFormat="1" x14ac:dyDescent="0.2">
      <c r="A141" s="290" t="s">
        <v>205</v>
      </c>
      <c r="B141" s="290" t="s">
        <v>49</v>
      </c>
      <c r="C141" s="291" t="s">
        <v>57</v>
      </c>
      <c r="D141" s="291" t="s">
        <v>328</v>
      </c>
      <c r="E141" s="292">
        <v>4.72</v>
      </c>
      <c r="F141" s="292">
        <f t="shared" si="54"/>
        <v>3.6882896551724142</v>
      </c>
      <c r="G141" s="293">
        <v>2.139208</v>
      </c>
      <c r="H141" s="293">
        <v>1.897414769034566</v>
      </c>
      <c r="I141" s="293">
        <v>3.4601038238982307</v>
      </c>
      <c r="J141" s="293">
        <v>1.5383029420053971</v>
      </c>
      <c r="K141" s="294">
        <v>7</v>
      </c>
      <c r="L141" s="294">
        <v>28</v>
      </c>
      <c r="M141" s="235" t="s">
        <v>104</v>
      </c>
      <c r="N141" s="293">
        <v>155.4616970579946</v>
      </c>
      <c r="O141" s="296">
        <f t="shared" si="59"/>
        <v>157</v>
      </c>
      <c r="P141" s="297" t="s">
        <v>220</v>
      </c>
      <c r="Q141" s="297"/>
      <c r="R141" s="282">
        <f t="shared" si="55"/>
        <v>1.1934995660752823</v>
      </c>
      <c r="S141" s="283">
        <v>0.97929846684369903</v>
      </c>
      <c r="T141" s="284" t="s">
        <v>37</v>
      </c>
      <c r="U141" s="283"/>
      <c r="V141" s="284"/>
      <c r="W141" s="284"/>
      <c r="X141" s="284"/>
      <c r="Y141" s="283">
        <v>0.97902994342356398</v>
      </c>
      <c r="Z141" s="284" t="s">
        <v>37</v>
      </c>
      <c r="AA141" s="283"/>
      <c r="AB141" s="284"/>
      <c r="AC141" s="284"/>
      <c r="AD141" s="284"/>
      <c r="AE141" s="285"/>
      <c r="AF141" s="287">
        <f t="shared" si="44"/>
        <v>5.0463993801067941</v>
      </c>
      <c r="AG141" s="287">
        <f t="shared" si="45"/>
        <v>5.0562458053483077</v>
      </c>
      <c r="AH141" s="288"/>
      <c r="AI141" s="288"/>
      <c r="AK141" s="286">
        <f t="shared" si="46"/>
        <v>185.54346798004354</v>
      </c>
      <c r="AL141" s="286">
        <f t="shared" si="47"/>
        <v>187.08177092204895</v>
      </c>
      <c r="AM141" s="287">
        <f t="shared" si="48"/>
        <v>5.2232891833301887</v>
      </c>
      <c r="AN141" s="287">
        <f t="shared" si="49"/>
        <v>5.2315457989345893</v>
      </c>
      <c r="AO141" s="288"/>
      <c r="AP141" s="288"/>
      <c r="AR141" s="286">
        <f t="shared" si="50"/>
        <v>587.88435056930848</v>
      </c>
      <c r="AS141" s="286">
        <f t="shared" si="51"/>
        <v>592.57096797661995</v>
      </c>
      <c r="AT141" s="287">
        <f t="shared" si="52"/>
        <v>6.3765302458487891</v>
      </c>
      <c r="AU141" s="287">
        <f t="shared" si="53"/>
        <v>6.3844706430123033</v>
      </c>
      <c r="AV141" s="299"/>
      <c r="AW141" s="299"/>
      <c r="AX141" s="286"/>
      <c r="AY141" s="286"/>
      <c r="BD141" s="299"/>
      <c r="BE141" s="299"/>
    </row>
    <row r="142" spans="1:57" s="298" customFormat="1" x14ac:dyDescent="0.2">
      <c r="A142" s="290" t="s">
        <v>205</v>
      </c>
      <c r="B142" s="290" t="s">
        <v>49</v>
      </c>
      <c r="C142" s="291" t="s">
        <v>57</v>
      </c>
      <c r="D142" s="291" t="s">
        <v>328</v>
      </c>
      <c r="E142" s="292">
        <v>5.7050000000000001</v>
      </c>
      <c r="F142" s="292">
        <f t="shared" si="54"/>
        <v>1.3883413793103447</v>
      </c>
      <c r="G142" s="293">
        <v>0.8052379999999999</v>
      </c>
      <c r="H142" s="305">
        <v>47.947518321104361</v>
      </c>
      <c r="I142" s="293">
        <v>18.77565155327952</v>
      </c>
      <c r="J142" s="293">
        <v>10.903869470007898</v>
      </c>
      <c r="K142" s="294">
        <v>7</v>
      </c>
      <c r="L142" s="294">
        <v>28</v>
      </c>
      <c r="M142" s="235" t="s">
        <v>104</v>
      </c>
      <c r="N142" s="293">
        <v>241.09613052999211</v>
      </c>
      <c r="O142" s="296">
        <f t="shared" si="59"/>
        <v>252</v>
      </c>
      <c r="P142" s="297" t="s">
        <v>220</v>
      </c>
      <c r="Q142" s="297"/>
      <c r="R142" s="282">
        <f t="shared" si="55"/>
        <v>1.2608976679513182</v>
      </c>
      <c r="S142" s="283">
        <v>0.97929846684369903</v>
      </c>
      <c r="T142" s="284" t="s">
        <v>37</v>
      </c>
      <c r="U142" s="283"/>
      <c r="V142" s="284"/>
      <c r="W142" s="284"/>
      <c r="X142" s="284"/>
      <c r="Y142" s="283">
        <v>0.97902994342356398</v>
      </c>
      <c r="Z142" s="284" t="s">
        <v>37</v>
      </c>
      <c r="AA142" s="283"/>
      <c r="AB142" s="284"/>
      <c r="AC142" s="284"/>
      <c r="AD142" s="284"/>
      <c r="AE142" s="285"/>
      <c r="AF142" s="287">
        <f t="shared" si="44"/>
        <v>5.4851957358256191</v>
      </c>
      <c r="AG142" s="287">
        <f t="shared" si="45"/>
        <v>5.5294290875114234</v>
      </c>
      <c r="AH142" s="288"/>
      <c r="AI142" s="288"/>
      <c r="AK142" s="286">
        <f t="shared" si="46"/>
        <v>303.99754873735367</v>
      </c>
      <c r="AL142" s="286">
        <f t="shared" si="47"/>
        <v>314.90141820736159</v>
      </c>
      <c r="AM142" s="287">
        <f t="shared" si="48"/>
        <v>5.7170196380097442</v>
      </c>
      <c r="AN142" s="287">
        <f t="shared" si="49"/>
        <v>5.7522596317721684</v>
      </c>
      <c r="AO142" s="288"/>
      <c r="AP142" s="288"/>
      <c r="AR142" s="286">
        <f t="shared" si="50"/>
        <v>183.82976119628202</v>
      </c>
      <c r="AS142" s="286">
        <f t="shared" si="51"/>
        <v>190.44968468796162</v>
      </c>
      <c r="AT142" s="287">
        <f t="shared" si="52"/>
        <v>5.2140101184474368</v>
      </c>
      <c r="AU142" s="287">
        <f t="shared" si="53"/>
        <v>5.2493880373073942</v>
      </c>
      <c r="AV142" s="299"/>
      <c r="AW142" s="299"/>
      <c r="AX142" s="286"/>
      <c r="AY142" s="286"/>
      <c r="BD142" s="299"/>
      <c r="BE142" s="299"/>
    </row>
    <row r="143" spans="1:57" s="298" customFormat="1" x14ac:dyDescent="0.2">
      <c r="A143" s="290" t="s">
        <v>205</v>
      </c>
      <c r="B143" s="290" t="s">
        <v>49</v>
      </c>
      <c r="C143" s="291" t="s">
        <v>57</v>
      </c>
      <c r="D143" s="291" t="s">
        <v>328</v>
      </c>
      <c r="E143" s="292">
        <v>6.06</v>
      </c>
      <c r="F143" s="292">
        <f t="shared" si="54"/>
        <v>7.7947224137931057</v>
      </c>
      <c r="G143" s="293">
        <v>4.5209390000000012</v>
      </c>
      <c r="H143" s="293">
        <v>33.129342993821169</v>
      </c>
      <c r="I143" s="293">
        <v>28.890556248260236</v>
      </c>
      <c r="J143" s="293">
        <v>14.319040296590824</v>
      </c>
      <c r="K143" s="294">
        <v>7</v>
      </c>
      <c r="L143" s="294">
        <v>28</v>
      </c>
      <c r="M143" s="235" t="s">
        <v>104</v>
      </c>
      <c r="N143" s="293">
        <v>753.68095970340914</v>
      </c>
      <c r="O143" s="296">
        <f t="shared" si="59"/>
        <v>768</v>
      </c>
      <c r="P143" s="297" t="s">
        <v>220</v>
      </c>
      <c r="Q143" s="297"/>
      <c r="R143" s="282">
        <f t="shared" si="55"/>
        <v>1.3511411739173773</v>
      </c>
      <c r="S143" s="283">
        <v>0.97929846684369903</v>
      </c>
      <c r="T143" s="284" t="s">
        <v>37</v>
      </c>
      <c r="U143" s="283"/>
      <c r="V143" s="284"/>
      <c r="W143" s="284"/>
      <c r="X143" s="284"/>
      <c r="Y143" s="283">
        <v>0.97902994342356398</v>
      </c>
      <c r="Z143" s="284" t="s">
        <v>37</v>
      </c>
      <c r="AA143" s="283"/>
      <c r="AB143" s="284"/>
      <c r="AC143" s="284"/>
      <c r="AD143" s="284"/>
      <c r="AE143" s="285"/>
      <c r="AF143" s="287">
        <f t="shared" si="44"/>
        <v>6.624969148096211</v>
      </c>
      <c r="AG143" s="287">
        <f t="shared" si="45"/>
        <v>6.6437897331476723</v>
      </c>
      <c r="AH143" s="288"/>
      <c r="AI143" s="288"/>
      <c r="AK143" s="286">
        <f t="shared" si="46"/>
        <v>1018.3293766528398</v>
      </c>
      <c r="AL143" s="286">
        <f t="shared" si="47"/>
        <v>1032.6484169494306</v>
      </c>
      <c r="AM143" s="287">
        <f t="shared" si="48"/>
        <v>6.9259186974827447</v>
      </c>
      <c r="AN143" s="287">
        <f t="shared" si="49"/>
        <v>6.9398820597343054</v>
      </c>
      <c r="AO143" s="288"/>
      <c r="AP143" s="288"/>
      <c r="AR143" s="286">
        <f t="shared" si="50"/>
        <v>403.78264093636602</v>
      </c>
      <c r="AS143" s="286">
        <f t="shared" si="51"/>
        <v>409.56422321716326</v>
      </c>
      <c r="AT143" s="287">
        <f t="shared" si="52"/>
        <v>6.0008767156935683</v>
      </c>
      <c r="AU143" s="287">
        <f t="shared" si="53"/>
        <v>6.0150937242492208</v>
      </c>
      <c r="AV143" s="299"/>
      <c r="AW143" s="299"/>
      <c r="AX143" s="286"/>
      <c r="AY143" s="286"/>
      <c r="BD143" s="299"/>
      <c r="BE143" s="299"/>
    </row>
    <row r="144" spans="1:57" s="298" customFormat="1" x14ac:dyDescent="0.2">
      <c r="A144" s="290" t="s">
        <v>205</v>
      </c>
      <c r="B144" s="290" t="s">
        <v>49</v>
      </c>
      <c r="C144" s="291" t="s">
        <v>57</v>
      </c>
      <c r="D144" s="291" t="s">
        <v>328</v>
      </c>
      <c r="E144" s="292">
        <v>6.375</v>
      </c>
      <c r="F144" s="292">
        <f t="shared" si="54"/>
        <v>2.4694491379310346</v>
      </c>
      <c r="G144" s="293">
        <v>1.4322805000000001</v>
      </c>
      <c r="H144" s="293">
        <v>19.230598425729699</v>
      </c>
      <c r="I144" s="293">
        <v>20.402867481369348</v>
      </c>
      <c r="J144" s="293">
        <v>6.3148678712416988</v>
      </c>
      <c r="K144" s="294">
        <v>7</v>
      </c>
      <c r="L144" s="294">
        <v>28</v>
      </c>
      <c r="M144" s="235" t="s">
        <v>104</v>
      </c>
      <c r="N144" s="293">
        <v>746.68513212875826</v>
      </c>
      <c r="O144" s="296">
        <f t="shared" si="59"/>
        <v>753</v>
      </c>
      <c r="P144" s="297" t="s">
        <v>220</v>
      </c>
      <c r="Q144" s="297"/>
      <c r="R144" s="282">
        <f t="shared" si="55"/>
        <v>1.5092172276738214</v>
      </c>
      <c r="S144" s="283">
        <v>0.97929846684369903</v>
      </c>
      <c r="T144" s="284" t="s">
        <v>37</v>
      </c>
      <c r="U144" s="283"/>
      <c r="V144" s="284"/>
      <c r="W144" s="284"/>
      <c r="X144" s="284"/>
      <c r="Y144" s="283">
        <v>0.97902994342356398</v>
      </c>
      <c r="Z144" s="284" t="s">
        <v>37</v>
      </c>
      <c r="AA144" s="283"/>
      <c r="AB144" s="284"/>
      <c r="AC144" s="284"/>
      <c r="AD144" s="284"/>
      <c r="AE144" s="285"/>
      <c r="AF144" s="287">
        <f t="shared" si="44"/>
        <v>6.6156435864047687</v>
      </c>
      <c r="AG144" s="287">
        <f t="shared" si="45"/>
        <v>6.6240652277998935</v>
      </c>
      <c r="AH144" s="288"/>
      <c r="AI144" s="288"/>
      <c r="AK144" s="286">
        <f t="shared" si="46"/>
        <v>1126.9100650566256</v>
      </c>
      <c r="AL144" s="286">
        <f t="shared" si="47"/>
        <v>1133.2249329278673</v>
      </c>
      <c r="AM144" s="287">
        <f t="shared" si="48"/>
        <v>7.027234710550883</v>
      </c>
      <c r="AN144" s="287">
        <f t="shared" si="49"/>
        <v>7.0328227699450494</v>
      </c>
      <c r="AO144" s="288"/>
      <c r="AP144" s="288"/>
      <c r="AR144" s="286">
        <f t="shared" si="50"/>
        <v>628.18281838074608</v>
      </c>
      <c r="AS144" s="286">
        <f t="shared" si="51"/>
        <v>631.80420180141164</v>
      </c>
      <c r="AT144" s="287">
        <f t="shared" si="52"/>
        <v>6.4428312361745528</v>
      </c>
      <c r="AU144" s="287">
        <f t="shared" si="53"/>
        <v>6.4485795388704217</v>
      </c>
      <c r="AV144" s="299"/>
      <c r="AW144" s="299"/>
      <c r="BD144" s="299"/>
      <c r="BE144" s="299"/>
    </row>
    <row r="145" spans="1:57" s="298" customFormat="1" x14ac:dyDescent="0.2">
      <c r="A145" s="290" t="s">
        <v>205</v>
      </c>
      <c r="B145" s="290" t="s">
        <v>49</v>
      </c>
      <c r="C145" s="291" t="s">
        <v>57</v>
      </c>
      <c r="D145" s="291" t="s">
        <v>328</v>
      </c>
      <c r="E145" s="292">
        <v>7</v>
      </c>
      <c r="F145" s="292">
        <f t="shared" si="54"/>
        <v>1.5964870689655173</v>
      </c>
      <c r="G145" s="293">
        <v>0.92596250000000002</v>
      </c>
      <c r="H145" s="293">
        <v>13.655945530252296</v>
      </c>
      <c r="I145" s="293">
        <v>9.8408841579607369</v>
      </c>
      <c r="J145" s="293">
        <v>6.5956352593315302</v>
      </c>
      <c r="K145" s="294">
        <v>7</v>
      </c>
      <c r="L145" s="294">
        <v>28</v>
      </c>
      <c r="M145" s="235" t="s">
        <v>104</v>
      </c>
      <c r="N145" s="293">
        <v>666.40436474066848</v>
      </c>
      <c r="O145" s="296">
        <f t="shared" si="59"/>
        <v>673</v>
      </c>
      <c r="P145" s="297" t="s">
        <v>220</v>
      </c>
      <c r="Q145" s="297"/>
      <c r="R145" s="282">
        <f t="shared" si="55"/>
        <v>2.2080679260898619</v>
      </c>
      <c r="S145" s="283">
        <v>0.97929846684369903</v>
      </c>
      <c r="T145" s="284" t="s">
        <v>37</v>
      </c>
      <c r="U145" s="283"/>
      <c r="V145" s="284"/>
      <c r="W145" s="284"/>
      <c r="X145" s="284"/>
      <c r="Y145" s="283">
        <v>0.97902994342356398</v>
      </c>
      <c r="Z145" s="284" t="s">
        <v>37</v>
      </c>
      <c r="AA145" s="283"/>
      <c r="AB145" s="284"/>
      <c r="AC145" s="284"/>
      <c r="AD145" s="284"/>
      <c r="AE145" s="285"/>
      <c r="AF145" s="287">
        <f t="shared" si="44"/>
        <v>6.5018966405620784</v>
      </c>
      <c r="AG145" s="287">
        <f t="shared" si="45"/>
        <v>6.5117453296447279</v>
      </c>
      <c r="AH145" s="288"/>
      <c r="AI145" s="288"/>
      <c r="AK145" s="286">
        <f t="shared" si="46"/>
        <v>1471.4661035901597</v>
      </c>
      <c r="AL145" s="286">
        <f t="shared" si="47"/>
        <v>1478.0617388494913</v>
      </c>
      <c r="AM145" s="287">
        <f t="shared" si="48"/>
        <v>7.2940145321313921</v>
      </c>
      <c r="AN145" s="287">
        <f t="shared" si="49"/>
        <v>7.2984868725230676</v>
      </c>
      <c r="AO145" s="288"/>
      <c r="AP145" s="288"/>
      <c r="AR145" s="286">
        <f t="shared" si="50"/>
        <v>1675.1313253821825</v>
      </c>
      <c r="AS145" s="286">
        <f t="shared" si="51"/>
        <v>1682.5800520926971</v>
      </c>
      <c r="AT145" s="287">
        <f t="shared" si="52"/>
        <v>7.4236468443990384</v>
      </c>
      <c r="AU145" s="287">
        <f t="shared" si="53"/>
        <v>7.4280836396397438</v>
      </c>
      <c r="AV145" s="299"/>
      <c r="AW145" s="299"/>
      <c r="BD145" s="299"/>
      <c r="BE145" s="299"/>
    </row>
    <row r="146" spans="1:57" s="298" customFormat="1" x14ac:dyDescent="0.2">
      <c r="A146" s="290" t="s">
        <v>205</v>
      </c>
      <c r="B146" s="290" t="s">
        <v>49</v>
      </c>
      <c r="C146" s="291" t="s">
        <v>57</v>
      </c>
      <c r="D146" s="291" t="s">
        <v>328</v>
      </c>
      <c r="E146" s="292">
        <v>7.5</v>
      </c>
      <c r="F146" s="292">
        <f t="shared" si="54"/>
        <v>3.504509905645727</v>
      </c>
      <c r="G146" s="293">
        <v>2.0326157452745215</v>
      </c>
      <c r="H146" s="293">
        <v>31.872519203485023</v>
      </c>
      <c r="I146" s="293">
        <v>28.529144751045347</v>
      </c>
      <c r="J146" s="293">
        <v>11.245946592653912</v>
      </c>
      <c r="K146" s="294">
        <v>7</v>
      </c>
      <c r="L146" s="294">
        <v>28</v>
      </c>
      <c r="M146" s="235" t="s">
        <v>104</v>
      </c>
      <c r="N146" s="293">
        <v>740.75405340734608</v>
      </c>
      <c r="O146" s="296">
        <f t="shared" si="59"/>
        <v>752</v>
      </c>
      <c r="P146" s="297" t="s">
        <v>220</v>
      </c>
      <c r="Q146" s="297"/>
      <c r="R146" s="282">
        <f t="shared" si="55"/>
        <v>3.0752664074181557</v>
      </c>
      <c r="S146" s="283">
        <v>0.97929846684369903</v>
      </c>
      <c r="T146" s="284" t="s">
        <v>37</v>
      </c>
      <c r="U146" s="283"/>
      <c r="V146" s="284"/>
      <c r="W146" s="284"/>
      <c r="X146" s="284"/>
      <c r="Y146" s="283">
        <v>0.97902994342356398</v>
      </c>
      <c r="Z146" s="284" t="s">
        <v>37</v>
      </c>
      <c r="AA146" s="283"/>
      <c r="AB146" s="284"/>
      <c r="AC146" s="284"/>
      <c r="AD146" s="284"/>
      <c r="AE146" s="285"/>
      <c r="AF146" s="287">
        <f t="shared" si="44"/>
        <v>6.60766865847022</v>
      </c>
      <c r="AG146" s="287">
        <f t="shared" si="45"/>
        <v>6.62273632394984</v>
      </c>
      <c r="AH146" s="288"/>
      <c r="AI146" s="288"/>
      <c r="AK146" s="286">
        <f t="shared" si="46"/>
        <v>2278.016056602446</v>
      </c>
      <c r="AL146" s="286">
        <f t="shared" si="47"/>
        <v>2289.2620031951001</v>
      </c>
      <c r="AM146" s="287">
        <f t="shared" si="48"/>
        <v>7.7310601925347209</v>
      </c>
      <c r="AN146" s="287">
        <f t="shared" si="49"/>
        <v>7.7359847752612421</v>
      </c>
      <c r="AO146" s="288"/>
      <c r="AP146" s="288"/>
      <c r="AR146" s="286">
        <f t="shared" si="50"/>
        <v>914.47139552545832</v>
      </c>
      <c r="AS146" s="286">
        <f t="shared" si="51"/>
        <v>919.21591212948078</v>
      </c>
      <c r="AT146" s="287">
        <f t="shared" si="52"/>
        <v>6.81834618852867</v>
      </c>
      <c r="AU146" s="287">
        <f t="shared" si="53"/>
        <v>6.8235210372305382</v>
      </c>
      <c r="AV146" s="299"/>
      <c r="AW146" s="299"/>
      <c r="BD146" s="299"/>
      <c r="BE146" s="299"/>
    </row>
    <row r="147" spans="1:57" s="298" customFormat="1" x14ac:dyDescent="0.2">
      <c r="A147" s="290" t="s">
        <v>205</v>
      </c>
      <c r="B147" s="290" t="s">
        <v>49</v>
      </c>
      <c r="C147" s="291" t="s">
        <v>57</v>
      </c>
      <c r="D147" s="291" t="s">
        <v>328</v>
      </c>
      <c r="E147" s="292">
        <v>7.5250000000000004</v>
      </c>
      <c r="F147" s="292">
        <f t="shared" si="54"/>
        <v>2.4958212723915376</v>
      </c>
      <c r="G147" s="293">
        <v>1.4475763379870918</v>
      </c>
      <c r="H147" s="293">
        <v>38.576937974924618</v>
      </c>
      <c r="I147" s="293">
        <v>23.971447340032601</v>
      </c>
      <c r="J147" s="293">
        <v>29.575802025601583</v>
      </c>
      <c r="K147" s="294">
        <v>7</v>
      </c>
      <c r="L147" s="294">
        <v>28</v>
      </c>
      <c r="M147" s="295" t="s">
        <v>104</v>
      </c>
      <c r="N147" s="293">
        <v>673.42419797439845</v>
      </c>
      <c r="O147" s="296">
        <f t="shared" si="59"/>
        <v>703</v>
      </c>
      <c r="P147" s="297" t="s">
        <v>220</v>
      </c>
      <c r="Q147" s="297"/>
      <c r="R147" s="282">
        <f t="shared" si="55"/>
        <v>3.1176578244515478</v>
      </c>
      <c r="S147" s="283">
        <v>0.97929846684369903</v>
      </c>
      <c r="T147" s="284" t="s">
        <v>37</v>
      </c>
      <c r="U147" s="283"/>
      <c r="V147" s="284"/>
      <c r="W147" s="284"/>
      <c r="X147" s="284"/>
      <c r="Y147" s="283">
        <v>0.97902994342356398</v>
      </c>
      <c r="Z147" s="284" t="s">
        <v>37</v>
      </c>
      <c r="AA147" s="283"/>
      <c r="AB147" s="284"/>
      <c r="AC147" s="284"/>
      <c r="AD147" s="284"/>
      <c r="AE147" s="285"/>
      <c r="AF147" s="287">
        <f t="shared" si="44"/>
        <v>6.5123754401092784</v>
      </c>
      <c r="AG147" s="287">
        <f t="shared" si="45"/>
        <v>6.5553568918106651</v>
      </c>
      <c r="AH147" s="288"/>
      <c r="AI147" s="288"/>
      <c r="AK147" s="286">
        <f t="shared" si="46"/>
        <v>2099.5062199898916</v>
      </c>
      <c r="AL147" s="286">
        <f t="shared" si="47"/>
        <v>2129.0820220154933</v>
      </c>
      <c r="AM147" s="287">
        <f t="shared" si="48"/>
        <v>7.6494574627251897</v>
      </c>
      <c r="AN147" s="287">
        <f t="shared" si="49"/>
        <v>7.6634461902272237</v>
      </c>
      <c r="AO147" s="288"/>
      <c r="AP147" s="288"/>
      <c r="AR147" s="286">
        <f t="shared" si="50"/>
        <v>999.44772596709208</v>
      </c>
      <c r="AS147" s="286">
        <f t="shared" si="51"/>
        <v>1013.7332737799682</v>
      </c>
      <c r="AT147" s="287">
        <f t="shared" si="52"/>
        <v>6.9072028523897533</v>
      </c>
      <c r="AU147" s="287">
        <f t="shared" si="53"/>
        <v>6.9213951059395917</v>
      </c>
      <c r="AV147" s="299"/>
      <c r="AW147" s="299"/>
      <c r="BD147" s="299"/>
      <c r="BE147" s="299"/>
    </row>
    <row r="148" spans="1:57" s="298" customFormat="1" x14ac:dyDescent="0.2">
      <c r="A148" s="290" t="s">
        <v>205</v>
      </c>
      <c r="B148" s="290" t="s">
        <v>49</v>
      </c>
      <c r="C148" s="291" t="s">
        <v>57</v>
      </c>
      <c r="D148" s="291" t="s">
        <v>328</v>
      </c>
      <c r="E148" s="292">
        <v>6.8</v>
      </c>
      <c r="F148" s="292">
        <f t="shared" si="54"/>
        <v>3.2931034482758621</v>
      </c>
      <c r="G148" s="293">
        <v>1.91</v>
      </c>
      <c r="H148" s="293">
        <v>4</v>
      </c>
      <c r="I148" s="296">
        <v>9</v>
      </c>
      <c r="J148" s="293">
        <v>3</v>
      </c>
      <c r="K148" s="294">
        <v>21</v>
      </c>
      <c r="L148" s="294">
        <v>28</v>
      </c>
      <c r="M148" s="295" t="s">
        <v>104</v>
      </c>
      <c r="N148" s="293">
        <f>O148-J148</f>
        <v>178.5</v>
      </c>
      <c r="O148" s="296">
        <v>181.5</v>
      </c>
      <c r="P148" s="297" t="s">
        <v>215</v>
      </c>
      <c r="Q148" s="297"/>
      <c r="R148" s="282">
        <f t="shared" si="55"/>
        <v>1.9198266822503527</v>
      </c>
      <c r="S148" s="283">
        <v>0.97929846684369903</v>
      </c>
      <c r="T148" s="284" t="s">
        <v>37</v>
      </c>
      <c r="U148" s="283"/>
      <c r="V148" s="284"/>
      <c r="W148" s="284"/>
      <c r="X148" s="284"/>
      <c r="Y148" s="283">
        <v>0.97902994342356398</v>
      </c>
      <c r="Z148" s="284" t="s">
        <v>37</v>
      </c>
      <c r="AA148" s="283"/>
      <c r="AB148" s="284"/>
      <c r="AC148" s="284"/>
      <c r="AD148" s="284"/>
      <c r="AE148" s="285"/>
      <c r="AF148" s="287">
        <f t="shared" si="44"/>
        <v>5.1845886012196933</v>
      </c>
      <c r="AG148" s="287">
        <f t="shared" si="45"/>
        <v>5.2012556537049051</v>
      </c>
      <c r="AH148" s="288"/>
      <c r="AI148" s="288"/>
      <c r="AK148" s="286">
        <f t="shared" si="46"/>
        <v>342.68906278168794</v>
      </c>
      <c r="AL148" s="286">
        <f t="shared" si="47"/>
        <v>345.68906278168794</v>
      </c>
      <c r="AM148" s="287">
        <f t="shared" si="48"/>
        <v>5.8368235135235578</v>
      </c>
      <c r="AN148" s="287">
        <f t="shared" si="49"/>
        <v>5.8455397085378449</v>
      </c>
      <c r="AO148" s="288"/>
      <c r="AP148" s="288"/>
      <c r="AR148" s="286">
        <f t="shared" si="50"/>
        <v>425.7821062078097</v>
      </c>
      <c r="AS148" s="286">
        <f t="shared" si="51"/>
        <v>429.4839590341536</v>
      </c>
      <c r="AT148" s="287">
        <f t="shared" si="52"/>
        <v>6.0539277276397812</v>
      </c>
      <c r="AU148" s="287">
        <f t="shared" si="53"/>
        <v>6.0625843927272136</v>
      </c>
      <c r="AV148" s="299"/>
      <c r="AW148" s="299"/>
      <c r="BD148" s="299"/>
      <c r="BE148" s="299"/>
    </row>
    <row r="149" spans="1:57" s="359" customFormat="1" x14ac:dyDescent="0.2">
      <c r="A149" s="290" t="s">
        <v>205</v>
      </c>
      <c r="B149" s="290" t="s">
        <v>49</v>
      </c>
      <c r="C149" s="356" t="s">
        <v>57</v>
      </c>
      <c r="D149" s="356" t="s">
        <v>328</v>
      </c>
      <c r="E149" s="357">
        <v>7.3</v>
      </c>
      <c r="F149" s="357">
        <f t="shared" si="54"/>
        <v>10</v>
      </c>
      <c r="G149" s="357">
        <f>0.58*10</f>
        <v>5.8</v>
      </c>
      <c r="H149" s="357">
        <v>20</v>
      </c>
      <c r="I149" s="357">
        <v>15.1</v>
      </c>
      <c r="J149" s="357">
        <v>0</v>
      </c>
      <c r="K149" s="357">
        <v>7</v>
      </c>
      <c r="L149" s="357">
        <v>28</v>
      </c>
      <c r="M149" s="357" t="s">
        <v>93</v>
      </c>
      <c r="N149" s="293">
        <v>1000</v>
      </c>
      <c r="O149" s="358">
        <f t="shared" ref="O149:O160" si="64">N149+J149</f>
        <v>1000</v>
      </c>
      <c r="P149" s="359" t="s">
        <v>221</v>
      </c>
      <c r="R149" s="303">
        <f t="shared" si="55"/>
        <v>2.7226443260410949</v>
      </c>
      <c r="S149" s="307">
        <v>0.97929846684369903</v>
      </c>
      <c r="T149" s="308" t="s">
        <v>37</v>
      </c>
      <c r="U149" s="307"/>
      <c r="V149" s="308"/>
      <c r="W149" s="308"/>
      <c r="X149" s="308"/>
      <c r="Y149" s="307">
        <v>0.97902994342356398</v>
      </c>
      <c r="Z149" s="308" t="s">
        <v>37</v>
      </c>
      <c r="AA149" s="307"/>
      <c r="AB149" s="308"/>
      <c r="AC149" s="308"/>
      <c r="AD149" s="308"/>
      <c r="AF149" s="309">
        <f t="shared" si="44"/>
        <v>6.9077552789821368</v>
      </c>
      <c r="AG149" s="309">
        <f t="shared" si="45"/>
        <v>6.9077552789821368</v>
      </c>
      <c r="AH149" s="310"/>
      <c r="AI149" s="310"/>
      <c r="AK149" s="311">
        <f t="shared" si="46"/>
        <v>2722.6443260410947</v>
      </c>
      <c r="AL149" s="311">
        <f t="shared" si="47"/>
        <v>2722.6443260410947</v>
      </c>
      <c r="AM149" s="309">
        <f t="shared" si="48"/>
        <v>7.9093588657219733</v>
      </c>
      <c r="AN149" s="309">
        <f t="shared" si="49"/>
        <v>7.9093588657219733</v>
      </c>
      <c r="AO149" s="310"/>
      <c r="AP149" s="310"/>
      <c r="AR149" s="311">
        <f t="shared" si="50"/>
        <v>2037.9615338869407</v>
      </c>
      <c r="AS149" s="311">
        <f t="shared" si="51"/>
        <v>2038.1234011953059</v>
      </c>
      <c r="AT149" s="309">
        <f t="shared" si="52"/>
        <v>7.6197053391624161</v>
      </c>
      <c r="AU149" s="309">
        <f t="shared" si="53"/>
        <v>7.6197847620944836</v>
      </c>
      <c r="AV149" s="360"/>
      <c r="AW149" s="360"/>
      <c r="BD149" s="360"/>
      <c r="BE149" s="360"/>
    </row>
    <row r="150" spans="1:57" s="359" customFormat="1" x14ac:dyDescent="0.2">
      <c r="A150" s="290" t="s">
        <v>205</v>
      </c>
      <c r="B150" s="290" t="s">
        <v>49</v>
      </c>
      <c r="C150" s="356" t="s">
        <v>57</v>
      </c>
      <c r="D150" s="356" t="s">
        <v>328</v>
      </c>
      <c r="E150" s="357">
        <v>5.9</v>
      </c>
      <c r="F150" s="303">
        <f t="shared" si="54"/>
        <v>3.9482758620689657</v>
      </c>
      <c r="G150" s="357">
        <v>2.29</v>
      </c>
      <c r="H150" s="357">
        <v>7.9</v>
      </c>
      <c r="I150" s="358">
        <v>11</v>
      </c>
      <c r="J150" s="357">
        <v>0</v>
      </c>
      <c r="K150" s="357">
        <v>7</v>
      </c>
      <c r="L150" s="357">
        <v>28</v>
      </c>
      <c r="M150" s="357" t="s">
        <v>93</v>
      </c>
      <c r="N150" s="293">
        <v>100</v>
      </c>
      <c r="O150" s="358">
        <f t="shared" si="64"/>
        <v>100</v>
      </c>
      <c r="P150" s="359" t="s">
        <v>221</v>
      </c>
      <c r="R150" s="303">
        <f t="shared" si="55"/>
        <v>1.3020152930792388</v>
      </c>
      <c r="S150" s="307">
        <v>0.97929846684369903</v>
      </c>
      <c r="T150" s="308" t="s">
        <v>37</v>
      </c>
      <c r="U150" s="307"/>
      <c r="V150" s="308"/>
      <c r="W150" s="308"/>
      <c r="X150" s="308"/>
      <c r="Y150" s="307">
        <v>0.97902994342356398</v>
      </c>
      <c r="Z150" s="308" t="s">
        <v>37</v>
      </c>
      <c r="AA150" s="307"/>
      <c r="AB150" s="308"/>
      <c r="AC150" s="308"/>
      <c r="AD150" s="308"/>
      <c r="AF150" s="309">
        <f t="shared" si="44"/>
        <v>4.6051701859880918</v>
      </c>
      <c r="AG150" s="309">
        <f t="shared" si="45"/>
        <v>4.6051701859880918</v>
      </c>
      <c r="AH150" s="310"/>
      <c r="AI150" s="310"/>
      <c r="AK150" s="311">
        <f t="shared" si="46"/>
        <v>130.20152930792389</v>
      </c>
      <c r="AL150" s="311">
        <f t="shared" si="47"/>
        <v>130.20152930792389</v>
      </c>
      <c r="AM150" s="309">
        <f t="shared" si="48"/>
        <v>4.8690834755420758</v>
      </c>
      <c r="AN150" s="309">
        <f t="shared" si="49"/>
        <v>4.8690834755420758</v>
      </c>
      <c r="AO150" s="310"/>
      <c r="AP150" s="310"/>
      <c r="AR150" s="311">
        <f t="shared" si="50"/>
        <v>132.90986414192821</v>
      </c>
      <c r="AS150" s="311">
        <f t="shared" si="51"/>
        <v>132.90911384853933</v>
      </c>
      <c r="AT150" s="309">
        <f t="shared" si="52"/>
        <v>4.889671185251756</v>
      </c>
      <c r="AU150" s="309">
        <f t="shared" si="53"/>
        <v>4.8896655401063676</v>
      </c>
      <c r="AV150" s="360"/>
      <c r="AW150" s="360"/>
      <c r="BD150" s="360"/>
      <c r="BE150" s="360"/>
    </row>
    <row r="151" spans="1:57" s="362" customFormat="1" x14ac:dyDescent="0.2">
      <c r="A151" s="326" t="s">
        <v>205</v>
      </c>
      <c r="B151" s="326" t="s">
        <v>49</v>
      </c>
      <c r="C151" s="327" t="s">
        <v>57</v>
      </c>
      <c r="D151" s="327" t="s">
        <v>328</v>
      </c>
      <c r="E151" s="361">
        <v>5.9</v>
      </c>
      <c r="F151" s="316">
        <f t="shared" si="54"/>
        <v>3.9482758620689657</v>
      </c>
      <c r="G151" s="361">
        <v>2.29</v>
      </c>
      <c r="H151" s="361">
        <v>7.9</v>
      </c>
      <c r="I151" s="330">
        <v>11</v>
      </c>
      <c r="J151" s="361">
        <v>0</v>
      </c>
      <c r="K151" s="361">
        <v>14</v>
      </c>
      <c r="L151" s="361">
        <v>28</v>
      </c>
      <c r="M151" s="361" t="s">
        <v>104</v>
      </c>
      <c r="N151" s="318">
        <v>272.39999999999998</v>
      </c>
      <c r="O151" s="330">
        <f t="shared" si="64"/>
        <v>272.39999999999998</v>
      </c>
      <c r="P151" s="362" t="s">
        <v>222</v>
      </c>
      <c r="R151" s="316">
        <f t="shared" si="55"/>
        <v>1.3020152930792388</v>
      </c>
      <c r="S151" s="320">
        <v>0.97929846684369903</v>
      </c>
      <c r="T151" s="321" t="s">
        <v>37</v>
      </c>
      <c r="U151" s="320"/>
      <c r="V151" s="321"/>
      <c r="W151" s="321"/>
      <c r="X151" s="321"/>
      <c r="Y151" s="320">
        <v>0.97902994342356398</v>
      </c>
      <c r="Z151" s="321" t="s">
        <v>37</v>
      </c>
      <c r="AA151" s="320"/>
      <c r="AB151" s="321"/>
      <c r="AC151" s="321"/>
      <c r="AD151" s="321"/>
      <c r="AF151" s="322">
        <f t="shared" ref="AF151:AF182" si="65">LN(N151)</f>
        <v>5.6072715742753569</v>
      </c>
      <c r="AG151" s="322">
        <f t="shared" ref="AG151:AG182" si="66">LN(O151)</f>
        <v>5.6072715742753569</v>
      </c>
      <c r="AH151" s="323"/>
      <c r="AI151" s="323"/>
      <c r="AK151" s="324">
        <f t="shared" ref="AK151:AK182" si="67">N151*R151</f>
        <v>354.66896583478461</v>
      </c>
      <c r="AL151" s="324">
        <f t="shared" ref="AL151:AL182" si="68">AK151+J151</f>
        <v>354.66896583478461</v>
      </c>
      <c r="AM151" s="322">
        <f t="shared" ref="AM151:AM182" si="69">LN(AK151)</f>
        <v>5.8711848638293418</v>
      </c>
      <c r="AN151" s="322">
        <f t="shared" ref="AN151:AN182" si="70">LN(AL151)</f>
        <v>5.8711848638293418</v>
      </c>
      <c r="AO151" s="323"/>
      <c r="AP151" s="323"/>
      <c r="AR151" s="324">
        <f t="shared" ref="AR151:AR182" si="71">AK151*(eCEC/$I151)^$S151</f>
        <v>362.0464699226124</v>
      </c>
      <c r="AS151" s="324">
        <f t="shared" ref="AS151:AS182" si="72">AL151*(eCEC/$I151)^$Y151</f>
        <v>362.04442612342109</v>
      </c>
      <c r="AT151" s="322">
        <f t="shared" ref="AT151:AT182" si="73">LN(AR151)</f>
        <v>5.8917725735390221</v>
      </c>
      <c r="AU151" s="322">
        <f t="shared" ref="AU151:AU182" si="74">LN(AS151)</f>
        <v>5.8917669283936336</v>
      </c>
      <c r="AV151" s="363"/>
      <c r="AW151" s="363"/>
      <c r="BD151" s="363"/>
      <c r="BE151" s="363"/>
    </row>
    <row r="152" spans="1:57" s="298" customFormat="1" x14ac:dyDescent="0.2">
      <c r="A152" s="290" t="s">
        <v>205</v>
      </c>
      <c r="B152" s="290" t="s">
        <v>49</v>
      </c>
      <c r="C152" s="291" t="s">
        <v>53</v>
      </c>
      <c r="D152" s="291" t="s">
        <v>324</v>
      </c>
      <c r="E152" s="292">
        <v>4.3550000000000004</v>
      </c>
      <c r="F152" s="292">
        <f t="shared" si="54"/>
        <v>2.1067948275862074</v>
      </c>
      <c r="G152" s="293">
        <v>1.2219410000000002</v>
      </c>
      <c r="H152" s="293">
        <v>13.22168202003054</v>
      </c>
      <c r="I152" s="293">
        <v>2.745744183645213</v>
      </c>
      <c r="J152" s="293">
        <v>1.990791585925495</v>
      </c>
      <c r="K152" s="294">
        <v>7</v>
      </c>
      <c r="L152" s="294">
        <v>28</v>
      </c>
      <c r="M152" s="235" t="s">
        <v>104</v>
      </c>
      <c r="N152" s="293">
        <v>56.009208414074507</v>
      </c>
      <c r="O152" s="296">
        <f t="shared" si="64"/>
        <v>58</v>
      </c>
      <c r="P152" s="297" t="s">
        <v>220</v>
      </c>
      <c r="Q152" s="297"/>
      <c r="R152" s="282">
        <f t="shared" si="55"/>
        <v>1.1889706289078394</v>
      </c>
      <c r="S152" s="283">
        <v>0.64256132084000517</v>
      </c>
      <c r="T152" s="284" t="s">
        <v>37</v>
      </c>
      <c r="U152" s="283"/>
      <c r="V152" s="284"/>
      <c r="W152" s="284"/>
      <c r="X152" s="284"/>
      <c r="Y152" s="283">
        <v>0.64660756265233077</v>
      </c>
      <c r="Z152" s="284" t="s">
        <v>37</v>
      </c>
      <c r="AA152" s="283"/>
      <c r="AB152" s="284"/>
      <c r="AC152" s="284"/>
      <c r="AD152" s="284"/>
      <c r="AE152" s="285"/>
      <c r="AF152" s="287">
        <f t="shared" si="65"/>
        <v>4.025516113182654</v>
      </c>
      <c r="AG152" s="287">
        <f t="shared" si="66"/>
        <v>4.0604430105464191</v>
      </c>
      <c r="AH152" s="288"/>
      <c r="AI152" s="288"/>
      <c r="AK152" s="286">
        <f t="shared" si="67"/>
        <v>66.593303752712416</v>
      </c>
      <c r="AL152" s="286">
        <f t="shared" si="68"/>
        <v>68.584095338637908</v>
      </c>
      <c r="AM152" s="287">
        <f t="shared" si="69"/>
        <v>4.198604028237864</v>
      </c>
      <c r="AN152" s="287">
        <f t="shared" si="70"/>
        <v>4.228060661475773</v>
      </c>
      <c r="AO152" s="288"/>
      <c r="AP152" s="288"/>
      <c r="AR152" s="286">
        <f t="shared" si="71"/>
        <v>164.66067734703239</v>
      </c>
      <c r="AS152" s="286">
        <f t="shared" si="72"/>
        <v>170.55265932968356</v>
      </c>
      <c r="AT152" s="287">
        <f t="shared" si="73"/>
        <v>5.1038868554718784</v>
      </c>
      <c r="AU152" s="287">
        <f t="shared" si="74"/>
        <v>5.1390441014120061</v>
      </c>
      <c r="AV152" s="299"/>
      <c r="AW152" s="299"/>
      <c r="AX152" s="286">
        <f>GEOMEAN(AR152:AR160)</f>
        <v>253.72076188518528</v>
      </c>
      <c r="AY152" s="286">
        <f>GEOMEAN(AS152:AS160)</f>
        <v>262.41963153891112</v>
      </c>
      <c r="AZ152" s="286">
        <f>MIN(AX152:AX160)</f>
        <v>253.72076188518528</v>
      </c>
      <c r="BA152" s="286">
        <f>MIN(AY152:AY160)</f>
        <v>262.41963153891112</v>
      </c>
      <c r="BB152" s="287">
        <f>LN(AZ152)</f>
        <v>5.5362342996193989</v>
      </c>
      <c r="BC152" s="287">
        <f>LN(BA152)</f>
        <v>5.5699448695873803</v>
      </c>
      <c r="BD152" s="288"/>
      <c r="BE152" s="288"/>
    </row>
    <row r="153" spans="1:57" s="298" customFormat="1" x14ac:dyDescent="0.2">
      <c r="A153" s="290" t="s">
        <v>205</v>
      </c>
      <c r="B153" s="290" t="s">
        <v>49</v>
      </c>
      <c r="C153" s="291" t="s">
        <v>53</v>
      </c>
      <c r="D153" s="291" t="s">
        <v>324</v>
      </c>
      <c r="E153" s="292">
        <v>4.5250000000000004</v>
      </c>
      <c r="F153" s="292">
        <f t="shared" si="54"/>
        <v>2.6903258620689656</v>
      </c>
      <c r="G153" s="293">
        <v>1.560389</v>
      </c>
      <c r="H153" s="293">
        <v>0.9610998119323676</v>
      </c>
      <c r="I153" s="293">
        <v>1.6996584748962793</v>
      </c>
      <c r="J153" s="293">
        <v>0.81203546891056322</v>
      </c>
      <c r="K153" s="294">
        <v>7</v>
      </c>
      <c r="L153" s="294">
        <v>28</v>
      </c>
      <c r="M153" s="235" t="s">
        <v>104</v>
      </c>
      <c r="N153" s="293">
        <v>57.287964531089436</v>
      </c>
      <c r="O153" s="296">
        <f t="shared" si="64"/>
        <v>58.1</v>
      </c>
      <c r="P153" s="297" t="s">
        <v>220</v>
      </c>
      <c r="Q153" s="297"/>
      <c r="R153" s="282">
        <f t="shared" si="55"/>
        <v>1.1906192366824544</v>
      </c>
      <c r="S153" s="283">
        <v>0.64256132084000517</v>
      </c>
      <c r="T153" s="284" t="s">
        <v>37</v>
      </c>
      <c r="U153" s="283"/>
      <c r="V153" s="284"/>
      <c r="W153" s="284"/>
      <c r="X153" s="284"/>
      <c r="Y153" s="283">
        <v>0.64660756265233077</v>
      </c>
      <c r="Z153" s="284" t="s">
        <v>37</v>
      </c>
      <c r="AA153" s="283"/>
      <c r="AB153" s="284"/>
      <c r="AC153" s="284"/>
      <c r="AD153" s="284"/>
      <c r="AE153" s="285"/>
      <c r="AF153" s="287">
        <f t="shared" si="65"/>
        <v>4.0480905585711104</v>
      </c>
      <c r="AG153" s="287">
        <f t="shared" si="66"/>
        <v>4.0621656638578658</v>
      </c>
      <c r="AH153" s="288"/>
      <c r="AI153" s="288"/>
      <c r="AK153" s="286">
        <f t="shared" si="67"/>
        <v>68.208152601097225</v>
      </c>
      <c r="AL153" s="286">
        <f t="shared" si="68"/>
        <v>69.020188070007791</v>
      </c>
      <c r="AM153" s="287">
        <f t="shared" si="69"/>
        <v>4.2225640973106584</v>
      </c>
      <c r="AN153" s="287">
        <f t="shared" si="70"/>
        <v>4.2343990425286169</v>
      </c>
      <c r="AO153" s="288"/>
      <c r="AP153" s="288"/>
      <c r="AR153" s="286">
        <f t="shared" si="71"/>
        <v>229.53035251358986</v>
      </c>
      <c r="AS153" s="286">
        <f t="shared" si="72"/>
        <v>234.0445569613471</v>
      </c>
      <c r="AT153" s="287">
        <f t="shared" si="73"/>
        <v>5.4360352757168595</v>
      </c>
      <c r="AU153" s="287">
        <f t="shared" si="74"/>
        <v>5.4555115115959181</v>
      </c>
      <c r="AV153" s="299"/>
      <c r="AW153" s="299"/>
      <c r="AX153" s="286"/>
      <c r="AY153" s="286"/>
      <c r="BD153" s="299"/>
      <c r="BE153" s="299"/>
    </row>
    <row r="154" spans="1:57" s="298" customFormat="1" x14ac:dyDescent="0.2">
      <c r="A154" s="290" t="s">
        <v>205</v>
      </c>
      <c r="B154" s="290" t="s">
        <v>49</v>
      </c>
      <c r="C154" s="291" t="s">
        <v>53</v>
      </c>
      <c r="D154" s="291" t="s">
        <v>324</v>
      </c>
      <c r="E154" s="292">
        <v>4.72</v>
      </c>
      <c r="F154" s="292">
        <f t="shared" si="54"/>
        <v>3.6882896551724142</v>
      </c>
      <c r="G154" s="293">
        <v>2.139208</v>
      </c>
      <c r="H154" s="293">
        <v>1.897414769034566</v>
      </c>
      <c r="I154" s="293">
        <v>3.4601038238982307</v>
      </c>
      <c r="J154" s="293">
        <v>1.5383029420053971</v>
      </c>
      <c r="K154" s="294">
        <v>7</v>
      </c>
      <c r="L154" s="294">
        <v>28</v>
      </c>
      <c r="M154" s="235" t="s">
        <v>104</v>
      </c>
      <c r="N154" s="293">
        <v>200.4616970579946</v>
      </c>
      <c r="O154" s="296">
        <f t="shared" si="64"/>
        <v>202</v>
      </c>
      <c r="P154" s="297" t="s">
        <v>220</v>
      </c>
      <c r="Q154" s="297"/>
      <c r="R154" s="282">
        <f t="shared" si="55"/>
        <v>1.1934995660752823</v>
      </c>
      <c r="S154" s="283">
        <v>0.64256132084000517</v>
      </c>
      <c r="T154" s="284" t="s">
        <v>37</v>
      </c>
      <c r="U154" s="283"/>
      <c r="V154" s="284"/>
      <c r="W154" s="284"/>
      <c r="X154" s="284"/>
      <c r="Y154" s="283">
        <v>0.64660756265233077</v>
      </c>
      <c r="Z154" s="284" t="s">
        <v>37</v>
      </c>
      <c r="AA154" s="283"/>
      <c r="AB154" s="284"/>
      <c r="AC154" s="284"/>
      <c r="AD154" s="284"/>
      <c r="AE154" s="285"/>
      <c r="AF154" s="287">
        <f t="shared" si="65"/>
        <v>5.3006231913794757</v>
      </c>
      <c r="AG154" s="287">
        <f t="shared" si="66"/>
        <v>5.3082676974012051</v>
      </c>
      <c r="AH154" s="288"/>
      <c r="AI154" s="288"/>
      <c r="AK154" s="286">
        <f t="shared" si="67"/>
        <v>239.25094845343125</v>
      </c>
      <c r="AL154" s="286">
        <f t="shared" si="68"/>
        <v>240.78925139543665</v>
      </c>
      <c r="AM154" s="287">
        <f t="shared" si="69"/>
        <v>5.4775129946028702</v>
      </c>
      <c r="AN154" s="287">
        <f t="shared" si="70"/>
        <v>5.4839220753762623</v>
      </c>
      <c r="AO154" s="288"/>
      <c r="AP154" s="288"/>
      <c r="AR154" s="286">
        <f t="shared" si="71"/>
        <v>509.8954966034795</v>
      </c>
      <c r="AS154" s="286">
        <f t="shared" si="72"/>
        <v>515.62502754680725</v>
      </c>
      <c r="AT154" s="287">
        <f t="shared" si="73"/>
        <v>6.2342057961011035</v>
      </c>
      <c r="AU154" s="287">
        <f t="shared" si="74"/>
        <v>6.2453798105130547</v>
      </c>
      <c r="AV154" s="299"/>
      <c r="AW154" s="299"/>
      <c r="AX154" s="286"/>
      <c r="AY154" s="286"/>
      <c r="BD154" s="299"/>
      <c r="BE154" s="299"/>
    </row>
    <row r="155" spans="1:57" s="298" customFormat="1" x14ac:dyDescent="0.2">
      <c r="A155" s="290" t="s">
        <v>205</v>
      </c>
      <c r="B155" s="290" t="s">
        <v>49</v>
      </c>
      <c r="C155" s="291" t="s">
        <v>53</v>
      </c>
      <c r="D155" s="291" t="s">
        <v>324</v>
      </c>
      <c r="E155" s="292">
        <v>5.7050000000000001</v>
      </c>
      <c r="F155" s="292">
        <f t="shared" si="54"/>
        <v>1.3883413793103447</v>
      </c>
      <c r="G155" s="293">
        <v>0.8052379999999999</v>
      </c>
      <c r="H155" s="305">
        <v>47.947518321104361</v>
      </c>
      <c r="I155" s="293">
        <v>18.77565155327952</v>
      </c>
      <c r="J155" s="293">
        <v>10.903869470007898</v>
      </c>
      <c r="K155" s="294">
        <v>7</v>
      </c>
      <c r="L155" s="294">
        <v>28</v>
      </c>
      <c r="M155" s="235" t="s">
        <v>104</v>
      </c>
      <c r="N155" s="293">
        <v>122.09613052999211</v>
      </c>
      <c r="O155" s="296">
        <f t="shared" si="64"/>
        <v>133</v>
      </c>
      <c r="P155" s="297" t="s">
        <v>220</v>
      </c>
      <c r="Q155" s="297"/>
      <c r="R155" s="282">
        <f t="shared" si="55"/>
        <v>1.2608976679513182</v>
      </c>
      <c r="S155" s="283">
        <v>0.64256132084000517</v>
      </c>
      <c r="T155" s="284" t="s">
        <v>37</v>
      </c>
      <c r="U155" s="283"/>
      <c r="V155" s="284"/>
      <c r="W155" s="284"/>
      <c r="X155" s="284"/>
      <c r="Y155" s="283">
        <v>0.64660756265233077</v>
      </c>
      <c r="Z155" s="284" t="s">
        <v>37</v>
      </c>
      <c r="AA155" s="283"/>
      <c r="AB155" s="284"/>
      <c r="AC155" s="284"/>
      <c r="AD155" s="284"/>
      <c r="AE155" s="285"/>
      <c r="AF155" s="287">
        <f t="shared" si="65"/>
        <v>4.8048086896234334</v>
      </c>
      <c r="AG155" s="287">
        <f t="shared" si="66"/>
        <v>4.8903491282217537</v>
      </c>
      <c r="AH155" s="288"/>
      <c r="AI155" s="288"/>
      <c r="AK155" s="286">
        <f t="shared" si="67"/>
        <v>153.95072625114679</v>
      </c>
      <c r="AL155" s="286">
        <f t="shared" si="68"/>
        <v>164.85459572115468</v>
      </c>
      <c r="AM155" s="287">
        <f t="shared" si="69"/>
        <v>5.0366325918075585</v>
      </c>
      <c r="AN155" s="287">
        <f t="shared" si="70"/>
        <v>5.1050638473284504</v>
      </c>
      <c r="AO155" s="288"/>
      <c r="AP155" s="288"/>
      <c r="AR155" s="286">
        <f t="shared" si="71"/>
        <v>110.67363585655845</v>
      </c>
      <c r="AS155" s="286">
        <f t="shared" si="72"/>
        <v>118.26626740049656</v>
      </c>
      <c r="AT155" s="287">
        <f t="shared" si="73"/>
        <v>4.7065856528730174</v>
      </c>
      <c r="AU155" s="287">
        <f t="shared" si="74"/>
        <v>4.7729385857793432</v>
      </c>
      <c r="AV155" s="299"/>
      <c r="AW155" s="299"/>
      <c r="AX155" s="286"/>
      <c r="AY155" s="286"/>
      <c r="BD155" s="299"/>
      <c r="BE155" s="299"/>
    </row>
    <row r="156" spans="1:57" s="298" customFormat="1" x14ac:dyDescent="0.2">
      <c r="A156" s="290" t="s">
        <v>205</v>
      </c>
      <c r="B156" s="290" t="s">
        <v>49</v>
      </c>
      <c r="C156" s="291" t="s">
        <v>53</v>
      </c>
      <c r="D156" s="291" t="s">
        <v>324</v>
      </c>
      <c r="E156" s="292">
        <v>6.06</v>
      </c>
      <c r="F156" s="292">
        <f t="shared" si="54"/>
        <v>7.7947224137931057</v>
      </c>
      <c r="G156" s="293">
        <v>4.5209390000000012</v>
      </c>
      <c r="H156" s="293">
        <v>33.129342993821169</v>
      </c>
      <c r="I156" s="293">
        <v>28.890556248260236</v>
      </c>
      <c r="J156" s="293">
        <v>14.319040296590824</v>
      </c>
      <c r="K156" s="294">
        <v>7</v>
      </c>
      <c r="L156" s="294">
        <v>28</v>
      </c>
      <c r="M156" s="235" t="s">
        <v>104</v>
      </c>
      <c r="N156" s="293">
        <v>99.680959703409172</v>
      </c>
      <c r="O156" s="296">
        <f t="shared" si="64"/>
        <v>114</v>
      </c>
      <c r="P156" s="297" t="s">
        <v>220</v>
      </c>
      <c r="Q156" s="297"/>
      <c r="R156" s="282">
        <f t="shared" si="55"/>
        <v>1.3511411739173773</v>
      </c>
      <c r="S156" s="283">
        <v>0.64256132084000517</v>
      </c>
      <c r="T156" s="284" t="s">
        <v>37</v>
      </c>
      <c r="U156" s="283"/>
      <c r="V156" s="284"/>
      <c r="W156" s="284"/>
      <c r="X156" s="284"/>
      <c r="Y156" s="283">
        <v>0.64660756265233077</v>
      </c>
      <c r="Z156" s="284" t="s">
        <v>37</v>
      </c>
      <c r="AA156" s="283"/>
      <c r="AB156" s="284"/>
      <c r="AC156" s="284"/>
      <c r="AD156" s="284"/>
      <c r="AE156" s="285"/>
      <c r="AF156" s="287">
        <f t="shared" si="65"/>
        <v>4.6019746828359853</v>
      </c>
      <c r="AG156" s="287">
        <f t="shared" si="66"/>
        <v>4.7361984483944957</v>
      </c>
      <c r="AH156" s="288"/>
      <c r="AI156" s="288"/>
      <c r="AK156" s="286">
        <f t="shared" si="67"/>
        <v>134.68304891087504</v>
      </c>
      <c r="AL156" s="286">
        <f t="shared" si="68"/>
        <v>149.00208920746587</v>
      </c>
      <c r="AM156" s="287">
        <f t="shared" si="69"/>
        <v>4.9029242322225191</v>
      </c>
      <c r="AN156" s="287">
        <f t="shared" si="70"/>
        <v>5.0039603273737754</v>
      </c>
      <c r="AO156" s="288"/>
      <c r="AP156" s="288"/>
      <c r="AR156" s="286">
        <f t="shared" si="71"/>
        <v>73.40286786853045</v>
      </c>
      <c r="AS156" s="286">
        <f t="shared" si="72"/>
        <v>80.897023868963615</v>
      </c>
      <c r="AT156" s="287">
        <f t="shared" si="73"/>
        <v>4.2959630066355317</v>
      </c>
      <c r="AU156" s="287">
        <f t="shared" si="74"/>
        <v>4.3931770356122781</v>
      </c>
      <c r="AV156" s="299"/>
      <c r="AW156" s="299"/>
      <c r="AX156" s="286"/>
      <c r="AY156" s="286"/>
      <c r="BD156" s="299"/>
      <c r="BE156" s="299"/>
    </row>
    <row r="157" spans="1:57" s="298" customFormat="1" x14ac:dyDescent="0.2">
      <c r="A157" s="290" t="s">
        <v>205</v>
      </c>
      <c r="B157" s="290" t="s">
        <v>49</v>
      </c>
      <c r="C157" s="291" t="s">
        <v>53</v>
      </c>
      <c r="D157" s="291" t="s">
        <v>324</v>
      </c>
      <c r="E157" s="292">
        <v>6.375</v>
      </c>
      <c r="F157" s="292">
        <f t="shared" si="54"/>
        <v>2.4694491379310346</v>
      </c>
      <c r="G157" s="293">
        <v>1.4322805000000001</v>
      </c>
      <c r="H157" s="293">
        <v>19.230598425729699</v>
      </c>
      <c r="I157" s="293">
        <v>20.402867481369348</v>
      </c>
      <c r="J157" s="293">
        <v>6.3148678712416988</v>
      </c>
      <c r="K157" s="294">
        <v>7</v>
      </c>
      <c r="L157" s="294">
        <v>28</v>
      </c>
      <c r="M157" s="235" t="s">
        <v>104</v>
      </c>
      <c r="N157" s="293">
        <v>129.68513212875831</v>
      </c>
      <c r="O157" s="296">
        <f t="shared" si="64"/>
        <v>136</v>
      </c>
      <c r="P157" s="297" t="s">
        <v>220</v>
      </c>
      <c r="Q157" s="297"/>
      <c r="R157" s="282">
        <f t="shared" si="55"/>
        <v>1.5092172276738214</v>
      </c>
      <c r="S157" s="283">
        <v>0.64256132084000517</v>
      </c>
      <c r="T157" s="284" t="s">
        <v>37</v>
      </c>
      <c r="U157" s="283"/>
      <c r="V157" s="284"/>
      <c r="W157" s="284"/>
      <c r="X157" s="284"/>
      <c r="Y157" s="283">
        <v>0.64660756265233077</v>
      </c>
      <c r="Z157" s="284" t="s">
        <v>37</v>
      </c>
      <c r="AA157" s="283"/>
      <c r="AB157" s="284"/>
      <c r="AC157" s="284"/>
      <c r="AD157" s="284"/>
      <c r="AE157" s="285"/>
      <c r="AF157" s="287">
        <f t="shared" si="65"/>
        <v>4.8651094519740594</v>
      </c>
      <c r="AG157" s="287">
        <f t="shared" si="66"/>
        <v>4.9126548857360524</v>
      </c>
      <c r="AH157" s="288"/>
      <c r="AI157" s="288"/>
      <c r="AK157" s="286">
        <f t="shared" si="67"/>
        <v>195.72303558187784</v>
      </c>
      <c r="AL157" s="286">
        <f t="shared" si="68"/>
        <v>202.03790345311953</v>
      </c>
      <c r="AM157" s="287">
        <f t="shared" si="69"/>
        <v>5.2767005761201737</v>
      </c>
      <c r="AN157" s="287">
        <f t="shared" si="70"/>
        <v>5.308455320655888</v>
      </c>
      <c r="AO157" s="288"/>
      <c r="AP157" s="288"/>
      <c r="AR157" s="286">
        <f t="shared" si="71"/>
        <v>133.38603460838186</v>
      </c>
      <c r="AS157" s="286">
        <f t="shared" si="72"/>
        <v>137.35757474635602</v>
      </c>
      <c r="AT157" s="287">
        <f t="shared" si="73"/>
        <v>4.8932474399082526</v>
      </c>
      <c r="AU157" s="287">
        <f t="shared" si="74"/>
        <v>4.9225875602478206</v>
      </c>
      <c r="AV157" s="299"/>
      <c r="AW157" s="299"/>
      <c r="BD157" s="299"/>
      <c r="BE157" s="299"/>
    </row>
    <row r="158" spans="1:57" s="298" customFormat="1" x14ac:dyDescent="0.2">
      <c r="A158" s="290" t="s">
        <v>205</v>
      </c>
      <c r="B158" s="290" t="s">
        <v>49</v>
      </c>
      <c r="C158" s="291" t="s">
        <v>53</v>
      </c>
      <c r="D158" s="291" t="s">
        <v>324</v>
      </c>
      <c r="E158" s="292">
        <v>7</v>
      </c>
      <c r="F158" s="292">
        <f t="shared" si="54"/>
        <v>1.5964870689655173</v>
      </c>
      <c r="G158" s="293">
        <v>0.92596250000000002</v>
      </c>
      <c r="H158" s="293">
        <v>13.655945530252296</v>
      </c>
      <c r="I158" s="293">
        <v>9.8408841579607369</v>
      </c>
      <c r="J158" s="293">
        <v>6.5956352593315302</v>
      </c>
      <c r="K158" s="294">
        <v>7</v>
      </c>
      <c r="L158" s="294">
        <v>28</v>
      </c>
      <c r="M158" s="235" t="s">
        <v>93</v>
      </c>
      <c r="N158" s="293">
        <f>170-J158</f>
        <v>163.40436474066848</v>
      </c>
      <c r="O158" s="296">
        <f t="shared" si="64"/>
        <v>170</v>
      </c>
      <c r="P158" s="297" t="s">
        <v>220</v>
      </c>
      <c r="Q158" s="297"/>
      <c r="R158" s="282">
        <f t="shared" si="55"/>
        <v>2.2080679260898619</v>
      </c>
      <c r="S158" s="283">
        <v>0.64256132084000517</v>
      </c>
      <c r="T158" s="284" t="s">
        <v>37</v>
      </c>
      <c r="U158" s="283"/>
      <c r="V158" s="284"/>
      <c r="W158" s="284"/>
      <c r="X158" s="284"/>
      <c r="Y158" s="283">
        <v>0.64660756265233077</v>
      </c>
      <c r="Z158" s="284" t="s">
        <v>37</v>
      </c>
      <c r="AA158" s="283"/>
      <c r="AB158" s="284"/>
      <c r="AC158" s="284"/>
      <c r="AD158" s="284"/>
      <c r="AE158" s="285"/>
      <c r="AF158" s="287">
        <f t="shared" si="65"/>
        <v>5.0962278940683383</v>
      </c>
      <c r="AG158" s="287">
        <f t="shared" si="66"/>
        <v>5.1357984370502621</v>
      </c>
      <c r="AH158" s="288"/>
      <c r="AI158" s="288"/>
      <c r="AK158" s="286">
        <f t="shared" si="67"/>
        <v>360.80793676695919</v>
      </c>
      <c r="AL158" s="286">
        <f t="shared" si="68"/>
        <v>367.4035720262907</v>
      </c>
      <c r="AM158" s="287">
        <f t="shared" si="69"/>
        <v>5.8883457856376511</v>
      </c>
      <c r="AN158" s="287">
        <f t="shared" si="70"/>
        <v>5.9064608951787561</v>
      </c>
      <c r="AO158" s="288"/>
      <c r="AP158" s="288"/>
      <c r="AR158" s="286">
        <f t="shared" si="71"/>
        <v>392.84035844406145</v>
      </c>
      <c r="AS158" s="286">
        <f t="shared" si="72"/>
        <v>400.23586584551583</v>
      </c>
      <c r="AT158" s="287">
        <f t="shared" si="73"/>
        <v>5.9734033167320382</v>
      </c>
      <c r="AU158" s="287">
        <f t="shared" si="74"/>
        <v>5.9920540379379057</v>
      </c>
      <c r="AV158" s="299"/>
      <c r="AW158" s="299"/>
      <c r="BD158" s="299"/>
      <c r="BE158" s="299"/>
    </row>
    <row r="159" spans="1:57" s="298" customFormat="1" x14ac:dyDescent="0.2">
      <c r="A159" s="290" t="s">
        <v>205</v>
      </c>
      <c r="B159" s="290" t="s">
        <v>49</v>
      </c>
      <c r="C159" s="291" t="s">
        <v>53</v>
      </c>
      <c r="D159" s="291" t="s">
        <v>324</v>
      </c>
      <c r="E159" s="292">
        <v>7.5</v>
      </c>
      <c r="F159" s="292">
        <f t="shared" si="54"/>
        <v>3.504509905645727</v>
      </c>
      <c r="G159" s="293">
        <v>2.0326157452745215</v>
      </c>
      <c r="H159" s="293">
        <v>31.872519203485023</v>
      </c>
      <c r="I159" s="293">
        <v>28.529144751045347</v>
      </c>
      <c r="J159" s="293">
        <v>11.245946592653912</v>
      </c>
      <c r="K159" s="294">
        <v>7</v>
      </c>
      <c r="L159" s="294">
        <v>28</v>
      </c>
      <c r="M159" s="235" t="s">
        <v>104</v>
      </c>
      <c r="N159" s="293">
        <v>425.75405340734608</v>
      </c>
      <c r="O159" s="296">
        <f t="shared" si="64"/>
        <v>437</v>
      </c>
      <c r="P159" s="297" t="s">
        <v>220</v>
      </c>
      <c r="Q159" s="297"/>
      <c r="R159" s="282">
        <f t="shared" si="55"/>
        <v>3.0752664074181557</v>
      </c>
      <c r="S159" s="283">
        <v>0.64256132084000517</v>
      </c>
      <c r="T159" s="284" t="s">
        <v>37</v>
      </c>
      <c r="U159" s="283"/>
      <c r="V159" s="284"/>
      <c r="W159" s="284"/>
      <c r="X159" s="284"/>
      <c r="Y159" s="283">
        <v>0.64660756265233077</v>
      </c>
      <c r="Z159" s="284" t="s">
        <v>37</v>
      </c>
      <c r="AA159" s="283"/>
      <c r="AB159" s="284"/>
      <c r="AC159" s="284"/>
      <c r="AD159" s="284"/>
      <c r="AE159" s="285"/>
      <c r="AF159" s="287">
        <f t="shared" si="65"/>
        <v>6.0538618401254185</v>
      </c>
      <c r="AG159" s="287">
        <f t="shared" si="66"/>
        <v>6.0799331950955899</v>
      </c>
      <c r="AH159" s="288"/>
      <c r="AI159" s="288"/>
      <c r="AK159" s="286">
        <f t="shared" si="67"/>
        <v>1309.3071382657267</v>
      </c>
      <c r="AL159" s="286">
        <f t="shared" si="68"/>
        <v>1320.5530848583805</v>
      </c>
      <c r="AM159" s="287">
        <f t="shared" si="69"/>
        <v>7.1772533741899194</v>
      </c>
      <c r="AN159" s="287">
        <f t="shared" si="70"/>
        <v>7.185805931503479</v>
      </c>
      <c r="AO159" s="288"/>
      <c r="AP159" s="288"/>
      <c r="AR159" s="286">
        <f t="shared" si="71"/>
        <v>719.37378006435097</v>
      </c>
      <c r="AS159" s="286">
        <f t="shared" si="72"/>
        <v>722.82164999856923</v>
      </c>
      <c r="AT159" s="287">
        <f t="shared" si="73"/>
        <v>6.5783810836475691</v>
      </c>
      <c r="AU159" s="287">
        <f t="shared" si="74"/>
        <v>6.5831625112282213</v>
      </c>
      <c r="AV159" s="299"/>
      <c r="AW159" s="299"/>
      <c r="BD159" s="299"/>
      <c r="BE159" s="299"/>
    </row>
    <row r="160" spans="1:57" s="336" customFormat="1" x14ac:dyDescent="0.2">
      <c r="A160" s="326" t="s">
        <v>205</v>
      </c>
      <c r="B160" s="326" t="s">
        <v>49</v>
      </c>
      <c r="C160" s="327" t="s">
        <v>53</v>
      </c>
      <c r="D160" s="327" t="s">
        <v>324</v>
      </c>
      <c r="E160" s="328">
        <v>7.5250000000000004</v>
      </c>
      <c r="F160" s="328">
        <f t="shared" si="54"/>
        <v>2.4958212723915376</v>
      </c>
      <c r="G160" s="318">
        <v>1.4475763379870918</v>
      </c>
      <c r="H160" s="318">
        <v>38.576937974924618</v>
      </c>
      <c r="I160" s="318">
        <v>23.971447340032601</v>
      </c>
      <c r="J160" s="318">
        <v>29.575802025601583</v>
      </c>
      <c r="K160" s="329">
        <v>7</v>
      </c>
      <c r="L160" s="329">
        <v>28</v>
      </c>
      <c r="M160" s="231" t="s">
        <v>104</v>
      </c>
      <c r="N160" s="318">
        <v>385.4241979743984</v>
      </c>
      <c r="O160" s="330">
        <f t="shared" si="64"/>
        <v>415</v>
      </c>
      <c r="P160" s="331" t="s">
        <v>220</v>
      </c>
      <c r="Q160" s="331"/>
      <c r="R160" s="316">
        <f t="shared" si="55"/>
        <v>3.1176578244515478</v>
      </c>
      <c r="S160" s="332">
        <v>0.64256132084000517</v>
      </c>
      <c r="T160" s="333" t="s">
        <v>37</v>
      </c>
      <c r="U160" s="332"/>
      <c r="V160" s="333"/>
      <c r="W160" s="333"/>
      <c r="X160" s="333"/>
      <c r="Y160" s="332">
        <v>0.64660756265233077</v>
      </c>
      <c r="Z160" s="333" t="s">
        <v>37</v>
      </c>
      <c r="AA160" s="332"/>
      <c r="AB160" s="333"/>
      <c r="AC160" s="333"/>
      <c r="AD160" s="333"/>
      <c r="AE160" s="163"/>
      <c r="AF160" s="334">
        <f t="shared" si="65"/>
        <v>5.9543445406579396</v>
      </c>
      <c r="AG160" s="334">
        <f t="shared" si="66"/>
        <v>6.0282785202306979</v>
      </c>
      <c r="AH160" s="335"/>
      <c r="AI160" s="335"/>
      <c r="AK160" s="337">
        <f t="shared" si="67"/>
        <v>1201.6207665478455</v>
      </c>
      <c r="AL160" s="337">
        <f t="shared" si="68"/>
        <v>1231.1965685734472</v>
      </c>
      <c r="AM160" s="334">
        <f t="shared" si="69"/>
        <v>7.0914265632738509</v>
      </c>
      <c r="AN160" s="334">
        <f t="shared" si="70"/>
        <v>7.1157417954621822</v>
      </c>
      <c r="AO160" s="335"/>
      <c r="AP160" s="335"/>
      <c r="AR160" s="337">
        <f t="shared" si="71"/>
        <v>738.33693321711746</v>
      </c>
      <c r="AS160" s="337">
        <f t="shared" si="72"/>
        <v>754.19327794763694</v>
      </c>
      <c r="AT160" s="334">
        <f t="shared" si="73"/>
        <v>6.6044002694883384</v>
      </c>
      <c r="AU160" s="334">
        <f t="shared" si="74"/>
        <v>6.6256486719598717</v>
      </c>
      <c r="AV160" s="338"/>
      <c r="AW160" s="338"/>
      <c r="BD160" s="338"/>
      <c r="BE160" s="338"/>
    </row>
    <row r="161" spans="1:57" s="336" customFormat="1" x14ac:dyDescent="0.2">
      <c r="A161" s="326" t="s">
        <v>205</v>
      </c>
      <c r="B161" s="326" t="s">
        <v>49</v>
      </c>
      <c r="C161" s="327" t="s">
        <v>52</v>
      </c>
      <c r="D161" s="327" t="s">
        <v>223</v>
      </c>
      <c r="E161" s="328">
        <v>6.8</v>
      </c>
      <c r="F161" s="328">
        <f t="shared" si="54"/>
        <v>3.2931034482758621</v>
      </c>
      <c r="G161" s="318">
        <v>1.91</v>
      </c>
      <c r="H161" s="318">
        <v>4</v>
      </c>
      <c r="I161" s="330">
        <v>9</v>
      </c>
      <c r="J161" s="318">
        <v>3</v>
      </c>
      <c r="K161" s="329">
        <v>21</v>
      </c>
      <c r="L161" s="329">
        <v>28</v>
      </c>
      <c r="M161" s="231" t="s">
        <v>104</v>
      </c>
      <c r="N161" s="318">
        <f>O161-J161</f>
        <v>54.77</v>
      </c>
      <c r="O161" s="330">
        <v>57.77</v>
      </c>
      <c r="P161" s="331" t="s">
        <v>215</v>
      </c>
      <c r="Q161" s="331"/>
      <c r="R161" s="316">
        <f t="shared" si="55"/>
        <v>1.9198266822503527</v>
      </c>
      <c r="S161" s="332">
        <v>0.64256132084000495</v>
      </c>
      <c r="T161" s="333" t="s">
        <v>37</v>
      </c>
      <c r="U161" s="332"/>
      <c r="V161" s="333"/>
      <c r="W161" s="333"/>
      <c r="X161" s="333"/>
      <c r="Y161" s="332">
        <v>0.64660756265233077</v>
      </c>
      <c r="Z161" s="333" t="s">
        <v>37</v>
      </c>
      <c r="AA161" s="332"/>
      <c r="AB161" s="333"/>
      <c r="AC161" s="333"/>
      <c r="AD161" s="333"/>
      <c r="AE161" s="163"/>
      <c r="AF161" s="334">
        <f t="shared" si="65"/>
        <v>4.0031425987956304</v>
      </c>
      <c r="AG161" s="334">
        <f t="shared" si="66"/>
        <v>4.0564696097931741</v>
      </c>
      <c r="AH161" s="335"/>
      <c r="AI161" s="335"/>
      <c r="AK161" s="337">
        <f t="shared" si="67"/>
        <v>105.14890738685182</v>
      </c>
      <c r="AL161" s="337">
        <f t="shared" si="68"/>
        <v>108.14890738685182</v>
      </c>
      <c r="AM161" s="334">
        <f t="shared" si="69"/>
        <v>4.6553775110994948</v>
      </c>
      <c r="AN161" s="334">
        <f t="shared" si="70"/>
        <v>4.6835090495912324</v>
      </c>
      <c r="AO161" s="335"/>
      <c r="AP161" s="335"/>
      <c r="AR161" s="337">
        <f t="shared" si="71"/>
        <v>121.24693499432331</v>
      </c>
      <c r="AS161" s="337">
        <f t="shared" si="72"/>
        <v>124.81814219894568</v>
      </c>
      <c r="AT161" s="334">
        <f t="shared" si="73"/>
        <v>4.7978292511007554</v>
      </c>
      <c r="AU161" s="334">
        <f t="shared" si="74"/>
        <v>4.8268578155539652</v>
      </c>
      <c r="AV161" s="338"/>
      <c r="AW161" s="338"/>
      <c r="AX161" s="334">
        <f>GEOMEAN(AR161)</f>
        <v>121.24693499432331</v>
      </c>
      <c r="AY161" s="334">
        <f>GEOMEAN(AS161)</f>
        <v>124.81814219894568</v>
      </c>
      <c r="AZ161" s="334">
        <f>MIN(AX161)</f>
        <v>121.24693499432331</v>
      </c>
      <c r="BA161" s="334">
        <f>MIN(AY161)</f>
        <v>124.81814219894568</v>
      </c>
      <c r="BB161" s="334">
        <f>LN(AZ161)</f>
        <v>4.7978292511007554</v>
      </c>
      <c r="BC161" s="334">
        <f>LN(BA161)</f>
        <v>4.8268578155539652</v>
      </c>
      <c r="BD161" s="335"/>
      <c r="BE161" s="335"/>
    </row>
    <row r="162" spans="1:57" s="298" customFormat="1" x14ac:dyDescent="0.2">
      <c r="A162" s="290" t="s">
        <v>205</v>
      </c>
      <c r="B162" s="290" t="s">
        <v>49</v>
      </c>
      <c r="C162" s="291" t="s">
        <v>81</v>
      </c>
      <c r="D162" s="291" t="s">
        <v>328</v>
      </c>
      <c r="E162" s="292">
        <v>4.3</v>
      </c>
      <c r="F162" s="292">
        <f t="shared" si="54"/>
        <v>9.1293758620689687</v>
      </c>
      <c r="G162" s="293">
        <v>5.2950380000000017</v>
      </c>
      <c r="H162" s="293">
        <v>1.5220887043854308</v>
      </c>
      <c r="I162" s="293">
        <v>6.1560623950335334</v>
      </c>
      <c r="J162" s="293">
        <v>3.9615894527830369</v>
      </c>
      <c r="K162" s="294">
        <v>7</v>
      </c>
      <c r="L162" s="294">
        <v>42</v>
      </c>
      <c r="M162" s="235" t="s">
        <v>104</v>
      </c>
      <c r="N162" s="293">
        <v>69.138410547216964</v>
      </c>
      <c r="O162" s="296">
        <f t="shared" ref="O162:O195" si="75">N162+J162</f>
        <v>73.099999999999994</v>
      </c>
      <c r="P162" s="297" t="s">
        <v>220</v>
      </c>
      <c r="Q162" s="297"/>
      <c r="R162" s="282">
        <f t="shared" si="55"/>
        <v>1.1885610477282691</v>
      </c>
      <c r="S162" s="283">
        <v>1.0452150822554569</v>
      </c>
      <c r="T162" s="284" t="s">
        <v>37</v>
      </c>
      <c r="U162" s="283"/>
      <c r="V162" s="284"/>
      <c r="W162" s="284"/>
      <c r="X162" s="284"/>
      <c r="Y162" s="283">
        <v>1.0473256252168839</v>
      </c>
      <c r="Z162" s="284" t="s">
        <v>37</v>
      </c>
      <c r="AA162" s="283"/>
      <c r="AB162" s="284"/>
      <c r="AC162" s="284"/>
      <c r="AD162" s="284"/>
      <c r="AE162" s="285"/>
      <c r="AF162" s="287">
        <f t="shared" si="65"/>
        <v>4.2361104453258012</v>
      </c>
      <c r="AG162" s="287">
        <f t="shared" si="66"/>
        <v>4.2918283667557331</v>
      </c>
      <c r="AH162" s="288"/>
      <c r="AI162" s="288"/>
      <c r="AK162" s="286">
        <f t="shared" si="67"/>
        <v>82.175221678267405</v>
      </c>
      <c r="AL162" s="286">
        <f t="shared" si="68"/>
        <v>86.136811131050436</v>
      </c>
      <c r="AM162" s="287">
        <f t="shared" si="69"/>
        <v>4.4088538171829983</v>
      </c>
      <c r="AN162" s="287">
        <f t="shared" si="70"/>
        <v>4.4559368593336917</v>
      </c>
      <c r="AO162" s="288"/>
      <c r="AP162" s="288"/>
      <c r="AR162" s="286">
        <f t="shared" si="71"/>
        <v>154.08904664347165</v>
      </c>
      <c r="AS162" s="286">
        <f t="shared" si="72"/>
        <v>161.72270216806447</v>
      </c>
      <c r="AT162" s="287">
        <f t="shared" si="73"/>
        <v>5.0375306602636005</v>
      </c>
      <c r="AU162" s="287">
        <f t="shared" si="74"/>
        <v>5.0858831535623894</v>
      </c>
      <c r="AV162" s="299"/>
      <c r="AW162" s="299"/>
      <c r="AX162" s="286">
        <f>GEOMEAN(AR162:AR167)</f>
        <v>461.26399973132067</v>
      </c>
      <c r="AY162" s="286">
        <f>GEOMEAN(AS162:AS167)</f>
        <v>470.63409344578673</v>
      </c>
      <c r="AZ162" s="286">
        <f>MIN(AX162:AX167)</f>
        <v>461.26399973132067</v>
      </c>
      <c r="BA162" s="286">
        <f>MIN(AY162:AY167)</f>
        <v>470.63409344578673</v>
      </c>
      <c r="BB162" s="287">
        <f>LN(AZ162)</f>
        <v>6.1339705466151528</v>
      </c>
      <c r="BC162" s="287">
        <f>LN(BA162)</f>
        <v>6.1540809204302498</v>
      </c>
      <c r="BD162" s="288"/>
      <c r="BE162" s="288"/>
    </row>
    <row r="163" spans="1:57" s="298" customFormat="1" x14ac:dyDescent="0.2">
      <c r="A163" s="290" t="s">
        <v>205</v>
      </c>
      <c r="B163" s="290" t="s">
        <v>49</v>
      </c>
      <c r="C163" s="291" t="s">
        <v>81</v>
      </c>
      <c r="D163" s="291" t="s">
        <v>328</v>
      </c>
      <c r="E163" s="292">
        <v>4.5250000000000004</v>
      </c>
      <c r="F163" s="292">
        <f t="shared" si="54"/>
        <v>2.6903258620689656</v>
      </c>
      <c r="G163" s="293">
        <v>1.560389</v>
      </c>
      <c r="H163" s="293">
        <v>0.9610998119323676</v>
      </c>
      <c r="I163" s="293">
        <v>1.6996584748962793</v>
      </c>
      <c r="J163" s="293">
        <v>0.81203546891056322</v>
      </c>
      <c r="K163" s="294">
        <v>7</v>
      </c>
      <c r="L163" s="294">
        <v>42</v>
      </c>
      <c r="M163" s="235" t="s">
        <v>104</v>
      </c>
      <c r="N163" s="293">
        <v>60.587964531089433</v>
      </c>
      <c r="O163" s="296">
        <f t="shared" si="75"/>
        <v>61.4</v>
      </c>
      <c r="P163" s="297" t="s">
        <v>220</v>
      </c>
      <c r="Q163" s="297"/>
      <c r="R163" s="282">
        <f t="shared" si="55"/>
        <v>1.1906192366824544</v>
      </c>
      <c r="S163" s="283">
        <v>1.0452150822554569</v>
      </c>
      <c r="T163" s="284" t="s">
        <v>37</v>
      </c>
      <c r="U163" s="283"/>
      <c r="V163" s="284"/>
      <c r="W163" s="284"/>
      <c r="X163" s="284"/>
      <c r="Y163" s="283">
        <v>1.0473256252168839</v>
      </c>
      <c r="Z163" s="284" t="s">
        <v>37</v>
      </c>
      <c r="AA163" s="283"/>
      <c r="AB163" s="284"/>
      <c r="AC163" s="284"/>
      <c r="AD163" s="284"/>
      <c r="AE163" s="285"/>
      <c r="AF163" s="287">
        <f t="shared" si="65"/>
        <v>4.104096268253131</v>
      </c>
      <c r="AG163" s="287">
        <f t="shared" si="66"/>
        <v>4.1174098351530963</v>
      </c>
      <c r="AH163" s="288"/>
      <c r="AI163" s="288"/>
      <c r="AK163" s="286">
        <f t="shared" si="67"/>
        <v>72.137196082149316</v>
      </c>
      <c r="AL163" s="286">
        <f t="shared" si="68"/>
        <v>72.949231551059881</v>
      </c>
      <c r="AM163" s="287">
        <f t="shared" si="69"/>
        <v>4.2785698069926781</v>
      </c>
      <c r="AN163" s="287">
        <f t="shared" si="70"/>
        <v>4.2897637410004936</v>
      </c>
      <c r="AO163" s="288"/>
      <c r="AP163" s="288"/>
      <c r="AR163" s="286">
        <f t="shared" si="71"/>
        <v>519.28295729655554</v>
      </c>
      <c r="AS163" s="286">
        <f t="shared" si="72"/>
        <v>527.2256349878495</v>
      </c>
      <c r="AT163" s="287">
        <f t="shared" si="73"/>
        <v>6.2524489317031335</v>
      </c>
      <c r="AU163" s="287">
        <f t="shared" si="74"/>
        <v>6.2676286067934219</v>
      </c>
      <c r="AV163" s="299"/>
      <c r="AW163" s="299"/>
      <c r="AX163" s="286"/>
      <c r="AY163" s="286"/>
      <c r="BD163" s="299"/>
      <c r="BE163" s="299"/>
    </row>
    <row r="164" spans="1:57" s="298" customFormat="1" x14ac:dyDescent="0.2">
      <c r="A164" s="290" t="s">
        <v>205</v>
      </c>
      <c r="B164" s="290" t="s">
        <v>49</v>
      </c>
      <c r="C164" s="291" t="s">
        <v>81</v>
      </c>
      <c r="D164" s="291" t="s">
        <v>328</v>
      </c>
      <c r="E164" s="292">
        <v>4.72</v>
      </c>
      <c r="F164" s="292">
        <f t="shared" si="54"/>
        <v>3.6882896551724142</v>
      </c>
      <c r="G164" s="293">
        <v>2.139208</v>
      </c>
      <c r="H164" s="293">
        <v>1.897414769034566</v>
      </c>
      <c r="I164" s="293">
        <v>3.4601038238982307</v>
      </c>
      <c r="J164" s="293">
        <v>1.5383029420053971</v>
      </c>
      <c r="K164" s="294">
        <v>7</v>
      </c>
      <c r="L164" s="294">
        <v>42</v>
      </c>
      <c r="M164" s="235" t="s">
        <v>104</v>
      </c>
      <c r="N164" s="293">
        <v>51.461697057994606</v>
      </c>
      <c r="O164" s="296">
        <f t="shared" si="75"/>
        <v>53</v>
      </c>
      <c r="P164" s="297" t="s">
        <v>220</v>
      </c>
      <c r="Q164" s="297"/>
      <c r="R164" s="282">
        <f t="shared" si="55"/>
        <v>1.1934995660752823</v>
      </c>
      <c r="S164" s="283">
        <v>1.0452150822554569</v>
      </c>
      <c r="T164" s="284" t="s">
        <v>37</v>
      </c>
      <c r="U164" s="283"/>
      <c r="V164" s="284"/>
      <c r="W164" s="284"/>
      <c r="X164" s="284"/>
      <c r="Y164" s="283">
        <v>1.0473256252168839</v>
      </c>
      <c r="Z164" s="284" t="s">
        <v>37</v>
      </c>
      <c r="AA164" s="283"/>
      <c r="AB164" s="284"/>
      <c r="AC164" s="284"/>
      <c r="AD164" s="284"/>
      <c r="AE164" s="285"/>
      <c r="AF164" s="287">
        <f t="shared" si="65"/>
        <v>3.9408377845063822</v>
      </c>
      <c r="AG164" s="287">
        <f t="shared" si="66"/>
        <v>3.970291913552122</v>
      </c>
      <c r="AH164" s="288"/>
      <c r="AI164" s="288"/>
      <c r="AK164" s="286">
        <f t="shared" si="67"/>
        <v>61.41951310821419</v>
      </c>
      <c r="AL164" s="286">
        <f t="shared" si="68"/>
        <v>62.957816050219584</v>
      </c>
      <c r="AM164" s="287">
        <f t="shared" si="69"/>
        <v>4.1177275877297772</v>
      </c>
      <c r="AN164" s="287">
        <f t="shared" si="70"/>
        <v>4.1424649156139193</v>
      </c>
      <c r="AO164" s="288"/>
      <c r="AP164" s="288"/>
      <c r="AR164" s="286">
        <f t="shared" si="71"/>
        <v>210.31225356873011</v>
      </c>
      <c r="AS164" s="286">
        <f t="shared" si="72"/>
        <v>216.11617119851263</v>
      </c>
      <c r="AT164" s="287">
        <f t="shared" si="73"/>
        <v>5.3485933480997812</v>
      </c>
      <c r="AU164" s="287">
        <f t="shared" si="74"/>
        <v>5.3758160927283942</v>
      </c>
      <c r="AV164" s="299"/>
      <c r="AW164" s="299"/>
      <c r="AX164" s="286"/>
      <c r="AY164" s="286"/>
      <c r="BD164" s="299"/>
      <c r="BE164" s="299"/>
    </row>
    <row r="165" spans="1:57" s="298" customFormat="1" x14ac:dyDescent="0.2">
      <c r="A165" s="290" t="s">
        <v>205</v>
      </c>
      <c r="B165" s="290" t="s">
        <v>49</v>
      </c>
      <c r="C165" s="291" t="s">
        <v>81</v>
      </c>
      <c r="D165" s="291" t="s">
        <v>328</v>
      </c>
      <c r="E165" s="292">
        <v>7</v>
      </c>
      <c r="F165" s="292">
        <f t="shared" si="54"/>
        <v>1.5964870689655173</v>
      </c>
      <c r="G165" s="293">
        <v>0.92596250000000002</v>
      </c>
      <c r="H165" s="293">
        <v>13.655945530252296</v>
      </c>
      <c r="I165" s="293">
        <v>9.8408841579607369</v>
      </c>
      <c r="J165" s="293">
        <v>6.5956352593315302</v>
      </c>
      <c r="K165" s="294">
        <v>7</v>
      </c>
      <c r="L165" s="294">
        <v>42</v>
      </c>
      <c r="M165" s="235" t="s">
        <v>104</v>
      </c>
      <c r="N165" s="293">
        <v>145.40436474066848</v>
      </c>
      <c r="O165" s="296">
        <f t="shared" si="75"/>
        <v>152</v>
      </c>
      <c r="P165" s="297" t="s">
        <v>220</v>
      </c>
      <c r="Q165" s="297"/>
      <c r="R165" s="282">
        <f t="shared" si="55"/>
        <v>2.2080679260898619</v>
      </c>
      <c r="S165" s="283">
        <v>1.0452150822554569</v>
      </c>
      <c r="T165" s="284" t="s">
        <v>37</v>
      </c>
      <c r="U165" s="283"/>
      <c r="V165" s="284"/>
      <c r="W165" s="284"/>
      <c r="X165" s="284"/>
      <c r="Y165" s="283">
        <v>1.0473256252168839</v>
      </c>
      <c r="Z165" s="284" t="s">
        <v>37</v>
      </c>
      <c r="AA165" s="283"/>
      <c r="AB165" s="284"/>
      <c r="AC165" s="284"/>
      <c r="AD165" s="284"/>
      <c r="AE165" s="285"/>
      <c r="AF165" s="287">
        <f t="shared" si="65"/>
        <v>4.9795185834980265</v>
      </c>
      <c r="AG165" s="287">
        <f t="shared" si="66"/>
        <v>5.0238805208462765</v>
      </c>
      <c r="AH165" s="288"/>
      <c r="AI165" s="288"/>
      <c r="AK165" s="286">
        <f t="shared" si="67"/>
        <v>321.06271409734171</v>
      </c>
      <c r="AL165" s="286">
        <f t="shared" si="68"/>
        <v>327.65834935667323</v>
      </c>
      <c r="AM165" s="287">
        <f t="shared" si="69"/>
        <v>5.7716364750673401</v>
      </c>
      <c r="AN165" s="287">
        <f t="shared" si="70"/>
        <v>5.7919714477082849</v>
      </c>
      <c r="AO165" s="288"/>
      <c r="AP165" s="288"/>
      <c r="AR165" s="286">
        <f t="shared" si="71"/>
        <v>368.70406963985801</v>
      </c>
      <c r="AS165" s="286">
        <f t="shared" si="72"/>
        <v>376.38354642383132</v>
      </c>
      <c r="AT165" s="287">
        <f t="shared" si="73"/>
        <v>5.9099943429873143</v>
      </c>
      <c r="AU165" s="287">
        <f t="shared" si="74"/>
        <v>5.9306086937478959</v>
      </c>
      <c r="AV165" s="299"/>
      <c r="AW165" s="299"/>
      <c r="BD165" s="299"/>
      <c r="BE165" s="299"/>
    </row>
    <row r="166" spans="1:57" s="298" customFormat="1" x14ac:dyDescent="0.2">
      <c r="A166" s="290" t="s">
        <v>205</v>
      </c>
      <c r="B166" s="290" t="s">
        <v>49</v>
      </c>
      <c r="C166" s="291" t="s">
        <v>81</v>
      </c>
      <c r="D166" s="291" t="s">
        <v>328</v>
      </c>
      <c r="E166" s="292">
        <v>7.5</v>
      </c>
      <c r="F166" s="292">
        <f t="shared" si="54"/>
        <v>3.504509905645727</v>
      </c>
      <c r="G166" s="293">
        <v>2.0326157452745215</v>
      </c>
      <c r="H166" s="293">
        <v>31.872519203485023</v>
      </c>
      <c r="I166" s="293">
        <v>28.529144751045347</v>
      </c>
      <c r="J166" s="293">
        <v>11.245946592653912</v>
      </c>
      <c r="K166" s="294">
        <v>7</v>
      </c>
      <c r="L166" s="294">
        <v>42</v>
      </c>
      <c r="M166" s="235" t="s">
        <v>93</v>
      </c>
      <c r="N166" s="293">
        <f>879-J166</f>
        <v>867.75405340734608</v>
      </c>
      <c r="O166" s="296">
        <f t="shared" si="75"/>
        <v>879</v>
      </c>
      <c r="P166" s="297" t="s">
        <v>220</v>
      </c>
      <c r="Q166" s="297"/>
      <c r="R166" s="282">
        <f t="shared" si="55"/>
        <v>3.0752664074181557</v>
      </c>
      <c r="S166" s="283">
        <v>1.0452150822554569</v>
      </c>
      <c r="T166" s="284" t="s">
        <v>37</v>
      </c>
      <c r="U166" s="283"/>
      <c r="V166" s="284"/>
      <c r="W166" s="284"/>
      <c r="X166" s="284"/>
      <c r="Y166" s="283">
        <v>1.0473256252168839</v>
      </c>
      <c r="Z166" s="284" t="s">
        <v>37</v>
      </c>
      <c r="AA166" s="283"/>
      <c r="AB166" s="284"/>
      <c r="AC166" s="284"/>
      <c r="AD166" s="284"/>
      <c r="AE166" s="285"/>
      <c r="AF166" s="287">
        <f t="shared" si="65"/>
        <v>6.7659083259005</v>
      </c>
      <c r="AG166" s="287">
        <f t="shared" si="66"/>
        <v>6.7787848976851768</v>
      </c>
      <c r="AH166" s="288"/>
      <c r="AI166" s="288"/>
      <c r="AK166" s="286">
        <f t="shared" si="67"/>
        <v>2668.5748903445515</v>
      </c>
      <c r="AL166" s="286">
        <f t="shared" si="68"/>
        <v>2679.8208369372055</v>
      </c>
      <c r="AM166" s="287">
        <f t="shared" si="69"/>
        <v>7.8892998599650008</v>
      </c>
      <c r="AN166" s="287">
        <f t="shared" si="70"/>
        <v>7.8935052193811126</v>
      </c>
      <c r="AO166" s="288"/>
      <c r="AP166" s="288"/>
      <c r="AR166" s="286">
        <f t="shared" si="71"/>
        <v>1007.423180389918</v>
      </c>
      <c r="AS166" s="286">
        <f t="shared" si="72"/>
        <v>1009.6806378215401</v>
      </c>
      <c r="AT166" s="287">
        <f t="shared" si="73"/>
        <v>6.9151510431618881</v>
      </c>
      <c r="AU166" s="287">
        <f t="shared" si="74"/>
        <v>6.9173893596567959</v>
      </c>
      <c r="AV166" s="299"/>
      <c r="AW166" s="299"/>
      <c r="BD166" s="299"/>
      <c r="BE166" s="299"/>
    </row>
    <row r="167" spans="1:57" s="353" customFormat="1" ht="13.5" thickBot="1" x14ac:dyDescent="0.25">
      <c r="A167" s="339" t="s">
        <v>205</v>
      </c>
      <c r="B167" s="339" t="s">
        <v>49</v>
      </c>
      <c r="C167" s="340" t="s">
        <v>81</v>
      </c>
      <c r="D167" s="340" t="s">
        <v>328</v>
      </c>
      <c r="E167" s="341">
        <v>7.5250000000000004</v>
      </c>
      <c r="F167" s="341">
        <f t="shared" si="54"/>
        <v>2.4958212723915376</v>
      </c>
      <c r="G167" s="342">
        <v>1.4475763379870918</v>
      </c>
      <c r="H167" s="342">
        <v>38.576937974924618</v>
      </c>
      <c r="I167" s="342">
        <v>23.971447340032601</v>
      </c>
      <c r="J167" s="342">
        <v>29.575802025601583</v>
      </c>
      <c r="K167" s="344">
        <v>7</v>
      </c>
      <c r="L167" s="344">
        <v>42</v>
      </c>
      <c r="M167" s="345" t="s">
        <v>93</v>
      </c>
      <c r="N167" s="342">
        <f>1121-J167</f>
        <v>1091.4241979743983</v>
      </c>
      <c r="O167" s="343">
        <f t="shared" si="75"/>
        <v>1121</v>
      </c>
      <c r="P167" s="346" t="s">
        <v>220</v>
      </c>
      <c r="Q167" s="346"/>
      <c r="R167" s="347">
        <f t="shared" si="55"/>
        <v>3.1176578244515478</v>
      </c>
      <c r="S167" s="348">
        <v>1.0452150822554569</v>
      </c>
      <c r="T167" s="349" t="s">
        <v>37</v>
      </c>
      <c r="U167" s="348"/>
      <c r="V167" s="349"/>
      <c r="W167" s="349"/>
      <c r="X167" s="349"/>
      <c r="Y167" s="348">
        <v>1.0473256252168839</v>
      </c>
      <c r="Z167" s="349" t="s">
        <v>37</v>
      </c>
      <c r="AA167" s="348"/>
      <c r="AB167" s="349"/>
      <c r="AC167" s="349"/>
      <c r="AD167" s="349"/>
      <c r="AE167" s="350"/>
      <c r="AF167" s="351">
        <f t="shared" si="65"/>
        <v>6.995238726005705</v>
      </c>
      <c r="AG167" s="351">
        <f t="shared" si="66"/>
        <v>7.02197642307216</v>
      </c>
      <c r="AH167" s="352"/>
      <c r="AI167" s="352"/>
      <c r="AK167" s="354">
        <f t="shared" si="67"/>
        <v>3402.687190610638</v>
      </c>
      <c r="AL167" s="354">
        <f t="shared" si="68"/>
        <v>3432.2629926362397</v>
      </c>
      <c r="AM167" s="351">
        <f t="shared" si="69"/>
        <v>8.1323207486216162</v>
      </c>
      <c r="AN167" s="351">
        <f t="shared" si="70"/>
        <v>8.1409750872279716</v>
      </c>
      <c r="AO167" s="352"/>
      <c r="AP167" s="352"/>
      <c r="AR167" s="354">
        <f t="shared" si="71"/>
        <v>1540.8738252427688</v>
      </c>
      <c r="AS167" s="354">
        <f t="shared" si="72"/>
        <v>1551.782603849616</v>
      </c>
      <c r="AT167" s="351">
        <f t="shared" si="73"/>
        <v>7.3401049534752021</v>
      </c>
      <c r="AU167" s="351">
        <f t="shared" si="74"/>
        <v>7.3471596160926023</v>
      </c>
      <c r="AV167" s="355"/>
      <c r="AW167" s="355"/>
      <c r="BD167" s="355"/>
      <c r="BE167" s="355"/>
    </row>
    <row r="168" spans="1:57" s="298" customFormat="1" ht="13.5" thickTop="1" x14ac:dyDescent="0.2">
      <c r="A168" s="290" t="s">
        <v>205</v>
      </c>
      <c r="B168" s="290" t="s">
        <v>260</v>
      </c>
      <c r="C168" s="291" t="s">
        <v>341</v>
      </c>
      <c r="D168" s="291" t="s">
        <v>303</v>
      </c>
      <c r="E168" s="292">
        <v>4.3550000000000004</v>
      </c>
      <c r="F168" s="292">
        <f t="shared" si="54"/>
        <v>2.1067948275862074</v>
      </c>
      <c r="G168" s="293">
        <v>1.2219410000000002</v>
      </c>
      <c r="H168" s="293">
        <v>13.22168202003054</v>
      </c>
      <c r="I168" s="293">
        <v>2.745744183645213</v>
      </c>
      <c r="J168" s="293">
        <v>1.990791585925495</v>
      </c>
      <c r="K168" s="294">
        <v>7</v>
      </c>
      <c r="L168" s="294" t="s">
        <v>225</v>
      </c>
      <c r="M168" s="235" t="s">
        <v>104</v>
      </c>
      <c r="N168" s="305">
        <v>33.163478053979027</v>
      </c>
      <c r="O168" s="296">
        <f t="shared" si="75"/>
        <v>35.15426963990452</v>
      </c>
      <c r="P168" s="297" t="s">
        <v>226</v>
      </c>
      <c r="Q168" s="297"/>
      <c r="R168" s="282">
        <f t="shared" si="55"/>
        <v>1.1889706289078394</v>
      </c>
      <c r="S168" s="283">
        <v>0.99914313153411738</v>
      </c>
      <c r="T168" s="284" t="s">
        <v>37</v>
      </c>
      <c r="U168" s="283"/>
      <c r="V168" s="284"/>
      <c r="W168" s="284"/>
      <c r="X168" s="284"/>
      <c r="Y168" s="283">
        <v>0.99857978321618179</v>
      </c>
      <c r="Z168" s="284" t="s">
        <v>37</v>
      </c>
      <c r="AA168" s="283"/>
      <c r="AB168" s="284"/>
      <c r="AC168" s="284"/>
      <c r="AD168" s="284"/>
      <c r="AE168" s="285"/>
      <c r="AF168" s="287">
        <f t="shared" si="65"/>
        <v>3.501449211798771</v>
      </c>
      <c r="AG168" s="287">
        <f t="shared" si="66"/>
        <v>3.5597460800094702</v>
      </c>
      <c r="AH168" s="288"/>
      <c r="AI168" s="288"/>
      <c r="AK168" s="287">
        <f t="shared" si="67"/>
        <v>39.430401358610773</v>
      </c>
      <c r="AL168" s="287">
        <f t="shared" si="68"/>
        <v>41.421192944536266</v>
      </c>
      <c r="AM168" s="287">
        <f t="shared" si="69"/>
        <v>3.674537126853981</v>
      </c>
      <c r="AN168" s="287">
        <f t="shared" si="70"/>
        <v>3.7237926567244997</v>
      </c>
      <c r="AO168" s="288"/>
      <c r="AP168" s="288"/>
      <c r="AR168" s="286">
        <f t="shared" si="71"/>
        <v>161.12749720585532</v>
      </c>
      <c r="AS168" s="286">
        <f t="shared" si="72"/>
        <v>169.12833530711316</v>
      </c>
      <c r="AT168" s="287">
        <f t="shared" si="73"/>
        <v>5.0821959597015791</v>
      </c>
      <c r="AU168" s="287">
        <f t="shared" si="74"/>
        <v>5.1306578072550373</v>
      </c>
      <c r="AV168" s="299"/>
      <c r="AW168" s="299"/>
      <c r="AX168" s="286">
        <f>GEOMEAN(AR168:AR176)</f>
        <v>140.46605016073224</v>
      </c>
      <c r="AY168" s="286">
        <f>GEOMEAN(AS168:AS176)</f>
        <v>149.48693975601938</v>
      </c>
      <c r="AZ168" s="286">
        <f>MIN(AX168:AX176)</f>
        <v>140.46605016073224</v>
      </c>
      <c r="BA168" s="286">
        <f>MIN(AY168:AY176)</f>
        <v>149.48693975601938</v>
      </c>
      <c r="BB168" s="287">
        <f>LN(AZ168)</f>
        <v>4.9449658237084764</v>
      </c>
      <c r="BC168" s="287">
        <f>LN(BA168)</f>
        <v>5.0072090295231693</v>
      </c>
      <c r="BD168" s="288"/>
      <c r="BE168" s="288"/>
    </row>
    <row r="169" spans="1:57" s="298" customFormat="1" x14ac:dyDescent="0.2">
      <c r="A169" s="290" t="s">
        <v>205</v>
      </c>
      <c r="B169" s="290" t="s">
        <v>260</v>
      </c>
      <c r="C169" s="291" t="s">
        <v>341</v>
      </c>
      <c r="D169" s="291" t="s">
        <v>303</v>
      </c>
      <c r="E169" s="292">
        <v>4.5250000000000004</v>
      </c>
      <c r="F169" s="292">
        <f t="shared" si="54"/>
        <v>2.6903258620689656</v>
      </c>
      <c r="G169" s="293">
        <v>1.560389</v>
      </c>
      <c r="H169" s="293">
        <v>0.9610998119323676</v>
      </c>
      <c r="I169" s="293">
        <v>1.6996584748962793</v>
      </c>
      <c r="J169" s="293">
        <v>0.81203546891056322</v>
      </c>
      <c r="K169" s="294">
        <v>7</v>
      </c>
      <c r="L169" s="294" t="s">
        <v>225</v>
      </c>
      <c r="M169" s="235" t="s">
        <v>104</v>
      </c>
      <c r="N169" s="305">
        <v>22.266618357286188</v>
      </c>
      <c r="O169" s="296">
        <f t="shared" si="75"/>
        <v>23.078653826196749</v>
      </c>
      <c r="P169" s="297" t="s">
        <v>226</v>
      </c>
      <c r="Q169" s="297"/>
      <c r="R169" s="282">
        <f t="shared" si="55"/>
        <v>1.1906192366824544</v>
      </c>
      <c r="S169" s="283">
        <v>0.99914313153411738</v>
      </c>
      <c r="T169" s="284" t="s">
        <v>37</v>
      </c>
      <c r="U169" s="283"/>
      <c r="V169" s="284"/>
      <c r="W169" s="284"/>
      <c r="X169" s="284"/>
      <c r="Y169" s="283">
        <v>0.99857978321618179</v>
      </c>
      <c r="Z169" s="284" t="s">
        <v>37</v>
      </c>
      <c r="AA169" s="283"/>
      <c r="AB169" s="284"/>
      <c r="AC169" s="284"/>
      <c r="AD169" s="284"/>
      <c r="AE169" s="285"/>
      <c r="AF169" s="287">
        <f t="shared" si="65"/>
        <v>3.1030886222891811</v>
      </c>
      <c r="AG169" s="287">
        <f t="shared" si="66"/>
        <v>3.1389081135175623</v>
      </c>
      <c r="AH169" s="288"/>
      <c r="AI169" s="288"/>
      <c r="AK169" s="287">
        <f t="shared" si="67"/>
        <v>26.511064152051606</v>
      </c>
      <c r="AL169" s="287">
        <f t="shared" si="68"/>
        <v>27.323099620962168</v>
      </c>
      <c r="AM169" s="287">
        <f t="shared" si="69"/>
        <v>3.2775621610287287</v>
      </c>
      <c r="AN169" s="287">
        <f t="shared" si="70"/>
        <v>3.3077324843782847</v>
      </c>
      <c r="AO169" s="288"/>
      <c r="AP169" s="288"/>
      <c r="AR169" s="286">
        <f t="shared" si="71"/>
        <v>174.93856027110499</v>
      </c>
      <c r="AS169" s="286">
        <f t="shared" si="72"/>
        <v>180.10522678221611</v>
      </c>
      <c r="AT169" s="287">
        <f t="shared" si="73"/>
        <v>5.1644348281139258</v>
      </c>
      <c r="AU169" s="287">
        <f t="shared" si="74"/>
        <v>5.1935412733166846</v>
      </c>
      <c r="AV169" s="299"/>
      <c r="AW169" s="299"/>
      <c r="AX169" s="286"/>
      <c r="AY169" s="286"/>
      <c r="BD169" s="299"/>
      <c r="BE169" s="299"/>
    </row>
    <row r="170" spans="1:57" s="238" customFormat="1" x14ac:dyDescent="0.2">
      <c r="A170" s="275" t="s">
        <v>205</v>
      </c>
      <c r="B170" s="275" t="s">
        <v>260</v>
      </c>
      <c r="C170" s="276" t="s">
        <v>341</v>
      </c>
      <c r="D170" s="276" t="s">
        <v>303</v>
      </c>
      <c r="E170" s="277">
        <v>4.72</v>
      </c>
      <c r="F170" s="277">
        <f t="shared" si="54"/>
        <v>3.6882896551724142</v>
      </c>
      <c r="G170" s="278">
        <v>2.139208</v>
      </c>
      <c r="H170" s="278">
        <v>1.897414769034566</v>
      </c>
      <c r="I170" s="278">
        <v>3.4601038238982307</v>
      </c>
      <c r="J170" s="278">
        <v>1.5383029420053971</v>
      </c>
      <c r="K170" s="279">
        <v>7</v>
      </c>
      <c r="L170" s="279" t="s">
        <v>225</v>
      </c>
      <c r="M170" s="235" t="s">
        <v>104</v>
      </c>
      <c r="N170" s="289">
        <v>25.595367661001639</v>
      </c>
      <c r="O170" s="280">
        <f t="shared" si="75"/>
        <v>27.133670603007037</v>
      </c>
      <c r="P170" s="281" t="s">
        <v>226</v>
      </c>
      <c r="Q170" s="281"/>
      <c r="R170" s="282">
        <f t="shared" si="55"/>
        <v>1.1934995660752823</v>
      </c>
      <c r="S170" s="283">
        <v>0.99914313153411738</v>
      </c>
      <c r="T170" s="284" t="s">
        <v>37</v>
      </c>
      <c r="U170" s="283"/>
      <c r="V170" s="284"/>
      <c r="W170" s="284"/>
      <c r="X170" s="284"/>
      <c r="Y170" s="283">
        <v>0.99857978321618179</v>
      </c>
      <c r="Z170" s="284" t="s">
        <v>37</v>
      </c>
      <c r="AA170" s="283"/>
      <c r="AB170" s="284"/>
      <c r="AC170" s="284"/>
      <c r="AD170" s="284"/>
      <c r="AE170" s="285"/>
      <c r="AF170" s="239">
        <f t="shared" si="65"/>
        <v>3.2424113843698326</v>
      </c>
      <c r="AG170" s="239">
        <f t="shared" si="66"/>
        <v>3.3007754143493866</v>
      </c>
      <c r="AH170" s="240"/>
      <c r="AI170" s="240"/>
      <c r="AK170" s="239">
        <f t="shared" si="67"/>
        <v>30.548060196942767</v>
      </c>
      <c r="AL170" s="239">
        <f t="shared" si="68"/>
        <v>32.086363138948165</v>
      </c>
      <c r="AM170" s="239">
        <f t="shared" si="69"/>
        <v>3.4193011875932275</v>
      </c>
      <c r="AN170" s="239">
        <f t="shared" si="70"/>
        <v>3.4684311155407159</v>
      </c>
      <c r="AO170" s="240"/>
      <c r="AP170" s="240"/>
      <c r="AR170" s="265">
        <f t="shared" si="71"/>
        <v>99.078425775778925</v>
      </c>
      <c r="AS170" s="265">
        <f t="shared" si="72"/>
        <v>103.99868283463451</v>
      </c>
      <c r="AT170" s="239">
        <f t="shared" si="73"/>
        <v>4.5959117160793017</v>
      </c>
      <c r="AU170" s="239">
        <f t="shared" si="74"/>
        <v>4.6443782340095794</v>
      </c>
      <c r="AV170" s="125"/>
      <c r="AW170" s="125"/>
      <c r="AX170" s="265"/>
      <c r="AY170" s="265"/>
      <c r="BD170" s="125"/>
      <c r="BE170" s="125"/>
    </row>
    <row r="171" spans="1:57" s="238" customFormat="1" x14ac:dyDescent="0.2">
      <c r="A171" s="275" t="s">
        <v>205</v>
      </c>
      <c r="B171" s="275" t="s">
        <v>260</v>
      </c>
      <c r="C171" s="276" t="s">
        <v>341</v>
      </c>
      <c r="D171" s="276" t="s">
        <v>303</v>
      </c>
      <c r="E171" s="277">
        <v>5.7050000000000001</v>
      </c>
      <c r="F171" s="277">
        <f t="shared" si="54"/>
        <v>1.3883413793103447</v>
      </c>
      <c r="G171" s="278">
        <v>0.8052379999999999</v>
      </c>
      <c r="H171" s="289">
        <v>47.947518321104361</v>
      </c>
      <c r="I171" s="278">
        <v>18.77565155327952</v>
      </c>
      <c r="J171" s="278">
        <v>10.903869470007898</v>
      </c>
      <c r="K171" s="279">
        <v>7</v>
      </c>
      <c r="L171" s="279" t="s">
        <v>225</v>
      </c>
      <c r="M171" s="235" t="s">
        <v>104</v>
      </c>
      <c r="N171" s="289">
        <v>156.93176037608154</v>
      </c>
      <c r="O171" s="280">
        <f t="shared" si="75"/>
        <v>167.83562984608943</v>
      </c>
      <c r="P171" s="281" t="s">
        <v>226</v>
      </c>
      <c r="Q171" s="281"/>
      <c r="R171" s="282">
        <f t="shared" si="55"/>
        <v>1.2608976679513182</v>
      </c>
      <c r="S171" s="283">
        <v>0.99914313153411738</v>
      </c>
      <c r="T171" s="284" t="s">
        <v>37</v>
      </c>
      <c r="U171" s="283"/>
      <c r="V171" s="284"/>
      <c r="W171" s="284"/>
      <c r="X171" s="284"/>
      <c r="Y171" s="283">
        <v>0.99857978321618179</v>
      </c>
      <c r="Z171" s="284" t="s">
        <v>37</v>
      </c>
      <c r="AA171" s="283"/>
      <c r="AB171" s="284"/>
      <c r="AC171" s="284"/>
      <c r="AD171" s="284"/>
      <c r="AE171" s="285"/>
      <c r="AF171" s="239">
        <f t="shared" si="65"/>
        <v>5.0558110635756917</v>
      </c>
      <c r="AG171" s="239">
        <f t="shared" si="66"/>
        <v>5.1229851066903738</v>
      </c>
      <c r="AH171" s="240"/>
      <c r="AI171" s="240"/>
      <c r="AK171" s="239">
        <f t="shared" si="67"/>
        <v>197.8748906856963</v>
      </c>
      <c r="AL171" s="239">
        <f t="shared" si="68"/>
        <v>208.77876015570419</v>
      </c>
      <c r="AM171" s="239">
        <f t="shared" si="69"/>
        <v>5.2876349657598176</v>
      </c>
      <c r="AN171" s="239">
        <f t="shared" si="70"/>
        <v>5.3412751274420875</v>
      </c>
      <c r="AO171" s="240"/>
      <c r="AP171" s="240"/>
      <c r="AR171" s="265">
        <f t="shared" si="71"/>
        <v>118.44306474454346</v>
      </c>
      <c r="AS171" s="265">
        <f t="shared" si="72"/>
        <v>125.00602051508565</v>
      </c>
      <c r="AT171" s="239">
        <f t="shared" si="73"/>
        <v>4.7744323788235006</v>
      </c>
      <c r="AU171" s="239">
        <f t="shared" si="74"/>
        <v>4.8283619002631326</v>
      </c>
      <c r="AV171" s="125"/>
      <c r="AW171" s="125"/>
      <c r="AX171" s="265"/>
      <c r="AY171" s="265"/>
      <c r="BD171" s="125"/>
      <c r="BE171" s="125"/>
    </row>
    <row r="172" spans="1:57" s="238" customFormat="1" x14ac:dyDescent="0.2">
      <c r="A172" s="275" t="s">
        <v>205</v>
      </c>
      <c r="B172" s="275" t="s">
        <v>260</v>
      </c>
      <c r="C172" s="276" t="s">
        <v>341</v>
      </c>
      <c r="D172" s="276" t="s">
        <v>303</v>
      </c>
      <c r="E172" s="277">
        <v>6.06</v>
      </c>
      <c r="F172" s="277">
        <f t="shared" si="54"/>
        <v>7.7947224137931057</v>
      </c>
      <c r="G172" s="278">
        <v>4.5209390000000012</v>
      </c>
      <c r="H172" s="278">
        <v>33.129342993821169</v>
      </c>
      <c r="I172" s="278">
        <v>28.890556248260236</v>
      </c>
      <c r="J172" s="278">
        <v>14.319040296590824</v>
      </c>
      <c r="K172" s="279">
        <v>7</v>
      </c>
      <c r="L172" s="279" t="s">
        <v>225</v>
      </c>
      <c r="M172" s="235" t="s">
        <v>104</v>
      </c>
      <c r="N172" s="289">
        <v>34.426972529504638</v>
      </c>
      <c r="O172" s="280">
        <f t="shared" si="75"/>
        <v>48.746012826095466</v>
      </c>
      <c r="P172" s="281" t="s">
        <v>226</v>
      </c>
      <c r="Q172" s="281"/>
      <c r="R172" s="282">
        <f t="shared" si="55"/>
        <v>1.3511411739173773</v>
      </c>
      <c r="S172" s="283">
        <v>0.99914313153411738</v>
      </c>
      <c r="T172" s="284" t="s">
        <v>37</v>
      </c>
      <c r="U172" s="283"/>
      <c r="V172" s="284"/>
      <c r="W172" s="284"/>
      <c r="X172" s="284"/>
      <c r="Y172" s="283">
        <v>0.99857978321618179</v>
      </c>
      <c r="Z172" s="284" t="s">
        <v>37</v>
      </c>
      <c r="AA172" s="283"/>
      <c r="AB172" s="284"/>
      <c r="AC172" s="284"/>
      <c r="AD172" s="284"/>
      <c r="AE172" s="285"/>
      <c r="AF172" s="239">
        <f t="shared" si="65"/>
        <v>3.53884034230519</v>
      </c>
      <c r="AG172" s="239">
        <f t="shared" si="66"/>
        <v>3.8866234059163633</v>
      </c>
      <c r="AH172" s="240"/>
      <c r="AI172" s="240"/>
      <c r="AK172" s="239">
        <f t="shared" si="67"/>
        <v>46.515700077936195</v>
      </c>
      <c r="AL172" s="239">
        <f t="shared" si="68"/>
        <v>60.834740374527016</v>
      </c>
      <c r="AM172" s="239">
        <f t="shared" si="69"/>
        <v>3.8397898916917237</v>
      </c>
      <c r="AN172" s="239">
        <f t="shared" si="70"/>
        <v>4.1081610135312348</v>
      </c>
      <c r="AO172" s="240"/>
      <c r="AP172" s="240"/>
      <c r="AR172" s="265">
        <f t="shared" si="71"/>
        <v>18.101642997972121</v>
      </c>
      <c r="AS172" s="265">
        <f t="shared" si="72"/>
        <v>23.686516596227015</v>
      </c>
      <c r="AT172" s="239">
        <f t="shared" si="73"/>
        <v>2.8960027075207524</v>
      </c>
      <c r="AU172" s="239">
        <f t="shared" si="74"/>
        <v>3.1649059662542793</v>
      </c>
      <c r="AV172" s="125"/>
      <c r="AW172" s="125"/>
      <c r="AX172" s="265"/>
      <c r="AY172" s="265"/>
      <c r="BD172" s="125"/>
      <c r="BE172" s="125"/>
    </row>
    <row r="173" spans="1:57" s="238" customFormat="1" x14ac:dyDescent="0.2">
      <c r="A173" s="275" t="s">
        <v>205</v>
      </c>
      <c r="B173" s="275" t="s">
        <v>260</v>
      </c>
      <c r="C173" s="276" t="s">
        <v>341</v>
      </c>
      <c r="D173" s="276" t="s">
        <v>303</v>
      </c>
      <c r="E173" s="277">
        <v>6.375</v>
      </c>
      <c r="F173" s="277">
        <f t="shared" si="54"/>
        <v>2.4694491379310346</v>
      </c>
      <c r="G173" s="278">
        <v>1.4322805000000001</v>
      </c>
      <c r="H173" s="278">
        <v>19.230598425729699</v>
      </c>
      <c r="I173" s="278">
        <v>20.402867481369348</v>
      </c>
      <c r="J173" s="278">
        <v>6.3148678712416988</v>
      </c>
      <c r="K173" s="279">
        <v>7</v>
      </c>
      <c r="L173" s="279" t="s">
        <v>225</v>
      </c>
      <c r="M173" s="235" t="s">
        <v>104</v>
      </c>
      <c r="N173" s="289">
        <v>171.86340425634651</v>
      </c>
      <c r="O173" s="280">
        <f t="shared" si="75"/>
        <v>178.1782721275882</v>
      </c>
      <c r="P173" s="281" t="s">
        <v>226</v>
      </c>
      <c r="Q173" s="281"/>
      <c r="R173" s="282">
        <f t="shared" si="55"/>
        <v>1.5092172276738214</v>
      </c>
      <c r="S173" s="283">
        <v>0.99914313153411738</v>
      </c>
      <c r="T173" s="284" t="s">
        <v>37</v>
      </c>
      <c r="U173" s="283"/>
      <c r="V173" s="284"/>
      <c r="W173" s="284"/>
      <c r="X173" s="284"/>
      <c r="Y173" s="283">
        <v>0.99857978321618179</v>
      </c>
      <c r="Z173" s="284" t="s">
        <v>37</v>
      </c>
      <c r="AA173" s="283"/>
      <c r="AB173" s="284"/>
      <c r="AC173" s="284"/>
      <c r="AD173" s="284"/>
      <c r="AE173" s="285"/>
      <c r="AF173" s="239">
        <f t="shared" si="65"/>
        <v>5.1467000000000001</v>
      </c>
      <c r="AG173" s="239">
        <f t="shared" si="66"/>
        <v>5.1827845779033979</v>
      </c>
      <c r="AH173" s="240"/>
      <c r="AI173" s="240"/>
      <c r="AK173" s="239">
        <f t="shared" si="67"/>
        <v>259.37921051034851</v>
      </c>
      <c r="AL173" s="239">
        <f t="shared" si="68"/>
        <v>265.6940783815902</v>
      </c>
      <c r="AM173" s="239">
        <f t="shared" si="69"/>
        <v>5.5582911241461144</v>
      </c>
      <c r="AN173" s="239">
        <f t="shared" si="70"/>
        <v>5.5823455656585121</v>
      </c>
      <c r="AO173" s="240"/>
      <c r="AP173" s="240"/>
      <c r="AR173" s="265">
        <f t="shared" si="71"/>
        <v>142.88572743423009</v>
      </c>
      <c r="AS173" s="265">
        <f t="shared" si="72"/>
        <v>146.41364864986076</v>
      </c>
      <c r="AT173" s="239">
        <f t="shared" si="73"/>
        <v>4.9620452019506924</v>
      </c>
      <c r="AU173" s="239">
        <f t="shared" si="74"/>
        <v>4.9864358256643619</v>
      </c>
      <c r="AV173" s="125"/>
      <c r="AW173" s="125"/>
      <c r="BD173" s="125"/>
      <c r="BE173" s="125"/>
    </row>
    <row r="174" spans="1:57" s="238" customFormat="1" x14ac:dyDescent="0.2">
      <c r="A174" s="275" t="s">
        <v>205</v>
      </c>
      <c r="B174" s="275" t="s">
        <v>260</v>
      </c>
      <c r="C174" s="276" t="s">
        <v>341</v>
      </c>
      <c r="D174" s="276" t="s">
        <v>303</v>
      </c>
      <c r="E174" s="277">
        <v>7</v>
      </c>
      <c r="F174" s="277">
        <f t="shared" si="54"/>
        <v>1.5964870689655173</v>
      </c>
      <c r="G174" s="278">
        <v>0.92596250000000002</v>
      </c>
      <c r="H174" s="278">
        <v>13.655945530252296</v>
      </c>
      <c r="I174" s="278">
        <v>9.8408841579607369</v>
      </c>
      <c r="J174" s="278">
        <v>6.5956352593315302</v>
      </c>
      <c r="K174" s="279">
        <v>7</v>
      </c>
      <c r="L174" s="279" t="s">
        <v>225</v>
      </c>
      <c r="M174" s="235" t="s">
        <v>104</v>
      </c>
      <c r="N174" s="289">
        <v>79.735521271827963</v>
      </c>
      <c r="O174" s="280">
        <f t="shared" si="75"/>
        <v>86.331156531159493</v>
      </c>
      <c r="P174" s="281" t="s">
        <v>226</v>
      </c>
      <c r="Q174" s="281"/>
      <c r="R174" s="282">
        <f t="shared" si="55"/>
        <v>2.2080679260898619</v>
      </c>
      <c r="S174" s="283">
        <v>0.99914313153411738</v>
      </c>
      <c r="T174" s="284" t="s">
        <v>37</v>
      </c>
      <c r="U174" s="283"/>
      <c r="V174" s="284"/>
      <c r="W174" s="284"/>
      <c r="X174" s="284"/>
      <c r="Y174" s="283">
        <v>0.99857978321618179</v>
      </c>
      <c r="Z174" s="284" t="s">
        <v>37</v>
      </c>
      <c r="AA174" s="283"/>
      <c r="AB174" s="284"/>
      <c r="AC174" s="284"/>
      <c r="AD174" s="284"/>
      <c r="AE174" s="285"/>
      <c r="AF174" s="239">
        <f t="shared" si="65"/>
        <v>4.3787151737320613</v>
      </c>
      <c r="AG174" s="239">
        <f t="shared" si="66"/>
        <v>4.4581905587887585</v>
      </c>
      <c r="AH174" s="240"/>
      <c r="AI174" s="240"/>
      <c r="AK174" s="239">
        <f t="shared" si="67"/>
        <v>176.06144709037923</v>
      </c>
      <c r="AL174" s="239">
        <f t="shared" si="68"/>
        <v>182.65708234971078</v>
      </c>
      <c r="AM174" s="239">
        <f t="shared" si="69"/>
        <v>5.1708330653013741</v>
      </c>
      <c r="AN174" s="239">
        <f t="shared" si="70"/>
        <v>5.2076105280149205</v>
      </c>
      <c r="AO174" s="240"/>
      <c r="AP174" s="240"/>
      <c r="AR174" s="265">
        <f t="shared" si="71"/>
        <v>200.95726389165688</v>
      </c>
      <c r="AS174" s="265">
        <f t="shared" si="72"/>
        <v>208.47000267255612</v>
      </c>
      <c r="AT174" s="239">
        <f t="shared" si="73"/>
        <v>5.3030922679983368</v>
      </c>
      <c r="AU174" s="239">
        <f t="shared" si="74"/>
        <v>5.339795158814205</v>
      </c>
      <c r="AV174" s="125"/>
      <c r="AW174" s="125"/>
      <c r="BD174" s="125"/>
      <c r="BE174" s="125"/>
    </row>
    <row r="175" spans="1:57" s="238" customFormat="1" x14ac:dyDescent="0.2">
      <c r="A175" s="275" t="s">
        <v>205</v>
      </c>
      <c r="B175" s="275" t="s">
        <v>260</v>
      </c>
      <c r="C175" s="276" t="s">
        <v>341</v>
      </c>
      <c r="D175" s="276" t="s">
        <v>303</v>
      </c>
      <c r="E175" s="277">
        <v>7.5</v>
      </c>
      <c r="F175" s="277">
        <f t="shared" si="54"/>
        <v>3.504509905645727</v>
      </c>
      <c r="G175" s="278">
        <v>2.0326157452745215</v>
      </c>
      <c r="H175" s="278">
        <v>31.872519203485023</v>
      </c>
      <c r="I175" s="278">
        <v>28.529144751045347</v>
      </c>
      <c r="J175" s="278">
        <v>11.245946592653912</v>
      </c>
      <c r="K175" s="279">
        <v>7</v>
      </c>
      <c r="L175" s="279" t="s">
        <v>225</v>
      </c>
      <c r="M175" s="235" t="s">
        <v>104</v>
      </c>
      <c r="N175" s="289">
        <v>100.57023961072072</v>
      </c>
      <c r="O175" s="280">
        <f t="shared" si="75"/>
        <v>111.81618620337463</v>
      </c>
      <c r="P175" s="281" t="s">
        <v>226</v>
      </c>
      <c r="Q175" s="281"/>
      <c r="R175" s="282">
        <f t="shared" si="55"/>
        <v>3.0752664074181557</v>
      </c>
      <c r="S175" s="283">
        <v>0.99914313153411738</v>
      </c>
      <c r="T175" s="284" t="s">
        <v>37</v>
      </c>
      <c r="U175" s="283"/>
      <c r="V175" s="284"/>
      <c r="W175" s="284"/>
      <c r="X175" s="284"/>
      <c r="Y175" s="283">
        <v>0.99857978321618179</v>
      </c>
      <c r="Z175" s="284" t="s">
        <v>37</v>
      </c>
      <c r="AA175" s="283"/>
      <c r="AB175" s="284"/>
      <c r="AC175" s="284"/>
      <c r="AD175" s="284"/>
      <c r="AE175" s="285"/>
      <c r="AF175" s="239">
        <f t="shared" si="65"/>
        <v>4.6108563849803552</v>
      </c>
      <c r="AG175" s="239">
        <f t="shared" si="66"/>
        <v>4.7168563284471432</v>
      </c>
      <c r="AH175" s="240"/>
      <c r="AI175" s="240"/>
      <c r="AK175" s="239">
        <f t="shared" si="67"/>
        <v>309.28027946084421</v>
      </c>
      <c r="AL175" s="239">
        <f t="shared" si="68"/>
        <v>320.52622605349814</v>
      </c>
      <c r="AM175" s="239">
        <f t="shared" si="69"/>
        <v>5.7342479190448561</v>
      </c>
      <c r="AN175" s="239">
        <f t="shared" si="70"/>
        <v>5.7699641015730077</v>
      </c>
      <c r="AO175" s="240"/>
      <c r="AP175" s="240"/>
      <c r="AR175" s="265">
        <f t="shared" si="71"/>
        <v>121.88019192489189</v>
      </c>
      <c r="AS175" s="265">
        <f t="shared" si="72"/>
        <v>126.37829579502295</v>
      </c>
      <c r="AT175" s="239">
        <f t="shared" si="73"/>
        <v>4.803038528820009</v>
      </c>
      <c r="AU175" s="239">
        <f t="shared" si="74"/>
        <v>4.8392797564864107</v>
      </c>
      <c r="AV175" s="125"/>
      <c r="AW175" s="125"/>
      <c r="BD175" s="125"/>
      <c r="BE175" s="125"/>
    </row>
    <row r="176" spans="1:57" s="165" customFormat="1" x14ac:dyDescent="0.2">
      <c r="A176" s="156" t="s">
        <v>205</v>
      </c>
      <c r="B176" s="156" t="s">
        <v>260</v>
      </c>
      <c r="C176" s="364" t="s">
        <v>341</v>
      </c>
      <c r="D176" s="364" t="s">
        <v>303</v>
      </c>
      <c r="E176" s="365">
        <v>7.5250000000000004</v>
      </c>
      <c r="F176" s="365">
        <f t="shared" si="54"/>
        <v>2.4958212723915376</v>
      </c>
      <c r="G176" s="159">
        <v>1.4475763379870918</v>
      </c>
      <c r="H176" s="159">
        <v>38.576937974924618</v>
      </c>
      <c r="I176" s="159">
        <v>23.971447340032601</v>
      </c>
      <c r="J176" s="159">
        <v>29.575802025601583</v>
      </c>
      <c r="K176" s="366">
        <v>7</v>
      </c>
      <c r="L176" s="366" t="s">
        <v>225</v>
      </c>
      <c r="M176" s="231" t="s">
        <v>104</v>
      </c>
      <c r="N176" s="159">
        <v>694.88932008452002</v>
      </c>
      <c r="O176" s="367">
        <f t="shared" si="75"/>
        <v>724.46512211012157</v>
      </c>
      <c r="P176" s="368" t="s">
        <v>226</v>
      </c>
      <c r="Q176" s="368"/>
      <c r="R176" s="316">
        <f t="shared" si="55"/>
        <v>3.1176578244515478</v>
      </c>
      <c r="S176" s="332">
        <v>0.99914313153411738</v>
      </c>
      <c r="T176" s="333" t="s">
        <v>37</v>
      </c>
      <c r="U176" s="332"/>
      <c r="V176" s="333"/>
      <c r="W176" s="333"/>
      <c r="X176" s="333"/>
      <c r="Y176" s="332">
        <v>0.99857978321618179</v>
      </c>
      <c r="Z176" s="333" t="s">
        <v>37</v>
      </c>
      <c r="AA176" s="332"/>
      <c r="AB176" s="333"/>
      <c r="AC176" s="333"/>
      <c r="AD176" s="333"/>
      <c r="AE176" s="163"/>
      <c r="AF176" s="166">
        <f t="shared" si="65"/>
        <v>6.5437525812059478</v>
      </c>
      <c r="AG176" s="166">
        <f t="shared" si="66"/>
        <v>6.585433619967187</v>
      </c>
      <c r="AH176" s="169"/>
      <c r="AI176" s="169"/>
      <c r="AK176" s="166">
        <f t="shared" si="67"/>
        <v>2166.42712588932</v>
      </c>
      <c r="AL176" s="166">
        <f t="shared" si="68"/>
        <v>2196.0029279149217</v>
      </c>
      <c r="AM176" s="166">
        <f t="shared" si="69"/>
        <v>7.68083460382186</v>
      </c>
      <c r="AN176" s="166">
        <f t="shared" si="70"/>
        <v>7.6943941359231234</v>
      </c>
      <c r="AO176" s="169"/>
      <c r="AP176" s="169"/>
      <c r="AR176" s="168">
        <f t="shared" si="71"/>
        <v>1015.9087634661907</v>
      </c>
      <c r="AS176" s="168">
        <f t="shared" si="72"/>
        <v>1030.2176232807869</v>
      </c>
      <c r="AT176" s="166">
        <f t="shared" si="73"/>
        <v>6.9235388243681877</v>
      </c>
      <c r="AU176" s="166">
        <f t="shared" si="74"/>
        <v>6.9375253436448325</v>
      </c>
      <c r="AV176" s="167"/>
      <c r="AW176" s="167"/>
      <c r="BD176" s="167"/>
      <c r="BE176" s="167"/>
    </row>
    <row r="177" spans="1:57" s="238" customFormat="1" x14ac:dyDescent="0.2">
      <c r="A177" s="275" t="s">
        <v>205</v>
      </c>
      <c r="B177" s="275" t="s">
        <v>260</v>
      </c>
      <c r="C177" s="276" t="s">
        <v>341</v>
      </c>
      <c r="D177" s="276" t="s">
        <v>304</v>
      </c>
      <c r="E177" s="277">
        <v>4.3</v>
      </c>
      <c r="F177" s="277">
        <f t="shared" si="54"/>
        <v>9.1293758620689687</v>
      </c>
      <c r="G177" s="278">
        <v>5.2950380000000017</v>
      </c>
      <c r="H177" s="278">
        <v>1.5220887043854308</v>
      </c>
      <c r="I177" s="278">
        <v>6.1560623950335334</v>
      </c>
      <c r="J177" s="278">
        <v>3.9615894527830369</v>
      </c>
      <c r="K177" s="279">
        <v>7</v>
      </c>
      <c r="L177" s="279">
        <v>1</v>
      </c>
      <c r="M177" s="235" t="s">
        <v>104</v>
      </c>
      <c r="N177" s="289">
        <v>601.90769931831051</v>
      </c>
      <c r="O177" s="280">
        <f t="shared" si="75"/>
        <v>605.86928877109358</v>
      </c>
      <c r="P177" s="281" t="s">
        <v>226</v>
      </c>
      <c r="Q177" s="281"/>
      <c r="R177" s="282">
        <f t="shared" si="55"/>
        <v>1.1885610477282691</v>
      </c>
      <c r="S177" s="283">
        <v>1.2663385996054926</v>
      </c>
      <c r="T177" s="284" t="s">
        <v>37</v>
      </c>
      <c r="U177" s="283"/>
      <c r="V177" s="284"/>
      <c r="W177" s="284"/>
      <c r="X177" s="284"/>
      <c r="Y177" s="283">
        <v>1.2637171376597782</v>
      </c>
      <c r="Z177" s="284" t="s">
        <v>37</v>
      </c>
      <c r="AA177" s="283"/>
      <c r="AB177" s="284"/>
      <c r="AC177" s="284"/>
      <c r="AD177" s="284"/>
      <c r="AE177" s="285"/>
      <c r="AF177" s="239">
        <f t="shared" si="65"/>
        <v>6.4001041101620775</v>
      </c>
      <c r="AG177" s="239">
        <f t="shared" si="66"/>
        <v>6.4066642677065762</v>
      </c>
      <c r="AH177" s="240"/>
      <c r="AI177" s="240"/>
      <c r="AK177" s="265">
        <f t="shared" si="67"/>
        <v>715.4040457374831</v>
      </c>
      <c r="AL177" s="265">
        <f t="shared" si="68"/>
        <v>719.36563519026618</v>
      </c>
      <c r="AM177" s="239">
        <f t="shared" si="69"/>
        <v>6.5728474820192746</v>
      </c>
      <c r="AN177" s="239">
        <f t="shared" si="70"/>
        <v>6.5783697614108965</v>
      </c>
      <c r="AO177" s="240"/>
      <c r="AP177" s="240"/>
      <c r="AR177" s="265">
        <f t="shared" si="71"/>
        <v>1532.3011184727936</v>
      </c>
      <c r="AS177" s="265">
        <f t="shared" si="72"/>
        <v>1538.3587860544512</v>
      </c>
      <c r="AT177" s="239">
        <f t="shared" si="73"/>
        <v>7.3345258835145524</v>
      </c>
      <c r="AU177" s="239">
        <f t="shared" si="74"/>
        <v>7.3384714037794954</v>
      </c>
      <c r="AV177" s="125"/>
      <c r="AW177" s="125"/>
      <c r="AX177" s="265">
        <f>GEOMEAN(AR177:AR186)</f>
        <v>150.34625210018058</v>
      </c>
      <c r="AY177" s="265">
        <f>GEOMEAN(AS177:AS186)</f>
        <v>159.91836840334085</v>
      </c>
      <c r="AZ177" s="265">
        <f>MIN(AX177:AX186)</f>
        <v>150.34625210018058</v>
      </c>
      <c r="BA177" s="265">
        <f>MIN(AY177:AY186)</f>
        <v>159.91836840334085</v>
      </c>
      <c r="BB177" s="239">
        <f>LN(AZ177)</f>
        <v>5.0129409812899839</v>
      </c>
      <c r="BC177" s="239">
        <f>LN(BA177)</f>
        <v>5.0746634875596879</v>
      </c>
      <c r="BD177" s="240"/>
      <c r="BE177" s="240"/>
    </row>
    <row r="178" spans="1:57" s="238" customFormat="1" x14ac:dyDescent="0.2">
      <c r="A178" s="275" t="s">
        <v>205</v>
      </c>
      <c r="B178" s="275" t="s">
        <v>260</v>
      </c>
      <c r="C178" s="276" t="s">
        <v>341</v>
      </c>
      <c r="D178" s="276" t="s">
        <v>304</v>
      </c>
      <c r="E178" s="277">
        <v>4.3550000000000004</v>
      </c>
      <c r="F178" s="277">
        <f t="shared" si="54"/>
        <v>2.1067948275862074</v>
      </c>
      <c r="G178" s="278">
        <v>1.2219410000000002</v>
      </c>
      <c r="H178" s="278">
        <v>13.22168202003054</v>
      </c>
      <c r="I178" s="278">
        <v>2.745744183645213</v>
      </c>
      <c r="J178" s="278">
        <v>1.990791585925495</v>
      </c>
      <c r="K178" s="279">
        <v>7</v>
      </c>
      <c r="L178" s="279">
        <v>1</v>
      </c>
      <c r="M178" s="235" t="s">
        <v>104</v>
      </c>
      <c r="N178" s="289">
        <v>12.261031648782275</v>
      </c>
      <c r="O178" s="280">
        <f t="shared" si="75"/>
        <v>14.25182323470777</v>
      </c>
      <c r="P178" s="281" t="s">
        <v>226</v>
      </c>
      <c r="Q178" s="281"/>
      <c r="R178" s="282">
        <f t="shared" si="55"/>
        <v>1.1889706289078394</v>
      </c>
      <c r="S178" s="283">
        <v>1.2663385996054926</v>
      </c>
      <c r="T178" s="284" t="s">
        <v>37</v>
      </c>
      <c r="U178" s="283"/>
      <c r="V178" s="284"/>
      <c r="W178" s="284"/>
      <c r="X178" s="284"/>
      <c r="Y178" s="283">
        <v>1.2637171376597782</v>
      </c>
      <c r="Z178" s="284" t="s">
        <v>37</v>
      </c>
      <c r="AA178" s="283"/>
      <c r="AB178" s="284"/>
      <c r="AC178" s="284"/>
      <c r="AD178" s="284"/>
      <c r="AE178" s="285"/>
      <c r="AF178" s="239">
        <f t="shared" si="65"/>
        <v>2.5064260745031191</v>
      </c>
      <c r="AG178" s="239">
        <f t="shared" si="66"/>
        <v>2.6568848448255125</v>
      </c>
      <c r="AH178" s="240"/>
      <c r="AI178" s="240"/>
      <c r="AK178" s="265">
        <f t="shared" si="67"/>
        <v>14.578006510511585</v>
      </c>
      <c r="AL178" s="265">
        <f t="shared" si="68"/>
        <v>16.568798096437082</v>
      </c>
      <c r="AM178" s="239">
        <f t="shared" si="69"/>
        <v>2.6795139895583291</v>
      </c>
      <c r="AN178" s="239">
        <f t="shared" si="70"/>
        <v>2.8075212938913978</v>
      </c>
      <c r="AO178" s="240"/>
      <c r="AP178" s="240"/>
      <c r="AR178" s="265">
        <f t="shared" si="71"/>
        <v>86.800765864048998</v>
      </c>
      <c r="AS178" s="265">
        <f t="shared" si="72"/>
        <v>98.290704542782279</v>
      </c>
      <c r="AT178" s="239">
        <f t="shared" si="73"/>
        <v>4.4636154449459164</v>
      </c>
      <c r="AU178" s="239">
        <f t="shared" si="74"/>
        <v>4.5879294605534815</v>
      </c>
      <c r="AV178" s="125"/>
      <c r="AW178" s="125"/>
      <c r="AX178" s="265"/>
      <c r="AY178" s="265"/>
      <c r="BD178" s="125"/>
      <c r="BE178" s="125"/>
    </row>
    <row r="179" spans="1:57" s="238" customFormat="1" x14ac:dyDescent="0.2">
      <c r="A179" s="275" t="s">
        <v>205</v>
      </c>
      <c r="B179" s="275" t="s">
        <v>260</v>
      </c>
      <c r="C179" s="276" t="s">
        <v>341</v>
      </c>
      <c r="D179" s="276" t="s">
        <v>304</v>
      </c>
      <c r="E179" s="277">
        <v>4.5250000000000004</v>
      </c>
      <c r="F179" s="277">
        <f t="shared" si="54"/>
        <v>2.6903258620689656</v>
      </c>
      <c r="G179" s="278">
        <v>1.560389</v>
      </c>
      <c r="H179" s="278">
        <v>0.9610998119323676</v>
      </c>
      <c r="I179" s="278">
        <v>1.6996584748962793</v>
      </c>
      <c r="J179" s="278">
        <v>0.81203546891056322</v>
      </c>
      <c r="K179" s="279">
        <v>7</v>
      </c>
      <c r="L179" s="279">
        <v>1</v>
      </c>
      <c r="M179" s="235" t="s">
        <v>104</v>
      </c>
      <c r="N179" s="289">
        <v>5.5250517815305038</v>
      </c>
      <c r="O179" s="280">
        <f t="shared" si="75"/>
        <v>6.3370872504410674</v>
      </c>
      <c r="P179" s="281" t="s">
        <v>226</v>
      </c>
      <c r="Q179" s="281"/>
      <c r="R179" s="282">
        <f t="shared" si="55"/>
        <v>1.1906192366824544</v>
      </c>
      <c r="S179" s="283">
        <v>1.2663385996054926</v>
      </c>
      <c r="T179" s="284" t="s">
        <v>37</v>
      </c>
      <c r="U179" s="283"/>
      <c r="V179" s="284"/>
      <c r="W179" s="284"/>
      <c r="X179" s="284"/>
      <c r="Y179" s="283">
        <v>1.2637171376597782</v>
      </c>
      <c r="Z179" s="284" t="s">
        <v>37</v>
      </c>
      <c r="AA179" s="283"/>
      <c r="AB179" s="284"/>
      <c r="AC179" s="284"/>
      <c r="AD179" s="284"/>
      <c r="AE179" s="285"/>
      <c r="AF179" s="239">
        <f t="shared" si="65"/>
        <v>1.709292619582613</v>
      </c>
      <c r="AG179" s="239">
        <f t="shared" si="66"/>
        <v>1.8464192386608407</v>
      </c>
      <c r="AH179" s="240"/>
      <c r="AI179" s="240"/>
      <c r="AK179" s="265">
        <f t="shared" si="67"/>
        <v>6.5782329347568833</v>
      </c>
      <c r="AL179" s="265">
        <f t="shared" si="68"/>
        <v>7.3902684036674469</v>
      </c>
      <c r="AM179" s="239">
        <f t="shared" si="69"/>
        <v>1.8837661583221605</v>
      </c>
      <c r="AN179" s="239">
        <f t="shared" si="70"/>
        <v>2.000164054147306</v>
      </c>
      <c r="AO179" s="240"/>
      <c r="AP179" s="240"/>
      <c r="AR179" s="265">
        <f t="shared" si="71"/>
        <v>71.89703481335529</v>
      </c>
      <c r="AS179" s="265">
        <f t="shared" si="72"/>
        <v>80.373322575630667</v>
      </c>
      <c r="AT179" s="239">
        <f t="shared" si="73"/>
        <v>4.275235023450378</v>
      </c>
      <c r="AU179" s="239">
        <f t="shared" si="74"/>
        <v>4.3866823123634013</v>
      </c>
      <c r="AV179" s="125"/>
      <c r="AW179" s="125"/>
      <c r="AX179" s="265"/>
      <c r="AY179" s="265"/>
      <c r="BD179" s="125"/>
      <c r="BE179" s="125"/>
    </row>
    <row r="180" spans="1:57" s="238" customFormat="1" x14ac:dyDescent="0.2">
      <c r="A180" s="275" t="s">
        <v>205</v>
      </c>
      <c r="B180" s="275" t="s">
        <v>260</v>
      </c>
      <c r="C180" s="276" t="s">
        <v>341</v>
      </c>
      <c r="D180" s="276" t="s">
        <v>304</v>
      </c>
      <c r="E180" s="277">
        <v>4.72</v>
      </c>
      <c r="F180" s="277">
        <f t="shared" si="54"/>
        <v>3.6882896551724142</v>
      </c>
      <c r="G180" s="278">
        <v>2.139208</v>
      </c>
      <c r="H180" s="278">
        <v>1.897414769034566</v>
      </c>
      <c r="I180" s="278">
        <v>3.4601038238982307</v>
      </c>
      <c r="J180" s="278">
        <v>1.5383029420053971</v>
      </c>
      <c r="K180" s="279">
        <v>7</v>
      </c>
      <c r="L180" s="279">
        <v>1</v>
      </c>
      <c r="M180" s="235" t="s">
        <v>104</v>
      </c>
      <c r="N180" s="289">
        <v>35.105599563966223</v>
      </c>
      <c r="O180" s="280">
        <f t="shared" si="75"/>
        <v>36.643902505971617</v>
      </c>
      <c r="P180" s="281" t="s">
        <v>226</v>
      </c>
      <c r="Q180" s="281"/>
      <c r="R180" s="282">
        <f t="shared" si="55"/>
        <v>1.1934995660752823</v>
      </c>
      <c r="S180" s="283">
        <v>1.2663385996054926</v>
      </c>
      <c r="T180" s="284" t="s">
        <v>37</v>
      </c>
      <c r="U180" s="283"/>
      <c r="V180" s="284"/>
      <c r="W180" s="284"/>
      <c r="X180" s="284"/>
      <c r="Y180" s="283">
        <v>1.2637171376597782</v>
      </c>
      <c r="Z180" s="284" t="s">
        <v>37</v>
      </c>
      <c r="AA180" s="283"/>
      <c r="AB180" s="284"/>
      <c r="AC180" s="284"/>
      <c r="AD180" s="284"/>
      <c r="AE180" s="285"/>
      <c r="AF180" s="239">
        <f t="shared" si="65"/>
        <v>3.5583606494849152</v>
      </c>
      <c r="AG180" s="239">
        <f t="shared" si="66"/>
        <v>3.6012470435766586</v>
      </c>
      <c r="AH180" s="240"/>
      <c r="AI180" s="240"/>
      <c r="AK180" s="265">
        <f t="shared" si="67"/>
        <v>41.898517846406307</v>
      </c>
      <c r="AL180" s="265">
        <f t="shared" si="68"/>
        <v>43.436820788411701</v>
      </c>
      <c r="AM180" s="239">
        <f t="shared" si="69"/>
        <v>3.7352504527083101</v>
      </c>
      <c r="AN180" s="239">
        <f t="shared" si="70"/>
        <v>3.7713074866769856</v>
      </c>
      <c r="AO180" s="240"/>
      <c r="AP180" s="240"/>
      <c r="AR180" s="265">
        <f t="shared" si="71"/>
        <v>186.14307523570903</v>
      </c>
      <c r="AS180" s="265">
        <f t="shared" si="72"/>
        <v>192.38249441607607</v>
      </c>
      <c r="AT180" s="239">
        <f t="shared" si="73"/>
        <v>5.2265155997111812</v>
      </c>
      <c r="AU180" s="239">
        <f t="shared" si="74"/>
        <v>5.2594855487287573</v>
      </c>
      <c r="AV180" s="125"/>
      <c r="AW180" s="125"/>
      <c r="AX180" s="265"/>
      <c r="AY180" s="265"/>
      <c r="BD180" s="125"/>
      <c r="BE180" s="125"/>
    </row>
    <row r="181" spans="1:57" s="238" customFormat="1" x14ac:dyDescent="0.2">
      <c r="A181" s="275" t="s">
        <v>205</v>
      </c>
      <c r="B181" s="275" t="s">
        <v>260</v>
      </c>
      <c r="C181" s="276" t="s">
        <v>341</v>
      </c>
      <c r="D181" s="276" t="s">
        <v>304</v>
      </c>
      <c r="E181" s="277">
        <v>5.7050000000000001</v>
      </c>
      <c r="F181" s="277">
        <f t="shared" si="54"/>
        <v>1.3883413793103447</v>
      </c>
      <c r="G181" s="278">
        <v>0.8052379999999999</v>
      </c>
      <c r="H181" s="289">
        <v>47.947518321104361</v>
      </c>
      <c r="I181" s="278">
        <v>18.77565155327952</v>
      </c>
      <c r="J181" s="278">
        <v>10.903869470007898</v>
      </c>
      <c r="K181" s="279">
        <v>7</v>
      </c>
      <c r="L181" s="279">
        <v>1</v>
      </c>
      <c r="M181" s="235" t="s">
        <v>104</v>
      </c>
      <c r="N181" s="289">
        <v>475</v>
      </c>
      <c r="O181" s="280">
        <f t="shared" si="75"/>
        <v>485.90386947000792</v>
      </c>
      <c r="P181" s="281" t="s">
        <v>226</v>
      </c>
      <c r="Q181" s="281"/>
      <c r="R181" s="282">
        <f t="shared" si="55"/>
        <v>1.2608976679513182</v>
      </c>
      <c r="S181" s="283">
        <v>1.2663385996054926</v>
      </c>
      <c r="T181" s="284" t="s">
        <v>37</v>
      </c>
      <c r="U181" s="283"/>
      <c r="V181" s="284"/>
      <c r="W181" s="284"/>
      <c r="X181" s="284"/>
      <c r="Y181" s="283">
        <v>1.2637171376597782</v>
      </c>
      <c r="Z181" s="284" t="s">
        <v>37</v>
      </c>
      <c r="AA181" s="283"/>
      <c r="AB181" s="284"/>
      <c r="AC181" s="284"/>
      <c r="AD181" s="284"/>
      <c r="AE181" s="285"/>
      <c r="AF181" s="239">
        <f t="shared" si="65"/>
        <v>6.1633148040346413</v>
      </c>
      <c r="AG181" s="239">
        <f t="shared" si="66"/>
        <v>6.1860108048911755</v>
      </c>
      <c r="AH181" s="240"/>
      <c r="AI181" s="240"/>
      <c r="AK181" s="265">
        <f t="shared" si="67"/>
        <v>598.92639227687619</v>
      </c>
      <c r="AL181" s="265">
        <f t="shared" si="68"/>
        <v>609.83026174688405</v>
      </c>
      <c r="AM181" s="239">
        <f t="shared" si="69"/>
        <v>6.3951387062187672</v>
      </c>
      <c r="AN181" s="239">
        <f t="shared" si="70"/>
        <v>6.4131806590146807</v>
      </c>
      <c r="AO181" s="240"/>
      <c r="AP181" s="240"/>
      <c r="AR181" s="265">
        <f t="shared" si="71"/>
        <v>312.52770293762353</v>
      </c>
      <c r="AS181" s="265">
        <f t="shared" si="72"/>
        <v>318.64625285875405</v>
      </c>
      <c r="AT181" s="239">
        <f t="shared" si="73"/>
        <v>5.7446931146477258</v>
      </c>
      <c r="AU181" s="239">
        <f t="shared" si="74"/>
        <v>5.7640815622646864</v>
      </c>
      <c r="AV181" s="125"/>
      <c r="AW181" s="125"/>
      <c r="AX181" s="265"/>
      <c r="AY181" s="265"/>
      <c r="BD181" s="125"/>
      <c r="BE181" s="125"/>
    </row>
    <row r="182" spans="1:57" s="238" customFormat="1" x14ac:dyDescent="0.2">
      <c r="A182" s="275" t="s">
        <v>205</v>
      </c>
      <c r="B182" s="275" t="s">
        <v>260</v>
      </c>
      <c r="C182" s="276" t="s">
        <v>341</v>
      </c>
      <c r="D182" s="276" t="s">
        <v>304</v>
      </c>
      <c r="E182" s="277">
        <v>6.06</v>
      </c>
      <c r="F182" s="277">
        <f t="shared" ref="F182:F195" si="76">G182/0.58</f>
        <v>7.7947224137931057</v>
      </c>
      <c r="G182" s="278">
        <v>4.5209390000000012</v>
      </c>
      <c r="H182" s="278">
        <v>33.129342993821169</v>
      </c>
      <c r="I182" s="278">
        <v>28.890556248260236</v>
      </c>
      <c r="J182" s="278">
        <v>14.319040296590824</v>
      </c>
      <c r="K182" s="279">
        <v>7</v>
      </c>
      <c r="L182" s="279">
        <v>1</v>
      </c>
      <c r="M182" s="235" t="s">
        <v>104</v>
      </c>
      <c r="N182" s="289">
        <v>67.124727412769857</v>
      </c>
      <c r="O182" s="280">
        <f t="shared" si="75"/>
        <v>81.443767709360685</v>
      </c>
      <c r="P182" s="281" t="s">
        <v>226</v>
      </c>
      <c r="Q182" s="281"/>
      <c r="R182" s="282">
        <f t="shared" si="55"/>
        <v>1.3511411739173773</v>
      </c>
      <c r="S182" s="283">
        <v>1.2663385996054926</v>
      </c>
      <c r="T182" s="284" t="s">
        <v>37</v>
      </c>
      <c r="U182" s="283"/>
      <c r="V182" s="284"/>
      <c r="W182" s="284"/>
      <c r="X182" s="284"/>
      <c r="Y182" s="283">
        <v>1.2637171376597782</v>
      </c>
      <c r="Z182" s="284" t="s">
        <v>37</v>
      </c>
      <c r="AA182" s="283"/>
      <c r="AB182" s="284"/>
      <c r="AC182" s="284"/>
      <c r="AD182" s="284"/>
      <c r="AE182" s="285"/>
      <c r="AF182" s="239">
        <f t="shared" si="65"/>
        <v>4.2065524919309487</v>
      </c>
      <c r="AG182" s="239">
        <f t="shared" si="66"/>
        <v>4.3999128153539004</v>
      </c>
      <c r="AH182" s="240"/>
      <c r="AI182" s="240"/>
      <c r="AK182" s="265">
        <f t="shared" si="67"/>
        <v>90.69498299537382</v>
      </c>
      <c r="AL182" s="265">
        <f t="shared" si="68"/>
        <v>105.01402329196465</v>
      </c>
      <c r="AM182" s="239">
        <f t="shared" si="69"/>
        <v>4.5075020413174824</v>
      </c>
      <c r="AN182" s="239">
        <f t="shared" si="70"/>
        <v>4.6540938964013945</v>
      </c>
      <c r="AO182" s="240"/>
      <c r="AP182" s="240"/>
      <c r="AR182" s="265">
        <f t="shared" si="71"/>
        <v>27.42137810614771</v>
      </c>
      <c r="AS182" s="265">
        <f t="shared" si="72"/>
        <v>31.829419738240386</v>
      </c>
      <c r="AT182" s="239">
        <f t="shared" si="73"/>
        <v>3.3113229320305084</v>
      </c>
      <c r="AU182" s="239">
        <f t="shared" si="74"/>
        <v>3.460391011100826</v>
      </c>
      <c r="AV182" s="125"/>
      <c r="AW182" s="125"/>
      <c r="AX182" s="265"/>
      <c r="AY182" s="265"/>
      <c r="BD182" s="125"/>
      <c r="BE182" s="125"/>
    </row>
    <row r="183" spans="1:57" s="238" customFormat="1" x14ac:dyDescent="0.2">
      <c r="A183" s="275" t="s">
        <v>205</v>
      </c>
      <c r="B183" s="275" t="s">
        <v>260</v>
      </c>
      <c r="C183" s="276" t="s">
        <v>341</v>
      </c>
      <c r="D183" s="276" t="s">
        <v>304</v>
      </c>
      <c r="E183" s="277">
        <v>6.375</v>
      </c>
      <c r="F183" s="277">
        <f t="shared" si="76"/>
        <v>2.4694491379310346</v>
      </c>
      <c r="G183" s="278">
        <v>1.4322805000000001</v>
      </c>
      <c r="H183" s="278">
        <v>19.230598425729699</v>
      </c>
      <c r="I183" s="278">
        <v>20.402867481369348</v>
      </c>
      <c r="J183" s="278">
        <v>6.3148678712416988</v>
      </c>
      <c r="K183" s="279">
        <v>7</v>
      </c>
      <c r="L183" s="279">
        <v>1</v>
      </c>
      <c r="M183" s="235" t="s">
        <v>93</v>
      </c>
      <c r="N183" s="289">
        <v>80</v>
      </c>
      <c r="O183" s="280">
        <f t="shared" si="75"/>
        <v>86.314867871241702</v>
      </c>
      <c r="P183" s="281" t="s">
        <v>226</v>
      </c>
      <c r="Q183" s="281"/>
      <c r="R183" s="282">
        <f t="shared" si="55"/>
        <v>1.5092172276738214</v>
      </c>
      <c r="S183" s="283">
        <v>1.2663385996054926</v>
      </c>
      <c r="T183" s="284" t="s">
        <v>37</v>
      </c>
      <c r="U183" s="283"/>
      <c r="V183" s="284"/>
      <c r="W183" s="284"/>
      <c r="X183" s="284"/>
      <c r="Y183" s="283">
        <v>1.2637171376597782</v>
      </c>
      <c r="Z183" s="284" t="s">
        <v>37</v>
      </c>
      <c r="AA183" s="283"/>
      <c r="AB183" s="284"/>
      <c r="AC183" s="284"/>
      <c r="AD183" s="284"/>
      <c r="AE183" s="285"/>
      <c r="AF183" s="239">
        <f t="shared" ref="AF183:AF195" si="77">LN(N183)</f>
        <v>4.3820266346738812</v>
      </c>
      <c r="AG183" s="239">
        <f t="shared" ref="AG183:AG195" si="78">LN(O183)</f>
        <v>4.458001864493335</v>
      </c>
      <c r="AH183" s="240"/>
      <c r="AI183" s="240"/>
      <c r="AK183" s="265">
        <f t="shared" ref="AK183:AK195" si="79">N183*R183</f>
        <v>120.73737821390571</v>
      </c>
      <c r="AL183" s="265">
        <f t="shared" ref="AL183:AL195" si="80">AK183+J183</f>
        <v>127.05224608514742</v>
      </c>
      <c r="AM183" s="239">
        <f t="shared" ref="AM183:AM195" si="81">LN(AK183)</f>
        <v>4.7936177588199955</v>
      </c>
      <c r="AN183" s="239">
        <f t="shared" ref="AN183:AN195" si="82">LN(AL183)</f>
        <v>4.8445983883595902</v>
      </c>
      <c r="AO183" s="240"/>
      <c r="AP183" s="240"/>
      <c r="AR183" s="265">
        <f t="shared" ref="AR183:AR195" si="83">AK183*(eCEC/$I183)^$S183</f>
        <v>56.708323560254378</v>
      </c>
      <c r="AS183" s="265">
        <f t="shared" ref="AS183:AS195" si="84">AL183*(eCEC/$I183)^$Y183</f>
        <v>59.767737337573848</v>
      </c>
      <c r="AT183" s="239">
        <f t="shared" ref="AT183:AT195" si="85">LN(AR183)</f>
        <v>4.0379209999641263</v>
      </c>
      <c r="AU183" s="239">
        <f t="shared" ref="AU183:AU195" si="86">LN(AS183)</f>
        <v>4.0904660059639015</v>
      </c>
      <c r="AV183" s="125"/>
      <c r="AW183" s="125"/>
      <c r="BD183" s="125"/>
      <c r="BE183" s="125"/>
    </row>
    <row r="184" spans="1:57" s="238" customFormat="1" x14ac:dyDescent="0.2">
      <c r="A184" s="275" t="s">
        <v>205</v>
      </c>
      <c r="B184" s="275" t="s">
        <v>260</v>
      </c>
      <c r="C184" s="276" t="s">
        <v>341</v>
      </c>
      <c r="D184" s="276" t="s">
        <v>304</v>
      </c>
      <c r="E184" s="277">
        <v>7</v>
      </c>
      <c r="F184" s="277">
        <f t="shared" si="76"/>
        <v>1.5964870689655173</v>
      </c>
      <c r="G184" s="278">
        <v>0.92596250000000002</v>
      </c>
      <c r="H184" s="278">
        <v>13.655945530252296</v>
      </c>
      <c r="I184" s="278">
        <v>9.8408841579607369</v>
      </c>
      <c r="J184" s="278">
        <v>6.5956352593315302</v>
      </c>
      <c r="K184" s="279">
        <v>7</v>
      </c>
      <c r="L184" s="279">
        <v>1</v>
      </c>
      <c r="M184" s="235" t="s">
        <v>104</v>
      </c>
      <c r="N184" s="289">
        <v>40.90123836980726</v>
      </c>
      <c r="O184" s="280">
        <f t="shared" si="75"/>
        <v>47.49687362913879</v>
      </c>
      <c r="P184" s="281" t="s">
        <v>226</v>
      </c>
      <c r="Q184" s="281"/>
      <c r="R184" s="282">
        <f t="shared" ref="R184:R195" si="87">(84.1-(59.1/(10^(6.06-E184)+1))*(15^(0.00097/15))-3.64*LN(15))/(84.1-(59.1/(10^(6.06-E184)+1))*(365^(0.00097/365))-3.64*LN(365))</f>
        <v>2.2080679260898619</v>
      </c>
      <c r="S184" s="283">
        <v>1.2663385996054926</v>
      </c>
      <c r="T184" s="284" t="s">
        <v>37</v>
      </c>
      <c r="U184" s="283"/>
      <c r="V184" s="284"/>
      <c r="W184" s="284"/>
      <c r="X184" s="284"/>
      <c r="Y184" s="283">
        <v>1.2637171376597782</v>
      </c>
      <c r="Z184" s="284" t="s">
        <v>37</v>
      </c>
      <c r="AA184" s="283"/>
      <c r="AB184" s="284"/>
      <c r="AC184" s="284"/>
      <c r="AD184" s="284"/>
      <c r="AE184" s="285"/>
      <c r="AF184" s="239">
        <f t="shared" si="77"/>
        <v>3.7111603405807845</v>
      </c>
      <c r="AG184" s="239">
        <f t="shared" si="78"/>
        <v>3.8606638905405539</v>
      </c>
      <c r="AH184" s="240"/>
      <c r="AI184" s="240"/>
      <c r="AK184" s="265">
        <f t="shared" si="79"/>
        <v>90.312712581727396</v>
      </c>
      <c r="AL184" s="265">
        <f t="shared" si="80"/>
        <v>96.908347841058927</v>
      </c>
      <c r="AM184" s="239">
        <f t="shared" si="81"/>
        <v>4.5032782321500973</v>
      </c>
      <c r="AN184" s="239">
        <f t="shared" si="82"/>
        <v>4.5737656642166415</v>
      </c>
      <c r="AO184" s="240"/>
      <c r="AP184" s="240"/>
      <c r="AR184" s="265">
        <f t="shared" si="83"/>
        <v>106.79453996683728</v>
      </c>
      <c r="AS184" s="265">
        <f t="shared" si="84"/>
        <v>114.55410264410355</v>
      </c>
      <c r="AT184" s="239">
        <f t="shared" si="85"/>
        <v>4.6709068013132047</v>
      </c>
      <c r="AU184" s="239">
        <f t="shared" si="86"/>
        <v>4.7410472235711465</v>
      </c>
      <c r="AV184" s="125"/>
      <c r="AW184" s="125"/>
      <c r="BD184" s="125"/>
      <c r="BE184" s="125"/>
    </row>
    <row r="185" spans="1:57" s="238" customFormat="1" x14ac:dyDescent="0.2">
      <c r="A185" s="275" t="s">
        <v>205</v>
      </c>
      <c r="B185" s="275" t="s">
        <v>260</v>
      </c>
      <c r="C185" s="276" t="s">
        <v>341</v>
      </c>
      <c r="D185" s="276" t="s">
        <v>304</v>
      </c>
      <c r="E185" s="277">
        <v>7.5</v>
      </c>
      <c r="F185" s="277">
        <f t="shared" si="76"/>
        <v>3.504509905645727</v>
      </c>
      <c r="G185" s="278">
        <v>2.0326157452745215</v>
      </c>
      <c r="H185" s="278">
        <v>31.872519203485023</v>
      </c>
      <c r="I185" s="278">
        <v>28.529144751045347</v>
      </c>
      <c r="J185" s="278">
        <v>11.245946592653912</v>
      </c>
      <c r="K185" s="279">
        <v>7</v>
      </c>
      <c r="L185" s="279">
        <v>1</v>
      </c>
      <c r="M185" s="235" t="s">
        <v>104</v>
      </c>
      <c r="N185" s="289">
        <v>156.40619578762056</v>
      </c>
      <c r="O185" s="280">
        <f t="shared" si="75"/>
        <v>167.65214238027448</v>
      </c>
      <c r="P185" s="281" t="s">
        <v>226</v>
      </c>
      <c r="Q185" s="281"/>
      <c r="R185" s="282">
        <f t="shared" si="87"/>
        <v>3.0752664074181557</v>
      </c>
      <c r="S185" s="283">
        <v>1.2663385996054926</v>
      </c>
      <c r="T185" s="284" t="s">
        <v>37</v>
      </c>
      <c r="U185" s="283"/>
      <c r="V185" s="284"/>
      <c r="W185" s="284"/>
      <c r="X185" s="284"/>
      <c r="Y185" s="283">
        <v>1.2637171376597782</v>
      </c>
      <c r="Z185" s="284" t="s">
        <v>37</v>
      </c>
      <c r="AA185" s="283"/>
      <c r="AB185" s="284"/>
      <c r="AC185" s="284"/>
      <c r="AD185" s="284"/>
      <c r="AE185" s="285"/>
      <c r="AF185" s="239">
        <f t="shared" si="77"/>
        <v>5.0524564423369185</v>
      </c>
      <c r="AG185" s="239">
        <f t="shared" si="78"/>
        <v>5.1218912517168063</v>
      </c>
      <c r="AH185" s="240"/>
      <c r="AI185" s="240"/>
      <c r="AK185" s="265">
        <f t="shared" si="79"/>
        <v>480.99071981773659</v>
      </c>
      <c r="AL185" s="265">
        <f t="shared" si="80"/>
        <v>492.23666641039051</v>
      </c>
      <c r="AM185" s="239">
        <f t="shared" si="81"/>
        <v>6.1758479764014194</v>
      </c>
      <c r="AN185" s="239">
        <f t="shared" si="82"/>
        <v>6.1989596301242198</v>
      </c>
      <c r="AO185" s="240"/>
      <c r="AP185" s="240"/>
      <c r="AR185" s="265">
        <f t="shared" si="83"/>
        <v>147.76309366623752</v>
      </c>
      <c r="AS185" s="265">
        <f t="shared" si="84"/>
        <v>151.58782349036622</v>
      </c>
      <c r="AT185" s="239">
        <f t="shared" si="85"/>
        <v>4.9956102727741181</v>
      </c>
      <c r="AU185" s="239">
        <f t="shared" si="86"/>
        <v>5.0211651499980565</v>
      </c>
      <c r="AV185" s="125"/>
      <c r="AW185" s="125"/>
      <c r="BD185" s="125"/>
      <c r="BE185" s="125"/>
    </row>
    <row r="186" spans="1:57" s="165" customFormat="1" x14ac:dyDescent="0.2">
      <c r="A186" s="156" t="s">
        <v>205</v>
      </c>
      <c r="B186" s="156" t="s">
        <v>260</v>
      </c>
      <c r="C186" s="364" t="s">
        <v>341</v>
      </c>
      <c r="D186" s="364" t="s">
        <v>304</v>
      </c>
      <c r="E186" s="365">
        <v>7.5250000000000004</v>
      </c>
      <c r="F186" s="365">
        <f t="shared" si="76"/>
        <v>2.4958212723915376</v>
      </c>
      <c r="G186" s="159">
        <v>1.4475763379870918</v>
      </c>
      <c r="H186" s="159">
        <v>38.576937974924618</v>
      </c>
      <c r="I186" s="159">
        <v>23.971447340032601</v>
      </c>
      <c r="J186" s="159">
        <v>29.575802025601583</v>
      </c>
      <c r="K186" s="366">
        <v>7</v>
      </c>
      <c r="L186" s="366">
        <v>1</v>
      </c>
      <c r="M186" s="231" t="s">
        <v>104</v>
      </c>
      <c r="N186" s="159">
        <v>362.05532449564993</v>
      </c>
      <c r="O186" s="367">
        <f t="shared" si="75"/>
        <v>391.63112652125153</v>
      </c>
      <c r="P186" s="368" t="s">
        <v>226</v>
      </c>
      <c r="Q186" s="368"/>
      <c r="R186" s="316">
        <f t="shared" si="87"/>
        <v>3.1176578244515478</v>
      </c>
      <c r="S186" s="332">
        <v>1.2663385996054926</v>
      </c>
      <c r="T186" s="333" t="s">
        <v>37</v>
      </c>
      <c r="U186" s="332"/>
      <c r="V186" s="333"/>
      <c r="W186" s="333"/>
      <c r="X186" s="333"/>
      <c r="Y186" s="332">
        <v>1.2637171376597782</v>
      </c>
      <c r="Z186" s="333" t="s">
        <v>37</v>
      </c>
      <c r="AA186" s="332"/>
      <c r="AB186" s="333"/>
      <c r="AC186" s="333"/>
      <c r="AD186" s="333"/>
      <c r="AE186" s="163"/>
      <c r="AF186" s="166">
        <f t="shared" si="77"/>
        <v>5.8917970302469218</v>
      </c>
      <c r="AG186" s="166">
        <f t="shared" si="78"/>
        <v>5.9703203929961495</v>
      </c>
      <c r="AH186" s="169"/>
      <c r="AI186" s="169"/>
      <c r="AK186" s="168">
        <f t="shared" si="79"/>
        <v>1128.7646152982072</v>
      </c>
      <c r="AL186" s="168">
        <f t="shared" si="80"/>
        <v>1158.3404173238089</v>
      </c>
      <c r="AM186" s="166">
        <f t="shared" si="81"/>
        <v>7.028879052862834</v>
      </c>
      <c r="AN186" s="166">
        <f t="shared" si="82"/>
        <v>7.054743584987313</v>
      </c>
      <c r="AO186" s="169"/>
      <c r="AP186" s="169"/>
      <c r="AR186" s="168">
        <f t="shared" si="83"/>
        <v>432.27576977753625</v>
      </c>
      <c r="AS186" s="168">
        <f t="shared" si="84"/>
        <v>444.4845060309143</v>
      </c>
      <c r="AT186" s="166">
        <f t="shared" si="85"/>
        <v>6.0690637405481276</v>
      </c>
      <c r="AU186" s="166">
        <f t="shared" si="86"/>
        <v>6.0969151972731286</v>
      </c>
      <c r="AV186" s="167"/>
      <c r="AW186" s="167"/>
      <c r="BD186" s="167"/>
      <c r="BE186" s="167"/>
    </row>
    <row r="187" spans="1:57" s="238" customFormat="1" x14ac:dyDescent="0.2">
      <c r="A187" s="275" t="s">
        <v>205</v>
      </c>
      <c r="B187" s="275" t="s">
        <v>260</v>
      </c>
      <c r="C187" s="276" t="s">
        <v>341</v>
      </c>
      <c r="D187" s="276" t="s">
        <v>172</v>
      </c>
      <c r="E187" s="277">
        <v>4.3</v>
      </c>
      <c r="F187" s="277">
        <f t="shared" si="76"/>
        <v>9.1293758620689687</v>
      </c>
      <c r="G187" s="278">
        <v>5.2950380000000017</v>
      </c>
      <c r="H187" s="278">
        <v>1.5220887043854308</v>
      </c>
      <c r="I187" s="278">
        <v>6.1560623950335334</v>
      </c>
      <c r="J187" s="278">
        <v>3.9615894527830369</v>
      </c>
      <c r="K187" s="279">
        <v>7</v>
      </c>
      <c r="L187" s="279">
        <v>28</v>
      </c>
      <c r="M187" s="235" t="s">
        <v>93</v>
      </c>
      <c r="N187" s="278">
        <v>120</v>
      </c>
      <c r="O187" s="280">
        <f t="shared" si="75"/>
        <v>123.96158945278303</v>
      </c>
      <c r="P187" s="281" t="s">
        <v>226</v>
      </c>
      <c r="Q187" s="281"/>
      <c r="R187" s="282">
        <f t="shared" si="87"/>
        <v>1.1885610477282691</v>
      </c>
      <c r="S187" s="283">
        <v>0.52530477828689193</v>
      </c>
      <c r="T187" s="284" t="s">
        <v>37</v>
      </c>
      <c r="U187" s="283"/>
      <c r="V187" s="284"/>
      <c r="W187" s="284"/>
      <c r="X187" s="284"/>
      <c r="Y187" s="283">
        <v>0.5273405226396648</v>
      </c>
      <c r="Z187" s="284" t="s">
        <v>37</v>
      </c>
      <c r="AA187" s="283"/>
      <c r="AB187" s="284"/>
      <c r="AC187" s="284"/>
      <c r="AD187" s="284"/>
      <c r="AE187" s="285"/>
      <c r="AF187" s="239">
        <f t="shared" si="77"/>
        <v>4.7874917427820458</v>
      </c>
      <c r="AG187" s="239">
        <f t="shared" si="78"/>
        <v>4.8199717551411743</v>
      </c>
      <c r="AH187" s="240"/>
      <c r="AI187" s="240"/>
      <c r="AK187" s="265">
        <f t="shared" si="79"/>
        <v>142.6273257273923</v>
      </c>
      <c r="AL187" s="265">
        <f t="shared" si="80"/>
        <v>146.58891518017535</v>
      </c>
      <c r="AM187" s="239">
        <f t="shared" si="81"/>
        <v>4.9602351146392438</v>
      </c>
      <c r="AN187" s="239">
        <f t="shared" si="82"/>
        <v>4.9876321739073788</v>
      </c>
      <c r="AO187" s="240"/>
      <c r="AP187" s="240"/>
      <c r="AR187" s="265">
        <f t="shared" si="83"/>
        <v>195.62427840930263</v>
      </c>
      <c r="AS187" s="265">
        <f t="shared" si="84"/>
        <v>201.30423952042995</v>
      </c>
      <c r="AT187" s="239">
        <f t="shared" si="85"/>
        <v>5.2761958726450722</v>
      </c>
      <c r="AU187" s="239">
        <f t="shared" si="86"/>
        <v>5.3048173931315228</v>
      </c>
      <c r="AV187" s="125"/>
      <c r="AW187" s="125"/>
      <c r="AX187" s="265">
        <f>GEOMEAN(AR187:AR195)</f>
        <v>344.76546851315504</v>
      </c>
      <c r="AY187" s="265">
        <f>GEOMEAN(AS187:AS195)</f>
        <v>353.70444776047646</v>
      </c>
      <c r="AZ187" s="265">
        <f>MIN(AX187:AX195)</f>
        <v>344.76546851315504</v>
      </c>
      <c r="BA187" s="265">
        <f>MIN(AY187:AY195)</f>
        <v>353.70444776047646</v>
      </c>
      <c r="BB187" s="239">
        <f>LN(AZ187)</f>
        <v>5.8428643844504631</v>
      </c>
      <c r="BC187" s="239">
        <f>LN(BA187)</f>
        <v>5.8684616710842405</v>
      </c>
      <c r="BD187" s="240"/>
      <c r="BE187" s="240"/>
    </row>
    <row r="188" spans="1:57" s="238" customFormat="1" x14ac:dyDescent="0.2">
      <c r="A188" s="275" t="s">
        <v>205</v>
      </c>
      <c r="B188" s="275" t="s">
        <v>260</v>
      </c>
      <c r="C188" s="276" t="s">
        <v>341</v>
      </c>
      <c r="D188" s="276" t="s">
        <v>172</v>
      </c>
      <c r="E188" s="277">
        <v>4.5250000000000004</v>
      </c>
      <c r="F188" s="277">
        <f t="shared" si="76"/>
        <v>2.6903258620689656</v>
      </c>
      <c r="G188" s="278">
        <v>1.560389</v>
      </c>
      <c r="H188" s="278">
        <v>0.9610998119323676</v>
      </c>
      <c r="I188" s="278">
        <v>1.6996584748962793</v>
      </c>
      <c r="J188" s="278">
        <v>0.81203546891056322</v>
      </c>
      <c r="K188" s="279">
        <v>7</v>
      </c>
      <c r="L188" s="279">
        <v>28</v>
      </c>
      <c r="M188" s="235" t="s">
        <v>104</v>
      </c>
      <c r="N188" s="278">
        <v>193.78290410180773</v>
      </c>
      <c r="O188" s="280">
        <f t="shared" si="75"/>
        <v>194.59493957071828</v>
      </c>
      <c r="P188" s="281" t="s">
        <v>226</v>
      </c>
      <c r="Q188" s="281"/>
      <c r="R188" s="282">
        <f t="shared" si="87"/>
        <v>1.1906192366824544</v>
      </c>
      <c r="S188" s="283">
        <v>0.52530477828689193</v>
      </c>
      <c r="T188" s="284" t="s">
        <v>37</v>
      </c>
      <c r="U188" s="283"/>
      <c r="V188" s="284"/>
      <c r="W188" s="284"/>
      <c r="X188" s="284"/>
      <c r="Y188" s="283">
        <v>0.5273405226396648</v>
      </c>
      <c r="Z188" s="284" t="s">
        <v>37</v>
      </c>
      <c r="AA188" s="283"/>
      <c r="AB188" s="284"/>
      <c r="AC188" s="284"/>
      <c r="AD188" s="284"/>
      <c r="AE188" s="285"/>
      <c r="AF188" s="239">
        <f t="shared" si="77"/>
        <v>5.2667384814366116</v>
      </c>
      <c r="AG188" s="239">
        <f t="shared" si="78"/>
        <v>5.2709201651523196</v>
      </c>
      <c r="AH188" s="240"/>
      <c r="AI188" s="240"/>
      <c r="AK188" s="265">
        <f t="shared" si="79"/>
        <v>230.72165336380357</v>
      </c>
      <c r="AL188" s="265">
        <f t="shared" si="80"/>
        <v>231.53368883271412</v>
      </c>
      <c r="AM188" s="239">
        <f t="shared" si="81"/>
        <v>5.4412120201761587</v>
      </c>
      <c r="AN188" s="239">
        <f t="shared" si="82"/>
        <v>5.4447253870540777</v>
      </c>
      <c r="AO188" s="240"/>
      <c r="AP188" s="240"/>
      <c r="AR188" s="265">
        <f t="shared" si="83"/>
        <v>622.1898618174406</v>
      </c>
      <c r="AS188" s="265">
        <f t="shared" si="84"/>
        <v>626.78472584186034</v>
      </c>
      <c r="AT188" s="239">
        <f t="shared" si="85"/>
        <v>6.4332452902411701</v>
      </c>
      <c r="AU188" s="239">
        <f t="shared" si="86"/>
        <v>6.4406031417131251</v>
      </c>
      <c r="AV188" s="125"/>
      <c r="AW188" s="125"/>
      <c r="AX188" s="265"/>
      <c r="AY188" s="265"/>
      <c r="BD188" s="125"/>
      <c r="BE188" s="125"/>
    </row>
    <row r="189" spans="1:57" s="238" customFormat="1" x14ac:dyDescent="0.2">
      <c r="A189" s="275" t="s">
        <v>205</v>
      </c>
      <c r="B189" s="275" t="s">
        <v>260</v>
      </c>
      <c r="C189" s="276" t="s">
        <v>341</v>
      </c>
      <c r="D189" s="276" t="s">
        <v>172</v>
      </c>
      <c r="E189" s="277">
        <v>4.72</v>
      </c>
      <c r="F189" s="277">
        <f t="shared" si="76"/>
        <v>3.6882896551724142</v>
      </c>
      <c r="G189" s="278">
        <v>2.139208</v>
      </c>
      <c r="H189" s="278">
        <v>1.897414769034566</v>
      </c>
      <c r="I189" s="278">
        <v>3.4601038238982307</v>
      </c>
      <c r="J189" s="278">
        <v>1.5383029420053971</v>
      </c>
      <c r="K189" s="279">
        <v>7</v>
      </c>
      <c r="L189" s="279">
        <v>28</v>
      </c>
      <c r="M189" s="235" t="s">
        <v>104</v>
      </c>
      <c r="N189" s="278">
        <v>35.649030605669765</v>
      </c>
      <c r="O189" s="280">
        <f t="shared" si="75"/>
        <v>37.187333547675159</v>
      </c>
      <c r="P189" s="281" t="s">
        <v>226</v>
      </c>
      <c r="Q189" s="281"/>
      <c r="R189" s="282">
        <f t="shared" si="87"/>
        <v>1.1934995660752823</v>
      </c>
      <c r="S189" s="283">
        <v>0.52530477828689193</v>
      </c>
      <c r="T189" s="284" t="s">
        <v>37</v>
      </c>
      <c r="U189" s="283"/>
      <c r="V189" s="284"/>
      <c r="W189" s="284"/>
      <c r="X189" s="284"/>
      <c r="Y189" s="283">
        <v>0.5273405226396648</v>
      </c>
      <c r="Z189" s="284" t="s">
        <v>37</v>
      </c>
      <c r="AA189" s="283"/>
      <c r="AB189" s="284"/>
      <c r="AC189" s="284"/>
      <c r="AD189" s="284"/>
      <c r="AE189" s="285"/>
      <c r="AF189" s="239">
        <f t="shared" si="77"/>
        <v>3.5737219545037733</v>
      </c>
      <c r="AG189" s="239">
        <f t="shared" si="78"/>
        <v>3.6159682072669277</v>
      </c>
      <c r="AH189" s="240"/>
      <c r="AI189" s="240"/>
      <c r="AK189" s="265">
        <f t="shared" si="79"/>
        <v>42.547102558871323</v>
      </c>
      <c r="AL189" s="265">
        <f t="shared" si="80"/>
        <v>44.085405500876718</v>
      </c>
      <c r="AM189" s="239">
        <f t="shared" si="81"/>
        <v>3.7506117577271683</v>
      </c>
      <c r="AN189" s="239">
        <f t="shared" si="82"/>
        <v>3.7861287866565316</v>
      </c>
      <c r="AO189" s="240"/>
      <c r="AP189" s="240"/>
      <c r="AR189" s="265">
        <f t="shared" si="83"/>
        <v>78.982077310376056</v>
      </c>
      <c r="AS189" s="265">
        <f t="shared" si="84"/>
        <v>82.034124948741237</v>
      </c>
      <c r="AT189" s="239">
        <f t="shared" si="85"/>
        <v>4.3692209572393352</v>
      </c>
      <c r="AU189" s="239">
        <f t="shared" si="86"/>
        <v>4.4071353186060449</v>
      </c>
      <c r="AV189" s="125"/>
      <c r="AW189" s="125"/>
      <c r="AX189" s="265"/>
      <c r="AY189" s="265"/>
      <c r="BD189" s="125"/>
      <c r="BE189" s="125"/>
    </row>
    <row r="190" spans="1:57" s="238" customFormat="1" x14ac:dyDescent="0.2">
      <c r="A190" s="275" t="s">
        <v>205</v>
      </c>
      <c r="B190" s="275" t="s">
        <v>260</v>
      </c>
      <c r="C190" s="276" t="s">
        <v>341</v>
      </c>
      <c r="D190" s="276" t="s">
        <v>172</v>
      </c>
      <c r="E190" s="277">
        <v>5.7050000000000001</v>
      </c>
      <c r="F190" s="277">
        <f t="shared" si="76"/>
        <v>1.3883413793103447</v>
      </c>
      <c r="G190" s="278">
        <v>0.8052379999999999</v>
      </c>
      <c r="H190" s="289">
        <v>47.947518321104361</v>
      </c>
      <c r="I190" s="278">
        <v>18.77565155327952</v>
      </c>
      <c r="J190" s="278">
        <v>10.903869470007898</v>
      </c>
      <c r="K190" s="279">
        <v>7</v>
      </c>
      <c r="L190" s="279">
        <v>28</v>
      </c>
      <c r="M190" s="235" t="s">
        <v>104</v>
      </c>
      <c r="N190" s="278">
        <v>4684.9007040115075</v>
      </c>
      <c r="O190" s="280">
        <f t="shared" si="75"/>
        <v>4695.804573481515</v>
      </c>
      <c r="P190" s="281" t="s">
        <v>226</v>
      </c>
      <c r="Q190" s="281"/>
      <c r="R190" s="282">
        <f t="shared" si="87"/>
        <v>1.2608976679513182</v>
      </c>
      <c r="S190" s="283">
        <v>0.52530477828689193</v>
      </c>
      <c r="T190" s="284" t="s">
        <v>37</v>
      </c>
      <c r="U190" s="283"/>
      <c r="V190" s="284"/>
      <c r="W190" s="284"/>
      <c r="X190" s="284"/>
      <c r="Y190" s="283">
        <v>0.5273405226396648</v>
      </c>
      <c r="Z190" s="284" t="s">
        <v>37</v>
      </c>
      <c r="AA190" s="283"/>
      <c r="AB190" s="284"/>
      <c r="AC190" s="284"/>
      <c r="AD190" s="284"/>
      <c r="AE190" s="285"/>
      <c r="AF190" s="239">
        <f t="shared" si="77"/>
        <v>8.4520999999999997</v>
      </c>
      <c r="AG190" s="239">
        <f t="shared" si="78"/>
        <v>8.4544247451141956</v>
      </c>
      <c r="AH190" s="240"/>
      <c r="AI190" s="240"/>
      <c r="AK190" s="265">
        <f t="shared" si="79"/>
        <v>5907.1803722715986</v>
      </c>
      <c r="AL190" s="265">
        <f t="shared" si="80"/>
        <v>5918.0842417416061</v>
      </c>
      <c r="AM190" s="239">
        <f t="shared" si="81"/>
        <v>8.6839239021841248</v>
      </c>
      <c r="AN190" s="239">
        <f t="shared" si="82"/>
        <v>8.685768067691825</v>
      </c>
      <c r="AO190" s="240"/>
      <c r="AP190" s="240"/>
      <c r="AR190" s="265">
        <f t="shared" si="83"/>
        <v>4510.2367774865215</v>
      </c>
      <c r="AS190" s="265">
        <f t="shared" si="84"/>
        <v>4513.8397312509151</v>
      </c>
      <c r="AT190" s="239">
        <f t="shared" si="85"/>
        <v>8.4141049316699537</v>
      </c>
      <c r="AU190" s="239">
        <f t="shared" si="86"/>
        <v>8.41490345192903</v>
      </c>
      <c r="AV190" s="125"/>
      <c r="AW190" s="125"/>
      <c r="AX190" s="265"/>
      <c r="AY190" s="265"/>
      <c r="BD190" s="125"/>
      <c r="BE190" s="125"/>
    </row>
    <row r="191" spans="1:57" s="238" customFormat="1" x14ac:dyDescent="0.2">
      <c r="A191" s="275" t="s">
        <v>205</v>
      </c>
      <c r="B191" s="275" t="s">
        <v>260</v>
      </c>
      <c r="C191" s="276" t="s">
        <v>341</v>
      </c>
      <c r="D191" s="276" t="s">
        <v>172</v>
      </c>
      <c r="E191" s="277">
        <v>6.06</v>
      </c>
      <c r="F191" s="277">
        <f t="shared" si="76"/>
        <v>7.7947224137931057</v>
      </c>
      <c r="G191" s="278">
        <v>4.5209390000000012</v>
      </c>
      <c r="H191" s="278">
        <v>33.129342993821169</v>
      </c>
      <c r="I191" s="278">
        <v>28.890556248260236</v>
      </c>
      <c r="J191" s="278">
        <v>14.319040296590824</v>
      </c>
      <c r="K191" s="279">
        <v>7</v>
      </c>
      <c r="L191" s="279">
        <v>28</v>
      </c>
      <c r="M191" s="235" t="s">
        <v>104</v>
      </c>
      <c r="N191" s="278">
        <v>211.69684768617711</v>
      </c>
      <c r="O191" s="280">
        <f t="shared" si="75"/>
        <v>226.01588798276794</v>
      </c>
      <c r="P191" s="281" t="s">
        <v>226</v>
      </c>
      <c r="Q191" s="281"/>
      <c r="R191" s="282">
        <f t="shared" si="87"/>
        <v>1.3511411739173773</v>
      </c>
      <c r="S191" s="283">
        <v>0.52530477828689193</v>
      </c>
      <c r="T191" s="284" t="s">
        <v>37</v>
      </c>
      <c r="U191" s="283"/>
      <c r="V191" s="284"/>
      <c r="W191" s="284"/>
      <c r="X191" s="284"/>
      <c r="Y191" s="283">
        <v>0.5273405226396648</v>
      </c>
      <c r="Z191" s="284" t="s">
        <v>37</v>
      </c>
      <c r="AA191" s="283"/>
      <c r="AB191" s="284"/>
      <c r="AC191" s="284"/>
      <c r="AD191" s="284"/>
      <c r="AE191" s="285"/>
      <c r="AF191" s="239">
        <f t="shared" si="77"/>
        <v>5.3551552875537016</v>
      </c>
      <c r="AG191" s="239">
        <f t="shared" si="78"/>
        <v>5.4206052976100079</v>
      </c>
      <c r="AH191" s="240"/>
      <c r="AI191" s="240"/>
      <c r="AK191" s="265">
        <f t="shared" si="79"/>
        <v>286.03232729730956</v>
      </c>
      <c r="AL191" s="265">
        <f t="shared" si="80"/>
        <v>300.35136759390036</v>
      </c>
      <c r="AM191" s="239">
        <f t="shared" si="81"/>
        <v>5.6561048369402354</v>
      </c>
      <c r="AN191" s="239">
        <f t="shared" si="82"/>
        <v>5.7049530146199157</v>
      </c>
      <c r="AO191" s="240"/>
      <c r="AP191" s="240"/>
      <c r="AR191" s="265">
        <f t="shared" si="83"/>
        <v>174.14769140015764</v>
      </c>
      <c r="AS191" s="265">
        <f t="shared" si="84"/>
        <v>182.51437934766597</v>
      </c>
      <c r="AT191" s="239">
        <f t="shared" si="85"/>
        <v>5.1599037403368779</v>
      </c>
      <c r="AU191" s="239">
        <f t="shared" si="86"/>
        <v>5.2068289608648177</v>
      </c>
      <c r="AV191" s="125"/>
      <c r="AW191" s="125"/>
      <c r="AX191" s="265"/>
      <c r="AY191" s="265"/>
      <c r="BD191" s="125"/>
      <c r="BE191" s="125"/>
    </row>
    <row r="192" spans="1:57" s="238" customFormat="1" x14ac:dyDescent="0.2">
      <c r="A192" s="275" t="s">
        <v>205</v>
      </c>
      <c r="B192" s="275" t="s">
        <v>260</v>
      </c>
      <c r="C192" s="276" t="s">
        <v>341</v>
      </c>
      <c r="D192" s="276" t="s">
        <v>172</v>
      </c>
      <c r="E192" s="277">
        <v>6.375</v>
      </c>
      <c r="F192" s="277">
        <f t="shared" si="76"/>
        <v>2.4694491379310346</v>
      </c>
      <c r="G192" s="278">
        <v>1.4322805000000001</v>
      </c>
      <c r="H192" s="278">
        <v>19.230598425729699</v>
      </c>
      <c r="I192" s="278">
        <v>20.402867481369348</v>
      </c>
      <c r="J192" s="278">
        <v>6.3148678712416988</v>
      </c>
      <c r="K192" s="279">
        <v>7</v>
      </c>
      <c r="L192" s="279">
        <v>28</v>
      </c>
      <c r="M192" s="235" t="s">
        <v>104</v>
      </c>
      <c r="N192" s="278">
        <v>103.01957791118022</v>
      </c>
      <c r="O192" s="280">
        <f t="shared" si="75"/>
        <v>109.33444578242192</v>
      </c>
      <c r="P192" s="281" t="s">
        <v>226</v>
      </c>
      <c r="Q192" s="281"/>
      <c r="R192" s="282">
        <f t="shared" si="87"/>
        <v>1.5092172276738214</v>
      </c>
      <c r="S192" s="283">
        <v>0.52530477828689193</v>
      </c>
      <c r="T192" s="284" t="s">
        <v>37</v>
      </c>
      <c r="U192" s="283"/>
      <c r="V192" s="284"/>
      <c r="W192" s="284"/>
      <c r="X192" s="284"/>
      <c r="Y192" s="283">
        <v>0.5273405226396648</v>
      </c>
      <c r="Z192" s="284" t="s">
        <v>37</v>
      </c>
      <c r="AA192" s="283"/>
      <c r="AB192" s="284"/>
      <c r="AC192" s="284"/>
      <c r="AD192" s="284"/>
      <c r="AE192" s="285"/>
      <c r="AF192" s="239">
        <f t="shared" si="77"/>
        <v>4.6349190469749031</v>
      </c>
      <c r="AG192" s="239">
        <f t="shared" si="78"/>
        <v>4.6944114945034956</v>
      </c>
      <c r="AH192" s="240"/>
      <c r="AI192" s="240"/>
      <c r="AK192" s="265">
        <f t="shared" si="79"/>
        <v>155.47892177123865</v>
      </c>
      <c r="AL192" s="265">
        <f t="shared" si="80"/>
        <v>161.79378964248033</v>
      </c>
      <c r="AM192" s="239">
        <f t="shared" si="81"/>
        <v>5.0465101711210174</v>
      </c>
      <c r="AN192" s="239">
        <f t="shared" si="82"/>
        <v>5.086322620961174</v>
      </c>
      <c r="AO192" s="240"/>
      <c r="AP192" s="240"/>
      <c r="AR192" s="265">
        <f t="shared" si="83"/>
        <v>113.63945129315566</v>
      </c>
      <c r="AS192" s="265">
        <f t="shared" si="84"/>
        <v>118.11141018199197</v>
      </c>
      <c r="AT192" s="239">
        <f t="shared" si="85"/>
        <v>4.7330307285086111</v>
      </c>
      <c r="AU192" s="239">
        <f t="shared" si="86"/>
        <v>4.7716283331172242</v>
      </c>
      <c r="AV192" s="125"/>
      <c r="AW192" s="125"/>
      <c r="BD192" s="125"/>
      <c r="BE192" s="125"/>
    </row>
    <row r="193" spans="1:70" s="238" customFormat="1" x14ac:dyDescent="0.2">
      <c r="A193" s="275" t="s">
        <v>205</v>
      </c>
      <c r="B193" s="275" t="s">
        <v>260</v>
      </c>
      <c r="C193" s="276" t="s">
        <v>341</v>
      </c>
      <c r="D193" s="276" t="s">
        <v>172</v>
      </c>
      <c r="E193" s="277">
        <v>7</v>
      </c>
      <c r="F193" s="277">
        <f t="shared" si="76"/>
        <v>1.5964870689655173</v>
      </c>
      <c r="G193" s="278">
        <v>0.92596250000000002</v>
      </c>
      <c r="H193" s="278">
        <v>13.655945530252296</v>
      </c>
      <c r="I193" s="278">
        <v>9.8408841579607369</v>
      </c>
      <c r="J193" s="278">
        <v>6.5956352593315302</v>
      </c>
      <c r="K193" s="279">
        <v>7</v>
      </c>
      <c r="L193" s="279">
        <v>28</v>
      </c>
      <c r="M193" s="235" t="s">
        <v>104</v>
      </c>
      <c r="N193" s="278">
        <v>92.586041097253002</v>
      </c>
      <c r="O193" s="280">
        <f t="shared" si="75"/>
        <v>99.181676356584532</v>
      </c>
      <c r="P193" s="281" t="s">
        <v>226</v>
      </c>
      <c r="Q193" s="281"/>
      <c r="R193" s="282">
        <f t="shared" si="87"/>
        <v>2.2080679260898619</v>
      </c>
      <c r="S193" s="283">
        <v>0.52530477828689193</v>
      </c>
      <c r="T193" s="284" t="s">
        <v>37</v>
      </c>
      <c r="U193" s="283"/>
      <c r="V193" s="284"/>
      <c r="W193" s="284"/>
      <c r="X193" s="284"/>
      <c r="Y193" s="283">
        <v>0.5273405226396648</v>
      </c>
      <c r="Z193" s="284" t="s">
        <v>37</v>
      </c>
      <c r="AA193" s="283"/>
      <c r="AB193" s="284"/>
      <c r="AC193" s="284"/>
      <c r="AD193" s="284"/>
      <c r="AE193" s="285"/>
      <c r="AF193" s="239">
        <f t="shared" si="77"/>
        <v>4.528138386198961</v>
      </c>
      <c r="AG193" s="239">
        <f t="shared" si="78"/>
        <v>4.596953283081735</v>
      </c>
      <c r="AH193" s="240"/>
      <c r="AI193" s="240"/>
      <c r="AK193" s="265">
        <f t="shared" si="79"/>
        <v>204.43626775048216</v>
      </c>
      <c r="AL193" s="265">
        <f t="shared" si="80"/>
        <v>211.03190300981367</v>
      </c>
      <c r="AM193" s="239">
        <f t="shared" si="81"/>
        <v>5.3202562777682738</v>
      </c>
      <c r="AN193" s="239">
        <f t="shared" si="82"/>
        <v>5.3520093211452782</v>
      </c>
      <c r="AO193" s="240"/>
      <c r="AP193" s="240"/>
      <c r="AR193" s="265">
        <f t="shared" si="83"/>
        <v>219.15785124115638</v>
      </c>
      <c r="AS193" s="265">
        <f t="shared" si="84"/>
        <v>226.28941385887953</v>
      </c>
      <c r="AT193" s="239">
        <f t="shared" si="85"/>
        <v>5.3897922521010537</v>
      </c>
      <c r="AU193" s="239">
        <f t="shared" si="86"/>
        <v>5.4218147723092489</v>
      </c>
      <c r="AV193" s="125"/>
      <c r="AW193" s="125"/>
      <c r="BD193" s="125"/>
      <c r="BE193" s="125"/>
    </row>
    <row r="194" spans="1:70" s="238" customFormat="1" x14ac:dyDescent="0.2">
      <c r="A194" s="275" t="s">
        <v>205</v>
      </c>
      <c r="B194" s="275" t="s">
        <v>260</v>
      </c>
      <c r="C194" s="276" t="s">
        <v>341</v>
      </c>
      <c r="D194" s="276" t="s">
        <v>172</v>
      </c>
      <c r="E194" s="277">
        <v>7.5</v>
      </c>
      <c r="F194" s="277">
        <f t="shared" si="76"/>
        <v>3.504509905645727</v>
      </c>
      <c r="G194" s="278">
        <v>2.0326157452745215</v>
      </c>
      <c r="H194" s="278">
        <v>31.872519203485023</v>
      </c>
      <c r="I194" s="278">
        <v>28.529144751045347</v>
      </c>
      <c r="J194" s="278">
        <v>11.245946592653912</v>
      </c>
      <c r="K194" s="279">
        <v>7</v>
      </c>
      <c r="L194" s="279">
        <v>28</v>
      </c>
      <c r="M194" s="235" t="s">
        <v>104</v>
      </c>
      <c r="N194" s="278">
        <v>124.70537874448978</v>
      </c>
      <c r="O194" s="280">
        <f t="shared" si="75"/>
        <v>135.95132533714369</v>
      </c>
      <c r="P194" s="281" t="s">
        <v>226</v>
      </c>
      <c r="Q194" s="281"/>
      <c r="R194" s="282">
        <f t="shared" si="87"/>
        <v>3.0752664074181557</v>
      </c>
      <c r="S194" s="283">
        <v>0.52530477828689193</v>
      </c>
      <c r="T194" s="284" t="s">
        <v>37</v>
      </c>
      <c r="U194" s="283"/>
      <c r="V194" s="284"/>
      <c r="W194" s="284"/>
      <c r="X194" s="284"/>
      <c r="Y194" s="283">
        <v>0.5273405226396648</v>
      </c>
      <c r="Z194" s="284" t="s">
        <v>37</v>
      </c>
      <c r="AA194" s="283"/>
      <c r="AB194" s="284"/>
      <c r="AC194" s="284"/>
      <c r="AD194" s="284"/>
      <c r="AE194" s="285"/>
      <c r="AF194" s="239">
        <f t="shared" si="77"/>
        <v>4.8259539852320303</v>
      </c>
      <c r="AG194" s="239">
        <f t="shared" si="78"/>
        <v>4.9122969197411024</v>
      </c>
      <c r="AH194" s="240"/>
      <c r="AI194" s="240"/>
      <c r="AK194" s="265">
        <f t="shared" si="79"/>
        <v>383.50226207728753</v>
      </c>
      <c r="AL194" s="265">
        <f t="shared" si="80"/>
        <v>394.74820866994145</v>
      </c>
      <c r="AM194" s="239">
        <f t="shared" si="81"/>
        <v>5.9493455192965312</v>
      </c>
      <c r="AN194" s="239">
        <f t="shared" si="82"/>
        <v>5.9782481152405698</v>
      </c>
      <c r="AO194" s="240"/>
      <c r="AP194" s="240"/>
      <c r="AR194" s="265">
        <f t="shared" si="83"/>
        <v>235.04036475022045</v>
      </c>
      <c r="AS194" s="265">
        <f t="shared" si="84"/>
        <v>241.47417467555761</v>
      </c>
      <c r="AT194" s="239">
        <f t="shared" si="85"/>
        <v>5.4597572642888137</v>
      </c>
      <c r="AU194" s="239">
        <f t="shared" si="86"/>
        <v>5.4867625302131895</v>
      </c>
      <c r="AV194" s="125"/>
      <c r="AW194" s="125"/>
      <c r="BD194" s="125"/>
      <c r="BE194" s="125"/>
    </row>
    <row r="195" spans="1:70" s="255" customFormat="1" ht="13.5" thickBot="1" x14ac:dyDescent="0.25">
      <c r="A195" s="254" t="s">
        <v>205</v>
      </c>
      <c r="B195" s="254" t="s">
        <v>260</v>
      </c>
      <c r="C195" s="369" t="s">
        <v>341</v>
      </c>
      <c r="D195" s="369" t="s">
        <v>172</v>
      </c>
      <c r="E195" s="370">
        <v>7.5250000000000004</v>
      </c>
      <c r="F195" s="370">
        <f t="shared" si="76"/>
        <v>2.4958212723915376</v>
      </c>
      <c r="G195" s="371">
        <v>1.4475763379870918</v>
      </c>
      <c r="H195" s="371">
        <v>38.576937974924618</v>
      </c>
      <c r="I195" s="371">
        <v>23.971447340032601</v>
      </c>
      <c r="J195" s="371">
        <v>29.575802025601583</v>
      </c>
      <c r="K195" s="372">
        <v>7</v>
      </c>
      <c r="L195" s="372">
        <v>28</v>
      </c>
      <c r="M195" s="258" t="s">
        <v>104</v>
      </c>
      <c r="N195" s="371">
        <v>743.67094296972925</v>
      </c>
      <c r="O195" s="373">
        <f t="shared" si="75"/>
        <v>773.2467449953308</v>
      </c>
      <c r="P195" s="374" t="s">
        <v>226</v>
      </c>
      <c r="Q195" s="374"/>
      <c r="R195" s="375">
        <f t="shared" si="87"/>
        <v>3.1176578244515478</v>
      </c>
      <c r="S195" s="376">
        <v>0.52530477828689193</v>
      </c>
      <c r="T195" s="377" t="s">
        <v>37</v>
      </c>
      <c r="U195" s="376"/>
      <c r="V195" s="377"/>
      <c r="W195" s="377"/>
      <c r="X195" s="377"/>
      <c r="Y195" s="376">
        <v>0.5273405226396648</v>
      </c>
      <c r="Z195" s="377" t="s">
        <v>37</v>
      </c>
      <c r="AA195" s="376"/>
      <c r="AB195" s="377"/>
      <c r="AC195" s="377"/>
      <c r="AD195" s="377"/>
      <c r="AE195" s="259"/>
      <c r="AF195" s="257">
        <f t="shared" si="77"/>
        <v>6.6115986560433573</v>
      </c>
      <c r="AG195" s="257">
        <f t="shared" si="78"/>
        <v>6.6505982020449457</v>
      </c>
      <c r="AH195" s="262"/>
      <c r="AI195" s="262"/>
      <c r="AK195" s="378">
        <f t="shared" si="79"/>
        <v>2318.511534166837</v>
      </c>
      <c r="AL195" s="378">
        <f t="shared" si="80"/>
        <v>2348.0873361924387</v>
      </c>
      <c r="AM195" s="257">
        <f t="shared" si="81"/>
        <v>7.7486806786592695</v>
      </c>
      <c r="AN195" s="257">
        <f t="shared" si="82"/>
        <v>7.7613563762496058</v>
      </c>
      <c r="AO195" s="262"/>
      <c r="AP195" s="262"/>
      <c r="AR195" s="378">
        <f t="shared" si="83"/>
        <v>1557.0190752185656</v>
      </c>
      <c r="AS195" s="378">
        <f t="shared" si="84"/>
        <v>1574.44977005187</v>
      </c>
      <c r="AT195" s="257">
        <f t="shared" si="85"/>
        <v>7.3505284230232846</v>
      </c>
      <c r="AU195" s="257">
        <f t="shared" si="86"/>
        <v>7.3616611378739663</v>
      </c>
      <c r="AV195" s="263"/>
      <c r="AW195" s="263"/>
      <c r="BD195" s="263"/>
      <c r="BE195" s="263"/>
    </row>
    <row r="196" spans="1:70" s="238" customFormat="1" x14ac:dyDescent="0.2">
      <c r="A196" s="232"/>
      <c r="B196" s="232"/>
      <c r="C196" s="264"/>
      <c r="D196" s="232"/>
      <c r="E196" s="233"/>
      <c r="F196" s="233"/>
      <c r="G196" s="233"/>
      <c r="H196" s="233"/>
      <c r="I196" s="233"/>
      <c r="J196" s="233"/>
      <c r="K196" s="233"/>
      <c r="L196" s="233"/>
      <c r="M196" s="233"/>
      <c r="N196" s="233"/>
      <c r="O196" s="233"/>
      <c r="P196" s="233"/>
      <c r="Q196" s="233"/>
      <c r="R196" s="233"/>
      <c r="S196" s="236"/>
      <c r="T196" s="237"/>
      <c r="U196" s="236"/>
      <c r="V196" s="237"/>
      <c r="W196" s="237"/>
      <c r="X196" s="237"/>
      <c r="Y196" s="236"/>
      <c r="Z196" s="237"/>
      <c r="AA196" s="236"/>
      <c r="AB196" s="237"/>
      <c r="AC196" s="237"/>
      <c r="AD196" s="237"/>
      <c r="AE196" s="129"/>
      <c r="AH196" s="125"/>
      <c r="AI196" s="125"/>
      <c r="AO196" s="125"/>
      <c r="AP196" s="125"/>
      <c r="AR196" s="265"/>
      <c r="AS196" s="265"/>
      <c r="AV196" s="126"/>
      <c r="AW196" s="126"/>
      <c r="BA196" s="136"/>
      <c r="BB196" s="136"/>
      <c r="BC196" s="234"/>
      <c r="BD196" s="242"/>
      <c r="BE196" s="242"/>
      <c r="BJ196" s="136"/>
      <c r="BK196" s="136"/>
      <c r="BL196" s="136"/>
      <c r="BM196" s="136"/>
      <c r="BN196" s="136"/>
      <c r="BO196" s="136"/>
      <c r="BP196" s="136"/>
      <c r="BQ196" s="136"/>
      <c r="BR196" s="136"/>
    </row>
    <row r="197" spans="1:70" s="272" customFormat="1" x14ac:dyDescent="0.2">
      <c r="A197" s="266" t="s">
        <v>34</v>
      </c>
      <c r="B197" s="266"/>
      <c r="C197" s="266"/>
      <c r="D197" s="266"/>
      <c r="E197" s="267"/>
      <c r="F197" s="267"/>
      <c r="G197" s="267"/>
      <c r="H197" s="267"/>
      <c r="I197" s="267"/>
      <c r="J197" s="267"/>
      <c r="K197" s="267"/>
      <c r="L197" s="267"/>
      <c r="M197" s="267"/>
      <c r="N197" s="267"/>
      <c r="O197" s="267"/>
      <c r="P197" s="267"/>
      <c r="Q197" s="267"/>
      <c r="R197" s="267"/>
      <c r="S197" s="268"/>
      <c r="T197" s="269"/>
      <c r="U197" s="268"/>
      <c r="V197" s="269"/>
      <c r="W197" s="268"/>
      <c r="X197" s="269"/>
      <c r="Y197" s="268"/>
      <c r="Z197" s="269"/>
      <c r="AA197" s="268"/>
      <c r="AB197" s="269"/>
      <c r="AC197" s="268"/>
      <c r="AD197" s="269"/>
      <c r="AE197" s="270"/>
      <c r="AF197" s="271"/>
      <c r="AG197" s="271"/>
      <c r="AH197" s="155">
        <f>LOGINV(0.05,AVERAGE(AF198:AF449),STDEV(AF198:AF449))</f>
        <v>24.377103159987673</v>
      </c>
      <c r="AI197" s="155">
        <f>LOGINV(0.05,AVERAGE(AG198:AG449),STDEV(AG198:AG449))</f>
        <v>35.103246514863784</v>
      </c>
      <c r="AJ197" s="271"/>
      <c r="AK197" s="271"/>
      <c r="AL197" s="271"/>
      <c r="AM197" s="271"/>
      <c r="AN197" s="271"/>
      <c r="AO197" s="155">
        <f>LOGINV(0.05,AVERAGE(AM198:AM449),STDEV(AM198:AM449))</f>
        <v>47.724690491624926</v>
      </c>
      <c r="AP197" s="155">
        <f>LOGINV(0.05,AVERAGE(AN198:AN449),STDEV(AN198:AN449))</f>
        <v>59.713388659829654</v>
      </c>
      <c r="AQ197" s="271"/>
      <c r="AR197" s="271"/>
      <c r="AS197" s="271"/>
      <c r="AT197" s="271"/>
      <c r="AU197" s="271"/>
      <c r="AV197" s="155">
        <f>LOGINV(0.05,AVERAGE(AT198:AT449),STDEV(AT198:AT449))</f>
        <v>48.83743202743689</v>
      </c>
      <c r="AW197" s="155">
        <f>LOGINV(0.05,AVERAGE(AU198:AU449),STDEV(AU198:AU449))</f>
        <v>61.309933033779636</v>
      </c>
      <c r="AX197" s="271"/>
      <c r="AY197" s="271"/>
      <c r="BD197" s="155">
        <f>LOGINV(0.05,AVERAGE(BB198:BB449),STDEV(BB198:BB449))</f>
        <v>52.86524351522953</v>
      </c>
      <c r="BE197" s="155">
        <f>LOGINV(0.05,AVERAGE(BC198:BC449),STDEV(BC198:BC449))</f>
        <v>71.547385612690164</v>
      </c>
      <c r="BG197" s="271">
        <f>COUNT(BB198:BB449)</f>
        <v>28</v>
      </c>
      <c r="BH197" s="271">
        <f>(1.662-1.6712)/(30-20)*BG197+(1.662-(1.662-1.6712)/(30-20)*30)</f>
        <v>1.66384</v>
      </c>
      <c r="BI197" s="274">
        <f>EXP(AVERAGE(BB198:BB449)-BH197*STDEV(BB198:BB449))</f>
        <v>52.09285048413188</v>
      </c>
      <c r="BJ197" s="379">
        <f>EXP(AVERAGE(BC198:BC449)-BH197*STDEV(BC198:BC449))</f>
        <v>70.589878381914545</v>
      </c>
    </row>
    <row r="198" spans="1:70" x14ac:dyDescent="0.2">
      <c r="A198" s="232" t="s">
        <v>34</v>
      </c>
      <c r="B198" s="232" t="s">
        <v>35</v>
      </c>
      <c r="C198" s="380" t="s">
        <v>311</v>
      </c>
      <c r="D198" s="381" t="s">
        <v>36</v>
      </c>
      <c r="E198" s="382">
        <v>6.4</v>
      </c>
      <c r="F198" s="382">
        <v>1.7</v>
      </c>
      <c r="G198" s="296">
        <f t="shared" ref="G198:G261" si="88">F198/1.724</f>
        <v>0.9860788863109049</v>
      </c>
      <c r="H198" s="382">
        <v>11.1</v>
      </c>
      <c r="I198" s="300">
        <f t="shared" ref="I198:I213" si="89">(30+4.4*E198)*(H198/100)+(-34.66+29.72*E198)*(F198/100)</f>
        <v>9.1000760000000014</v>
      </c>
      <c r="J198" s="382">
        <v>12</v>
      </c>
      <c r="K198" s="383">
        <v>11</v>
      </c>
      <c r="L198" s="383">
        <v>105</v>
      </c>
      <c r="M198" s="384" t="s">
        <v>93</v>
      </c>
      <c r="N198" s="382">
        <v>125</v>
      </c>
      <c r="O198" s="382">
        <f t="shared" ref="O198:O229" si="90">N198+J198</f>
        <v>137</v>
      </c>
      <c r="P198" s="382"/>
      <c r="Q198" s="382"/>
      <c r="R198" s="294">
        <v>2</v>
      </c>
      <c r="S198" s="236">
        <v>0.68</v>
      </c>
      <c r="T198" s="237" t="s">
        <v>37</v>
      </c>
      <c r="Y198" s="236">
        <v>0.69</v>
      </c>
      <c r="Z198" s="237" t="s">
        <v>37</v>
      </c>
      <c r="AE198" s="236"/>
      <c r="AF198" s="239">
        <f t="shared" ref="AF198:AF261" si="91">LN(N198)</f>
        <v>4.8283137373023015</v>
      </c>
      <c r="AG198" s="239">
        <f t="shared" ref="AG198:AG261" si="92">LN(O198)</f>
        <v>4.9199809258281251</v>
      </c>
      <c r="AH198" s="136"/>
      <c r="AI198" s="136"/>
      <c r="AK198" s="265">
        <f t="shared" ref="AK198:AK261" si="93">N198*R198</f>
        <v>250</v>
      </c>
      <c r="AL198" s="265">
        <f t="shared" ref="AL198:AL261" si="94">AK198+J198</f>
        <v>262</v>
      </c>
      <c r="AM198" s="239">
        <f t="shared" ref="AM198:AM261" si="95">LN(AK198)</f>
        <v>5.521460917862246</v>
      </c>
      <c r="AN198" s="239">
        <f t="shared" ref="AN198:AN261" si="96">LN(AL198)</f>
        <v>5.5683445037610966</v>
      </c>
      <c r="AO198" s="136"/>
      <c r="AP198" s="136"/>
      <c r="AR198" s="265">
        <f t="shared" ref="AR198:AR229" si="97">AK198*(eCEC/$I198)^$S198</f>
        <v>288.49939998242627</v>
      </c>
      <c r="AS198" s="265">
        <f t="shared" ref="AS198:AS229" si="98">AL198*(eCEC/$I198)^$Y198</f>
        <v>302.98489303645732</v>
      </c>
      <c r="AT198" s="239">
        <f t="shared" ref="AT198:AT261" si="99">LN(AR198)</f>
        <v>5.6646930061623735</v>
      </c>
      <c r="AU198" s="239">
        <f t="shared" ref="AU198:AU261" si="100">LN(AS198)</f>
        <v>5.7136829463009322</v>
      </c>
      <c r="AV198" s="136"/>
      <c r="AW198" s="136"/>
      <c r="AX198" s="385">
        <f t="shared" ref="AX198:AY203" si="101">GEOMEAN(AR198)</f>
        <v>288.49939998242627</v>
      </c>
      <c r="AY198" s="385">
        <f t="shared" si="101"/>
        <v>302.98489303645732</v>
      </c>
      <c r="AZ198" s="385">
        <f>MIN(AX198:AX203)</f>
        <v>288.49939998242627</v>
      </c>
      <c r="BA198" s="385">
        <f>MIN(AY198:AY203)</f>
        <v>302.98489303645732</v>
      </c>
      <c r="BB198" s="239">
        <f>LN(AZ198)</f>
        <v>5.6646930061623735</v>
      </c>
      <c r="BC198" s="239">
        <f>LN(BA198)</f>
        <v>5.7136829463009322</v>
      </c>
      <c r="BD198" s="136"/>
      <c r="BE198" s="136"/>
      <c r="BF198" s="136"/>
      <c r="BG198" s="136"/>
      <c r="BH198" s="136"/>
      <c r="BI198" s="136"/>
    </row>
    <row r="199" spans="1:70" x14ac:dyDescent="0.2">
      <c r="A199" s="232" t="s">
        <v>34</v>
      </c>
      <c r="B199" s="232" t="s">
        <v>35</v>
      </c>
      <c r="C199" s="380" t="s">
        <v>311</v>
      </c>
      <c r="D199" s="381" t="s">
        <v>312</v>
      </c>
      <c r="E199" s="382">
        <v>6.4</v>
      </c>
      <c r="F199" s="382">
        <v>1.7</v>
      </c>
      <c r="G199" s="296">
        <f t="shared" si="88"/>
        <v>0.9860788863109049</v>
      </c>
      <c r="H199" s="382">
        <v>11.1</v>
      </c>
      <c r="I199" s="300">
        <f t="shared" si="89"/>
        <v>9.1000760000000014</v>
      </c>
      <c r="J199" s="382">
        <v>12</v>
      </c>
      <c r="K199" s="383">
        <v>11</v>
      </c>
      <c r="L199" s="383">
        <v>34</v>
      </c>
      <c r="M199" s="384" t="s">
        <v>93</v>
      </c>
      <c r="N199" s="382">
        <v>200</v>
      </c>
      <c r="O199" s="386">
        <f t="shared" si="90"/>
        <v>212</v>
      </c>
      <c r="P199" s="386"/>
      <c r="Q199" s="386"/>
      <c r="R199" s="387">
        <v>2</v>
      </c>
      <c r="S199" s="236">
        <v>0.68</v>
      </c>
      <c r="T199" s="237" t="s">
        <v>37</v>
      </c>
      <c r="Y199" s="236">
        <v>0.69</v>
      </c>
      <c r="Z199" s="237" t="s">
        <v>37</v>
      </c>
      <c r="AE199" s="236"/>
      <c r="AF199" s="239">
        <f t="shared" si="91"/>
        <v>5.2983173665480363</v>
      </c>
      <c r="AG199" s="239">
        <f t="shared" si="92"/>
        <v>5.3565862746720123</v>
      </c>
      <c r="AK199" s="265">
        <f t="shared" si="93"/>
        <v>400</v>
      </c>
      <c r="AL199" s="265">
        <f t="shared" si="94"/>
        <v>412</v>
      </c>
      <c r="AM199" s="239">
        <f t="shared" si="95"/>
        <v>5.9914645471079817</v>
      </c>
      <c r="AN199" s="239">
        <f t="shared" si="96"/>
        <v>6.0210233493495267</v>
      </c>
      <c r="AO199" s="240"/>
      <c r="AP199" s="240"/>
      <c r="AR199" s="265">
        <f t="shared" si="97"/>
        <v>461.59903997188206</v>
      </c>
      <c r="AS199" s="265">
        <f t="shared" si="98"/>
        <v>476.44952645427639</v>
      </c>
      <c r="AT199" s="239">
        <f t="shared" si="99"/>
        <v>6.1346966354081092</v>
      </c>
      <c r="AU199" s="239">
        <f t="shared" si="100"/>
        <v>6.1663617918893614</v>
      </c>
      <c r="AX199" s="385">
        <f t="shared" si="101"/>
        <v>461.59903997188206</v>
      </c>
      <c r="AY199" s="385">
        <f t="shared" si="101"/>
        <v>476.44952645427639</v>
      </c>
      <c r="AZ199" s="136"/>
      <c r="BB199" s="238"/>
      <c r="BC199" s="238"/>
      <c r="BD199" s="125"/>
      <c r="BE199" s="125"/>
      <c r="BF199" s="136"/>
      <c r="BG199" s="136"/>
      <c r="BH199" s="136"/>
      <c r="BI199" s="136"/>
    </row>
    <row r="200" spans="1:70" x14ac:dyDescent="0.2">
      <c r="A200" s="232" t="s">
        <v>34</v>
      </c>
      <c r="B200" s="232" t="s">
        <v>35</v>
      </c>
      <c r="C200" s="380" t="s">
        <v>311</v>
      </c>
      <c r="D200" s="381" t="s">
        <v>313</v>
      </c>
      <c r="E200" s="382">
        <v>6.4</v>
      </c>
      <c r="F200" s="382">
        <v>1.7</v>
      </c>
      <c r="G200" s="296">
        <f t="shared" si="88"/>
        <v>0.9860788863109049</v>
      </c>
      <c r="H200" s="382">
        <v>11.1</v>
      </c>
      <c r="I200" s="300">
        <f t="shared" si="89"/>
        <v>9.1000760000000014</v>
      </c>
      <c r="J200" s="382">
        <v>12</v>
      </c>
      <c r="K200" s="383">
        <v>11</v>
      </c>
      <c r="L200" s="383">
        <v>34</v>
      </c>
      <c r="M200" s="384" t="s">
        <v>93</v>
      </c>
      <c r="N200" s="382">
        <v>200</v>
      </c>
      <c r="O200" s="386">
        <f t="shared" si="90"/>
        <v>212</v>
      </c>
      <c r="P200" s="386"/>
      <c r="Q200" s="386"/>
      <c r="R200" s="387">
        <v>2</v>
      </c>
      <c r="S200" s="236">
        <v>0.68</v>
      </c>
      <c r="T200" s="237" t="s">
        <v>37</v>
      </c>
      <c r="Y200" s="236">
        <v>0.69</v>
      </c>
      <c r="Z200" s="237" t="s">
        <v>37</v>
      </c>
      <c r="AE200" s="236"/>
      <c r="AF200" s="239">
        <f t="shared" si="91"/>
        <v>5.2983173665480363</v>
      </c>
      <c r="AG200" s="239">
        <f t="shared" si="92"/>
        <v>5.3565862746720123</v>
      </c>
      <c r="AH200" s="240"/>
      <c r="AI200" s="240"/>
      <c r="AK200" s="265">
        <f t="shared" si="93"/>
        <v>400</v>
      </c>
      <c r="AL200" s="265">
        <f t="shared" si="94"/>
        <v>412</v>
      </c>
      <c r="AM200" s="239">
        <f t="shared" si="95"/>
        <v>5.9914645471079817</v>
      </c>
      <c r="AN200" s="239">
        <f t="shared" si="96"/>
        <v>6.0210233493495267</v>
      </c>
      <c r="AO200" s="240"/>
      <c r="AP200" s="240"/>
      <c r="AR200" s="265">
        <f t="shared" si="97"/>
        <v>461.59903997188206</v>
      </c>
      <c r="AS200" s="265">
        <f t="shared" si="98"/>
        <v>476.44952645427639</v>
      </c>
      <c r="AT200" s="239">
        <f t="shared" si="99"/>
        <v>6.1346966354081092</v>
      </c>
      <c r="AU200" s="239">
        <f t="shared" si="100"/>
        <v>6.1663617918893614</v>
      </c>
      <c r="AX200" s="385">
        <f t="shared" si="101"/>
        <v>461.59903997188206</v>
      </c>
      <c r="AY200" s="385">
        <f t="shared" si="101"/>
        <v>476.44952645427639</v>
      </c>
      <c r="AZ200" s="136"/>
      <c r="BB200" s="238"/>
      <c r="BC200" s="238"/>
      <c r="BD200" s="125"/>
      <c r="BE200" s="125"/>
      <c r="BF200" s="136"/>
      <c r="BG200" s="136"/>
      <c r="BH200" s="136"/>
      <c r="BI200" s="136"/>
    </row>
    <row r="201" spans="1:70" s="238" customFormat="1" x14ac:dyDescent="0.2">
      <c r="A201" s="275" t="s">
        <v>34</v>
      </c>
      <c r="B201" s="275" t="s">
        <v>35</v>
      </c>
      <c r="C201" s="380" t="s">
        <v>311</v>
      </c>
      <c r="D201" s="381" t="s">
        <v>314</v>
      </c>
      <c r="E201" s="382">
        <v>6.4</v>
      </c>
      <c r="F201" s="382">
        <v>1.7</v>
      </c>
      <c r="G201" s="296">
        <f t="shared" si="88"/>
        <v>0.9860788863109049</v>
      </c>
      <c r="H201" s="382">
        <v>11.1</v>
      </c>
      <c r="I201" s="300">
        <f t="shared" si="89"/>
        <v>9.1000760000000014</v>
      </c>
      <c r="J201" s="382">
        <v>12</v>
      </c>
      <c r="K201" s="383">
        <v>11</v>
      </c>
      <c r="L201" s="383">
        <v>105</v>
      </c>
      <c r="M201" s="384" t="s">
        <v>93</v>
      </c>
      <c r="N201" s="382">
        <v>200</v>
      </c>
      <c r="O201" s="386">
        <f t="shared" si="90"/>
        <v>212</v>
      </c>
      <c r="P201" s="386"/>
      <c r="Q201" s="386"/>
      <c r="R201" s="387">
        <v>2</v>
      </c>
      <c r="S201" s="285">
        <v>0.68</v>
      </c>
      <c r="T201" s="388" t="s">
        <v>37</v>
      </c>
      <c r="U201" s="285"/>
      <c r="V201" s="388"/>
      <c r="W201" s="388"/>
      <c r="X201" s="388"/>
      <c r="Y201" s="285">
        <v>0.69</v>
      </c>
      <c r="Z201" s="388" t="s">
        <v>37</v>
      </c>
      <c r="AA201" s="285"/>
      <c r="AB201" s="388"/>
      <c r="AC201" s="388"/>
      <c r="AD201" s="388"/>
      <c r="AE201" s="285"/>
      <c r="AF201" s="239">
        <f t="shared" si="91"/>
        <v>5.2983173665480363</v>
      </c>
      <c r="AG201" s="239">
        <f t="shared" si="92"/>
        <v>5.3565862746720123</v>
      </c>
      <c r="AH201" s="240"/>
      <c r="AI201" s="240"/>
      <c r="AK201" s="265">
        <f t="shared" si="93"/>
        <v>400</v>
      </c>
      <c r="AL201" s="265">
        <f t="shared" si="94"/>
        <v>412</v>
      </c>
      <c r="AM201" s="239">
        <f t="shared" si="95"/>
        <v>5.9914645471079817</v>
      </c>
      <c r="AN201" s="239">
        <f t="shared" si="96"/>
        <v>6.0210233493495267</v>
      </c>
      <c r="AO201" s="240"/>
      <c r="AP201" s="240"/>
      <c r="AR201" s="265">
        <f t="shared" si="97"/>
        <v>461.59903997188206</v>
      </c>
      <c r="AS201" s="265">
        <f t="shared" si="98"/>
        <v>476.44952645427639</v>
      </c>
      <c r="AT201" s="239">
        <f t="shared" si="99"/>
        <v>6.1346966354081092</v>
      </c>
      <c r="AU201" s="239">
        <f t="shared" si="100"/>
        <v>6.1663617918893614</v>
      </c>
      <c r="AV201" s="125"/>
      <c r="AW201" s="125"/>
      <c r="AX201" s="385">
        <f t="shared" si="101"/>
        <v>461.59903997188206</v>
      </c>
      <c r="AY201" s="385">
        <f t="shared" si="101"/>
        <v>476.44952645427639</v>
      </c>
      <c r="BD201" s="125"/>
      <c r="BE201" s="125"/>
    </row>
    <row r="202" spans="1:70" x14ac:dyDescent="0.2">
      <c r="A202" s="232" t="s">
        <v>34</v>
      </c>
      <c r="B202" s="232" t="s">
        <v>35</v>
      </c>
      <c r="C202" s="389" t="s">
        <v>38</v>
      </c>
      <c r="D202" s="381" t="s">
        <v>312</v>
      </c>
      <c r="E202" s="382">
        <v>6.7</v>
      </c>
      <c r="F202" s="382">
        <v>4.5</v>
      </c>
      <c r="G202" s="296">
        <f t="shared" si="88"/>
        <v>2.6102088167053363</v>
      </c>
      <c r="H202" s="382">
        <v>13.8</v>
      </c>
      <c r="I202" s="300">
        <f t="shared" si="89"/>
        <v>15.609120000000001</v>
      </c>
      <c r="J202" s="382">
        <v>22</v>
      </c>
      <c r="K202" s="383" t="s">
        <v>315</v>
      </c>
      <c r="L202" s="383">
        <v>35</v>
      </c>
      <c r="M202" s="384" t="s">
        <v>93</v>
      </c>
      <c r="N202" s="382">
        <v>200</v>
      </c>
      <c r="O202" s="386">
        <f t="shared" si="90"/>
        <v>222</v>
      </c>
      <c r="P202" s="386"/>
      <c r="Q202" s="386"/>
      <c r="R202" s="387">
        <v>2</v>
      </c>
      <c r="S202" s="236">
        <v>0.68</v>
      </c>
      <c r="T202" s="237" t="s">
        <v>37</v>
      </c>
      <c r="Y202" s="236">
        <v>0.69</v>
      </c>
      <c r="Z202" s="237" t="s">
        <v>37</v>
      </c>
      <c r="AE202" s="236"/>
      <c r="AF202" s="239">
        <f t="shared" si="91"/>
        <v>5.2983173665480363</v>
      </c>
      <c r="AG202" s="239">
        <f t="shared" si="92"/>
        <v>5.4026773818722793</v>
      </c>
      <c r="AH202" s="240"/>
      <c r="AI202" s="240"/>
      <c r="AK202" s="265">
        <f t="shared" si="93"/>
        <v>400</v>
      </c>
      <c r="AL202" s="265">
        <f t="shared" si="94"/>
        <v>422</v>
      </c>
      <c r="AM202" s="239">
        <f t="shared" si="95"/>
        <v>5.9914645471079817</v>
      </c>
      <c r="AN202" s="239">
        <f t="shared" si="96"/>
        <v>6.045005314036012</v>
      </c>
      <c r="AO202" s="240"/>
      <c r="AP202" s="240"/>
      <c r="AR202" s="265">
        <f t="shared" si="97"/>
        <v>319.82925386092239</v>
      </c>
      <c r="AS202" s="265">
        <f t="shared" si="98"/>
        <v>336.3117869123376</v>
      </c>
      <c r="AT202" s="239">
        <f t="shared" si="99"/>
        <v>5.7677872717037886</v>
      </c>
      <c r="AU202" s="239">
        <f t="shared" si="100"/>
        <v>5.8180386669346982</v>
      </c>
      <c r="AX202" s="385">
        <f t="shared" si="101"/>
        <v>319.82925386092239</v>
      </c>
      <c r="AY202" s="385">
        <f t="shared" si="101"/>
        <v>336.3117869123376</v>
      </c>
      <c r="AZ202" s="136"/>
      <c r="BB202" s="238"/>
      <c r="BC202" s="238"/>
      <c r="BD202" s="125"/>
      <c r="BE202" s="125"/>
      <c r="BF202" s="136"/>
      <c r="BG202" s="136"/>
      <c r="BH202" s="136"/>
      <c r="BI202" s="136"/>
    </row>
    <row r="203" spans="1:70" s="165" customFormat="1" x14ac:dyDescent="0.2">
      <c r="A203" s="156" t="s">
        <v>34</v>
      </c>
      <c r="B203" s="156" t="s">
        <v>35</v>
      </c>
      <c r="C203" s="390" t="s">
        <v>38</v>
      </c>
      <c r="D203" s="391" t="s">
        <v>316</v>
      </c>
      <c r="E203" s="392">
        <v>6.7</v>
      </c>
      <c r="F203" s="392">
        <v>4.5</v>
      </c>
      <c r="G203" s="330">
        <f t="shared" si="88"/>
        <v>2.6102088167053363</v>
      </c>
      <c r="H203" s="392">
        <v>13.8</v>
      </c>
      <c r="I203" s="393">
        <f t="shared" si="89"/>
        <v>15.609120000000001</v>
      </c>
      <c r="J203" s="392">
        <v>22</v>
      </c>
      <c r="K203" s="394" t="s">
        <v>317</v>
      </c>
      <c r="L203" s="394">
        <v>35</v>
      </c>
      <c r="M203" s="395" t="s">
        <v>93</v>
      </c>
      <c r="N203" s="392">
        <v>200</v>
      </c>
      <c r="O203" s="396">
        <f t="shared" si="90"/>
        <v>222</v>
      </c>
      <c r="P203" s="396"/>
      <c r="Q203" s="396"/>
      <c r="R203" s="361">
        <v>2</v>
      </c>
      <c r="S203" s="163">
        <v>0.68</v>
      </c>
      <c r="T203" s="162" t="s">
        <v>37</v>
      </c>
      <c r="U203" s="163"/>
      <c r="V203" s="162"/>
      <c r="W203" s="162"/>
      <c r="X203" s="162"/>
      <c r="Y203" s="163">
        <v>0.69</v>
      </c>
      <c r="Z203" s="162" t="s">
        <v>37</v>
      </c>
      <c r="AA203" s="163"/>
      <c r="AB203" s="162"/>
      <c r="AC203" s="162"/>
      <c r="AD203" s="162"/>
      <c r="AE203" s="163"/>
      <c r="AF203" s="166">
        <f t="shared" si="91"/>
        <v>5.2983173665480363</v>
      </c>
      <c r="AG203" s="166">
        <f t="shared" si="92"/>
        <v>5.4026773818722793</v>
      </c>
      <c r="AH203" s="169"/>
      <c r="AI203" s="169"/>
      <c r="AK203" s="168">
        <f t="shared" si="93"/>
        <v>400</v>
      </c>
      <c r="AL203" s="168">
        <f t="shared" si="94"/>
        <v>422</v>
      </c>
      <c r="AM203" s="166">
        <f t="shared" si="95"/>
        <v>5.9914645471079817</v>
      </c>
      <c r="AN203" s="166">
        <f t="shared" si="96"/>
        <v>6.045005314036012</v>
      </c>
      <c r="AO203" s="169"/>
      <c r="AP203" s="169"/>
      <c r="AR203" s="168">
        <f t="shared" si="97"/>
        <v>319.82925386092239</v>
      </c>
      <c r="AS203" s="168">
        <f t="shared" si="98"/>
        <v>336.3117869123376</v>
      </c>
      <c r="AT203" s="166">
        <f t="shared" si="99"/>
        <v>5.7677872717037886</v>
      </c>
      <c r="AU203" s="166">
        <f t="shared" si="100"/>
        <v>5.8180386669346982</v>
      </c>
      <c r="AV203" s="167"/>
      <c r="AW203" s="167"/>
      <c r="AX203" s="168">
        <f t="shared" si="101"/>
        <v>319.82925386092239</v>
      </c>
      <c r="AY203" s="168">
        <f t="shared" si="101"/>
        <v>336.3117869123376</v>
      </c>
      <c r="BD203" s="167"/>
      <c r="BE203" s="167"/>
    </row>
    <row r="204" spans="1:70" x14ac:dyDescent="0.2">
      <c r="A204" s="232" t="s">
        <v>34</v>
      </c>
      <c r="B204" s="232" t="s">
        <v>35</v>
      </c>
      <c r="C204" s="389" t="s">
        <v>39</v>
      </c>
      <c r="D204" s="381" t="s">
        <v>318</v>
      </c>
      <c r="E204" s="233">
        <v>5.6</v>
      </c>
      <c r="F204" s="233">
        <v>1.6</v>
      </c>
      <c r="G204" s="296">
        <f t="shared" si="88"/>
        <v>0.92807424593967525</v>
      </c>
      <c r="H204" s="233">
        <v>12</v>
      </c>
      <c r="I204" s="300">
        <f t="shared" si="89"/>
        <v>8.6651519999999991</v>
      </c>
      <c r="J204" s="397">
        <v>6</v>
      </c>
      <c r="K204" s="398">
        <v>0</v>
      </c>
      <c r="L204" s="398">
        <v>150</v>
      </c>
      <c r="M204" s="398" t="s">
        <v>93</v>
      </c>
      <c r="N204" s="382">
        <v>200</v>
      </c>
      <c r="O204" s="386">
        <f t="shared" si="90"/>
        <v>206</v>
      </c>
      <c r="P204" s="386"/>
      <c r="Q204" s="386"/>
      <c r="R204" s="387">
        <v>2</v>
      </c>
      <c r="S204" s="236">
        <v>0.68</v>
      </c>
      <c r="T204" s="237" t="s">
        <v>37</v>
      </c>
      <c r="Y204" s="236">
        <v>0.69</v>
      </c>
      <c r="Z204" s="237" t="s">
        <v>37</v>
      </c>
      <c r="AE204" s="236"/>
      <c r="AF204" s="239">
        <f t="shared" si="91"/>
        <v>5.2983173665480363</v>
      </c>
      <c r="AG204" s="239">
        <f t="shared" si="92"/>
        <v>5.3278761687895813</v>
      </c>
      <c r="AH204" s="240"/>
      <c r="AI204" s="240"/>
      <c r="AK204" s="265">
        <f t="shared" si="93"/>
        <v>400</v>
      </c>
      <c r="AL204" s="265">
        <f t="shared" si="94"/>
        <v>406</v>
      </c>
      <c r="AM204" s="239">
        <f t="shared" si="95"/>
        <v>5.9914645471079817</v>
      </c>
      <c r="AN204" s="239">
        <f t="shared" si="96"/>
        <v>6.0063531596017325</v>
      </c>
      <c r="AO204" s="240"/>
      <c r="AP204" s="240"/>
      <c r="AR204" s="265">
        <f t="shared" si="97"/>
        <v>477.22996403279774</v>
      </c>
      <c r="AS204" s="265">
        <f t="shared" si="98"/>
        <v>485.64756179625113</v>
      </c>
      <c r="AT204" s="239">
        <f t="shared" si="99"/>
        <v>6.1679984796036775</v>
      </c>
      <c r="AU204" s="239">
        <f t="shared" si="100"/>
        <v>6.1854831793400118</v>
      </c>
      <c r="AX204" s="385">
        <f>GEOMEAN(AR204:AR208)</f>
        <v>348.68925036566253</v>
      </c>
      <c r="AY204" s="385">
        <f>GEOMEAN(AS204:AS208)</f>
        <v>363.93015593098016</v>
      </c>
      <c r="AZ204" s="385">
        <f>MIN(AX204:AX208)</f>
        <v>348.68925036566253</v>
      </c>
      <c r="BA204" s="385">
        <f>MIN(AY204:AY208)</f>
        <v>363.93015593098016</v>
      </c>
      <c r="BB204" s="239">
        <f>LN(AZ204)</f>
        <v>5.8541811254624072</v>
      </c>
      <c r="BC204" s="239">
        <f>LN(BA204)</f>
        <v>5.8969619699150568</v>
      </c>
      <c r="BD204" s="240"/>
      <c r="BE204" s="240"/>
      <c r="BF204" s="136"/>
      <c r="BG204" s="136"/>
      <c r="BH204" s="136"/>
      <c r="BI204" s="136"/>
    </row>
    <row r="205" spans="1:70" x14ac:dyDescent="0.2">
      <c r="A205" s="232" t="s">
        <v>34</v>
      </c>
      <c r="B205" s="232" t="s">
        <v>35</v>
      </c>
      <c r="C205" s="389" t="s">
        <v>39</v>
      </c>
      <c r="D205" s="381" t="s">
        <v>318</v>
      </c>
      <c r="E205" s="233">
        <v>5.4</v>
      </c>
      <c r="F205" s="233">
        <v>2.4</v>
      </c>
      <c r="G205" s="296">
        <f t="shared" si="88"/>
        <v>1.3921113689095128</v>
      </c>
      <c r="H205" s="233">
        <v>40</v>
      </c>
      <c r="I205" s="300">
        <f t="shared" si="89"/>
        <v>24.523872000000004</v>
      </c>
      <c r="J205" s="397">
        <v>7</v>
      </c>
      <c r="K205" s="398">
        <v>0</v>
      </c>
      <c r="L205" s="398">
        <v>150</v>
      </c>
      <c r="M205" s="398" t="s">
        <v>93</v>
      </c>
      <c r="N205" s="382">
        <v>200</v>
      </c>
      <c r="O205" s="386">
        <f t="shared" si="90"/>
        <v>207</v>
      </c>
      <c r="P205" s="386"/>
      <c r="Q205" s="386"/>
      <c r="R205" s="387">
        <v>2</v>
      </c>
      <c r="S205" s="236">
        <v>0.68</v>
      </c>
      <c r="T205" s="237" t="s">
        <v>37</v>
      </c>
      <c r="Y205" s="236">
        <v>0.69</v>
      </c>
      <c r="Z205" s="237" t="s">
        <v>37</v>
      </c>
      <c r="AE205" s="236"/>
      <c r="AF205" s="239">
        <f t="shared" si="91"/>
        <v>5.2983173665480363</v>
      </c>
      <c r="AG205" s="239">
        <f t="shared" si="92"/>
        <v>5.3327187932653688</v>
      </c>
      <c r="AH205" s="240"/>
      <c r="AI205" s="240"/>
      <c r="AK205" s="265">
        <f t="shared" si="93"/>
        <v>400</v>
      </c>
      <c r="AL205" s="265">
        <f t="shared" si="94"/>
        <v>407</v>
      </c>
      <c r="AM205" s="239">
        <f t="shared" si="95"/>
        <v>5.9914645471079817</v>
      </c>
      <c r="AN205" s="239">
        <f t="shared" si="96"/>
        <v>6.0088131854425946</v>
      </c>
      <c r="AO205" s="240"/>
      <c r="AP205" s="240"/>
      <c r="AR205" s="265">
        <f t="shared" si="97"/>
        <v>235.23122076291861</v>
      </c>
      <c r="AS205" s="265">
        <f t="shared" si="98"/>
        <v>237.4863857502086</v>
      </c>
      <c r="AT205" s="239">
        <f t="shared" si="99"/>
        <v>5.4605689485540596</v>
      </c>
      <c r="AU205" s="239">
        <f t="shared" si="100"/>
        <v>5.4701102986746442</v>
      </c>
      <c r="AX205" s="136"/>
      <c r="AY205" s="136"/>
      <c r="AZ205" s="136"/>
      <c r="BB205" s="238"/>
      <c r="BC205" s="238"/>
      <c r="BD205" s="125"/>
      <c r="BE205" s="125"/>
      <c r="BF205" s="136"/>
      <c r="BG205" s="136"/>
      <c r="BH205" s="136"/>
      <c r="BI205" s="136"/>
    </row>
    <row r="206" spans="1:70" x14ac:dyDescent="0.2">
      <c r="A206" s="232" t="s">
        <v>34</v>
      </c>
      <c r="B206" s="232" t="s">
        <v>35</v>
      </c>
      <c r="C206" s="389" t="s">
        <v>39</v>
      </c>
      <c r="D206" s="381" t="s">
        <v>318</v>
      </c>
      <c r="E206" s="233">
        <v>5.2</v>
      </c>
      <c r="F206" s="233">
        <v>3.2</v>
      </c>
      <c r="G206" s="296">
        <f t="shared" si="88"/>
        <v>1.8561484918793505</v>
      </c>
      <c r="H206" s="233">
        <v>58</v>
      </c>
      <c r="I206" s="300">
        <f t="shared" si="89"/>
        <v>34.506688000000004</v>
      </c>
      <c r="J206" s="397">
        <v>58</v>
      </c>
      <c r="K206" s="398">
        <v>0</v>
      </c>
      <c r="L206" s="398">
        <v>150</v>
      </c>
      <c r="M206" s="398" t="s">
        <v>93</v>
      </c>
      <c r="N206" s="382">
        <v>200</v>
      </c>
      <c r="O206" s="386">
        <f t="shared" si="90"/>
        <v>258</v>
      </c>
      <c r="P206" s="386"/>
      <c r="Q206" s="386"/>
      <c r="R206" s="387">
        <v>2</v>
      </c>
      <c r="S206" s="236">
        <v>0.68</v>
      </c>
      <c r="T206" s="237" t="s">
        <v>37</v>
      </c>
      <c r="Y206" s="236">
        <v>0.69</v>
      </c>
      <c r="Z206" s="237" t="s">
        <v>37</v>
      </c>
      <c r="AE206" s="236"/>
      <c r="AF206" s="239">
        <f t="shared" si="91"/>
        <v>5.2983173665480363</v>
      </c>
      <c r="AG206" s="239">
        <f t="shared" si="92"/>
        <v>5.5529595849216173</v>
      </c>
      <c r="AH206" s="240"/>
      <c r="AI206" s="240"/>
      <c r="AK206" s="265">
        <f t="shared" si="93"/>
        <v>400</v>
      </c>
      <c r="AL206" s="265">
        <f t="shared" si="94"/>
        <v>458</v>
      </c>
      <c r="AM206" s="239">
        <f t="shared" si="95"/>
        <v>5.9914645471079817</v>
      </c>
      <c r="AN206" s="239">
        <f t="shared" si="96"/>
        <v>6.1268691841141854</v>
      </c>
      <c r="AO206" s="240"/>
      <c r="AP206" s="240"/>
      <c r="AR206" s="265">
        <f t="shared" si="97"/>
        <v>186.48387359423285</v>
      </c>
      <c r="AS206" s="265">
        <f t="shared" si="98"/>
        <v>211.14118944240565</v>
      </c>
      <c r="AT206" s="239">
        <f t="shared" si="99"/>
        <v>5.2283447666816087</v>
      </c>
      <c r="AU206" s="239">
        <f t="shared" si="100"/>
        <v>5.3525270539756598</v>
      </c>
      <c r="AX206" s="136"/>
      <c r="AY206" s="136"/>
      <c r="AZ206" s="136"/>
      <c r="BB206" s="238"/>
      <c r="BC206" s="238"/>
      <c r="BD206" s="125"/>
      <c r="BE206" s="125"/>
      <c r="BF206" s="136"/>
      <c r="BG206" s="136"/>
      <c r="BH206" s="136"/>
      <c r="BI206" s="136"/>
    </row>
    <row r="207" spans="1:70" x14ac:dyDescent="0.2">
      <c r="A207" s="232" t="s">
        <v>34</v>
      </c>
      <c r="B207" s="232" t="s">
        <v>35</v>
      </c>
      <c r="C207" s="389" t="s">
        <v>39</v>
      </c>
      <c r="D207" s="381" t="s">
        <v>318</v>
      </c>
      <c r="E207" s="233">
        <v>5</v>
      </c>
      <c r="F207" s="233">
        <v>3.4</v>
      </c>
      <c r="G207" s="296">
        <f t="shared" si="88"/>
        <v>1.9721577726218098</v>
      </c>
      <c r="H207" s="233">
        <v>4</v>
      </c>
      <c r="I207" s="300">
        <f t="shared" si="89"/>
        <v>5.9539600000000004</v>
      </c>
      <c r="J207" s="397">
        <v>4</v>
      </c>
      <c r="K207" s="398">
        <v>0</v>
      </c>
      <c r="L207" s="399">
        <v>150</v>
      </c>
      <c r="M207" s="399" t="s">
        <v>93</v>
      </c>
      <c r="N207" s="382">
        <v>200</v>
      </c>
      <c r="O207" s="386">
        <f t="shared" si="90"/>
        <v>204</v>
      </c>
      <c r="P207" s="386"/>
      <c r="Q207" s="386"/>
      <c r="R207" s="387">
        <v>2</v>
      </c>
      <c r="S207" s="236">
        <v>0.68</v>
      </c>
      <c r="T207" s="237" t="s">
        <v>37</v>
      </c>
      <c r="Y207" s="236">
        <v>0.69</v>
      </c>
      <c r="Z207" s="237" t="s">
        <v>37</v>
      </c>
      <c r="AE207" s="236"/>
      <c r="AF207" s="239">
        <f t="shared" si="91"/>
        <v>5.2983173665480363</v>
      </c>
      <c r="AG207" s="239">
        <f t="shared" si="92"/>
        <v>5.3181199938442161</v>
      </c>
      <c r="AH207" s="240"/>
      <c r="AI207" s="240"/>
      <c r="AK207" s="265">
        <f t="shared" si="93"/>
        <v>400</v>
      </c>
      <c r="AL207" s="265">
        <f t="shared" si="94"/>
        <v>404</v>
      </c>
      <c r="AM207" s="239">
        <f t="shared" si="95"/>
        <v>5.9914645471079817</v>
      </c>
      <c r="AN207" s="239">
        <f t="shared" si="96"/>
        <v>6.0014148779611505</v>
      </c>
      <c r="AO207" s="240"/>
      <c r="AP207" s="240"/>
      <c r="AR207" s="265">
        <f t="shared" si="97"/>
        <v>615.95287901980134</v>
      </c>
      <c r="AS207" s="265">
        <f t="shared" si="98"/>
        <v>626.0745245461693</v>
      </c>
      <c r="AT207" s="239">
        <f t="shared" si="99"/>
        <v>6.4231704655098953</v>
      </c>
      <c r="AU207" s="239">
        <f t="shared" si="100"/>
        <v>6.4394694128101504</v>
      </c>
      <c r="AX207" s="136"/>
      <c r="AY207" s="136"/>
      <c r="AZ207" s="136"/>
      <c r="BB207" s="238"/>
      <c r="BC207" s="238"/>
      <c r="BD207" s="125"/>
      <c r="BE207" s="125"/>
      <c r="BF207" s="136"/>
      <c r="BG207" s="136"/>
      <c r="BH207" s="136"/>
      <c r="BI207" s="136"/>
    </row>
    <row r="208" spans="1:70" s="165" customFormat="1" x14ac:dyDescent="0.2">
      <c r="A208" s="156" t="s">
        <v>34</v>
      </c>
      <c r="B208" s="156" t="s">
        <v>35</v>
      </c>
      <c r="C208" s="390" t="s">
        <v>39</v>
      </c>
      <c r="D208" s="391" t="s">
        <v>318</v>
      </c>
      <c r="E208" s="160">
        <v>5.4</v>
      </c>
      <c r="F208" s="160">
        <v>6.8</v>
      </c>
      <c r="G208" s="330">
        <f t="shared" si="88"/>
        <v>3.9443155452436196</v>
      </c>
      <c r="H208" s="160">
        <v>5</v>
      </c>
      <c r="I208" s="393">
        <f t="shared" si="89"/>
        <v>11.244304000000001</v>
      </c>
      <c r="J208" s="366">
        <v>19</v>
      </c>
      <c r="K208" s="400">
        <v>0</v>
      </c>
      <c r="L208" s="400">
        <v>150</v>
      </c>
      <c r="M208" s="400" t="s">
        <v>93</v>
      </c>
      <c r="N208" s="392">
        <v>200</v>
      </c>
      <c r="O208" s="396">
        <f t="shared" si="90"/>
        <v>219</v>
      </c>
      <c r="P208" s="396"/>
      <c r="Q208" s="396"/>
      <c r="R208" s="361">
        <v>2</v>
      </c>
      <c r="S208" s="163">
        <v>0.68</v>
      </c>
      <c r="T208" s="162" t="s">
        <v>37</v>
      </c>
      <c r="U208" s="163"/>
      <c r="V208" s="162"/>
      <c r="W208" s="162"/>
      <c r="X208" s="162"/>
      <c r="Y208" s="163">
        <v>0.69</v>
      </c>
      <c r="Z208" s="162" t="s">
        <v>37</v>
      </c>
      <c r="AA208" s="163"/>
      <c r="AB208" s="162"/>
      <c r="AC208" s="162"/>
      <c r="AD208" s="162"/>
      <c r="AE208" s="163"/>
      <c r="AF208" s="166">
        <f t="shared" si="91"/>
        <v>5.2983173665480363</v>
      </c>
      <c r="AG208" s="166">
        <f t="shared" si="92"/>
        <v>5.389071729816501</v>
      </c>
      <c r="AH208" s="169"/>
      <c r="AI208" s="169"/>
      <c r="AK208" s="168">
        <f t="shared" si="93"/>
        <v>400</v>
      </c>
      <c r="AL208" s="168">
        <f t="shared" si="94"/>
        <v>419</v>
      </c>
      <c r="AM208" s="166">
        <f t="shared" si="95"/>
        <v>5.9914645471079817</v>
      </c>
      <c r="AN208" s="166">
        <f t="shared" si="96"/>
        <v>6.0378709199221374</v>
      </c>
      <c r="AO208" s="169"/>
      <c r="AP208" s="169"/>
      <c r="AR208" s="168">
        <f t="shared" si="97"/>
        <v>399.74345024933865</v>
      </c>
      <c r="AS208" s="168">
        <f t="shared" si="98"/>
        <v>418.7273134244486</v>
      </c>
      <c r="AT208" s="166">
        <f t="shared" si="99"/>
        <v>5.9908229669627957</v>
      </c>
      <c r="AU208" s="166">
        <f t="shared" si="100"/>
        <v>6.0372199047748163</v>
      </c>
      <c r="AV208" s="167"/>
      <c r="AW208" s="167"/>
      <c r="BD208" s="167"/>
      <c r="BE208" s="167"/>
    </row>
    <row r="209" spans="1:61" x14ac:dyDescent="0.2">
      <c r="A209" s="232" t="s">
        <v>34</v>
      </c>
      <c r="B209" s="232" t="s">
        <v>35</v>
      </c>
      <c r="C209" s="389" t="s">
        <v>40</v>
      </c>
      <c r="D209" s="381" t="s">
        <v>312</v>
      </c>
      <c r="E209" s="382">
        <v>7.5</v>
      </c>
      <c r="F209" s="382">
        <v>3.1</v>
      </c>
      <c r="G209" s="296">
        <f t="shared" si="88"/>
        <v>1.7981438515081207</v>
      </c>
      <c r="H209" s="382">
        <v>12.8</v>
      </c>
      <c r="I209" s="300">
        <f t="shared" si="89"/>
        <v>13.899439999999998</v>
      </c>
      <c r="J209" s="401">
        <v>10.7</v>
      </c>
      <c r="K209" s="398">
        <v>0</v>
      </c>
      <c r="L209" s="399">
        <v>102</v>
      </c>
      <c r="M209" s="402" t="s">
        <v>93</v>
      </c>
      <c r="N209" s="382">
        <v>95.3</v>
      </c>
      <c r="O209" s="386">
        <f t="shared" si="90"/>
        <v>106</v>
      </c>
      <c r="P209" s="386"/>
      <c r="Q209" s="386"/>
      <c r="R209" s="387">
        <v>2</v>
      </c>
      <c r="S209" s="236">
        <v>0.68</v>
      </c>
      <c r="T209" s="237" t="s">
        <v>37</v>
      </c>
      <c r="Y209" s="236">
        <v>0.69</v>
      </c>
      <c r="Z209" s="237" t="s">
        <v>37</v>
      </c>
      <c r="AE209" s="236"/>
      <c r="AF209" s="239">
        <f t="shared" si="91"/>
        <v>4.5570298106601568</v>
      </c>
      <c r="AG209" s="239">
        <f t="shared" si="92"/>
        <v>4.6634390941120669</v>
      </c>
      <c r="AH209" s="240"/>
      <c r="AI209" s="240"/>
      <c r="AK209" s="265">
        <f t="shared" si="93"/>
        <v>190.6</v>
      </c>
      <c r="AL209" s="265">
        <f t="shared" si="94"/>
        <v>201.29999999999998</v>
      </c>
      <c r="AM209" s="239">
        <f t="shared" si="95"/>
        <v>5.2501769912201013</v>
      </c>
      <c r="AN209" s="239">
        <f t="shared" si="96"/>
        <v>5.3047963326457461</v>
      </c>
      <c r="AO209" s="240"/>
      <c r="AP209" s="240"/>
      <c r="AR209" s="265">
        <f t="shared" si="97"/>
        <v>164.90743966260965</v>
      </c>
      <c r="AS209" s="265">
        <f t="shared" si="98"/>
        <v>173.79464178083347</v>
      </c>
      <c r="AT209" s="239">
        <f t="shared" si="99"/>
        <v>5.1053843447553042</v>
      </c>
      <c r="AU209" s="239">
        <f t="shared" si="100"/>
        <v>5.1578743825564661</v>
      </c>
      <c r="AX209" s="385">
        <f t="shared" ref="AX209:AY212" si="102">GEOMEAN(AR209)</f>
        <v>164.90743966260965</v>
      </c>
      <c r="AY209" s="385">
        <f t="shared" si="102"/>
        <v>173.79464178083347</v>
      </c>
      <c r="AZ209" s="385">
        <f>MIN(AX209:AX210)</f>
        <v>164.90743966260965</v>
      </c>
      <c r="BA209" s="385">
        <f>MIN(AY209:AY210)</f>
        <v>173.79464178083347</v>
      </c>
      <c r="BB209" s="239">
        <f>LN(AZ209)</f>
        <v>5.1053843447553042</v>
      </c>
      <c r="BC209" s="239">
        <f>LN(BA209)</f>
        <v>5.1578743825564661</v>
      </c>
      <c r="BD209" s="240"/>
      <c r="BE209" s="240"/>
      <c r="BF209" s="136"/>
      <c r="BG209" s="136"/>
      <c r="BH209" s="136"/>
      <c r="BI209" s="136"/>
    </row>
    <row r="210" spans="1:61" s="165" customFormat="1" x14ac:dyDescent="0.2">
      <c r="A210" s="156" t="s">
        <v>34</v>
      </c>
      <c r="B210" s="156" t="s">
        <v>35</v>
      </c>
      <c r="C210" s="390" t="s">
        <v>40</v>
      </c>
      <c r="D210" s="391" t="s">
        <v>316</v>
      </c>
      <c r="E210" s="392">
        <v>7.5</v>
      </c>
      <c r="F210" s="392">
        <v>3.1</v>
      </c>
      <c r="G210" s="330">
        <f t="shared" si="88"/>
        <v>1.7981438515081207</v>
      </c>
      <c r="H210" s="392">
        <v>12.8</v>
      </c>
      <c r="I210" s="393">
        <f t="shared" si="89"/>
        <v>13.899439999999998</v>
      </c>
      <c r="J210" s="396">
        <v>10.7</v>
      </c>
      <c r="K210" s="400">
        <v>0</v>
      </c>
      <c r="L210" s="400">
        <v>102</v>
      </c>
      <c r="M210" s="403" t="s">
        <v>93</v>
      </c>
      <c r="N210" s="392">
        <v>95.3</v>
      </c>
      <c r="O210" s="396">
        <f t="shared" si="90"/>
        <v>106</v>
      </c>
      <c r="P210" s="396"/>
      <c r="Q210" s="396"/>
      <c r="R210" s="361">
        <v>2</v>
      </c>
      <c r="S210" s="163">
        <v>0.68</v>
      </c>
      <c r="T210" s="162" t="s">
        <v>37</v>
      </c>
      <c r="U210" s="163"/>
      <c r="V210" s="162"/>
      <c r="W210" s="162"/>
      <c r="X210" s="162"/>
      <c r="Y210" s="163">
        <v>0.69</v>
      </c>
      <c r="Z210" s="162" t="s">
        <v>37</v>
      </c>
      <c r="AA210" s="163"/>
      <c r="AB210" s="162"/>
      <c r="AC210" s="162"/>
      <c r="AD210" s="162"/>
      <c r="AE210" s="163"/>
      <c r="AF210" s="166">
        <f t="shared" si="91"/>
        <v>4.5570298106601568</v>
      </c>
      <c r="AG210" s="166">
        <f t="shared" si="92"/>
        <v>4.6634390941120669</v>
      </c>
      <c r="AH210" s="169"/>
      <c r="AI210" s="169"/>
      <c r="AK210" s="168">
        <f t="shared" si="93"/>
        <v>190.6</v>
      </c>
      <c r="AL210" s="168">
        <f t="shared" si="94"/>
        <v>201.29999999999998</v>
      </c>
      <c r="AM210" s="166">
        <f t="shared" si="95"/>
        <v>5.2501769912201013</v>
      </c>
      <c r="AN210" s="166">
        <f t="shared" si="96"/>
        <v>5.3047963326457461</v>
      </c>
      <c r="AO210" s="169"/>
      <c r="AP210" s="169"/>
      <c r="AR210" s="168">
        <f t="shared" si="97"/>
        <v>164.90743966260965</v>
      </c>
      <c r="AS210" s="168">
        <f t="shared" si="98"/>
        <v>173.79464178083347</v>
      </c>
      <c r="AT210" s="166">
        <f t="shared" si="99"/>
        <v>5.1053843447553042</v>
      </c>
      <c r="AU210" s="166">
        <f t="shared" si="100"/>
        <v>5.1578743825564661</v>
      </c>
      <c r="AV210" s="167"/>
      <c r="AW210" s="167"/>
      <c r="AX210" s="168">
        <f t="shared" si="102"/>
        <v>164.90743966260965</v>
      </c>
      <c r="AY210" s="168">
        <f t="shared" si="102"/>
        <v>173.79464178083347</v>
      </c>
      <c r="BD210" s="167"/>
      <c r="BE210" s="167"/>
    </row>
    <row r="211" spans="1:61" x14ac:dyDescent="0.2">
      <c r="A211" s="232" t="s">
        <v>34</v>
      </c>
      <c r="B211" s="232" t="s">
        <v>35</v>
      </c>
      <c r="C211" s="404" t="s">
        <v>41</v>
      </c>
      <c r="D211" s="381" t="s">
        <v>42</v>
      </c>
      <c r="E211" s="382">
        <v>7.6</v>
      </c>
      <c r="F211" s="382">
        <v>3.8</v>
      </c>
      <c r="G211" s="296">
        <f t="shared" si="88"/>
        <v>2.2041763341067284</v>
      </c>
      <c r="H211" s="382">
        <v>8</v>
      </c>
      <c r="I211" s="300">
        <f t="shared" si="89"/>
        <v>12.341256</v>
      </c>
      <c r="J211" s="386">
        <v>17.2</v>
      </c>
      <c r="K211" s="398">
        <v>0</v>
      </c>
      <c r="L211" s="399">
        <v>14</v>
      </c>
      <c r="M211" s="402" t="s">
        <v>93</v>
      </c>
      <c r="N211" s="382">
        <v>111.8</v>
      </c>
      <c r="O211" s="386">
        <f t="shared" si="90"/>
        <v>129</v>
      </c>
      <c r="P211" s="386"/>
      <c r="Q211" s="386"/>
      <c r="R211" s="387">
        <v>2</v>
      </c>
      <c r="S211" s="236">
        <v>0.68</v>
      </c>
      <c r="T211" s="237" t="s">
        <v>37</v>
      </c>
      <c r="Y211" s="236">
        <v>0.69</v>
      </c>
      <c r="Z211" s="237" t="s">
        <v>37</v>
      </c>
      <c r="AE211" s="236"/>
      <c r="AF211" s="239">
        <f t="shared" si="91"/>
        <v>4.7167115607209986</v>
      </c>
      <c r="AG211" s="239">
        <f t="shared" si="92"/>
        <v>4.8598124043616719</v>
      </c>
      <c r="AH211" s="240"/>
      <c r="AI211" s="240"/>
      <c r="AK211" s="265">
        <f t="shared" si="93"/>
        <v>223.6</v>
      </c>
      <c r="AL211" s="265">
        <f t="shared" si="94"/>
        <v>240.79999999999998</v>
      </c>
      <c r="AM211" s="239">
        <f t="shared" si="95"/>
        <v>5.409858741280944</v>
      </c>
      <c r="AN211" s="239">
        <f t="shared" si="96"/>
        <v>5.4839667134346657</v>
      </c>
      <c r="AO211" s="240"/>
      <c r="AP211" s="240"/>
      <c r="AR211" s="265">
        <f t="shared" si="97"/>
        <v>209.75047469967072</v>
      </c>
      <c r="AS211" s="265">
        <f t="shared" si="98"/>
        <v>225.67282753044034</v>
      </c>
      <c r="AT211" s="239">
        <f t="shared" si="99"/>
        <v>5.3459186085136254</v>
      </c>
      <c r="AU211" s="239">
        <f t="shared" si="100"/>
        <v>5.4190862845972401</v>
      </c>
      <c r="AX211" s="385">
        <f t="shared" si="102"/>
        <v>209.75047469967072</v>
      </c>
      <c r="AY211" s="385">
        <f t="shared" si="102"/>
        <v>225.67282753044034</v>
      </c>
      <c r="AZ211" s="385">
        <f>MIN(AX211:AX232)</f>
        <v>117.96489364889351</v>
      </c>
      <c r="BA211" s="385">
        <f>MIN(AY211:AY232)</f>
        <v>139.63834220852411</v>
      </c>
      <c r="BB211" s="239">
        <f>LN(AZ211)</f>
        <v>4.7703870687502983</v>
      </c>
      <c r="BC211" s="239">
        <f>LN(BA211)</f>
        <v>4.9390558102709479</v>
      </c>
      <c r="BD211" s="240"/>
      <c r="BE211" s="240"/>
      <c r="BF211" s="136"/>
      <c r="BG211" s="136"/>
      <c r="BH211" s="136"/>
      <c r="BI211" s="136"/>
    </row>
    <row r="212" spans="1:61" x14ac:dyDescent="0.2">
      <c r="A212" s="232" t="s">
        <v>34</v>
      </c>
      <c r="B212" s="232" t="s">
        <v>35</v>
      </c>
      <c r="C212" s="404" t="s">
        <v>41</v>
      </c>
      <c r="D212" s="381" t="s">
        <v>312</v>
      </c>
      <c r="E212" s="382">
        <v>7.6</v>
      </c>
      <c r="F212" s="382">
        <v>3.8</v>
      </c>
      <c r="G212" s="296">
        <f t="shared" si="88"/>
        <v>2.2041763341067284</v>
      </c>
      <c r="H212" s="382">
        <v>8</v>
      </c>
      <c r="I212" s="300">
        <f t="shared" si="89"/>
        <v>12.341256</v>
      </c>
      <c r="J212" s="386">
        <v>17.2</v>
      </c>
      <c r="K212" s="398">
        <v>0</v>
      </c>
      <c r="L212" s="399">
        <v>14</v>
      </c>
      <c r="M212" s="402" t="s">
        <v>93</v>
      </c>
      <c r="N212" s="382">
        <v>304.8</v>
      </c>
      <c r="O212" s="386">
        <f t="shared" si="90"/>
        <v>322</v>
      </c>
      <c r="P212" s="386"/>
      <c r="Q212" s="386"/>
      <c r="R212" s="387">
        <v>2</v>
      </c>
      <c r="S212" s="236">
        <v>0.68</v>
      </c>
      <c r="T212" s="237" t="s">
        <v>37</v>
      </c>
      <c r="Y212" s="236">
        <v>0.69</v>
      </c>
      <c r="Z212" s="237" t="s">
        <v>37</v>
      </c>
      <c r="AE212" s="236"/>
      <c r="AF212" s="239">
        <f t="shared" si="91"/>
        <v>5.7196558238124915</v>
      </c>
      <c r="AG212" s="239">
        <f t="shared" si="92"/>
        <v>5.7745515455444085</v>
      </c>
      <c r="AH212" s="240"/>
      <c r="AI212" s="240"/>
      <c r="AK212" s="265">
        <f t="shared" si="93"/>
        <v>609.6</v>
      </c>
      <c r="AL212" s="265">
        <f t="shared" si="94"/>
        <v>626.80000000000007</v>
      </c>
      <c r="AM212" s="239">
        <f t="shared" si="95"/>
        <v>6.4128030043724369</v>
      </c>
      <c r="AN212" s="239">
        <f t="shared" si="96"/>
        <v>6.4406275104818658</v>
      </c>
      <c r="AO212" s="240"/>
      <c r="AP212" s="240"/>
      <c r="AR212" s="265">
        <f t="shared" si="97"/>
        <v>571.84208129212561</v>
      </c>
      <c r="AS212" s="265">
        <f t="shared" si="98"/>
        <v>587.42412083089721</v>
      </c>
      <c r="AT212" s="239">
        <f t="shared" si="99"/>
        <v>6.3488628716051183</v>
      </c>
      <c r="AU212" s="239">
        <f t="shared" si="100"/>
        <v>6.3757470816444402</v>
      </c>
      <c r="AX212" s="385">
        <f t="shared" si="102"/>
        <v>571.84208129212561</v>
      </c>
      <c r="AY212" s="385">
        <f t="shared" si="102"/>
        <v>587.42412083089721</v>
      </c>
      <c r="AZ212" s="136"/>
      <c r="BB212" s="238"/>
      <c r="BC212" s="238"/>
      <c r="BD212" s="125"/>
      <c r="BE212" s="125"/>
      <c r="BF212" s="136"/>
      <c r="BG212" s="136"/>
      <c r="BH212" s="136"/>
      <c r="BI212" s="136"/>
    </row>
    <row r="213" spans="1:61" s="238" customFormat="1" x14ac:dyDescent="0.2">
      <c r="A213" s="275" t="s">
        <v>34</v>
      </c>
      <c r="B213" s="275" t="s">
        <v>35</v>
      </c>
      <c r="C213" s="404" t="s">
        <v>41</v>
      </c>
      <c r="D213" s="381" t="s">
        <v>316</v>
      </c>
      <c r="E213" s="382">
        <v>7.6</v>
      </c>
      <c r="F213" s="382">
        <v>3.8</v>
      </c>
      <c r="G213" s="296">
        <f t="shared" si="88"/>
        <v>2.2041763341067284</v>
      </c>
      <c r="H213" s="382">
        <v>8</v>
      </c>
      <c r="I213" s="300">
        <f t="shared" si="89"/>
        <v>12.341256</v>
      </c>
      <c r="J213" s="386">
        <v>17.2</v>
      </c>
      <c r="K213" s="399">
        <v>0</v>
      </c>
      <c r="L213" s="399">
        <v>14</v>
      </c>
      <c r="M213" s="402" t="s">
        <v>93</v>
      </c>
      <c r="N213" s="382">
        <v>20.2</v>
      </c>
      <c r="O213" s="386">
        <f t="shared" si="90"/>
        <v>37.4</v>
      </c>
      <c r="P213" s="386"/>
      <c r="Q213" s="386"/>
      <c r="R213" s="387">
        <v>2</v>
      </c>
      <c r="S213" s="285">
        <v>0.68</v>
      </c>
      <c r="T213" s="388" t="s">
        <v>37</v>
      </c>
      <c r="U213" s="285"/>
      <c r="V213" s="388"/>
      <c r="W213" s="388"/>
      <c r="X213" s="388"/>
      <c r="Y213" s="285">
        <v>0.69</v>
      </c>
      <c r="Z213" s="388" t="s">
        <v>37</v>
      </c>
      <c r="AA213" s="285"/>
      <c r="AB213" s="388"/>
      <c r="AC213" s="388"/>
      <c r="AD213" s="388"/>
      <c r="AE213" s="285"/>
      <c r="AF213" s="239">
        <f t="shared" si="91"/>
        <v>3.0056826044071592</v>
      </c>
      <c r="AG213" s="239">
        <f t="shared" si="92"/>
        <v>3.6216707044204863</v>
      </c>
      <c r="AH213" s="240"/>
      <c r="AI213" s="240"/>
      <c r="AK213" s="265">
        <f t="shared" si="93"/>
        <v>40.4</v>
      </c>
      <c r="AL213" s="265">
        <f t="shared" si="94"/>
        <v>57.599999999999994</v>
      </c>
      <c r="AM213" s="239">
        <f t="shared" si="95"/>
        <v>3.6988297849671046</v>
      </c>
      <c r="AN213" s="239">
        <f t="shared" si="96"/>
        <v>4.0535225677018456</v>
      </c>
      <c r="AO213" s="240"/>
      <c r="AP213" s="240"/>
      <c r="AR213" s="265">
        <f t="shared" si="97"/>
        <v>37.897670741800972</v>
      </c>
      <c r="AS213" s="265">
        <f t="shared" si="98"/>
        <v>53.981540140171781</v>
      </c>
      <c r="AT213" s="239">
        <f t="shared" si="99"/>
        <v>3.634889652199786</v>
      </c>
      <c r="AU213" s="239">
        <f t="shared" si="100"/>
        <v>3.9886421388644195</v>
      </c>
      <c r="AV213" s="125"/>
      <c r="AW213" s="125"/>
      <c r="AX213" s="265">
        <f>GEOMEAN(AR213:AR232)</f>
        <v>117.96489364889351</v>
      </c>
      <c r="AY213" s="265">
        <f>GEOMEAN(AS213:AS232)</f>
        <v>139.63834220852411</v>
      </c>
      <c r="BD213" s="125"/>
      <c r="BE213" s="125"/>
    </row>
    <row r="214" spans="1:61" x14ac:dyDescent="0.2">
      <c r="A214" s="232" t="s">
        <v>34</v>
      </c>
      <c r="B214" s="232" t="s">
        <v>35</v>
      </c>
      <c r="C214" s="404" t="s">
        <v>41</v>
      </c>
      <c r="D214" s="381" t="s">
        <v>319</v>
      </c>
      <c r="E214" s="278">
        <v>3.36</v>
      </c>
      <c r="F214" s="278">
        <v>8.3137760000000025</v>
      </c>
      <c r="G214" s="296">
        <f t="shared" si="88"/>
        <v>4.8223758700696067</v>
      </c>
      <c r="H214" s="278">
        <v>13</v>
      </c>
      <c r="I214" s="235">
        <v>6.7</v>
      </c>
      <c r="J214" s="279">
        <v>17</v>
      </c>
      <c r="K214" s="399">
        <v>7</v>
      </c>
      <c r="L214" s="399">
        <v>4</v>
      </c>
      <c r="M214" s="402" t="s">
        <v>104</v>
      </c>
      <c r="N214" s="405">
        <v>58</v>
      </c>
      <c r="O214" s="386">
        <f t="shared" si="90"/>
        <v>75</v>
      </c>
      <c r="P214" s="386"/>
      <c r="Q214" s="386"/>
      <c r="R214" s="387">
        <v>2</v>
      </c>
      <c r="S214" s="236">
        <v>0.68</v>
      </c>
      <c r="T214" s="237" t="s">
        <v>37</v>
      </c>
      <c r="Y214" s="236">
        <v>0.69</v>
      </c>
      <c r="Z214" s="237" t="s">
        <v>37</v>
      </c>
      <c r="AE214" s="236"/>
      <c r="AF214" s="239">
        <f t="shared" si="91"/>
        <v>4.0604430105464191</v>
      </c>
      <c r="AG214" s="239">
        <f t="shared" si="92"/>
        <v>4.3174881135363101</v>
      </c>
      <c r="AH214" s="240"/>
      <c r="AI214" s="240"/>
      <c r="AK214" s="265">
        <f t="shared" si="93"/>
        <v>116</v>
      </c>
      <c r="AL214" s="265">
        <f t="shared" si="94"/>
        <v>133</v>
      </c>
      <c r="AM214" s="239">
        <f t="shared" si="95"/>
        <v>4.7535901911063645</v>
      </c>
      <c r="AN214" s="239">
        <f t="shared" si="96"/>
        <v>4.8903491282217537</v>
      </c>
      <c r="AO214" s="240"/>
      <c r="AP214" s="240"/>
      <c r="AR214" s="265">
        <f t="shared" si="97"/>
        <v>164.84760511476188</v>
      </c>
      <c r="AS214" s="265">
        <f t="shared" si="98"/>
        <v>189.9856390756938</v>
      </c>
      <c r="AT214" s="239">
        <f t="shared" si="99"/>
        <v>5.1050214417492574</v>
      </c>
      <c r="AU214" s="239">
        <f t="shared" si="100"/>
        <v>5.2469484854917479</v>
      </c>
      <c r="AX214" s="385"/>
      <c r="AY214" s="385"/>
      <c r="AZ214" s="136"/>
      <c r="BB214" s="238"/>
      <c r="BC214" s="238"/>
      <c r="BD214" s="125"/>
      <c r="BE214" s="125"/>
      <c r="BF214" s="136"/>
      <c r="BG214" s="136"/>
      <c r="BH214" s="136"/>
      <c r="BI214" s="136"/>
    </row>
    <row r="215" spans="1:61" x14ac:dyDescent="0.2">
      <c r="A215" s="232" t="s">
        <v>34</v>
      </c>
      <c r="B215" s="232" t="s">
        <v>35</v>
      </c>
      <c r="C215" s="404" t="s">
        <v>41</v>
      </c>
      <c r="D215" s="381" t="s">
        <v>319</v>
      </c>
      <c r="E215" s="278">
        <v>3.375</v>
      </c>
      <c r="F215" s="278">
        <v>2.9831456000000003</v>
      </c>
      <c r="G215" s="296">
        <f t="shared" si="88"/>
        <v>1.7303628770301627</v>
      </c>
      <c r="H215" s="278">
        <v>5</v>
      </c>
      <c r="I215" s="235">
        <v>1.9</v>
      </c>
      <c r="J215" s="279">
        <v>2.4087150626686804</v>
      </c>
      <c r="K215" s="399">
        <v>7</v>
      </c>
      <c r="L215" s="399">
        <v>4</v>
      </c>
      <c r="M215" s="402" t="s">
        <v>104</v>
      </c>
      <c r="N215" s="405">
        <v>16</v>
      </c>
      <c r="O215" s="386">
        <f t="shared" si="90"/>
        <v>18.40871506266868</v>
      </c>
      <c r="P215" s="386"/>
      <c r="Q215" s="386"/>
      <c r="R215" s="387">
        <v>2</v>
      </c>
      <c r="S215" s="236">
        <v>0.68</v>
      </c>
      <c r="T215" s="237" t="s">
        <v>37</v>
      </c>
      <c r="Y215" s="236">
        <v>0.69</v>
      </c>
      <c r="Z215" s="237" t="s">
        <v>37</v>
      </c>
      <c r="AE215" s="236"/>
      <c r="AF215" s="239">
        <f t="shared" si="91"/>
        <v>2.7725887222397811</v>
      </c>
      <c r="AG215" s="239">
        <f t="shared" si="92"/>
        <v>2.912824197190945</v>
      </c>
      <c r="AH215" s="240"/>
      <c r="AI215" s="240"/>
      <c r="AK215" s="265">
        <f t="shared" si="93"/>
        <v>32</v>
      </c>
      <c r="AL215" s="265">
        <f t="shared" si="94"/>
        <v>34.408715062668684</v>
      </c>
      <c r="AM215" s="239">
        <f t="shared" si="95"/>
        <v>3.4657359027997265</v>
      </c>
      <c r="AN215" s="239">
        <f t="shared" si="96"/>
        <v>3.5383098771379866</v>
      </c>
      <c r="AO215" s="240"/>
      <c r="AP215" s="240"/>
      <c r="AR215" s="265">
        <f t="shared" si="97"/>
        <v>107.14034695657539</v>
      </c>
      <c r="AS215" s="265">
        <f t="shared" si="98"/>
        <v>117.27061891633134</v>
      </c>
      <c r="AT215" s="239">
        <f t="shared" si="99"/>
        <v>4.674139628795297</v>
      </c>
      <c r="AU215" s="239">
        <f t="shared" si="100"/>
        <v>4.7644842461629038</v>
      </c>
      <c r="AX215" s="136"/>
      <c r="AY215" s="136"/>
      <c r="AZ215" s="136"/>
      <c r="BB215" s="238"/>
      <c r="BC215" s="238"/>
      <c r="BD215" s="125"/>
      <c r="BE215" s="125"/>
      <c r="BF215" s="136"/>
      <c r="BG215" s="136"/>
      <c r="BH215" s="136"/>
      <c r="BI215" s="136"/>
    </row>
    <row r="216" spans="1:61" x14ac:dyDescent="0.2">
      <c r="A216" s="232" t="s">
        <v>34</v>
      </c>
      <c r="B216" s="232" t="s">
        <v>35</v>
      </c>
      <c r="C216" s="404" t="s">
        <v>41</v>
      </c>
      <c r="D216" s="381" t="s">
        <v>319</v>
      </c>
      <c r="E216" s="278">
        <v>4.2</v>
      </c>
      <c r="F216" s="278">
        <v>20.711168000000004</v>
      </c>
      <c r="G216" s="296">
        <f t="shared" si="88"/>
        <v>12.013438515081209</v>
      </c>
      <c r="H216" s="278">
        <v>13</v>
      </c>
      <c r="I216" s="235">
        <v>15.2</v>
      </c>
      <c r="J216" s="279">
        <v>13.776181638478517</v>
      </c>
      <c r="K216" s="399">
        <v>7</v>
      </c>
      <c r="L216" s="399">
        <v>4</v>
      </c>
      <c r="M216" s="402" t="s">
        <v>93</v>
      </c>
      <c r="N216" s="405">
        <v>30</v>
      </c>
      <c r="O216" s="386">
        <f t="shared" si="90"/>
        <v>43.776181638478519</v>
      </c>
      <c r="P216" s="386"/>
      <c r="Q216" s="386"/>
      <c r="R216" s="387">
        <v>2</v>
      </c>
      <c r="S216" s="236">
        <v>0.68</v>
      </c>
      <c r="T216" s="237" t="s">
        <v>37</v>
      </c>
      <c r="Y216" s="236">
        <v>0.69</v>
      </c>
      <c r="Z216" s="237" t="s">
        <v>37</v>
      </c>
      <c r="AE216" s="236"/>
      <c r="AF216" s="239">
        <f t="shared" si="91"/>
        <v>3.4011973816621555</v>
      </c>
      <c r="AG216" s="239">
        <f t="shared" si="92"/>
        <v>3.7790898712622765</v>
      </c>
      <c r="AH216" s="240"/>
      <c r="AI216" s="240"/>
      <c r="AK216" s="265">
        <f t="shared" si="93"/>
        <v>60</v>
      </c>
      <c r="AL216" s="265">
        <f t="shared" si="94"/>
        <v>73.776181638478519</v>
      </c>
      <c r="AM216" s="239">
        <f t="shared" si="95"/>
        <v>4.0943445622221004</v>
      </c>
      <c r="AN216" s="239">
        <f t="shared" si="96"/>
        <v>4.3010359374879741</v>
      </c>
      <c r="AO216" s="240"/>
      <c r="AP216" s="240"/>
      <c r="AR216" s="265">
        <f t="shared" si="97"/>
        <v>48.848713375678983</v>
      </c>
      <c r="AS216" s="265">
        <f t="shared" si="98"/>
        <v>59.883178706525534</v>
      </c>
      <c r="AT216" s="239">
        <f t="shared" si="99"/>
        <v>3.8887280398753825</v>
      </c>
      <c r="AU216" s="239">
        <f t="shared" si="100"/>
        <v>4.0923956427538046</v>
      </c>
      <c r="AX216" s="136"/>
      <c r="AY216" s="136"/>
      <c r="AZ216" s="136"/>
      <c r="BB216" s="238"/>
      <c r="BC216" s="238"/>
      <c r="BD216" s="125"/>
      <c r="BE216" s="125"/>
      <c r="BF216" s="136"/>
      <c r="BG216" s="136"/>
      <c r="BH216" s="136"/>
      <c r="BI216" s="136"/>
    </row>
    <row r="217" spans="1:61" x14ac:dyDescent="0.2">
      <c r="A217" s="232" t="s">
        <v>34</v>
      </c>
      <c r="B217" s="232" t="s">
        <v>35</v>
      </c>
      <c r="C217" s="404" t="s">
        <v>41</v>
      </c>
      <c r="D217" s="381" t="s">
        <v>319</v>
      </c>
      <c r="E217" s="278">
        <v>4.7450000000000001</v>
      </c>
      <c r="F217" s="278">
        <v>37.316435200000001</v>
      </c>
      <c r="G217" s="296">
        <f t="shared" si="88"/>
        <v>21.645264037122971</v>
      </c>
      <c r="H217" s="278">
        <v>24</v>
      </c>
      <c r="I217" s="235">
        <v>35.299999999999997</v>
      </c>
      <c r="J217" s="279">
        <v>69.686668003909702</v>
      </c>
      <c r="K217" s="399">
        <v>7</v>
      </c>
      <c r="L217" s="399">
        <v>4</v>
      </c>
      <c r="M217" s="402" t="s">
        <v>93</v>
      </c>
      <c r="N217" s="405">
        <v>80</v>
      </c>
      <c r="O217" s="386">
        <f t="shared" si="90"/>
        <v>149.68666800390969</v>
      </c>
      <c r="P217" s="386"/>
      <c r="Q217" s="386"/>
      <c r="R217" s="387">
        <v>2</v>
      </c>
      <c r="S217" s="236">
        <v>0.68</v>
      </c>
      <c r="T217" s="237" t="s">
        <v>37</v>
      </c>
      <c r="Y217" s="236">
        <v>0.69</v>
      </c>
      <c r="Z217" s="237" t="s">
        <v>37</v>
      </c>
      <c r="AE217" s="236"/>
      <c r="AF217" s="239">
        <f t="shared" si="91"/>
        <v>4.3820266346738812</v>
      </c>
      <c r="AG217" s="239">
        <f t="shared" si="92"/>
        <v>5.0085442293695595</v>
      </c>
      <c r="AH217" s="240"/>
      <c r="AI217" s="240"/>
      <c r="AK217" s="265">
        <f t="shared" si="93"/>
        <v>160</v>
      </c>
      <c r="AL217" s="265">
        <f t="shared" si="94"/>
        <v>229.68666800390969</v>
      </c>
      <c r="AM217" s="239">
        <f t="shared" si="95"/>
        <v>5.0751738152338266</v>
      </c>
      <c r="AN217" s="239">
        <f t="shared" si="96"/>
        <v>5.4367160671046921</v>
      </c>
      <c r="AO217" s="240"/>
      <c r="AP217" s="240"/>
      <c r="AR217" s="265">
        <f t="shared" si="97"/>
        <v>73.44947598959439</v>
      </c>
      <c r="AS217" s="265">
        <f t="shared" si="98"/>
        <v>104.23942039113274</v>
      </c>
      <c r="AT217" s="239">
        <f t="shared" si="99"/>
        <v>4.2965977683479348</v>
      </c>
      <c r="AU217" s="239">
        <f t="shared" si="100"/>
        <v>4.646690372470478</v>
      </c>
      <c r="AX217" s="136"/>
      <c r="AY217" s="136"/>
      <c r="AZ217" s="136"/>
      <c r="BB217" s="238"/>
      <c r="BC217" s="238"/>
      <c r="BD217" s="125"/>
      <c r="BE217" s="125"/>
      <c r="BF217" s="136"/>
      <c r="BG217" s="136"/>
      <c r="BH217" s="136"/>
      <c r="BI217" s="136"/>
    </row>
    <row r="218" spans="1:61" x14ac:dyDescent="0.2">
      <c r="A218" s="232" t="s">
        <v>34</v>
      </c>
      <c r="B218" s="232" t="s">
        <v>35</v>
      </c>
      <c r="C218" s="404" t="s">
        <v>41</v>
      </c>
      <c r="D218" s="381" t="s">
        <v>319</v>
      </c>
      <c r="E218" s="278">
        <v>4.7549999999999999</v>
      </c>
      <c r="F218" s="278">
        <v>2.6084792000000001</v>
      </c>
      <c r="G218" s="296">
        <f t="shared" si="88"/>
        <v>1.5130389791183296</v>
      </c>
      <c r="H218" s="278">
        <v>7</v>
      </c>
      <c r="I218" s="235">
        <v>2.4</v>
      </c>
      <c r="J218" s="279">
        <v>6.19288957375585</v>
      </c>
      <c r="K218" s="399">
        <v>7</v>
      </c>
      <c r="L218" s="399">
        <v>4</v>
      </c>
      <c r="M218" s="402" t="s">
        <v>104</v>
      </c>
      <c r="N218" s="295">
        <v>45</v>
      </c>
      <c r="O218" s="386">
        <f t="shared" si="90"/>
        <v>51.192889573755849</v>
      </c>
      <c r="P218" s="386"/>
      <c r="Q218" s="386"/>
      <c r="R218" s="387">
        <v>2</v>
      </c>
      <c r="S218" s="236">
        <v>0.68</v>
      </c>
      <c r="T218" s="237" t="s">
        <v>37</v>
      </c>
      <c r="Y218" s="236">
        <v>0.69</v>
      </c>
      <c r="Z218" s="237" t="s">
        <v>37</v>
      </c>
      <c r="AE218" s="236"/>
      <c r="AF218" s="239">
        <f t="shared" si="91"/>
        <v>3.8066624897703196</v>
      </c>
      <c r="AG218" s="239">
        <f t="shared" si="92"/>
        <v>3.9356006468887843</v>
      </c>
      <c r="AH218" s="240"/>
      <c r="AI218" s="240"/>
      <c r="AK218" s="265">
        <f t="shared" si="93"/>
        <v>90</v>
      </c>
      <c r="AL218" s="265">
        <f t="shared" si="94"/>
        <v>96.192889573755849</v>
      </c>
      <c r="AM218" s="239">
        <f t="shared" si="95"/>
        <v>4.499809670330265</v>
      </c>
      <c r="AN218" s="239">
        <f t="shared" si="96"/>
        <v>4.5663554419852428</v>
      </c>
      <c r="AO218" s="240"/>
      <c r="AP218" s="240"/>
      <c r="AR218" s="265">
        <f t="shared" si="97"/>
        <v>257.07176766394116</v>
      </c>
      <c r="AS218" s="265">
        <f t="shared" si="98"/>
        <v>279.03453728022254</v>
      </c>
      <c r="AT218" s="239">
        <f t="shared" si="99"/>
        <v>5.5493552975224123</v>
      </c>
      <c r="AU218" s="239">
        <f t="shared" si="100"/>
        <v>5.6313355636949209</v>
      </c>
      <c r="AX218" s="136"/>
      <c r="AY218" s="136"/>
      <c r="AZ218" s="136"/>
      <c r="BB218" s="238"/>
      <c r="BC218" s="238"/>
      <c r="BD218" s="125"/>
      <c r="BE218" s="125"/>
      <c r="BF218" s="136"/>
      <c r="BG218" s="136"/>
      <c r="BH218" s="136"/>
      <c r="BI218" s="136"/>
    </row>
    <row r="219" spans="1:61" x14ac:dyDescent="0.2">
      <c r="A219" s="232" t="s">
        <v>34</v>
      </c>
      <c r="B219" s="232" t="s">
        <v>35</v>
      </c>
      <c r="C219" s="404" t="s">
        <v>41</v>
      </c>
      <c r="D219" s="381" t="s">
        <v>319</v>
      </c>
      <c r="E219" s="278">
        <v>4.8</v>
      </c>
      <c r="F219" s="278">
        <v>0.65026320000000004</v>
      </c>
      <c r="G219" s="296">
        <f t="shared" si="88"/>
        <v>0.37718283062645014</v>
      </c>
      <c r="H219" s="278">
        <v>38</v>
      </c>
      <c r="I219" s="235">
        <v>11.2</v>
      </c>
      <c r="J219" s="279">
        <v>31.015303901596727</v>
      </c>
      <c r="K219" s="399">
        <v>7</v>
      </c>
      <c r="L219" s="399">
        <v>4</v>
      </c>
      <c r="M219" s="402" t="s">
        <v>93</v>
      </c>
      <c r="N219" s="405">
        <v>77</v>
      </c>
      <c r="O219" s="386">
        <f t="shared" si="90"/>
        <v>108.01530390159672</v>
      </c>
      <c r="P219" s="386"/>
      <c r="Q219" s="386"/>
      <c r="R219" s="387">
        <v>2</v>
      </c>
      <c r="S219" s="236">
        <v>0.68</v>
      </c>
      <c r="T219" s="237" t="s">
        <v>37</v>
      </c>
      <c r="Y219" s="236">
        <v>0.69</v>
      </c>
      <c r="Z219" s="237" t="s">
        <v>37</v>
      </c>
      <c r="AE219" s="236"/>
      <c r="AF219" s="239">
        <f t="shared" si="91"/>
        <v>4.3438054218536841</v>
      </c>
      <c r="AG219" s="239">
        <f t="shared" si="92"/>
        <v>4.6822729198778896</v>
      </c>
      <c r="AH219" s="240"/>
      <c r="AI219" s="240"/>
      <c r="AK219" s="265">
        <f t="shared" si="93"/>
        <v>154</v>
      </c>
      <c r="AL219" s="265">
        <f t="shared" si="94"/>
        <v>185.01530390159672</v>
      </c>
      <c r="AM219" s="239">
        <f t="shared" si="95"/>
        <v>5.0369526024136295</v>
      </c>
      <c r="AN219" s="239">
        <f t="shared" si="96"/>
        <v>5.2204385454493156</v>
      </c>
      <c r="AO219" s="240"/>
      <c r="AP219" s="240"/>
      <c r="AR219" s="265">
        <f t="shared" si="97"/>
        <v>154.31494350474881</v>
      </c>
      <c r="AS219" s="265">
        <f t="shared" si="98"/>
        <v>185.39924649397631</v>
      </c>
      <c r="AT219" s="239">
        <f t="shared" si="99"/>
        <v>5.038995601761715</v>
      </c>
      <c r="AU219" s="239">
        <f t="shared" si="100"/>
        <v>5.2225115889054612</v>
      </c>
      <c r="AX219" s="136"/>
      <c r="AY219" s="136"/>
      <c r="AZ219" s="136"/>
      <c r="BB219" s="238"/>
      <c r="BC219" s="238"/>
      <c r="BD219" s="125"/>
      <c r="BE219" s="125"/>
      <c r="BF219" s="136"/>
      <c r="BG219" s="136"/>
      <c r="BH219" s="136"/>
      <c r="BI219" s="136"/>
    </row>
    <row r="220" spans="1:61" x14ac:dyDescent="0.2">
      <c r="A220" s="232" t="s">
        <v>34</v>
      </c>
      <c r="B220" s="232" t="s">
        <v>35</v>
      </c>
      <c r="C220" s="404" t="s">
        <v>41</v>
      </c>
      <c r="D220" s="381" t="s">
        <v>319</v>
      </c>
      <c r="E220" s="278">
        <v>5.0549999999999997</v>
      </c>
      <c r="F220" s="278">
        <v>3.75284</v>
      </c>
      <c r="G220" s="296">
        <f t="shared" si="88"/>
        <v>2.1768213457076566</v>
      </c>
      <c r="H220" s="278">
        <v>9</v>
      </c>
      <c r="I220" s="235">
        <v>4.7</v>
      </c>
      <c r="J220" s="279">
        <v>8.4849975914563824</v>
      </c>
      <c r="K220" s="399">
        <v>7</v>
      </c>
      <c r="L220" s="399">
        <v>4</v>
      </c>
      <c r="M220" s="402" t="s">
        <v>93</v>
      </c>
      <c r="N220" s="405">
        <v>37</v>
      </c>
      <c r="O220" s="386">
        <f t="shared" si="90"/>
        <v>45.484997591456384</v>
      </c>
      <c r="P220" s="386"/>
      <c r="Q220" s="386"/>
      <c r="R220" s="387">
        <v>2</v>
      </c>
      <c r="S220" s="236">
        <v>0.68</v>
      </c>
      <c r="T220" s="237" t="s">
        <v>37</v>
      </c>
      <c r="Y220" s="236">
        <v>0.69</v>
      </c>
      <c r="Z220" s="237" t="s">
        <v>37</v>
      </c>
      <c r="AE220" s="236"/>
      <c r="AF220" s="239">
        <f t="shared" si="91"/>
        <v>3.6109179126442243</v>
      </c>
      <c r="AG220" s="239">
        <f t="shared" si="92"/>
        <v>3.8173825483215422</v>
      </c>
      <c r="AH220" s="240"/>
      <c r="AI220" s="240"/>
      <c r="AK220" s="265">
        <f t="shared" si="93"/>
        <v>74</v>
      </c>
      <c r="AL220" s="265">
        <f t="shared" si="94"/>
        <v>82.484997591456377</v>
      </c>
      <c r="AM220" s="239">
        <f t="shared" si="95"/>
        <v>4.3040650932041702</v>
      </c>
      <c r="AN220" s="239">
        <f t="shared" si="96"/>
        <v>4.4126164294281098</v>
      </c>
      <c r="AO220" s="240"/>
      <c r="AP220" s="240"/>
      <c r="AR220" s="265">
        <f t="shared" si="97"/>
        <v>133.83222401368957</v>
      </c>
      <c r="AS220" s="265">
        <f t="shared" si="98"/>
        <v>150.48326001976002</v>
      </c>
      <c r="AT220" s="239">
        <f t="shared" si="99"/>
        <v>4.8965869558700792</v>
      </c>
      <c r="AU220" s="239">
        <f t="shared" si="100"/>
        <v>5.0138518488979305</v>
      </c>
      <c r="AX220" s="136"/>
      <c r="AY220" s="136"/>
      <c r="AZ220" s="136"/>
      <c r="BB220" s="238"/>
      <c r="BC220" s="238"/>
      <c r="BD220" s="125"/>
      <c r="BE220" s="125"/>
      <c r="BF220" s="136"/>
      <c r="BG220" s="136"/>
      <c r="BH220" s="136"/>
      <c r="BI220" s="136"/>
    </row>
    <row r="221" spans="1:61" x14ac:dyDescent="0.2">
      <c r="A221" s="232" t="s">
        <v>34</v>
      </c>
      <c r="B221" s="232" t="s">
        <v>35</v>
      </c>
      <c r="C221" s="404" t="s">
        <v>41</v>
      </c>
      <c r="D221" s="381" t="s">
        <v>319</v>
      </c>
      <c r="E221" s="278">
        <v>5.18</v>
      </c>
      <c r="F221" s="278">
        <v>1.2091624000000001</v>
      </c>
      <c r="G221" s="296">
        <f t="shared" si="88"/>
        <v>0.70137030162412994</v>
      </c>
      <c r="H221" s="278">
        <v>9</v>
      </c>
      <c r="I221" s="235">
        <v>2.5</v>
      </c>
      <c r="J221" s="279">
        <v>4.5938169731159029</v>
      </c>
      <c r="K221" s="399">
        <v>7</v>
      </c>
      <c r="L221" s="399">
        <v>4</v>
      </c>
      <c r="M221" s="402" t="s">
        <v>93</v>
      </c>
      <c r="N221" s="295">
        <v>38</v>
      </c>
      <c r="O221" s="386">
        <f t="shared" si="90"/>
        <v>42.593816973115906</v>
      </c>
      <c r="P221" s="386"/>
      <c r="Q221" s="386"/>
      <c r="R221" s="387">
        <v>2</v>
      </c>
      <c r="S221" s="236">
        <v>0.68</v>
      </c>
      <c r="T221" s="237" t="s">
        <v>37</v>
      </c>
      <c r="Y221" s="236">
        <v>0.69</v>
      </c>
      <c r="Z221" s="237" t="s">
        <v>37</v>
      </c>
      <c r="AE221" s="236"/>
      <c r="AF221" s="239">
        <f t="shared" si="91"/>
        <v>3.6375861597263857</v>
      </c>
      <c r="AG221" s="239">
        <f t="shared" si="92"/>
        <v>3.7517091012651291</v>
      </c>
      <c r="AH221" s="240"/>
      <c r="AI221" s="240"/>
      <c r="AK221" s="265">
        <f t="shared" si="93"/>
        <v>76</v>
      </c>
      <c r="AL221" s="265">
        <f t="shared" si="94"/>
        <v>80.593816973115906</v>
      </c>
      <c r="AM221" s="239">
        <f t="shared" si="95"/>
        <v>4.3307333402863311</v>
      </c>
      <c r="AN221" s="239">
        <f t="shared" si="96"/>
        <v>4.3894219340776708</v>
      </c>
      <c r="AO221" s="240"/>
      <c r="AP221" s="240"/>
      <c r="AR221" s="265">
        <f t="shared" si="97"/>
        <v>211.13970242860557</v>
      </c>
      <c r="AS221" s="265">
        <f t="shared" si="98"/>
        <v>227.29185114782891</v>
      </c>
      <c r="AT221" s="239">
        <f t="shared" si="99"/>
        <v>5.352520011204704</v>
      </c>
      <c r="AU221" s="239">
        <f t="shared" si="100"/>
        <v>5.4262348795683728</v>
      </c>
      <c r="AX221" s="136"/>
      <c r="AY221" s="136"/>
      <c r="AZ221" s="136"/>
      <c r="BB221" s="238"/>
      <c r="BC221" s="238"/>
      <c r="BD221" s="125"/>
      <c r="BE221" s="125"/>
      <c r="BF221" s="136"/>
      <c r="BG221" s="136"/>
      <c r="BH221" s="136"/>
      <c r="BI221" s="136"/>
    </row>
    <row r="222" spans="1:61" x14ac:dyDescent="0.2">
      <c r="A222" s="232" t="s">
        <v>34</v>
      </c>
      <c r="B222" s="232" t="s">
        <v>35</v>
      </c>
      <c r="C222" s="404" t="s">
        <v>41</v>
      </c>
      <c r="D222" s="381" t="s">
        <v>319</v>
      </c>
      <c r="E222" s="278">
        <v>5.4349999999999996</v>
      </c>
      <c r="F222" s="278">
        <v>1.39886</v>
      </c>
      <c r="G222" s="296">
        <f t="shared" si="88"/>
        <v>0.81140371229698371</v>
      </c>
      <c r="H222" s="278">
        <v>51</v>
      </c>
      <c r="I222" s="235">
        <v>22.6</v>
      </c>
      <c r="J222" s="279">
        <v>21.113151960209731</v>
      </c>
      <c r="K222" s="399">
        <v>7</v>
      </c>
      <c r="L222" s="399">
        <v>4</v>
      </c>
      <c r="M222" s="402" t="s">
        <v>93</v>
      </c>
      <c r="N222" s="405">
        <v>252</v>
      </c>
      <c r="O222" s="386">
        <f t="shared" si="90"/>
        <v>273.11315196020973</v>
      </c>
      <c r="P222" s="386"/>
      <c r="Q222" s="386"/>
      <c r="R222" s="387">
        <v>2</v>
      </c>
      <c r="S222" s="236">
        <v>0.68</v>
      </c>
      <c r="T222" s="237" t="s">
        <v>37</v>
      </c>
      <c r="Y222" s="236">
        <v>0.69</v>
      </c>
      <c r="Z222" s="237" t="s">
        <v>37</v>
      </c>
      <c r="AE222" s="236"/>
      <c r="AF222" s="239">
        <f t="shared" si="91"/>
        <v>5.5294290875114234</v>
      </c>
      <c r="AG222" s="239">
        <f t="shared" si="92"/>
        <v>5.6098861853582154</v>
      </c>
      <c r="AH222" s="240"/>
      <c r="AI222" s="240"/>
      <c r="AK222" s="265">
        <f t="shared" si="93"/>
        <v>504</v>
      </c>
      <c r="AL222" s="265">
        <f t="shared" si="94"/>
        <v>525.11315196020973</v>
      </c>
      <c r="AM222" s="239">
        <f t="shared" si="95"/>
        <v>6.2225762680713688</v>
      </c>
      <c r="AN222" s="239">
        <f t="shared" si="96"/>
        <v>6.2636137669121563</v>
      </c>
      <c r="AO222" s="240"/>
      <c r="AP222" s="240"/>
      <c r="AR222" s="265">
        <f t="shared" si="97"/>
        <v>313.32302915979437</v>
      </c>
      <c r="AS222" s="265">
        <f t="shared" si="98"/>
        <v>324.17447763425668</v>
      </c>
      <c r="AT222" s="239">
        <f t="shared" si="99"/>
        <v>5.747234700394964</v>
      </c>
      <c r="AU222" s="239">
        <f t="shared" si="100"/>
        <v>5.7812818820640395</v>
      </c>
      <c r="AX222" s="136"/>
      <c r="AY222" s="136"/>
      <c r="AZ222" s="136"/>
      <c r="BB222" s="238"/>
      <c r="BC222" s="238"/>
      <c r="BD222" s="125"/>
      <c r="BE222" s="125"/>
      <c r="BF222" s="136"/>
      <c r="BG222" s="136"/>
      <c r="BH222" s="136"/>
      <c r="BI222" s="136"/>
    </row>
    <row r="223" spans="1:61" x14ac:dyDescent="0.2">
      <c r="A223" s="232" t="s">
        <v>34</v>
      </c>
      <c r="B223" s="232" t="s">
        <v>35</v>
      </c>
      <c r="C223" s="404" t="s">
        <v>41</v>
      </c>
      <c r="D223" s="381" t="s">
        <v>319</v>
      </c>
      <c r="E223" s="278">
        <v>6.3550000000000004</v>
      </c>
      <c r="F223" s="278">
        <v>7.0438112000000004</v>
      </c>
      <c r="G223" s="296">
        <f t="shared" si="88"/>
        <v>4.0857373549883995</v>
      </c>
      <c r="H223" s="278">
        <v>21</v>
      </c>
      <c r="I223" s="235">
        <v>23.4</v>
      </c>
      <c r="J223" s="279">
        <v>21.783966122059201</v>
      </c>
      <c r="K223" s="399">
        <v>7</v>
      </c>
      <c r="L223" s="399">
        <v>4</v>
      </c>
      <c r="M223" s="402" t="s">
        <v>104</v>
      </c>
      <c r="N223" s="295">
        <v>144</v>
      </c>
      <c r="O223" s="386">
        <f t="shared" si="90"/>
        <v>165.78396612205921</v>
      </c>
      <c r="P223" s="386"/>
      <c r="Q223" s="386"/>
      <c r="R223" s="387">
        <v>2</v>
      </c>
      <c r="S223" s="236">
        <v>0.68</v>
      </c>
      <c r="T223" s="237" t="s">
        <v>37</v>
      </c>
      <c r="Y223" s="236">
        <v>0.69</v>
      </c>
      <c r="Z223" s="237" t="s">
        <v>37</v>
      </c>
      <c r="AE223" s="236"/>
      <c r="AF223" s="239">
        <f t="shared" si="91"/>
        <v>4.9698132995760007</v>
      </c>
      <c r="AG223" s="239">
        <f t="shared" si="92"/>
        <v>5.1106855318852835</v>
      </c>
      <c r="AH223" s="240"/>
      <c r="AI223" s="240"/>
      <c r="AK223" s="265">
        <f t="shared" si="93"/>
        <v>288</v>
      </c>
      <c r="AL223" s="265">
        <f t="shared" si="94"/>
        <v>309.78396612205921</v>
      </c>
      <c r="AM223" s="239">
        <f t="shared" si="95"/>
        <v>5.6629604801359461</v>
      </c>
      <c r="AN223" s="239">
        <f t="shared" si="96"/>
        <v>5.7358751710658016</v>
      </c>
      <c r="AO223" s="240"/>
      <c r="AP223" s="240"/>
      <c r="AR223" s="265">
        <f t="shared" si="97"/>
        <v>174.85627548122397</v>
      </c>
      <c r="AS223" s="265">
        <f t="shared" si="98"/>
        <v>186.7070603006128</v>
      </c>
      <c r="AT223" s="239">
        <f t="shared" si="99"/>
        <v>5.1639643535214583</v>
      </c>
      <c r="AU223" s="239">
        <f t="shared" si="100"/>
        <v>5.2295408661187484</v>
      </c>
      <c r="AX223" s="136"/>
      <c r="AY223" s="136"/>
      <c r="AZ223" s="136"/>
      <c r="BB223" s="238"/>
      <c r="BC223" s="238"/>
      <c r="BD223" s="125"/>
      <c r="BE223" s="125"/>
      <c r="BF223" s="136"/>
      <c r="BG223" s="136"/>
      <c r="BH223" s="136"/>
      <c r="BI223" s="136"/>
    </row>
    <row r="224" spans="1:61" x14ac:dyDescent="0.2">
      <c r="A224" s="232" t="s">
        <v>34</v>
      </c>
      <c r="B224" s="232" t="s">
        <v>35</v>
      </c>
      <c r="C224" s="404" t="s">
        <v>41</v>
      </c>
      <c r="D224" s="381" t="s">
        <v>319</v>
      </c>
      <c r="E224" s="278">
        <v>6.8</v>
      </c>
      <c r="F224" s="278">
        <v>1.5718104000000002</v>
      </c>
      <c r="G224" s="296">
        <f t="shared" si="88"/>
        <v>0.91172296983758716</v>
      </c>
      <c r="H224" s="278">
        <v>15</v>
      </c>
      <c r="I224" s="235">
        <v>8.9</v>
      </c>
      <c r="J224" s="279">
        <v>21.67</v>
      </c>
      <c r="K224" s="399">
        <v>7</v>
      </c>
      <c r="L224" s="399">
        <v>4</v>
      </c>
      <c r="M224" s="402" t="s">
        <v>93</v>
      </c>
      <c r="N224" s="405">
        <v>55</v>
      </c>
      <c r="O224" s="386">
        <f t="shared" si="90"/>
        <v>76.67</v>
      </c>
      <c r="P224" s="386"/>
      <c r="Q224" s="386"/>
      <c r="R224" s="387">
        <v>2</v>
      </c>
      <c r="S224" s="236">
        <v>0.68</v>
      </c>
      <c r="T224" s="237" t="s">
        <v>37</v>
      </c>
      <c r="Y224" s="236">
        <v>0.69</v>
      </c>
      <c r="Z224" s="237" t="s">
        <v>37</v>
      </c>
      <c r="AE224" s="236"/>
      <c r="AF224" s="239">
        <f t="shared" si="91"/>
        <v>4.0073331852324712</v>
      </c>
      <c r="AG224" s="239">
        <f t="shared" si="92"/>
        <v>4.339510497570803</v>
      </c>
      <c r="AH224" s="240"/>
      <c r="AI224" s="240"/>
      <c r="AK224" s="265">
        <f t="shared" si="93"/>
        <v>110</v>
      </c>
      <c r="AL224" s="265">
        <f t="shared" si="94"/>
        <v>131.67000000000002</v>
      </c>
      <c r="AM224" s="239">
        <f t="shared" si="95"/>
        <v>4.7004803657924166</v>
      </c>
      <c r="AN224" s="239">
        <f t="shared" si="96"/>
        <v>4.8802987923682526</v>
      </c>
      <c r="AO224" s="240"/>
      <c r="AP224" s="240"/>
      <c r="AR224" s="265">
        <f t="shared" si="97"/>
        <v>128.87331482427265</v>
      </c>
      <c r="AS224" s="265">
        <f t="shared" si="98"/>
        <v>154.62100008701904</v>
      </c>
      <c r="AT224" s="239">
        <f t="shared" si="99"/>
        <v>4.8588298662033109</v>
      </c>
      <c r="AU224" s="239">
        <f t="shared" si="100"/>
        <v>5.0409769619028371</v>
      </c>
      <c r="AX224" s="136"/>
      <c r="AY224" s="136"/>
      <c r="AZ224" s="136"/>
      <c r="BB224" s="238"/>
      <c r="BC224" s="238"/>
      <c r="BD224" s="125"/>
      <c r="BE224" s="125"/>
      <c r="BF224" s="136"/>
      <c r="BG224" s="136"/>
      <c r="BH224" s="136"/>
      <c r="BI224" s="136"/>
    </row>
    <row r="225" spans="1:61" x14ac:dyDescent="0.2">
      <c r="A225" s="232" t="s">
        <v>34</v>
      </c>
      <c r="B225" s="232" t="s">
        <v>35</v>
      </c>
      <c r="C225" s="404" t="s">
        <v>41</v>
      </c>
      <c r="D225" s="381" t="s">
        <v>319</v>
      </c>
      <c r="E225" s="278">
        <v>7.2850000000000001</v>
      </c>
      <c r="F225" s="278">
        <v>2.3442543309421522</v>
      </c>
      <c r="G225" s="296">
        <f t="shared" si="88"/>
        <v>1.3597762940499722</v>
      </c>
      <c r="H225" s="278">
        <v>38</v>
      </c>
      <c r="I225" s="235">
        <v>26.2</v>
      </c>
      <c r="J225" s="279">
        <v>21.090912443436086</v>
      </c>
      <c r="K225" s="399">
        <v>7</v>
      </c>
      <c r="L225" s="399">
        <v>4</v>
      </c>
      <c r="M225" s="402" t="s">
        <v>93</v>
      </c>
      <c r="N225" s="405">
        <v>154</v>
      </c>
      <c r="O225" s="386">
        <f t="shared" si="90"/>
        <v>175.09091244343608</v>
      </c>
      <c r="P225" s="386"/>
      <c r="Q225" s="386"/>
      <c r="R225" s="387">
        <v>2</v>
      </c>
      <c r="S225" s="236">
        <v>0.68</v>
      </c>
      <c r="T225" s="237" t="s">
        <v>37</v>
      </c>
      <c r="Y225" s="236">
        <v>0.69</v>
      </c>
      <c r="Z225" s="237" t="s">
        <v>37</v>
      </c>
      <c r="AE225" s="236"/>
      <c r="AF225" s="239">
        <f t="shared" si="91"/>
        <v>5.0369526024136295</v>
      </c>
      <c r="AG225" s="239">
        <f t="shared" si="92"/>
        <v>5.1653053387070509</v>
      </c>
      <c r="AH225" s="240"/>
      <c r="AI225" s="240"/>
      <c r="AK225" s="265">
        <f t="shared" si="93"/>
        <v>308</v>
      </c>
      <c r="AL225" s="265">
        <f t="shared" si="94"/>
        <v>329.09091244343608</v>
      </c>
      <c r="AM225" s="239">
        <f t="shared" si="95"/>
        <v>5.730099782973574</v>
      </c>
      <c r="AN225" s="239">
        <f t="shared" si="96"/>
        <v>5.7963340422086826</v>
      </c>
      <c r="AO225" s="240"/>
      <c r="AP225" s="240"/>
      <c r="AR225" s="265">
        <f t="shared" si="97"/>
        <v>173.16549439699736</v>
      </c>
      <c r="AS225" s="265">
        <f t="shared" si="98"/>
        <v>183.46310768860965</v>
      </c>
      <c r="AT225" s="239">
        <f t="shared" si="99"/>
        <v>5.1542477522447783</v>
      </c>
      <c r="AU225" s="239">
        <f t="shared" si="100"/>
        <v>5.2120135992632868</v>
      </c>
      <c r="AX225" s="136"/>
      <c r="AY225" s="136"/>
      <c r="AZ225" s="136"/>
      <c r="BB225" s="238"/>
      <c r="BC225" s="238"/>
      <c r="BD225" s="125"/>
      <c r="BE225" s="125"/>
      <c r="BF225" s="136"/>
      <c r="BG225" s="136"/>
      <c r="BH225" s="136"/>
      <c r="BI225" s="136"/>
    </row>
    <row r="226" spans="1:61" x14ac:dyDescent="0.2">
      <c r="A226" s="232" t="s">
        <v>34</v>
      </c>
      <c r="B226" s="232" t="s">
        <v>35</v>
      </c>
      <c r="C226" s="404" t="s">
        <v>41</v>
      </c>
      <c r="D226" s="381" t="s">
        <v>319</v>
      </c>
      <c r="E226" s="278">
        <v>7.375</v>
      </c>
      <c r="F226" s="278">
        <v>2.0096692831802643</v>
      </c>
      <c r="G226" s="296">
        <f t="shared" si="88"/>
        <v>1.1657014403597821</v>
      </c>
      <c r="H226" s="278">
        <v>27</v>
      </c>
      <c r="I226" s="235">
        <v>20</v>
      </c>
      <c r="J226" s="279">
        <v>13.975427379945295</v>
      </c>
      <c r="K226" s="399">
        <v>7</v>
      </c>
      <c r="L226" s="399">
        <v>4</v>
      </c>
      <c r="M226" s="402" t="s">
        <v>93</v>
      </c>
      <c r="N226" s="405">
        <v>47</v>
      </c>
      <c r="O226" s="386">
        <f t="shared" si="90"/>
        <v>60.975427379945295</v>
      </c>
      <c r="P226" s="386"/>
      <c r="Q226" s="386"/>
      <c r="R226" s="387">
        <v>2</v>
      </c>
      <c r="S226" s="236">
        <v>0.68</v>
      </c>
      <c r="T226" s="237" t="s">
        <v>37</v>
      </c>
      <c r="Y226" s="236">
        <v>0.69</v>
      </c>
      <c r="Z226" s="237" t="s">
        <v>37</v>
      </c>
      <c r="AE226" s="236"/>
      <c r="AF226" s="239">
        <f t="shared" si="91"/>
        <v>3.8501476017100584</v>
      </c>
      <c r="AG226" s="239">
        <f t="shared" si="92"/>
        <v>4.1104709531786146</v>
      </c>
      <c r="AH226" s="240"/>
      <c r="AI226" s="240"/>
      <c r="AK226" s="265">
        <f t="shared" si="93"/>
        <v>94</v>
      </c>
      <c r="AL226" s="265">
        <f t="shared" si="94"/>
        <v>107.9754273799453</v>
      </c>
      <c r="AM226" s="239">
        <f t="shared" si="95"/>
        <v>4.5432947822700038</v>
      </c>
      <c r="AN226" s="239">
        <f t="shared" si="96"/>
        <v>4.6819036769768827</v>
      </c>
      <c r="AO226" s="240"/>
      <c r="AP226" s="240"/>
      <c r="AR226" s="265">
        <f t="shared" si="97"/>
        <v>63.501352497565954</v>
      </c>
      <c r="AS226" s="265">
        <f t="shared" si="98"/>
        <v>72.522869877824633</v>
      </c>
      <c r="AT226" s="239">
        <f t="shared" si="99"/>
        <v>4.1510612048460889</v>
      </c>
      <c r="AU226" s="239">
        <f t="shared" si="100"/>
        <v>4.2839019587084985</v>
      </c>
      <c r="AX226" s="136"/>
      <c r="AY226" s="136"/>
      <c r="AZ226" s="136"/>
      <c r="BB226" s="238"/>
      <c r="BC226" s="238"/>
      <c r="BD226" s="125"/>
      <c r="BE226" s="125"/>
      <c r="BF226" s="136"/>
      <c r="BG226" s="136"/>
      <c r="BH226" s="136"/>
      <c r="BI226" s="136"/>
    </row>
    <row r="227" spans="1:61" x14ac:dyDescent="0.2">
      <c r="A227" s="232" t="s">
        <v>34</v>
      </c>
      <c r="B227" s="232" t="s">
        <v>35</v>
      </c>
      <c r="C227" s="404" t="s">
        <v>41</v>
      </c>
      <c r="D227" s="381" t="s">
        <v>319</v>
      </c>
      <c r="E227" s="278">
        <v>7.375</v>
      </c>
      <c r="F227" s="278">
        <v>4.1752105820553416</v>
      </c>
      <c r="G227" s="296">
        <f t="shared" si="88"/>
        <v>2.421815882862727</v>
      </c>
      <c r="H227" s="278">
        <v>46</v>
      </c>
      <c r="I227" s="235">
        <v>36.299999999999997</v>
      </c>
      <c r="J227" s="279">
        <v>33.636674889237447</v>
      </c>
      <c r="K227" s="399">
        <v>7</v>
      </c>
      <c r="L227" s="399">
        <v>4</v>
      </c>
      <c r="M227" s="402" t="s">
        <v>104</v>
      </c>
      <c r="N227" s="405">
        <v>120</v>
      </c>
      <c r="O227" s="386">
        <f t="shared" si="90"/>
        <v>153.63667488923744</v>
      </c>
      <c r="P227" s="386"/>
      <c r="Q227" s="386"/>
      <c r="R227" s="387">
        <v>2</v>
      </c>
      <c r="S227" s="236">
        <v>0.68</v>
      </c>
      <c r="T227" s="237" t="s">
        <v>37</v>
      </c>
      <c r="Y227" s="236">
        <v>0.69</v>
      </c>
      <c r="Z227" s="237" t="s">
        <v>37</v>
      </c>
      <c r="AE227" s="236"/>
      <c r="AF227" s="239">
        <f t="shared" si="91"/>
        <v>4.7874917427820458</v>
      </c>
      <c r="AG227" s="239">
        <f t="shared" si="92"/>
        <v>5.0345905610229753</v>
      </c>
      <c r="AH227" s="240"/>
      <c r="AI227" s="240"/>
      <c r="AK227" s="265">
        <f t="shared" si="93"/>
        <v>240</v>
      </c>
      <c r="AL227" s="265">
        <f t="shared" si="94"/>
        <v>273.63667488923744</v>
      </c>
      <c r="AM227" s="239">
        <f t="shared" si="95"/>
        <v>5.4806389233419912</v>
      </c>
      <c r="AN227" s="239">
        <f t="shared" si="96"/>
        <v>5.6118012224128782</v>
      </c>
      <c r="AO227" s="240"/>
      <c r="AP227" s="240"/>
      <c r="AR227" s="265">
        <f t="shared" si="97"/>
        <v>108.10113540463709</v>
      </c>
      <c r="AS227" s="265">
        <f t="shared" si="98"/>
        <v>121.81463833392246</v>
      </c>
      <c r="AT227" s="239">
        <f t="shared" si="99"/>
        <v>4.6830672278706427</v>
      </c>
      <c r="AU227" s="239">
        <f t="shared" si="100"/>
        <v>4.8025005314198923</v>
      </c>
      <c r="AX227" s="136"/>
      <c r="AY227" s="136"/>
      <c r="AZ227" s="136"/>
      <c r="BB227" s="238"/>
      <c r="BC227" s="238"/>
      <c r="BD227" s="125"/>
      <c r="BE227" s="125"/>
      <c r="BF227" s="136"/>
      <c r="BG227" s="136"/>
      <c r="BH227" s="136"/>
      <c r="BI227" s="136"/>
    </row>
    <row r="228" spans="1:61" x14ac:dyDescent="0.2">
      <c r="A228" s="232" t="s">
        <v>34</v>
      </c>
      <c r="B228" s="232" t="s">
        <v>35</v>
      </c>
      <c r="C228" s="404" t="s">
        <v>41</v>
      </c>
      <c r="D228" s="381" t="s">
        <v>319</v>
      </c>
      <c r="E228" s="278">
        <v>7.52</v>
      </c>
      <c r="F228" s="278">
        <v>2.0393672214266942</v>
      </c>
      <c r="G228" s="296">
        <f t="shared" si="88"/>
        <v>1.1829276226372936</v>
      </c>
      <c r="H228" s="278">
        <v>26</v>
      </c>
      <c r="I228" s="235">
        <v>20.100000000000001</v>
      </c>
      <c r="J228" s="279">
        <v>17.600093656180341</v>
      </c>
      <c r="K228" s="399">
        <v>7</v>
      </c>
      <c r="L228" s="399">
        <v>4</v>
      </c>
      <c r="M228" s="402" t="s">
        <v>93</v>
      </c>
      <c r="N228" s="405">
        <v>37</v>
      </c>
      <c r="O228" s="386">
        <f t="shared" si="90"/>
        <v>54.600093656180341</v>
      </c>
      <c r="P228" s="386"/>
      <c r="Q228" s="386"/>
      <c r="R228" s="387">
        <v>2</v>
      </c>
      <c r="S228" s="236">
        <v>0.68</v>
      </c>
      <c r="T228" s="237" t="s">
        <v>37</v>
      </c>
      <c r="Y228" s="236">
        <v>0.69</v>
      </c>
      <c r="Z228" s="237" t="s">
        <v>37</v>
      </c>
      <c r="AE228" s="236"/>
      <c r="AF228" s="239">
        <f t="shared" si="91"/>
        <v>3.6109179126442243</v>
      </c>
      <c r="AG228" s="239">
        <f t="shared" si="92"/>
        <v>4.0000355980640467</v>
      </c>
      <c r="AH228" s="240"/>
      <c r="AI228" s="240"/>
      <c r="AK228" s="265">
        <f t="shared" si="93"/>
        <v>74</v>
      </c>
      <c r="AL228" s="265">
        <f t="shared" si="94"/>
        <v>91.600093656180348</v>
      </c>
      <c r="AM228" s="239">
        <f t="shared" si="95"/>
        <v>4.3040650932041702</v>
      </c>
      <c r="AN228" s="239">
        <f t="shared" si="96"/>
        <v>4.5174322941269454</v>
      </c>
      <c r="AO228" s="240"/>
      <c r="AP228" s="240"/>
      <c r="AR228" s="265">
        <f t="shared" si="97"/>
        <v>49.821169673676891</v>
      </c>
      <c r="AS228" s="265">
        <f t="shared" si="98"/>
        <v>61.312833227620857</v>
      </c>
      <c r="AT228" s="239">
        <f t="shared" si="99"/>
        <v>3.908439987552748</v>
      </c>
      <c r="AU228" s="239">
        <f t="shared" si="100"/>
        <v>4.1159891722159436</v>
      </c>
      <c r="AX228" s="136"/>
      <c r="AY228" s="136"/>
      <c r="AZ228" s="136"/>
      <c r="BB228" s="238"/>
      <c r="BC228" s="238"/>
      <c r="BD228" s="125"/>
      <c r="BE228" s="125"/>
      <c r="BF228" s="136"/>
      <c r="BG228" s="136"/>
      <c r="BH228" s="136"/>
      <c r="BI228" s="136"/>
    </row>
    <row r="229" spans="1:61" x14ac:dyDescent="0.2">
      <c r="A229" s="232" t="s">
        <v>34</v>
      </c>
      <c r="B229" s="232" t="s">
        <v>35</v>
      </c>
      <c r="C229" s="404" t="s">
        <v>41</v>
      </c>
      <c r="D229" s="381" t="s">
        <v>319</v>
      </c>
      <c r="E229" s="278">
        <v>7.4850000000000003</v>
      </c>
      <c r="F229" s="278">
        <v>2.3622472771305825</v>
      </c>
      <c r="G229" s="296">
        <f t="shared" si="88"/>
        <v>1.3702130377787602</v>
      </c>
      <c r="H229" s="278">
        <v>21</v>
      </c>
      <c r="I229" s="235">
        <v>14.3</v>
      </c>
      <c r="J229" s="279">
        <v>88.00050037516084</v>
      </c>
      <c r="K229" s="399">
        <v>7</v>
      </c>
      <c r="L229" s="399">
        <v>4</v>
      </c>
      <c r="M229" s="402" t="s">
        <v>93</v>
      </c>
      <c r="N229" s="405">
        <v>77</v>
      </c>
      <c r="O229" s="386">
        <f t="shared" si="90"/>
        <v>165.00050037516084</v>
      </c>
      <c r="P229" s="386"/>
      <c r="Q229" s="386"/>
      <c r="R229" s="387">
        <v>2</v>
      </c>
      <c r="S229" s="236">
        <v>0.68</v>
      </c>
      <c r="T229" s="237" t="s">
        <v>37</v>
      </c>
      <c r="Y229" s="236">
        <v>0.69</v>
      </c>
      <c r="Z229" s="237" t="s">
        <v>37</v>
      </c>
      <c r="AE229" s="236"/>
      <c r="AF229" s="239">
        <f t="shared" si="91"/>
        <v>4.3438054218536841</v>
      </c>
      <c r="AG229" s="239">
        <f t="shared" si="92"/>
        <v>5.105948506472715</v>
      </c>
      <c r="AH229" s="240"/>
      <c r="AI229" s="240"/>
      <c r="AK229" s="265">
        <f t="shared" si="93"/>
        <v>154</v>
      </c>
      <c r="AL229" s="265">
        <f t="shared" si="94"/>
        <v>242.00050037516084</v>
      </c>
      <c r="AM229" s="239">
        <f t="shared" si="95"/>
        <v>5.0369526024136295</v>
      </c>
      <c r="AN229" s="239">
        <f t="shared" si="96"/>
        <v>5.4889397938205029</v>
      </c>
      <c r="AO229" s="240"/>
      <c r="AP229" s="240"/>
      <c r="AR229" s="265">
        <f t="shared" si="97"/>
        <v>130.69161782893335</v>
      </c>
      <c r="AS229" s="265">
        <f t="shared" si="98"/>
        <v>204.87791468043838</v>
      </c>
      <c r="AT229" s="239">
        <f t="shared" si="99"/>
        <v>4.872840485665642</v>
      </c>
      <c r="AU229" s="239">
        <f t="shared" si="100"/>
        <v>5.3224142635909271</v>
      </c>
      <c r="AX229" s="136"/>
      <c r="AY229" s="136"/>
      <c r="AZ229" s="136"/>
      <c r="BB229" s="238"/>
      <c r="BC229" s="238"/>
      <c r="BD229" s="125"/>
      <c r="BE229" s="125"/>
      <c r="BF229" s="136"/>
      <c r="BG229" s="136"/>
      <c r="BH229" s="136"/>
      <c r="BI229" s="136"/>
    </row>
    <row r="230" spans="1:61" x14ac:dyDescent="0.2">
      <c r="A230" s="232" t="s">
        <v>34</v>
      </c>
      <c r="B230" s="232" t="s">
        <v>35</v>
      </c>
      <c r="C230" s="404" t="s">
        <v>41</v>
      </c>
      <c r="D230" s="381" t="s">
        <v>319</v>
      </c>
      <c r="E230" s="278">
        <v>7.5049999999999999</v>
      </c>
      <c r="F230" s="278">
        <v>2.4210378774303138</v>
      </c>
      <c r="G230" s="296">
        <f t="shared" si="88"/>
        <v>1.4043143140547065</v>
      </c>
      <c r="H230" s="278">
        <v>50</v>
      </c>
      <c r="I230" s="235">
        <v>23.5</v>
      </c>
      <c r="J230" s="279">
        <v>30.97727391992974</v>
      </c>
      <c r="K230" s="399">
        <v>7</v>
      </c>
      <c r="L230" s="399">
        <v>4</v>
      </c>
      <c r="M230" s="402" t="s">
        <v>93</v>
      </c>
      <c r="N230" s="405">
        <v>44</v>
      </c>
      <c r="O230" s="386">
        <f t="shared" ref="O230:O261" si="103">N230+J230</f>
        <v>74.977273919929743</v>
      </c>
      <c r="P230" s="386"/>
      <c r="Q230" s="386"/>
      <c r="R230" s="387">
        <v>2</v>
      </c>
      <c r="S230" s="236">
        <v>0.68</v>
      </c>
      <c r="T230" s="237" t="s">
        <v>37</v>
      </c>
      <c r="Y230" s="236">
        <v>0.69</v>
      </c>
      <c r="Z230" s="237" t="s">
        <v>37</v>
      </c>
      <c r="AE230" s="236"/>
      <c r="AF230" s="239">
        <f t="shared" si="91"/>
        <v>3.784189633918261</v>
      </c>
      <c r="AG230" s="239">
        <f t="shared" si="92"/>
        <v>4.3171850532172336</v>
      </c>
      <c r="AH230" s="240"/>
      <c r="AI230" s="240"/>
      <c r="AK230" s="265">
        <f t="shared" si="93"/>
        <v>88</v>
      </c>
      <c r="AL230" s="265">
        <f t="shared" si="94"/>
        <v>118.97727391992974</v>
      </c>
      <c r="AM230" s="239">
        <f t="shared" si="95"/>
        <v>4.4773368144782069</v>
      </c>
      <c r="AN230" s="239">
        <f t="shared" si="96"/>
        <v>4.7789324994106179</v>
      </c>
      <c r="AO230" s="240"/>
      <c r="AP230" s="240"/>
      <c r="AR230" s="265">
        <f t="shared" ref="AR230:AR261" si="104">AK230*(eCEC/$I230)^$S230</f>
        <v>53.273599882367307</v>
      </c>
      <c r="AS230" s="265">
        <f t="shared" ref="AS230:AS261" si="105">AL230*(eCEC/$I230)^$Y230</f>
        <v>71.497019198603581</v>
      </c>
      <c r="AT230" s="239">
        <f t="shared" si="99"/>
        <v>3.9754408966889283</v>
      </c>
      <c r="AU230" s="239">
        <f t="shared" si="100"/>
        <v>4.2696557593009095</v>
      </c>
      <c r="AX230" s="136"/>
      <c r="AY230" s="136"/>
      <c r="AZ230" s="136"/>
      <c r="BB230" s="238"/>
      <c r="BC230" s="238"/>
      <c r="BD230" s="125"/>
      <c r="BE230" s="125"/>
      <c r="BF230" s="136"/>
      <c r="BG230" s="136"/>
      <c r="BH230" s="136"/>
      <c r="BI230" s="136"/>
    </row>
    <row r="231" spans="1:61" x14ac:dyDescent="0.2">
      <c r="A231" s="232" t="s">
        <v>34</v>
      </c>
      <c r="B231" s="232" t="s">
        <v>35</v>
      </c>
      <c r="C231" s="404" t="s">
        <v>41</v>
      </c>
      <c r="D231" s="381" t="s">
        <v>319</v>
      </c>
      <c r="E231" s="278">
        <v>5.4</v>
      </c>
      <c r="F231" s="278">
        <v>3.3</v>
      </c>
      <c r="G231" s="296">
        <f t="shared" si="88"/>
        <v>1.91415313225058</v>
      </c>
      <c r="H231" s="278">
        <v>23</v>
      </c>
      <c r="I231" s="235">
        <v>6.7</v>
      </c>
      <c r="J231" s="279">
        <v>21</v>
      </c>
      <c r="K231" s="399">
        <v>7</v>
      </c>
      <c r="L231" s="399">
        <v>4</v>
      </c>
      <c r="M231" s="399" t="s">
        <v>93</v>
      </c>
      <c r="N231" s="405">
        <v>114</v>
      </c>
      <c r="O231" s="386">
        <f t="shared" si="103"/>
        <v>135</v>
      </c>
      <c r="P231" s="386"/>
      <c r="Q231" s="386"/>
      <c r="R231" s="387">
        <v>2</v>
      </c>
      <c r="S231" s="236">
        <v>0.68</v>
      </c>
      <c r="T231" s="237" t="s">
        <v>37</v>
      </c>
      <c r="Y231" s="236">
        <v>0.69</v>
      </c>
      <c r="Z231" s="237" t="s">
        <v>37</v>
      </c>
      <c r="AE231" s="236"/>
      <c r="AF231" s="239">
        <f t="shared" si="91"/>
        <v>4.7361984483944957</v>
      </c>
      <c r="AG231" s="239">
        <f t="shared" si="92"/>
        <v>4.9052747784384296</v>
      </c>
      <c r="AH231" s="240"/>
      <c r="AI231" s="240"/>
      <c r="AK231" s="265">
        <f t="shared" si="93"/>
        <v>228</v>
      </c>
      <c r="AL231" s="265">
        <f t="shared" si="94"/>
        <v>249</v>
      </c>
      <c r="AM231" s="239">
        <f t="shared" si="95"/>
        <v>5.4293456289544411</v>
      </c>
      <c r="AN231" s="239">
        <f t="shared" si="96"/>
        <v>5.5174528964647074</v>
      </c>
      <c r="AO231" s="240"/>
      <c r="AP231" s="240"/>
      <c r="AR231" s="265">
        <f t="shared" si="104"/>
        <v>324.01081005315268</v>
      </c>
      <c r="AS231" s="265">
        <f t="shared" si="105"/>
        <v>355.68739947253954</v>
      </c>
      <c r="AT231" s="239">
        <f t="shared" si="99"/>
        <v>5.780776879597334</v>
      </c>
      <c r="AU231" s="239">
        <f t="shared" si="100"/>
        <v>5.8740522537347015</v>
      </c>
      <c r="AX231" s="136"/>
      <c r="AY231" s="136"/>
      <c r="AZ231" s="136"/>
      <c r="BB231" s="238"/>
      <c r="BC231" s="238"/>
      <c r="BD231" s="125"/>
      <c r="BE231" s="125"/>
      <c r="BF231" s="136"/>
      <c r="BG231" s="136"/>
      <c r="BH231" s="136"/>
      <c r="BI231" s="136"/>
    </row>
    <row r="232" spans="1:61" s="165" customFormat="1" x14ac:dyDescent="0.2">
      <c r="A232" s="156" t="s">
        <v>34</v>
      </c>
      <c r="B232" s="156" t="s">
        <v>35</v>
      </c>
      <c r="C232" s="406" t="s">
        <v>41</v>
      </c>
      <c r="D232" s="391" t="s">
        <v>319</v>
      </c>
      <c r="E232" s="159">
        <v>6.5</v>
      </c>
      <c r="F232" s="159">
        <v>1.7</v>
      </c>
      <c r="G232" s="330">
        <f t="shared" si="88"/>
        <v>0.9860788863109049</v>
      </c>
      <c r="H232" s="159">
        <v>8</v>
      </c>
      <c r="I232" s="231">
        <v>8.4</v>
      </c>
      <c r="J232" s="366">
        <v>13</v>
      </c>
      <c r="K232" s="400">
        <v>7</v>
      </c>
      <c r="L232" s="400">
        <v>4</v>
      </c>
      <c r="M232" s="400" t="s">
        <v>93</v>
      </c>
      <c r="N232" s="160">
        <v>44</v>
      </c>
      <c r="O232" s="396">
        <f t="shared" si="103"/>
        <v>57</v>
      </c>
      <c r="P232" s="396"/>
      <c r="Q232" s="396"/>
      <c r="R232" s="361">
        <v>2</v>
      </c>
      <c r="S232" s="163">
        <v>0.68</v>
      </c>
      <c r="T232" s="162" t="s">
        <v>37</v>
      </c>
      <c r="U232" s="163"/>
      <c r="V232" s="162"/>
      <c r="W232" s="162"/>
      <c r="X232" s="162"/>
      <c r="Y232" s="163">
        <v>0.69</v>
      </c>
      <c r="Z232" s="162" t="s">
        <v>37</v>
      </c>
      <c r="AA232" s="163"/>
      <c r="AB232" s="162"/>
      <c r="AC232" s="162"/>
      <c r="AD232" s="162"/>
      <c r="AE232" s="163"/>
      <c r="AF232" s="166">
        <f t="shared" si="91"/>
        <v>3.784189633918261</v>
      </c>
      <c r="AG232" s="166">
        <f t="shared" si="92"/>
        <v>4.0430512678345503</v>
      </c>
      <c r="AH232" s="169"/>
      <c r="AI232" s="169"/>
      <c r="AK232" s="168">
        <f t="shared" si="93"/>
        <v>88</v>
      </c>
      <c r="AL232" s="168">
        <f t="shared" si="94"/>
        <v>101</v>
      </c>
      <c r="AM232" s="166">
        <f t="shared" si="95"/>
        <v>4.4773368144782069</v>
      </c>
      <c r="AN232" s="166">
        <f t="shared" si="96"/>
        <v>4.6151205168412597</v>
      </c>
      <c r="AO232" s="169"/>
      <c r="AP232" s="169"/>
      <c r="AR232" s="168">
        <f t="shared" si="104"/>
        <v>107.23295560636545</v>
      </c>
      <c r="AS232" s="168">
        <f t="shared" si="105"/>
        <v>123.43246819678239</v>
      </c>
      <c r="AT232" s="166">
        <f t="shared" si="99"/>
        <v>4.6750036230935033</v>
      </c>
      <c r="AU232" s="166">
        <f t="shared" si="100"/>
        <v>4.8156941902891335</v>
      </c>
      <c r="AV232" s="167"/>
      <c r="AW232" s="167"/>
      <c r="BD232" s="167"/>
      <c r="BE232" s="167"/>
    </row>
    <row r="233" spans="1:61" x14ac:dyDescent="0.2">
      <c r="A233" s="232" t="s">
        <v>34</v>
      </c>
      <c r="B233" s="232" t="s">
        <v>35</v>
      </c>
      <c r="C233" s="232" t="s">
        <v>43</v>
      </c>
      <c r="D233" s="407" t="s">
        <v>36</v>
      </c>
      <c r="E233" s="233">
        <v>4.0999999999999996</v>
      </c>
      <c r="F233" s="233">
        <v>1.9</v>
      </c>
      <c r="G233" s="296">
        <f t="shared" si="88"/>
        <v>1.1020881670533642</v>
      </c>
      <c r="H233" s="233">
        <v>17.5</v>
      </c>
      <c r="I233" s="300">
        <f t="shared" ref="I233:I243" si="106">(30+4.4*E233)*(H233/100)+(-34.66+29.72*E233)*(F233/100)</f>
        <v>10.063648000000001</v>
      </c>
      <c r="J233" s="233">
        <v>158</v>
      </c>
      <c r="K233" s="408">
        <v>28</v>
      </c>
      <c r="L233" s="408">
        <v>70</v>
      </c>
      <c r="M233" s="409" t="s">
        <v>320</v>
      </c>
      <c r="N233" s="233">
        <v>67</v>
      </c>
      <c r="O233" s="386">
        <f t="shared" si="103"/>
        <v>225</v>
      </c>
      <c r="P233" s="386"/>
      <c r="Q233" s="386"/>
      <c r="R233" s="387">
        <v>2</v>
      </c>
      <c r="S233" s="236">
        <v>0.68</v>
      </c>
      <c r="T233" s="237" t="s">
        <v>37</v>
      </c>
      <c r="Y233" s="236">
        <v>0.69</v>
      </c>
      <c r="Z233" s="237" t="s">
        <v>37</v>
      </c>
      <c r="AE233" s="236"/>
      <c r="AF233" s="239">
        <f t="shared" si="91"/>
        <v>4.2046926193909657</v>
      </c>
      <c r="AG233" s="239">
        <f t="shared" si="92"/>
        <v>5.4161004022044201</v>
      </c>
      <c r="AH233" s="240"/>
      <c r="AI233" s="240"/>
      <c r="AK233" s="265">
        <f t="shared" si="93"/>
        <v>134</v>
      </c>
      <c r="AL233" s="265">
        <f t="shared" si="94"/>
        <v>292</v>
      </c>
      <c r="AM233" s="239">
        <f t="shared" si="95"/>
        <v>4.8978397999509111</v>
      </c>
      <c r="AN233" s="239">
        <f t="shared" si="96"/>
        <v>5.6767538022682817</v>
      </c>
      <c r="AO233" s="240"/>
      <c r="AP233" s="240"/>
      <c r="AR233" s="265">
        <f t="shared" si="104"/>
        <v>144.40645920168788</v>
      </c>
      <c r="AS233" s="265">
        <f t="shared" si="105"/>
        <v>315.02306039474161</v>
      </c>
      <c r="AT233" s="239">
        <f t="shared" si="99"/>
        <v>4.9726319567719388</v>
      </c>
      <c r="AU233" s="239">
        <f t="shared" si="100"/>
        <v>5.752645843748442</v>
      </c>
      <c r="AX233" s="385">
        <f t="shared" ref="AX233:AX243" si="107">GEOMEAN(AR233)</f>
        <v>144.40645920168788</v>
      </c>
      <c r="AY233" s="385">
        <f t="shared" ref="AY233:AY243" si="108">GEOMEAN(AS233)</f>
        <v>315.02306039474161</v>
      </c>
      <c r="AZ233" s="385">
        <f>MIN(AX233:AX235)</f>
        <v>60.348968024585986</v>
      </c>
      <c r="BA233" s="385">
        <f>MIN(AY233:AY235)</f>
        <v>230.87306480984486</v>
      </c>
      <c r="BB233" s="239">
        <f>LN(AZ233)</f>
        <v>4.1001438475561764</v>
      </c>
      <c r="BC233" s="239">
        <f>LN(BA233)</f>
        <v>5.4418680565020114</v>
      </c>
      <c r="BD233" s="240"/>
      <c r="BE233" s="240"/>
      <c r="BF233" s="136"/>
      <c r="BG233" s="136"/>
      <c r="BH233" s="136"/>
      <c r="BI233" s="136"/>
    </row>
    <row r="234" spans="1:61" x14ac:dyDescent="0.2">
      <c r="A234" s="232" t="s">
        <v>34</v>
      </c>
      <c r="B234" s="232" t="s">
        <v>35</v>
      </c>
      <c r="C234" s="232" t="s">
        <v>43</v>
      </c>
      <c r="D234" s="407" t="s">
        <v>322</v>
      </c>
      <c r="E234" s="233">
        <v>4.0999999999999996</v>
      </c>
      <c r="F234" s="233">
        <v>1.9</v>
      </c>
      <c r="G234" s="296">
        <f t="shared" si="88"/>
        <v>1.1020881670533642</v>
      </c>
      <c r="H234" s="233">
        <v>17.5</v>
      </c>
      <c r="I234" s="300">
        <f t="shared" si="106"/>
        <v>10.063648000000001</v>
      </c>
      <c r="J234" s="233">
        <v>158</v>
      </c>
      <c r="K234" s="408">
        <v>28</v>
      </c>
      <c r="L234" s="408">
        <v>105</v>
      </c>
      <c r="M234" s="384" t="s">
        <v>104</v>
      </c>
      <c r="N234" s="233">
        <v>28</v>
      </c>
      <c r="O234" s="386">
        <f t="shared" si="103"/>
        <v>186</v>
      </c>
      <c r="P234" s="386"/>
      <c r="Q234" s="386"/>
      <c r="R234" s="387">
        <v>2</v>
      </c>
      <c r="S234" s="236">
        <v>0.68</v>
      </c>
      <c r="T234" s="237" t="s">
        <v>37</v>
      </c>
      <c r="Y234" s="236">
        <v>0.69</v>
      </c>
      <c r="Z234" s="237" t="s">
        <v>37</v>
      </c>
      <c r="AE234" s="236"/>
      <c r="AF234" s="239">
        <f t="shared" si="91"/>
        <v>3.3322045101752038</v>
      </c>
      <c r="AG234" s="239">
        <f t="shared" si="92"/>
        <v>5.2257466737132017</v>
      </c>
      <c r="AH234" s="240"/>
      <c r="AI234" s="240"/>
      <c r="AK234" s="265">
        <f t="shared" si="93"/>
        <v>56</v>
      </c>
      <c r="AL234" s="265">
        <f t="shared" si="94"/>
        <v>214</v>
      </c>
      <c r="AM234" s="239">
        <f t="shared" si="95"/>
        <v>4.0253516907351496</v>
      </c>
      <c r="AN234" s="239">
        <f t="shared" si="96"/>
        <v>5.3659760150218512</v>
      </c>
      <c r="AO234" s="240"/>
      <c r="AP234" s="240"/>
      <c r="AR234" s="265">
        <f t="shared" si="104"/>
        <v>60.348968024585986</v>
      </c>
      <c r="AS234" s="265">
        <f t="shared" si="105"/>
        <v>230.87306480984486</v>
      </c>
      <c r="AT234" s="239">
        <f t="shared" si="99"/>
        <v>4.1001438475561764</v>
      </c>
      <c r="AU234" s="239">
        <f t="shared" si="100"/>
        <v>5.4418680565020114</v>
      </c>
      <c r="AX234" s="385">
        <f t="shared" si="107"/>
        <v>60.348968024585986</v>
      </c>
      <c r="AY234" s="385">
        <f t="shared" si="108"/>
        <v>230.87306480984486</v>
      </c>
      <c r="AZ234" s="136"/>
      <c r="BB234" s="238"/>
      <c r="BC234" s="238"/>
      <c r="BD234" s="125"/>
      <c r="BE234" s="125"/>
      <c r="BF234" s="136"/>
      <c r="BG234" s="136"/>
      <c r="BH234" s="136"/>
      <c r="BI234" s="136"/>
    </row>
    <row r="235" spans="1:61" s="165" customFormat="1" x14ac:dyDescent="0.2">
      <c r="A235" s="156" t="s">
        <v>34</v>
      </c>
      <c r="B235" s="156" t="s">
        <v>35</v>
      </c>
      <c r="C235" s="156" t="s">
        <v>43</v>
      </c>
      <c r="D235" s="391" t="s">
        <v>321</v>
      </c>
      <c r="E235" s="160">
        <v>4.0999999999999996</v>
      </c>
      <c r="F235" s="160">
        <v>1.9</v>
      </c>
      <c r="G235" s="330">
        <f t="shared" si="88"/>
        <v>1.1020881670533642</v>
      </c>
      <c r="H235" s="160">
        <v>17.5</v>
      </c>
      <c r="I235" s="393">
        <f t="shared" si="106"/>
        <v>10.063648000000001</v>
      </c>
      <c r="J235" s="160">
        <v>158</v>
      </c>
      <c r="K235" s="394">
        <v>28</v>
      </c>
      <c r="L235" s="394">
        <v>105</v>
      </c>
      <c r="M235" s="395" t="s">
        <v>104</v>
      </c>
      <c r="N235" s="160">
        <v>181</v>
      </c>
      <c r="O235" s="396">
        <f t="shared" si="103"/>
        <v>339</v>
      </c>
      <c r="P235" s="396"/>
      <c r="Q235" s="396"/>
      <c r="R235" s="361">
        <v>2</v>
      </c>
      <c r="S235" s="163">
        <v>0.68</v>
      </c>
      <c r="T235" s="162" t="s">
        <v>37</v>
      </c>
      <c r="U235" s="163"/>
      <c r="V235" s="162"/>
      <c r="W235" s="162"/>
      <c r="X235" s="162"/>
      <c r="Y235" s="163">
        <v>0.69</v>
      </c>
      <c r="Z235" s="162" t="s">
        <v>37</v>
      </c>
      <c r="AA235" s="163"/>
      <c r="AB235" s="162"/>
      <c r="AC235" s="162"/>
      <c r="AD235" s="162"/>
      <c r="AE235" s="163"/>
      <c r="AF235" s="166">
        <f t="shared" si="91"/>
        <v>5.1984970312658261</v>
      </c>
      <c r="AG235" s="166">
        <f t="shared" si="92"/>
        <v>5.8260001073804499</v>
      </c>
      <c r="AH235" s="169"/>
      <c r="AI235" s="169"/>
      <c r="AK235" s="168">
        <f t="shared" si="93"/>
        <v>362</v>
      </c>
      <c r="AL235" s="168">
        <f t="shared" si="94"/>
        <v>520</v>
      </c>
      <c r="AM235" s="166">
        <f t="shared" si="95"/>
        <v>5.8916442118257715</v>
      </c>
      <c r="AN235" s="166">
        <f t="shared" si="96"/>
        <v>6.253828811575473</v>
      </c>
      <c r="AO235" s="169"/>
      <c r="AP235" s="169"/>
      <c r="AR235" s="168">
        <f t="shared" si="104"/>
        <v>390.11297187321657</v>
      </c>
      <c r="AS235" s="168">
        <f t="shared" si="105"/>
        <v>560.99997056597817</v>
      </c>
      <c r="AT235" s="166">
        <f t="shared" si="99"/>
        <v>5.9664363686467983</v>
      </c>
      <c r="AU235" s="166">
        <f t="shared" si="100"/>
        <v>6.3297208530556333</v>
      </c>
      <c r="AV235" s="167"/>
      <c r="AW235" s="167"/>
      <c r="AX235" s="168">
        <f t="shared" si="107"/>
        <v>390.11297187321657</v>
      </c>
      <c r="AY235" s="168">
        <f t="shared" si="108"/>
        <v>560.99997056597817</v>
      </c>
      <c r="BD235" s="167"/>
      <c r="BE235" s="167"/>
    </row>
    <row r="236" spans="1:61" x14ac:dyDescent="0.2">
      <c r="A236" s="232" t="s">
        <v>34</v>
      </c>
      <c r="B236" s="232" t="s">
        <v>35</v>
      </c>
      <c r="C236" s="232" t="s">
        <v>45</v>
      </c>
      <c r="D236" s="407" t="s">
        <v>36</v>
      </c>
      <c r="E236" s="233">
        <v>4.0999999999999996</v>
      </c>
      <c r="F236" s="233">
        <v>1.9</v>
      </c>
      <c r="G236" s="296">
        <f t="shared" si="88"/>
        <v>1.1020881670533642</v>
      </c>
      <c r="H236" s="233">
        <v>17.5</v>
      </c>
      <c r="I236" s="300">
        <f t="shared" si="106"/>
        <v>10.063648000000001</v>
      </c>
      <c r="J236" s="233">
        <v>158</v>
      </c>
      <c r="K236" s="408">
        <v>28</v>
      </c>
      <c r="L236" s="408">
        <v>70</v>
      </c>
      <c r="M236" s="409" t="s">
        <v>320</v>
      </c>
      <c r="N236" s="233">
        <v>379</v>
      </c>
      <c r="O236" s="386">
        <f t="shared" si="103"/>
        <v>537</v>
      </c>
      <c r="P236" s="386"/>
      <c r="Q236" s="386"/>
      <c r="R236" s="387">
        <v>2</v>
      </c>
      <c r="S236" s="236">
        <v>0.68</v>
      </c>
      <c r="T236" s="237" t="s">
        <v>37</v>
      </c>
      <c r="Y236" s="236">
        <v>0.69</v>
      </c>
      <c r="Z236" s="237" t="s">
        <v>37</v>
      </c>
      <c r="AE236" s="236"/>
      <c r="AF236" s="239">
        <f t="shared" si="91"/>
        <v>5.9375362050824263</v>
      </c>
      <c r="AG236" s="239">
        <f t="shared" si="92"/>
        <v>6.2859980945088649</v>
      </c>
      <c r="AH236" s="240"/>
      <c r="AI236" s="240"/>
      <c r="AK236" s="265">
        <f t="shared" si="93"/>
        <v>758</v>
      </c>
      <c r="AL236" s="265">
        <f t="shared" si="94"/>
        <v>916</v>
      </c>
      <c r="AM236" s="239">
        <f t="shared" si="95"/>
        <v>6.6306833856423717</v>
      </c>
      <c r="AN236" s="239">
        <f t="shared" si="96"/>
        <v>6.8200163646741299</v>
      </c>
      <c r="AO236" s="240"/>
      <c r="AP236" s="240"/>
      <c r="AR236" s="265">
        <f t="shared" si="104"/>
        <v>816.86638861850315</v>
      </c>
      <c r="AS236" s="265">
        <f t="shared" si="105"/>
        <v>988.22302507391544</v>
      </c>
      <c r="AT236" s="239">
        <f t="shared" si="99"/>
        <v>6.7054755424633985</v>
      </c>
      <c r="AU236" s="239">
        <f t="shared" si="100"/>
        <v>6.8959084061542901</v>
      </c>
      <c r="AX236" s="385">
        <f t="shared" si="107"/>
        <v>816.86638861850315</v>
      </c>
      <c r="AY236" s="385">
        <f t="shared" si="108"/>
        <v>988.22302507391544</v>
      </c>
      <c r="AZ236" s="385">
        <f>MIN(AX236:AX238)</f>
        <v>90.523452036878979</v>
      </c>
      <c r="BA236" s="385">
        <f>MIN(AY236:AY238)</f>
        <v>261.0807555326283</v>
      </c>
      <c r="BB236" s="239">
        <f>LN(AZ236)</f>
        <v>4.5056089556643411</v>
      </c>
      <c r="BC236" s="239">
        <f>LN(BA236)</f>
        <v>5.5648297676368461</v>
      </c>
      <c r="BD236" s="240"/>
      <c r="BE236" s="240"/>
      <c r="BF236" s="136"/>
      <c r="BG236" s="136"/>
      <c r="BH236" s="136"/>
      <c r="BI236" s="136"/>
    </row>
    <row r="237" spans="1:61" x14ac:dyDescent="0.2">
      <c r="A237" s="232" t="s">
        <v>34</v>
      </c>
      <c r="B237" s="232" t="s">
        <v>35</v>
      </c>
      <c r="C237" s="232" t="s">
        <v>45</v>
      </c>
      <c r="D237" s="407" t="s">
        <v>322</v>
      </c>
      <c r="E237" s="233">
        <v>4.0999999999999996</v>
      </c>
      <c r="F237" s="233">
        <v>1.9</v>
      </c>
      <c r="G237" s="296">
        <f t="shared" si="88"/>
        <v>1.1020881670533642</v>
      </c>
      <c r="H237" s="233">
        <v>17.5</v>
      </c>
      <c r="I237" s="300">
        <f t="shared" si="106"/>
        <v>10.063648000000001</v>
      </c>
      <c r="J237" s="233">
        <v>158</v>
      </c>
      <c r="K237" s="408">
        <v>28</v>
      </c>
      <c r="L237" s="408">
        <v>210</v>
      </c>
      <c r="M237" s="384" t="s">
        <v>104</v>
      </c>
      <c r="N237" s="233">
        <v>42</v>
      </c>
      <c r="O237" s="386">
        <f t="shared" si="103"/>
        <v>200</v>
      </c>
      <c r="P237" s="386"/>
      <c r="Q237" s="386"/>
      <c r="R237" s="387">
        <v>2</v>
      </c>
      <c r="S237" s="236">
        <v>0.68</v>
      </c>
      <c r="T237" s="237" t="s">
        <v>37</v>
      </c>
      <c r="Y237" s="236">
        <v>0.69</v>
      </c>
      <c r="Z237" s="237" t="s">
        <v>37</v>
      </c>
      <c r="AE237" s="236"/>
      <c r="AF237" s="239">
        <f t="shared" si="91"/>
        <v>3.7376696182833684</v>
      </c>
      <c r="AG237" s="239">
        <f t="shared" si="92"/>
        <v>5.2983173665480363</v>
      </c>
      <c r="AH237" s="240"/>
      <c r="AI237" s="240"/>
      <c r="AK237" s="265">
        <f t="shared" si="93"/>
        <v>84</v>
      </c>
      <c r="AL237" s="265">
        <f t="shared" si="94"/>
        <v>242</v>
      </c>
      <c r="AM237" s="239">
        <f t="shared" si="95"/>
        <v>4.4308167988433134</v>
      </c>
      <c r="AN237" s="239">
        <f t="shared" si="96"/>
        <v>5.4889377261566867</v>
      </c>
      <c r="AO237" s="240"/>
      <c r="AP237" s="240"/>
      <c r="AR237" s="265">
        <f t="shared" si="104"/>
        <v>90.523452036878979</v>
      </c>
      <c r="AS237" s="265">
        <f t="shared" si="105"/>
        <v>261.0807555326283</v>
      </c>
      <c r="AT237" s="239">
        <f t="shared" si="99"/>
        <v>4.5056089556643411</v>
      </c>
      <c r="AU237" s="239">
        <f t="shared" si="100"/>
        <v>5.5648297676368461</v>
      </c>
      <c r="AX237" s="385">
        <f t="shared" si="107"/>
        <v>90.523452036878979</v>
      </c>
      <c r="AY237" s="385">
        <f t="shared" si="108"/>
        <v>261.0807555326283</v>
      </c>
      <c r="AZ237" s="136"/>
      <c r="BB237" s="238"/>
      <c r="BC237" s="238"/>
      <c r="BD237" s="125"/>
      <c r="BE237" s="125"/>
      <c r="BF237" s="136"/>
      <c r="BG237" s="136"/>
      <c r="BH237" s="136"/>
      <c r="BI237" s="136"/>
    </row>
    <row r="238" spans="1:61" s="165" customFormat="1" x14ac:dyDescent="0.2">
      <c r="A238" s="156" t="s">
        <v>34</v>
      </c>
      <c r="B238" s="156" t="s">
        <v>35</v>
      </c>
      <c r="C238" s="156" t="s">
        <v>45</v>
      </c>
      <c r="D238" s="391" t="s">
        <v>321</v>
      </c>
      <c r="E238" s="160">
        <v>4.0999999999999996</v>
      </c>
      <c r="F238" s="160">
        <v>1.9</v>
      </c>
      <c r="G238" s="330">
        <f t="shared" si="88"/>
        <v>1.1020881670533642</v>
      </c>
      <c r="H238" s="160">
        <v>17.5</v>
      </c>
      <c r="I238" s="393">
        <f t="shared" si="106"/>
        <v>10.063648000000001</v>
      </c>
      <c r="J238" s="160">
        <v>158</v>
      </c>
      <c r="K238" s="394">
        <v>28</v>
      </c>
      <c r="L238" s="394">
        <v>210</v>
      </c>
      <c r="M238" s="395" t="s">
        <v>104</v>
      </c>
      <c r="N238" s="160">
        <v>158</v>
      </c>
      <c r="O238" s="396">
        <f t="shared" si="103"/>
        <v>316</v>
      </c>
      <c r="P238" s="396"/>
      <c r="Q238" s="396"/>
      <c r="R238" s="361">
        <v>2</v>
      </c>
      <c r="S238" s="163">
        <v>0.68</v>
      </c>
      <c r="T238" s="162" t="s">
        <v>37</v>
      </c>
      <c r="U238" s="163"/>
      <c r="V238" s="162"/>
      <c r="W238" s="162"/>
      <c r="X238" s="162"/>
      <c r="Y238" s="163">
        <v>0.69</v>
      </c>
      <c r="Z238" s="162" t="s">
        <v>37</v>
      </c>
      <c r="AA238" s="163"/>
      <c r="AB238" s="162"/>
      <c r="AC238" s="162"/>
      <c r="AD238" s="162"/>
      <c r="AE238" s="163"/>
      <c r="AF238" s="166">
        <f t="shared" si="91"/>
        <v>5.0625950330269669</v>
      </c>
      <c r="AG238" s="166">
        <f t="shared" si="92"/>
        <v>5.7557422135869123</v>
      </c>
      <c r="AH238" s="169"/>
      <c r="AI238" s="169"/>
      <c r="AK238" s="168">
        <f t="shared" si="93"/>
        <v>316</v>
      </c>
      <c r="AL238" s="168">
        <f t="shared" si="94"/>
        <v>474</v>
      </c>
      <c r="AM238" s="166">
        <f t="shared" si="95"/>
        <v>5.7557422135869123</v>
      </c>
      <c r="AN238" s="166">
        <f t="shared" si="96"/>
        <v>6.1612073216950769</v>
      </c>
      <c r="AO238" s="169"/>
      <c r="AP238" s="169"/>
      <c r="AR238" s="168">
        <f t="shared" si="104"/>
        <v>340.54060528159232</v>
      </c>
      <c r="AS238" s="168">
        <f t="shared" si="105"/>
        <v>511.37305009283398</v>
      </c>
      <c r="AT238" s="166">
        <f t="shared" si="99"/>
        <v>5.8305343704079391</v>
      </c>
      <c r="AU238" s="166">
        <f t="shared" si="100"/>
        <v>6.2370993631752363</v>
      </c>
      <c r="AV238" s="167"/>
      <c r="AW238" s="167"/>
      <c r="AX238" s="168">
        <f t="shared" si="107"/>
        <v>340.54060528159232</v>
      </c>
      <c r="AY238" s="168">
        <f t="shared" si="108"/>
        <v>511.37305009283398</v>
      </c>
      <c r="BD238" s="167"/>
      <c r="BE238" s="167"/>
    </row>
    <row r="239" spans="1:61" x14ac:dyDescent="0.2">
      <c r="A239" s="232" t="s">
        <v>34</v>
      </c>
      <c r="B239" s="232" t="s">
        <v>35</v>
      </c>
      <c r="C239" s="232" t="s">
        <v>46</v>
      </c>
      <c r="D239" s="381" t="s">
        <v>36</v>
      </c>
      <c r="E239" s="233">
        <v>4.0999999999999996</v>
      </c>
      <c r="F239" s="233">
        <v>1.9</v>
      </c>
      <c r="G239" s="296">
        <f t="shared" si="88"/>
        <v>1.1020881670533642</v>
      </c>
      <c r="H239" s="233">
        <v>17.5</v>
      </c>
      <c r="I239" s="300">
        <f t="shared" si="106"/>
        <v>10.063648000000001</v>
      </c>
      <c r="J239" s="233">
        <v>158</v>
      </c>
      <c r="K239" s="408">
        <v>28</v>
      </c>
      <c r="L239" s="408">
        <v>70</v>
      </c>
      <c r="M239" s="409" t="s">
        <v>320</v>
      </c>
      <c r="N239" s="233">
        <v>76</v>
      </c>
      <c r="O239" s="386">
        <f t="shared" si="103"/>
        <v>234</v>
      </c>
      <c r="P239" s="386"/>
      <c r="Q239" s="386"/>
      <c r="R239" s="387">
        <v>2</v>
      </c>
      <c r="S239" s="236">
        <v>0.68</v>
      </c>
      <c r="T239" s="237" t="s">
        <v>37</v>
      </c>
      <c r="Y239" s="236">
        <v>0.69</v>
      </c>
      <c r="Z239" s="237" t="s">
        <v>37</v>
      </c>
      <c r="AE239" s="236"/>
      <c r="AF239" s="239">
        <f t="shared" si="91"/>
        <v>4.3307333402863311</v>
      </c>
      <c r="AG239" s="239">
        <f t="shared" si="92"/>
        <v>5.4553211153577017</v>
      </c>
      <c r="AH239" s="240"/>
      <c r="AI239" s="240"/>
      <c r="AK239" s="265">
        <f t="shared" si="93"/>
        <v>152</v>
      </c>
      <c r="AL239" s="265">
        <f t="shared" si="94"/>
        <v>310</v>
      </c>
      <c r="AM239" s="239">
        <f t="shared" si="95"/>
        <v>5.0238805208462765</v>
      </c>
      <c r="AN239" s="239">
        <f t="shared" si="96"/>
        <v>5.7365722974791922</v>
      </c>
      <c r="AO239" s="240"/>
      <c r="AP239" s="240"/>
      <c r="AR239" s="265">
        <f t="shared" si="104"/>
        <v>163.8043417810191</v>
      </c>
      <c r="AS239" s="265">
        <f t="shared" si="105"/>
        <v>334.44229014510239</v>
      </c>
      <c r="AT239" s="239">
        <f t="shared" si="99"/>
        <v>5.0986726776673033</v>
      </c>
      <c r="AU239" s="239">
        <f t="shared" si="100"/>
        <v>5.8124643389593516</v>
      </c>
      <c r="AX239" s="385">
        <f t="shared" si="107"/>
        <v>163.8043417810191</v>
      </c>
      <c r="AY239" s="385">
        <f t="shared" si="108"/>
        <v>334.44229014510239</v>
      </c>
      <c r="AZ239" s="385">
        <f>MIN(AX239:AX240)</f>
        <v>163.8043417810191</v>
      </c>
      <c r="BA239" s="385">
        <f>MIN(AY239:AY240)</f>
        <v>334.44229014510239</v>
      </c>
      <c r="BB239" s="239">
        <f>LN(AZ239)</f>
        <v>5.0986726776673033</v>
      </c>
      <c r="BC239" s="239">
        <f>LN(BA239)</f>
        <v>5.8124643389593516</v>
      </c>
      <c r="BD239" s="240"/>
      <c r="BE239" s="240"/>
      <c r="BF239" s="136"/>
      <c r="BG239" s="136"/>
      <c r="BH239" s="136"/>
      <c r="BI239" s="136"/>
    </row>
    <row r="240" spans="1:61" s="165" customFormat="1" x14ac:dyDescent="0.2">
      <c r="A240" s="156" t="s">
        <v>34</v>
      </c>
      <c r="B240" s="156" t="s">
        <v>35</v>
      </c>
      <c r="C240" s="156" t="s">
        <v>46</v>
      </c>
      <c r="D240" s="391" t="s">
        <v>321</v>
      </c>
      <c r="E240" s="160">
        <v>4.0999999999999996</v>
      </c>
      <c r="F240" s="160">
        <v>1.9</v>
      </c>
      <c r="G240" s="330">
        <f t="shared" si="88"/>
        <v>1.1020881670533642</v>
      </c>
      <c r="H240" s="160">
        <v>17.5</v>
      </c>
      <c r="I240" s="393">
        <f t="shared" si="106"/>
        <v>10.063648000000001</v>
      </c>
      <c r="J240" s="160">
        <v>158</v>
      </c>
      <c r="K240" s="394">
        <v>28</v>
      </c>
      <c r="L240" s="394">
        <v>175</v>
      </c>
      <c r="M240" s="395" t="s">
        <v>104</v>
      </c>
      <c r="N240" s="160">
        <v>78</v>
      </c>
      <c r="O240" s="396">
        <f t="shared" si="103"/>
        <v>236</v>
      </c>
      <c r="P240" s="396"/>
      <c r="Q240" s="396"/>
      <c r="R240" s="361">
        <v>2</v>
      </c>
      <c r="S240" s="163">
        <v>0.68</v>
      </c>
      <c r="T240" s="162" t="s">
        <v>37</v>
      </c>
      <c r="U240" s="163"/>
      <c r="V240" s="162"/>
      <c r="W240" s="162"/>
      <c r="X240" s="162"/>
      <c r="Y240" s="163">
        <v>0.69</v>
      </c>
      <c r="Z240" s="162" t="s">
        <v>37</v>
      </c>
      <c r="AA240" s="163"/>
      <c r="AB240" s="162"/>
      <c r="AC240" s="162"/>
      <c r="AD240" s="162"/>
      <c r="AE240" s="163"/>
      <c r="AF240" s="166">
        <f t="shared" si="91"/>
        <v>4.3567088266895917</v>
      </c>
      <c r="AG240" s="166">
        <f t="shared" si="92"/>
        <v>5.4638318050256105</v>
      </c>
      <c r="AH240" s="169"/>
      <c r="AI240" s="169"/>
      <c r="AK240" s="168">
        <f t="shared" si="93"/>
        <v>156</v>
      </c>
      <c r="AL240" s="168">
        <f t="shared" si="94"/>
        <v>314</v>
      </c>
      <c r="AM240" s="166">
        <f t="shared" si="95"/>
        <v>5.0498560072495371</v>
      </c>
      <c r="AN240" s="166">
        <f t="shared" si="96"/>
        <v>5.7493929859082531</v>
      </c>
      <c r="AO240" s="169"/>
      <c r="AP240" s="169"/>
      <c r="AR240" s="168">
        <f t="shared" si="104"/>
        <v>168.11498235420382</v>
      </c>
      <c r="AS240" s="168">
        <f t="shared" si="105"/>
        <v>338.75767453407144</v>
      </c>
      <c r="AT240" s="166">
        <f t="shared" si="99"/>
        <v>5.1246481640705639</v>
      </c>
      <c r="AU240" s="166">
        <f t="shared" si="100"/>
        <v>5.8252850273884134</v>
      </c>
      <c r="AV240" s="167"/>
      <c r="AW240" s="167"/>
      <c r="AX240" s="168">
        <f t="shared" si="107"/>
        <v>168.11498235420382</v>
      </c>
      <c r="AY240" s="168">
        <f t="shared" si="108"/>
        <v>338.75767453407144</v>
      </c>
      <c r="BD240" s="167"/>
      <c r="BE240" s="167"/>
    </row>
    <row r="241" spans="1:61" x14ac:dyDescent="0.2">
      <c r="A241" s="232" t="s">
        <v>34</v>
      </c>
      <c r="B241" s="232" t="s">
        <v>35</v>
      </c>
      <c r="C241" s="232" t="s">
        <v>47</v>
      </c>
      <c r="D241" s="407" t="s">
        <v>36</v>
      </c>
      <c r="E241" s="233">
        <v>4.0999999999999996</v>
      </c>
      <c r="F241" s="233">
        <v>1.9</v>
      </c>
      <c r="G241" s="296">
        <f t="shared" si="88"/>
        <v>1.1020881670533642</v>
      </c>
      <c r="H241" s="233">
        <v>17.5</v>
      </c>
      <c r="I241" s="300">
        <f t="shared" si="106"/>
        <v>10.063648000000001</v>
      </c>
      <c r="J241" s="233">
        <v>158</v>
      </c>
      <c r="K241" s="408">
        <v>28</v>
      </c>
      <c r="L241" s="408">
        <v>70</v>
      </c>
      <c r="M241" s="409" t="s">
        <v>320</v>
      </c>
      <c r="N241" s="233">
        <v>192</v>
      </c>
      <c r="O241" s="386">
        <f t="shared" si="103"/>
        <v>350</v>
      </c>
      <c r="P241" s="386"/>
      <c r="Q241" s="386"/>
      <c r="R241" s="387">
        <v>2</v>
      </c>
      <c r="S241" s="236">
        <v>0.68</v>
      </c>
      <c r="T241" s="237" t="s">
        <v>37</v>
      </c>
      <c r="Y241" s="236">
        <v>0.69</v>
      </c>
      <c r="Z241" s="237" t="s">
        <v>37</v>
      </c>
      <c r="AE241" s="236"/>
      <c r="AF241" s="239">
        <f t="shared" si="91"/>
        <v>5.2574953720277815</v>
      </c>
      <c r="AG241" s="239">
        <f t="shared" si="92"/>
        <v>5.857933154483459</v>
      </c>
      <c r="AH241" s="240"/>
      <c r="AI241" s="240"/>
      <c r="AK241" s="265">
        <f t="shared" si="93"/>
        <v>384</v>
      </c>
      <c r="AL241" s="265">
        <f t="shared" si="94"/>
        <v>542</v>
      </c>
      <c r="AM241" s="239">
        <f t="shared" si="95"/>
        <v>5.9506425525877269</v>
      </c>
      <c r="AN241" s="239">
        <f t="shared" si="96"/>
        <v>6.2952660014396464</v>
      </c>
      <c r="AO241" s="240"/>
      <c r="AP241" s="240"/>
      <c r="AR241" s="265">
        <f t="shared" si="104"/>
        <v>413.82149502573247</v>
      </c>
      <c r="AS241" s="265">
        <f t="shared" si="105"/>
        <v>584.73458470530807</v>
      </c>
      <c r="AT241" s="239">
        <f t="shared" si="99"/>
        <v>6.0254347094087537</v>
      </c>
      <c r="AU241" s="239">
        <f t="shared" si="100"/>
        <v>6.3711580429198058</v>
      </c>
      <c r="AX241" s="385">
        <f t="shared" si="107"/>
        <v>413.82149502573247</v>
      </c>
      <c r="AY241" s="385">
        <f t="shared" si="108"/>
        <v>584.73458470530807</v>
      </c>
      <c r="AZ241" s="385">
        <f>MIN(AX241:AX243)</f>
        <v>390.11297187321657</v>
      </c>
      <c r="BA241" s="385">
        <f>MIN(AY241:AY243)</f>
        <v>560.99997056597817</v>
      </c>
      <c r="BB241" s="239">
        <f>LN(AZ241)</f>
        <v>5.9664363686467983</v>
      </c>
      <c r="BC241" s="239">
        <f>LN(BA241)</f>
        <v>6.3297208530556333</v>
      </c>
      <c r="BD241" s="240"/>
      <c r="BE241" s="240"/>
      <c r="BF241" s="136"/>
      <c r="BG241" s="136"/>
      <c r="BH241" s="136"/>
      <c r="BI241" s="136"/>
    </row>
    <row r="242" spans="1:61" x14ac:dyDescent="0.2">
      <c r="A242" s="232" t="s">
        <v>34</v>
      </c>
      <c r="B242" s="232" t="s">
        <v>35</v>
      </c>
      <c r="C242" s="232" t="s">
        <v>47</v>
      </c>
      <c r="D242" s="407" t="s">
        <v>322</v>
      </c>
      <c r="E242" s="233">
        <v>4.0999999999999996</v>
      </c>
      <c r="F242" s="233">
        <v>1.9</v>
      </c>
      <c r="G242" s="296">
        <f t="shared" si="88"/>
        <v>1.1020881670533642</v>
      </c>
      <c r="H242" s="233">
        <v>17.5</v>
      </c>
      <c r="I242" s="300">
        <f t="shared" si="106"/>
        <v>10.063648000000001</v>
      </c>
      <c r="J242" s="233">
        <v>158</v>
      </c>
      <c r="K242" s="408">
        <v>28</v>
      </c>
      <c r="L242" s="408">
        <v>196</v>
      </c>
      <c r="M242" s="384" t="s">
        <v>104</v>
      </c>
      <c r="N242" s="233">
        <v>192</v>
      </c>
      <c r="O242" s="386">
        <f t="shared" si="103"/>
        <v>350</v>
      </c>
      <c r="P242" s="386"/>
      <c r="Q242" s="386"/>
      <c r="R242" s="387">
        <v>2</v>
      </c>
      <c r="S242" s="236">
        <v>0.68</v>
      </c>
      <c r="T242" s="237" t="s">
        <v>37</v>
      </c>
      <c r="Y242" s="236">
        <v>0.69</v>
      </c>
      <c r="Z242" s="237" t="s">
        <v>37</v>
      </c>
      <c r="AE242" s="236"/>
      <c r="AF242" s="239">
        <f t="shared" si="91"/>
        <v>5.2574953720277815</v>
      </c>
      <c r="AG242" s="239">
        <f t="shared" si="92"/>
        <v>5.857933154483459</v>
      </c>
      <c r="AH242" s="240"/>
      <c r="AI242" s="240"/>
      <c r="AK242" s="265">
        <f t="shared" si="93"/>
        <v>384</v>
      </c>
      <c r="AL242" s="265">
        <f t="shared" si="94"/>
        <v>542</v>
      </c>
      <c r="AM242" s="239">
        <f t="shared" si="95"/>
        <v>5.9506425525877269</v>
      </c>
      <c r="AN242" s="239">
        <f t="shared" si="96"/>
        <v>6.2952660014396464</v>
      </c>
      <c r="AO242" s="240"/>
      <c r="AP242" s="240"/>
      <c r="AR242" s="265">
        <f t="shared" si="104"/>
        <v>413.82149502573247</v>
      </c>
      <c r="AS242" s="265">
        <f t="shared" si="105"/>
        <v>584.73458470530807</v>
      </c>
      <c r="AT242" s="239">
        <f t="shared" si="99"/>
        <v>6.0254347094087537</v>
      </c>
      <c r="AU242" s="239">
        <f t="shared" si="100"/>
        <v>6.3711580429198058</v>
      </c>
      <c r="AX242" s="385">
        <f t="shared" si="107"/>
        <v>413.82149502573247</v>
      </c>
      <c r="AY242" s="385">
        <f t="shared" si="108"/>
        <v>584.73458470530807</v>
      </c>
      <c r="AZ242" s="136"/>
      <c r="BB242" s="238"/>
      <c r="BC242" s="238"/>
      <c r="BD242" s="125"/>
      <c r="BE242" s="125"/>
      <c r="BF242" s="136"/>
      <c r="BG242" s="136"/>
      <c r="BH242" s="136"/>
      <c r="BI242" s="136"/>
    </row>
    <row r="243" spans="1:61" s="165" customFormat="1" x14ac:dyDescent="0.2">
      <c r="A243" s="156" t="s">
        <v>34</v>
      </c>
      <c r="B243" s="156" t="s">
        <v>35</v>
      </c>
      <c r="C243" s="156" t="s">
        <v>47</v>
      </c>
      <c r="D243" s="391" t="s">
        <v>321</v>
      </c>
      <c r="E243" s="160">
        <v>4.0999999999999996</v>
      </c>
      <c r="F243" s="160">
        <v>1.9</v>
      </c>
      <c r="G243" s="330">
        <f t="shared" si="88"/>
        <v>1.1020881670533642</v>
      </c>
      <c r="H243" s="160">
        <v>17.5</v>
      </c>
      <c r="I243" s="393">
        <f t="shared" si="106"/>
        <v>10.063648000000001</v>
      </c>
      <c r="J243" s="160">
        <v>158</v>
      </c>
      <c r="K243" s="394">
        <v>28</v>
      </c>
      <c r="L243" s="394">
        <v>196</v>
      </c>
      <c r="M243" s="395" t="s">
        <v>104</v>
      </c>
      <c r="N243" s="160">
        <v>181</v>
      </c>
      <c r="O243" s="396">
        <f t="shared" si="103"/>
        <v>339</v>
      </c>
      <c r="P243" s="396"/>
      <c r="Q243" s="396"/>
      <c r="R243" s="361">
        <v>2</v>
      </c>
      <c r="S243" s="163">
        <v>0.68</v>
      </c>
      <c r="T243" s="162" t="s">
        <v>37</v>
      </c>
      <c r="U243" s="163"/>
      <c r="V243" s="162"/>
      <c r="W243" s="162"/>
      <c r="X243" s="162"/>
      <c r="Y243" s="163">
        <v>0.69</v>
      </c>
      <c r="Z243" s="162" t="s">
        <v>37</v>
      </c>
      <c r="AA243" s="163"/>
      <c r="AB243" s="162"/>
      <c r="AC243" s="162"/>
      <c r="AD243" s="162"/>
      <c r="AE243" s="163"/>
      <c r="AF243" s="166">
        <f t="shared" si="91"/>
        <v>5.1984970312658261</v>
      </c>
      <c r="AG243" s="166">
        <f t="shared" si="92"/>
        <v>5.8260001073804499</v>
      </c>
      <c r="AH243" s="169"/>
      <c r="AI243" s="169"/>
      <c r="AK243" s="168">
        <f t="shared" si="93"/>
        <v>362</v>
      </c>
      <c r="AL243" s="168">
        <f t="shared" si="94"/>
        <v>520</v>
      </c>
      <c r="AM243" s="166">
        <f t="shared" si="95"/>
        <v>5.8916442118257715</v>
      </c>
      <c r="AN243" s="166">
        <f t="shared" si="96"/>
        <v>6.253828811575473</v>
      </c>
      <c r="AO243" s="169"/>
      <c r="AP243" s="169"/>
      <c r="AR243" s="168">
        <f t="shared" si="104"/>
        <v>390.11297187321657</v>
      </c>
      <c r="AS243" s="168">
        <f t="shared" si="105"/>
        <v>560.99997056597817</v>
      </c>
      <c r="AT243" s="166">
        <f t="shared" si="99"/>
        <v>5.9664363686467983</v>
      </c>
      <c r="AU243" s="166">
        <f t="shared" si="100"/>
        <v>6.3297208530556333</v>
      </c>
      <c r="AV243" s="167"/>
      <c r="AW243" s="167"/>
      <c r="AX243" s="168">
        <f t="shared" si="107"/>
        <v>390.11297187321657</v>
      </c>
      <c r="AY243" s="168">
        <f t="shared" si="108"/>
        <v>560.99997056597817</v>
      </c>
      <c r="BD243" s="167"/>
      <c r="BE243" s="167"/>
    </row>
    <row r="244" spans="1:61" x14ac:dyDescent="0.2">
      <c r="A244" s="232" t="s">
        <v>34</v>
      </c>
      <c r="B244" s="232" t="s">
        <v>35</v>
      </c>
      <c r="C244" s="290" t="s">
        <v>48</v>
      </c>
      <c r="D244" s="381" t="s">
        <v>312</v>
      </c>
      <c r="E244" s="278">
        <v>3.36</v>
      </c>
      <c r="F244" s="278">
        <v>8.3137760000000025</v>
      </c>
      <c r="G244" s="296">
        <f t="shared" si="88"/>
        <v>4.8223758700696067</v>
      </c>
      <c r="H244" s="278">
        <v>13</v>
      </c>
      <c r="I244" s="235">
        <v>6.7</v>
      </c>
      <c r="J244" s="279">
        <v>17.263011488299419</v>
      </c>
      <c r="K244" s="399">
        <v>7</v>
      </c>
      <c r="L244" s="399" t="s">
        <v>323</v>
      </c>
      <c r="M244" s="402" t="s">
        <v>93</v>
      </c>
      <c r="N244" s="235">
        <v>19</v>
      </c>
      <c r="O244" s="386">
        <f t="shared" si="103"/>
        <v>36.263011488299419</v>
      </c>
      <c r="P244" s="386"/>
      <c r="Q244" s="386"/>
      <c r="R244" s="387">
        <v>2</v>
      </c>
      <c r="S244" s="236">
        <v>0.96</v>
      </c>
      <c r="T244" s="237" t="s">
        <v>37</v>
      </c>
      <c r="Y244" s="236">
        <v>0.96</v>
      </c>
      <c r="Z244" s="237" t="s">
        <v>37</v>
      </c>
      <c r="AE244" s="236"/>
      <c r="AF244" s="239">
        <f t="shared" si="91"/>
        <v>2.9444389791664403</v>
      </c>
      <c r="AG244" s="239">
        <f t="shared" si="92"/>
        <v>3.5907982545062507</v>
      </c>
      <c r="AH244" s="240"/>
      <c r="AI244" s="240"/>
      <c r="AK244" s="265">
        <f t="shared" si="93"/>
        <v>38</v>
      </c>
      <c r="AL244" s="265">
        <f t="shared" si="94"/>
        <v>55.263011488299419</v>
      </c>
      <c r="AM244" s="239">
        <f t="shared" si="95"/>
        <v>3.6375861597263857</v>
      </c>
      <c r="AN244" s="239">
        <f t="shared" si="96"/>
        <v>4.0121038147222752</v>
      </c>
      <c r="AO244" s="240"/>
      <c r="AP244" s="240"/>
      <c r="AR244" s="265">
        <f t="shared" si="104"/>
        <v>62.409929912496288</v>
      </c>
      <c r="AS244" s="265">
        <f t="shared" si="105"/>
        <v>90.762122993111689</v>
      </c>
      <c r="AT244" s="239">
        <f t="shared" si="99"/>
        <v>4.1337243959281169</v>
      </c>
      <c r="AU244" s="239">
        <f t="shared" si="100"/>
        <v>4.5082420509240064</v>
      </c>
      <c r="AX244" s="385">
        <f>GEOMEAN(AR244:AR264)</f>
        <v>346.2938211619894</v>
      </c>
      <c r="AY244" s="385">
        <f>GEOMEAN(AS244:AS264)</f>
        <v>375.71588042920888</v>
      </c>
      <c r="AZ244" s="385">
        <f>MIN(AX244:AX264)</f>
        <v>346.2938211619894</v>
      </c>
      <c r="BA244" s="385">
        <f>MIN(AY244:AY264)</f>
        <v>375.71588042920888</v>
      </c>
      <c r="BB244" s="239">
        <f>LN(AZ244)</f>
        <v>5.8472876088061989</v>
      </c>
      <c r="BC244" s="239">
        <f>LN(BA244)</f>
        <v>5.9288332205958776</v>
      </c>
      <c r="BD244" s="240"/>
      <c r="BE244" s="240"/>
      <c r="BF244" s="136"/>
      <c r="BG244" s="136"/>
      <c r="BH244" s="136"/>
      <c r="BI244" s="136"/>
    </row>
    <row r="245" spans="1:61" x14ac:dyDescent="0.2">
      <c r="A245" s="232" t="s">
        <v>34</v>
      </c>
      <c r="B245" s="232" t="s">
        <v>35</v>
      </c>
      <c r="C245" s="290" t="s">
        <v>48</v>
      </c>
      <c r="D245" s="381" t="s">
        <v>312</v>
      </c>
      <c r="E245" s="278">
        <v>4.2</v>
      </c>
      <c r="F245" s="278">
        <v>20.711168000000004</v>
      </c>
      <c r="G245" s="296">
        <f t="shared" si="88"/>
        <v>12.013438515081209</v>
      </c>
      <c r="H245" s="278">
        <v>13</v>
      </c>
      <c r="I245" s="235">
        <v>15.2</v>
      </c>
      <c r="J245" s="279">
        <v>13.776181638478517</v>
      </c>
      <c r="K245" s="399">
        <v>7</v>
      </c>
      <c r="L245" s="399" t="s">
        <v>323</v>
      </c>
      <c r="M245" s="402" t="s">
        <v>93</v>
      </c>
      <c r="N245" s="235">
        <v>357</v>
      </c>
      <c r="O245" s="386">
        <f t="shared" si="103"/>
        <v>370.77618163847853</v>
      </c>
      <c r="P245" s="386"/>
      <c r="Q245" s="386"/>
      <c r="R245" s="387">
        <v>2</v>
      </c>
      <c r="S245" s="236">
        <v>0.96</v>
      </c>
      <c r="T245" s="237" t="s">
        <v>37</v>
      </c>
      <c r="Y245" s="236">
        <v>0.96</v>
      </c>
      <c r="Z245" s="237" t="s">
        <v>37</v>
      </c>
      <c r="AE245" s="236"/>
      <c r="AF245" s="239">
        <f t="shared" si="91"/>
        <v>5.8777357817796387</v>
      </c>
      <c r="AG245" s="239">
        <f t="shared" si="92"/>
        <v>5.9155985965651059</v>
      </c>
      <c r="AH245" s="240"/>
      <c r="AI245" s="240"/>
      <c r="AK245" s="265">
        <f t="shared" si="93"/>
        <v>714</v>
      </c>
      <c r="AL245" s="265">
        <f t="shared" si="94"/>
        <v>727.77618163847853</v>
      </c>
      <c r="AM245" s="239">
        <f t="shared" si="95"/>
        <v>6.5708829623395841</v>
      </c>
      <c r="AN245" s="239">
        <f t="shared" si="96"/>
        <v>6.5899935581221705</v>
      </c>
      <c r="AO245" s="240"/>
      <c r="AP245" s="240"/>
      <c r="AR245" s="265">
        <f t="shared" si="104"/>
        <v>534.10946743288378</v>
      </c>
      <c r="AS245" s="265">
        <f t="shared" si="105"/>
        <v>544.41477420905528</v>
      </c>
      <c r="AT245" s="239">
        <f t="shared" si="99"/>
        <v>6.2806008131442175</v>
      </c>
      <c r="AU245" s="239">
        <f t="shared" si="100"/>
        <v>6.2997114089268038</v>
      </c>
      <c r="AX245" s="136"/>
      <c r="AY245" s="136"/>
      <c r="AZ245" s="136"/>
      <c r="BB245" s="238"/>
      <c r="BC245" s="238"/>
      <c r="BD245" s="125"/>
      <c r="BE245" s="125"/>
      <c r="BF245" s="136"/>
      <c r="BG245" s="136"/>
      <c r="BH245" s="136"/>
      <c r="BI245" s="136"/>
    </row>
    <row r="246" spans="1:61" x14ac:dyDescent="0.2">
      <c r="A246" s="232" t="s">
        <v>34</v>
      </c>
      <c r="B246" s="232" t="s">
        <v>35</v>
      </c>
      <c r="C246" s="290" t="s">
        <v>48</v>
      </c>
      <c r="D246" s="381" t="s">
        <v>312</v>
      </c>
      <c r="E246" s="278">
        <v>4.7450000000000001</v>
      </c>
      <c r="F246" s="278">
        <v>37.316435200000001</v>
      </c>
      <c r="G246" s="296">
        <f t="shared" si="88"/>
        <v>21.645264037122971</v>
      </c>
      <c r="H246" s="278">
        <v>24</v>
      </c>
      <c r="I246" s="235">
        <v>35.299999999999997</v>
      </c>
      <c r="J246" s="279">
        <v>69.686668003909702</v>
      </c>
      <c r="K246" s="399">
        <v>7</v>
      </c>
      <c r="L246" s="399" t="s">
        <v>323</v>
      </c>
      <c r="M246" s="402" t="s">
        <v>93</v>
      </c>
      <c r="N246" s="235">
        <v>628</v>
      </c>
      <c r="O246" s="386">
        <f t="shared" si="103"/>
        <v>697.68666800390974</v>
      </c>
      <c r="P246" s="386"/>
      <c r="Q246" s="386"/>
      <c r="R246" s="387">
        <v>2</v>
      </c>
      <c r="S246" s="236">
        <v>0.96</v>
      </c>
      <c r="T246" s="237" t="s">
        <v>37</v>
      </c>
      <c r="Y246" s="236">
        <v>0.96</v>
      </c>
      <c r="Z246" s="237" t="s">
        <v>37</v>
      </c>
      <c r="AE246" s="236"/>
      <c r="AF246" s="239">
        <f t="shared" si="91"/>
        <v>6.4425401664681985</v>
      </c>
      <c r="AG246" s="239">
        <f t="shared" si="92"/>
        <v>6.5477701022688697</v>
      </c>
      <c r="AH246" s="240"/>
      <c r="AI246" s="240"/>
      <c r="AK246" s="265">
        <f t="shared" si="93"/>
        <v>1256</v>
      </c>
      <c r="AL246" s="265">
        <f t="shared" si="94"/>
        <v>1325.6866680039097</v>
      </c>
      <c r="AM246" s="239">
        <f t="shared" si="95"/>
        <v>7.1356873470281439</v>
      </c>
      <c r="AN246" s="239">
        <f t="shared" si="96"/>
        <v>7.1896858441833</v>
      </c>
      <c r="AO246" s="240"/>
      <c r="AP246" s="240"/>
      <c r="AR246" s="265">
        <f t="shared" si="104"/>
        <v>418.4348334334079</v>
      </c>
      <c r="AS246" s="265">
        <f t="shared" si="105"/>
        <v>441.65085996107126</v>
      </c>
      <c r="AT246" s="239">
        <f t="shared" si="99"/>
        <v>6.0365211631892377</v>
      </c>
      <c r="AU246" s="239">
        <f t="shared" si="100"/>
        <v>6.0905196603443938</v>
      </c>
      <c r="AX246" s="136"/>
      <c r="AY246" s="136"/>
      <c r="AZ246" s="136"/>
      <c r="BB246" s="238"/>
      <c r="BC246" s="238"/>
      <c r="BD246" s="125"/>
      <c r="BE246" s="125"/>
      <c r="BF246" s="136"/>
      <c r="BG246" s="136"/>
      <c r="BH246" s="136"/>
      <c r="BI246" s="136"/>
    </row>
    <row r="247" spans="1:61" x14ac:dyDescent="0.2">
      <c r="A247" s="232" t="s">
        <v>34</v>
      </c>
      <c r="B247" s="232" t="s">
        <v>35</v>
      </c>
      <c r="C247" s="290" t="s">
        <v>48</v>
      </c>
      <c r="D247" s="381" t="s">
        <v>312</v>
      </c>
      <c r="E247" s="278">
        <v>4.7549999999999999</v>
      </c>
      <c r="F247" s="278">
        <v>2.6084792000000001</v>
      </c>
      <c r="G247" s="296">
        <f t="shared" si="88"/>
        <v>1.5130389791183296</v>
      </c>
      <c r="H247" s="278">
        <v>7</v>
      </c>
      <c r="I247" s="235">
        <v>2.4</v>
      </c>
      <c r="J247" s="279">
        <v>6.19288957375585</v>
      </c>
      <c r="K247" s="399">
        <v>7</v>
      </c>
      <c r="L247" s="399" t="s">
        <v>323</v>
      </c>
      <c r="M247" s="402" t="s">
        <v>93</v>
      </c>
      <c r="N247" s="235">
        <v>85</v>
      </c>
      <c r="O247" s="386">
        <f t="shared" si="103"/>
        <v>91.192889573755849</v>
      </c>
      <c r="P247" s="386"/>
      <c r="Q247" s="386"/>
      <c r="R247" s="387">
        <v>2</v>
      </c>
      <c r="S247" s="236">
        <v>0.96</v>
      </c>
      <c r="T247" s="237" t="s">
        <v>37</v>
      </c>
      <c r="Y247" s="236">
        <v>0.96</v>
      </c>
      <c r="Z247" s="237" t="s">
        <v>37</v>
      </c>
      <c r="AE247" s="236"/>
      <c r="AF247" s="239">
        <f t="shared" si="91"/>
        <v>4.4426512564903167</v>
      </c>
      <c r="AG247" s="239">
        <f t="shared" si="92"/>
        <v>4.5129769288407964</v>
      </c>
      <c r="AH247" s="240"/>
      <c r="AI247" s="240"/>
      <c r="AK247" s="265">
        <f t="shared" si="93"/>
        <v>170</v>
      </c>
      <c r="AL247" s="265">
        <f t="shared" si="94"/>
        <v>176.19288957375585</v>
      </c>
      <c r="AM247" s="239">
        <f t="shared" si="95"/>
        <v>5.1357984370502621</v>
      </c>
      <c r="AN247" s="239">
        <f t="shared" si="96"/>
        <v>5.1715793583958583</v>
      </c>
      <c r="AO247" s="240"/>
      <c r="AP247" s="240"/>
      <c r="AR247" s="265">
        <f t="shared" si="104"/>
        <v>748.07998998029223</v>
      </c>
      <c r="AS247" s="265">
        <f t="shared" si="105"/>
        <v>775.33161804078838</v>
      </c>
      <c r="AT247" s="239">
        <f t="shared" si="99"/>
        <v>6.6175099107332924</v>
      </c>
      <c r="AU247" s="239">
        <f t="shared" si="100"/>
        <v>6.6532908320788895</v>
      </c>
      <c r="AX247" s="136"/>
      <c r="AY247" s="136"/>
      <c r="AZ247" s="136"/>
      <c r="BB247" s="238"/>
      <c r="BC247" s="238"/>
      <c r="BD247" s="125"/>
      <c r="BE247" s="125"/>
      <c r="BF247" s="136"/>
      <c r="BG247" s="136"/>
      <c r="BH247" s="136"/>
      <c r="BI247" s="136"/>
    </row>
    <row r="248" spans="1:61" x14ac:dyDescent="0.2">
      <c r="A248" s="232" t="s">
        <v>34</v>
      </c>
      <c r="B248" s="232" t="s">
        <v>35</v>
      </c>
      <c r="C248" s="290" t="s">
        <v>48</v>
      </c>
      <c r="D248" s="381" t="s">
        <v>312</v>
      </c>
      <c r="E248" s="278">
        <v>4.8</v>
      </c>
      <c r="F248" s="278">
        <v>0.65026320000000004</v>
      </c>
      <c r="G248" s="296">
        <f t="shared" si="88"/>
        <v>0.37718283062645014</v>
      </c>
      <c r="H248" s="278">
        <v>38</v>
      </c>
      <c r="I248" s="235">
        <v>11.2</v>
      </c>
      <c r="J248" s="279">
        <v>31.015303901596727</v>
      </c>
      <c r="K248" s="399">
        <v>7</v>
      </c>
      <c r="L248" s="399" t="s">
        <v>323</v>
      </c>
      <c r="M248" s="402" t="s">
        <v>93</v>
      </c>
      <c r="N248" s="235">
        <v>43</v>
      </c>
      <c r="O248" s="386">
        <f t="shared" si="103"/>
        <v>74.015303901596724</v>
      </c>
      <c r="P248" s="386"/>
      <c r="Q248" s="386"/>
      <c r="R248" s="387">
        <v>2</v>
      </c>
      <c r="S248" s="236">
        <v>0.96</v>
      </c>
      <c r="T248" s="237" t="s">
        <v>37</v>
      </c>
      <c r="Y248" s="236">
        <v>0.96</v>
      </c>
      <c r="Z248" s="237" t="s">
        <v>37</v>
      </c>
      <c r="AE248" s="236"/>
      <c r="AF248" s="239">
        <f t="shared" si="91"/>
        <v>3.7612001156935624</v>
      </c>
      <c r="AG248" s="239">
        <f t="shared" si="92"/>
        <v>4.304271881303074</v>
      </c>
      <c r="AH248" s="240"/>
      <c r="AI248" s="240"/>
      <c r="AK248" s="265">
        <f t="shared" si="93"/>
        <v>86</v>
      </c>
      <c r="AL248" s="265">
        <f t="shared" si="94"/>
        <v>117.01530390159672</v>
      </c>
      <c r="AM248" s="239">
        <f t="shared" si="95"/>
        <v>4.4543472962535073</v>
      </c>
      <c r="AN248" s="239">
        <f t="shared" si="96"/>
        <v>4.7623047288215945</v>
      </c>
      <c r="AO248" s="240"/>
      <c r="AP248" s="240"/>
      <c r="AR248" s="265">
        <f t="shared" si="104"/>
        <v>86.248402209038105</v>
      </c>
      <c r="AS248" s="265">
        <f t="shared" si="105"/>
        <v>117.35329064555512</v>
      </c>
      <c r="AT248" s="239">
        <f t="shared" si="99"/>
        <v>4.4572315306272756</v>
      </c>
      <c r="AU248" s="239">
        <f t="shared" si="100"/>
        <v>4.7651889631953628</v>
      </c>
      <c r="AX248" s="136"/>
      <c r="AY248" s="136"/>
      <c r="AZ248" s="136"/>
      <c r="BB248" s="238"/>
      <c r="BC248" s="238"/>
      <c r="BD248" s="125"/>
      <c r="BE248" s="125"/>
      <c r="BF248" s="136"/>
      <c r="BG248" s="136"/>
      <c r="BH248" s="136"/>
      <c r="BI248" s="136"/>
    </row>
    <row r="249" spans="1:61" x14ac:dyDescent="0.2">
      <c r="A249" s="232" t="s">
        <v>34</v>
      </c>
      <c r="B249" s="232" t="s">
        <v>35</v>
      </c>
      <c r="C249" s="290" t="s">
        <v>48</v>
      </c>
      <c r="D249" s="381" t="s">
        <v>312</v>
      </c>
      <c r="E249" s="278">
        <v>5.0549999999999997</v>
      </c>
      <c r="F249" s="278">
        <v>3.75284</v>
      </c>
      <c r="G249" s="296">
        <f t="shared" si="88"/>
        <v>2.1768213457076566</v>
      </c>
      <c r="H249" s="278">
        <v>9</v>
      </c>
      <c r="I249" s="235">
        <v>4.7</v>
      </c>
      <c r="J249" s="279">
        <v>8.4849975914563824</v>
      </c>
      <c r="K249" s="399">
        <v>7</v>
      </c>
      <c r="L249" s="399" t="s">
        <v>323</v>
      </c>
      <c r="M249" s="402" t="s">
        <v>93</v>
      </c>
      <c r="N249" s="235">
        <v>197</v>
      </c>
      <c r="O249" s="386">
        <f t="shared" si="103"/>
        <v>205.48499759145639</v>
      </c>
      <c r="P249" s="386"/>
      <c r="Q249" s="386"/>
      <c r="R249" s="387">
        <v>2</v>
      </c>
      <c r="S249" s="236">
        <v>0.96</v>
      </c>
      <c r="T249" s="237" t="s">
        <v>37</v>
      </c>
      <c r="Y249" s="236">
        <v>0.96</v>
      </c>
      <c r="Z249" s="237" t="s">
        <v>37</v>
      </c>
      <c r="AE249" s="236"/>
      <c r="AF249" s="239">
        <f t="shared" si="91"/>
        <v>5.2832037287379885</v>
      </c>
      <c r="AG249" s="239">
        <f t="shared" si="92"/>
        <v>5.3253730268502002</v>
      </c>
      <c r="AH249" s="240"/>
      <c r="AI249" s="240"/>
      <c r="AK249" s="265">
        <f t="shared" si="93"/>
        <v>394</v>
      </c>
      <c r="AL249" s="265">
        <f t="shared" si="94"/>
        <v>402.48499759145636</v>
      </c>
      <c r="AM249" s="239">
        <f t="shared" si="95"/>
        <v>5.9763509092979339</v>
      </c>
      <c r="AN249" s="239">
        <f t="shared" si="96"/>
        <v>5.9976578230992557</v>
      </c>
      <c r="AO249" s="240"/>
      <c r="AP249" s="240"/>
      <c r="AR249" s="265">
        <f t="shared" si="104"/>
        <v>909.46122385316301</v>
      </c>
      <c r="AS249" s="265">
        <f t="shared" si="105"/>
        <v>929.04695048747021</v>
      </c>
      <c r="AT249" s="239">
        <f t="shared" si="99"/>
        <v>6.8128523624733361</v>
      </c>
      <c r="AU249" s="239">
        <f t="shared" si="100"/>
        <v>6.8341592762746579</v>
      </c>
      <c r="AX249" s="136"/>
      <c r="AY249" s="136"/>
      <c r="AZ249" s="136"/>
      <c r="BB249" s="238"/>
      <c r="BC249" s="238"/>
      <c r="BD249" s="125"/>
      <c r="BE249" s="125"/>
      <c r="BF249" s="136"/>
      <c r="BG249" s="136"/>
      <c r="BH249" s="136"/>
      <c r="BI249" s="136"/>
    </row>
    <row r="250" spans="1:61" x14ac:dyDescent="0.2">
      <c r="A250" s="232" t="s">
        <v>34</v>
      </c>
      <c r="B250" s="232" t="s">
        <v>35</v>
      </c>
      <c r="C250" s="290" t="s">
        <v>48</v>
      </c>
      <c r="D250" s="381" t="s">
        <v>312</v>
      </c>
      <c r="E250" s="278">
        <v>5.4349999999999996</v>
      </c>
      <c r="F250" s="278">
        <v>1.39886</v>
      </c>
      <c r="G250" s="296">
        <f t="shared" si="88"/>
        <v>0.81140371229698371</v>
      </c>
      <c r="H250" s="278">
        <v>51</v>
      </c>
      <c r="I250" s="235">
        <v>22.6</v>
      </c>
      <c r="J250" s="279">
        <v>21.113151960209731</v>
      </c>
      <c r="K250" s="399">
        <v>7</v>
      </c>
      <c r="L250" s="399" t="s">
        <v>323</v>
      </c>
      <c r="M250" s="402" t="s">
        <v>93</v>
      </c>
      <c r="N250" s="235">
        <v>176</v>
      </c>
      <c r="O250" s="386">
        <f t="shared" si="103"/>
        <v>197.11315196020973</v>
      </c>
      <c r="P250" s="386"/>
      <c r="Q250" s="386"/>
      <c r="R250" s="387">
        <v>2</v>
      </c>
      <c r="S250" s="236">
        <v>0.96</v>
      </c>
      <c r="T250" s="237" t="s">
        <v>37</v>
      </c>
      <c r="Y250" s="236">
        <v>0.96</v>
      </c>
      <c r="Z250" s="237" t="s">
        <v>37</v>
      </c>
      <c r="AE250" s="236"/>
      <c r="AF250" s="239">
        <f t="shared" si="91"/>
        <v>5.1704839950381514</v>
      </c>
      <c r="AG250" s="239">
        <f t="shared" si="92"/>
        <v>5.2837779392800925</v>
      </c>
      <c r="AH250" s="240"/>
      <c r="AI250" s="240"/>
      <c r="AK250" s="265">
        <f t="shared" si="93"/>
        <v>352</v>
      </c>
      <c r="AL250" s="265">
        <f t="shared" si="94"/>
        <v>373.11315196020973</v>
      </c>
      <c r="AM250" s="239">
        <f t="shared" si="95"/>
        <v>5.8636311755980968</v>
      </c>
      <c r="AN250" s="239">
        <f t="shared" si="96"/>
        <v>5.9218817301022355</v>
      </c>
      <c r="AO250" s="240"/>
      <c r="AP250" s="240"/>
      <c r="AR250" s="265">
        <f t="shared" si="104"/>
        <v>179.92871184063878</v>
      </c>
      <c r="AS250" s="265">
        <f t="shared" si="105"/>
        <v>190.72093409943477</v>
      </c>
      <c r="AT250" s="239">
        <f t="shared" si="99"/>
        <v>5.1925607271137615</v>
      </c>
      <c r="AU250" s="239">
        <f t="shared" si="100"/>
        <v>5.2508112816179002</v>
      </c>
      <c r="AX250" s="136"/>
      <c r="AY250" s="136"/>
      <c r="AZ250" s="136"/>
      <c r="BB250" s="238"/>
      <c r="BC250" s="238"/>
      <c r="BD250" s="125"/>
      <c r="BE250" s="125"/>
      <c r="BF250" s="136"/>
      <c r="BG250" s="136"/>
      <c r="BH250" s="136"/>
      <c r="BI250" s="136"/>
    </row>
    <row r="251" spans="1:61" x14ac:dyDescent="0.2">
      <c r="A251" s="232" t="s">
        <v>34</v>
      </c>
      <c r="B251" s="232" t="s">
        <v>35</v>
      </c>
      <c r="C251" s="290" t="s">
        <v>48</v>
      </c>
      <c r="D251" s="381" t="s">
        <v>312</v>
      </c>
      <c r="E251" s="278">
        <v>6.3550000000000004</v>
      </c>
      <c r="F251" s="278">
        <v>7.0438112000000004</v>
      </c>
      <c r="G251" s="296">
        <f t="shared" si="88"/>
        <v>4.0857373549883995</v>
      </c>
      <c r="H251" s="278">
        <v>21</v>
      </c>
      <c r="I251" s="235">
        <v>23.4</v>
      </c>
      <c r="J251" s="279">
        <v>21.783966122059201</v>
      </c>
      <c r="K251" s="399">
        <v>7</v>
      </c>
      <c r="L251" s="399" t="s">
        <v>323</v>
      </c>
      <c r="M251" s="402" t="s">
        <v>93</v>
      </c>
      <c r="N251" s="235">
        <v>91</v>
      </c>
      <c r="O251" s="386">
        <f t="shared" si="103"/>
        <v>112.7839661220592</v>
      </c>
      <c r="P251" s="386"/>
      <c r="Q251" s="386"/>
      <c r="R251" s="387">
        <v>2</v>
      </c>
      <c r="S251" s="236">
        <v>0.96</v>
      </c>
      <c r="T251" s="237" t="s">
        <v>37</v>
      </c>
      <c r="Y251" s="236">
        <v>0.96</v>
      </c>
      <c r="Z251" s="237" t="s">
        <v>37</v>
      </c>
      <c r="AE251" s="236"/>
      <c r="AF251" s="239">
        <f t="shared" si="91"/>
        <v>4.5108595065168497</v>
      </c>
      <c r="AG251" s="239">
        <f t="shared" si="92"/>
        <v>4.725474184652513</v>
      </c>
      <c r="AH251" s="240"/>
      <c r="AI251" s="240"/>
      <c r="AK251" s="265">
        <f t="shared" si="93"/>
        <v>182</v>
      </c>
      <c r="AL251" s="265">
        <f t="shared" si="94"/>
        <v>203.78396612205921</v>
      </c>
      <c r="AM251" s="239">
        <f t="shared" si="95"/>
        <v>5.2040066870767951</v>
      </c>
      <c r="AN251" s="239">
        <f t="shared" si="96"/>
        <v>5.3170604431207975</v>
      </c>
      <c r="AO251" s="240"/>
      <c r="AP251" s="240"/>
      <c r="AR251" s="265">
        <f t="shared" si="104"/>
        <v>89.975873948097728</v>
      </c>
      <c r="AS251" s="265">
        <f t="shared" si="105"/>
        <v>100.74527718924075</v>
      </c>
      <c r="AT251" s="239">
        <f t="shared" si="99"/>
        <v>4.4995415671504606</v>
      </c>
      <c r="AU251" s="239">
        <f t="shared" si="100"/>
        <v>4.612595323194463</v>
      </c>
      <c r="AX251" s="136"/>
      <c r="AY251" s="136"/>
      <c r="AZ251" s="136"/>
      <c r="BB251" s="238"/>
      <c r="BC251" s="238"/>
      <c r="BD251" s="125"/>
      <c r="BE251" s="125"/>
      <c r="BF251" s="136"/>
      <c r="BG251" s="136"/>
      <c r="BH251" s="136"/>
      <c r="BI251" s="136"/>
    </row>
    <row r="252" spans="1:61" x14ac:dyDescent="0.2">
      <c r="A252" s="232" t="s">
        <v>34</v>
      </c>
      <c r="B252" s="232" t="s">
        <v>35</v>
      </c>
      <c r="C252" s="290" t="s">
        <v>48</v>
      </c>
      <c r="D252" s="381" t="s">
        <v>312</v>
      </c>
      <c r="E252" s="278">
        <v>6.8</v>
      </c>
      <c r="F252" s="278">
        <v>1.5718104000000002</v>
      </c>
      <c r="G252" s="296">
        <f t="shared" si="88"/>
        <v>0.91172296983758716</v>
      </c>
      <c r="H252" s="278">
        <v>15</v>
      </c>
      <c r="I252" s="235">
        <v>8.9</v>
      </c>
      <c r="J252" s="279">
        <v>21.67</v>
      </c>
      <c r="K252" s="399">
        <v>7</v>
      </c>
      <c r="L252" s="399" t="s">
        <v>323</v>
      </c>
      <c r="M252" s="402" t="s">
        <v>93</v>
      </c>
      <c r="N252" s="235">
        <v>198</v>
      </c>
      <c r="O252" s="386">
        <f t="shared" si="103"/>
        <v>219.67000000000002</v>
      </c>
      <c r="P252" s="386"/>
      <c r="Q252" s="386"/>
      <c r="R252" s="387">
        <v>2</v>
      </c>
      <c r="S252" s="236">
        <v>0.96</v>
      </c>
      <c r="T252" s="237" t="s">
        <v>37</v>
      </c>
      <c r="Y252" s="236">
        <v>0.96</v>
      </c>
      <c r="Z252" s="237" t="s">
        <v>37</v>
      </c>
      <c r="AE252" s="236"/>
      <c r="AF252" s="239">
        <f t="shared" si="91"/>
        <v>5.2882670306945352</v>
      </c>
      <c r="AG252" s="239">
        <f t="shared" si="92"/>
        <v>5.3921264202260941</v>
      </c>
      <c r="AH252" s="240"/>
      <c r="AI252" s="240"/>
      <c r="AK252" s="265">
        <f t="shared" si="93"/>
        <v>396</v>
      </c>
      <c r="AL252" s="265">
        <f t="shared" si="94"/>
        <v>417.67</v>
      </c>
      <c r="AM252" s="239">
        <f t="shared" si="95"/>
        <v>5.9814142112544806</v>
      </c>
      <c r="AN252" s="239">
        <f t="shared" si="96"/>
        <v>6.0346916470420817</v>
      </c>
      <c r="AO252" s="240"/>
      <c r="AP252" s="240"/>
      <c r="AR252" s="265">
        <f t="shared" si="104"/>
        <v>495.20234020103896</v>
      </c>
      <c r="AS252" s="265">
        <f t="shared" si="105"/>
        <v>522.30091270648472</v>
      </c>
      <c r="AT252" s="239">
        <f t="shared" si="99"/>
        <v>6.2049664471286849</v>
      </c>
      <c r="AU252" s="239">
        <f t="shared" si="100"/>
        <v>6.2582438829162861</v>
      </c>
      <c r="AX252" s="136"/>
      <c r="AY252" s="136"/>
      <c r="AZ252" s="136"/>
      <c r="BB252" s="238"/>
      <c r="BC252" s="238"/>
      <c r="BD252" s="125"/>
      <c r="BE252" s="125"/>
      <c r="BF252" s="136"/>
      <c r="BG252" s="136"/>
      <c r="BH252" s="136"/>
      <c r="BI252" s="136"/>
    </row>
    <row r="253" spans="1:61" x14ac:dyDescent="0.2">
      <c r="A253" s="232" t="s">
        <v>34</v>
      </c>
      <c r="B253" s="232" t="s">
        <v>35</v>
      </c>
      <c r="C253" s="290" t="s">
        <v>48</v>
      </c>
      <c r="D253" s="381" t="s">
        <v>312</v>
      </c>
      <c r="E253" s="278">
        <v>7.2850000000000001</v>
      </c>
      <c r="F253" s="278">
        <v>2.3442543309421522</v>
      </c>
      <c r="G253" s="296">
        <f t="shared" si="88"/>
        <v>1.3597762940499722</v>
      </c>
      <c r="H253" s="278">
        <v>38</v>
      </c>
      <c r="I253" s="235">
        <v>26.2</v>
      </c>
      <c r="J253" s="279">
        <v>21.090912443436086</v>
      </c>
      <c r="K253" s="399">
        <v>7</v>
      </c>
      <c r="L253" s="399" t="s">
        <v>323</v>
      </c>
      <c r="M253" s="402" t="s">
        <v>93</v>
      </c>
      <c r="N253" s="235">
        <v>311</v>
      </c>
      <c r="O253" s="386">
        <f t="shared" si="103"/>
        <v>332.09091244343608</v>
      </c>
      <c r="P253" s="386"/>
      <c r="Q253" s="386"/>
      <c r="R253" s="387">
        <v>2</v>
      </c>
      <c r="S253" s="236">
        <v>0.96</v>
      </c>
      <c r="T253" s="237" t="s">
        <v>37</v>
      </c>
      <c r="Y253" s="236">
        <v>0.96</v>
      </c>
      <c r="Z253" s="237" t="s">
        <v>37</v>
      </c>
      <c r="AE253" s="236"/>
      <c r="AF253" s="239">
        <f t="shared" si="91"/>
        <v>5.7397929121792339</v>
      </c>
      <c r="AG253" s="239">
        <f t="shared" si="92"/>
        <v>5.8054087640921201</v>
      </c>
      <c r="AH253" s="240"/>
      <c r="AI253" s="240"/>
      <c r="AK253" s="265">
        <f t="shared" si="93"/>
        <v>622</v>
      </c>
      <c r="AL253" s="265">
        <f t="shared" si="94"/>
        <v>643.09091244343608</v>
      </c>
      <c r="AM253" s="239">
        <f t="shared" si="95"/>
        <v>6.4329400927391793</v>
      </c>
      <c r="AN253" s="239">
        <f t="shared" si="96"/>
        <v>6.4662861021802014</v>
      </c>
      <c r="AO253" s="240"/>
      <c r="AP253" s="240"/>
      <c r="AR253" s="265">
        <f t="shared" si="104"/>
        <v>275.88180188368699</v>
      </c>
      <c r="AS253" s="265">
        <f t="shared" si="105"/>
        <v>285.23646254006354</v>
      </c>
      <c r="AT253" s="239">
        <f t="shared" si="99"/>
        <v>5.619972519945585</v>
      </c>
      <c r="AU253" s="239">
        <f t="shared" si="100"/>
        <v>5.6533185293866071</v>
      </c>
      <c r="AX253" s="136"/>
      <c r="AY253" s="136"/>
      <c r="AZ253" s="136"/>
      <c r="BB253" s="238"/>
      <c r="BC253" s="238"/>
      <c r="BD253" s="125"/>
      <c r="BE253" s="125"/>
      <c r="BF253" s="136"/>
      <c r="BG253" s="136"/>
      <c r="BH253" s="136"/>
      <c r="BI253" s="136"/>
    </row>
    <row r="254" spans="1:61" x14ac:dyDescent="0.2">
      <c r="A254" s="232" t="s">
        <v>34</v>
      </c>
      <c r="B254" s="232" t="s">
        <v>35</v>
      </c>
      <c r="C254" s="290" t="s">
        <v>48</v>
      </c>
      <c r="D254" s="381" t="s">
        <v>312</v>
      </c>
      <c r="E254" s="278">
        <v>7.375</v>
      </c>
      <c r="F254" s="278">
        <v>2.0096692831802643</v>
      </c>
      <c r="G254" s="296">
        <f t="shared" si="88"/>
        <v>1.1657014403597821</v>
      </c>
      <c r="H254" s="278">
        <v>27</v>
      </c>
      <c r="I254" s="235">
        <v>20</v>
      </c>
      <c r="J254" s="279">
        <v>13.975427379945295</v>
      </c>
      <c r="K254" s="399">
        <v>7</v>
      </c>
      <c r="L254" s="399" t="s">
        <v>323</v>
      </c>
      <c r="M254" s="402" t="s">
        <v>93</v>
      </c>
      <c r="N254" s="235">
        <v>660</v>
      </c>
      <c r="O254" s="386">
        <f t="shared" si="103"/>
        <v>673.97542737994524</v>
      </c>
      <c r="P254" s="386"/>
      <c r="Q254" s="386"/>
      <c r="R254" s="387">
        <v>2</v>
      </c>
      <c r="S254" s="236">
        <v>0.96</v>
      </c>
      <c r="T254" s="237" t="s">
        <v>37</v>
      </c>
      <c r="Y254" s="236">
        <v>0.96</v>
      </c>
      <c r="Z254" s="237" t="s">
        <v>37</v>
      </c>
      <c r="AE254" s="236"/>
      <c r="AF254" s="239">
        <f t="shared" si="91"/>
        <v>6.4922398350204711</v>
      </c>
      <c r="AG254" s="239">
        <f t="shared" si="92"/>
        <v>6.5131936523544454</v>
      </c>
      <c r="AH254" s="240"/>
      <c r="AI254" s="240"/>
      <c r="AK254" s="265">
        <f t="shared" si="93"/>
        <v>1320</v>
      </c>
      <c r="AL254" s="265">
        <f t="shared" si="94"/>
        <v>1333.9754273799454</v>
      </c>
      <c r="AM254" s="239">
        <f t="shared" si="95"/>
        <v>7.1853870155804165</v>
      </c>
      <c r="AN254" s="239">
        <f t="shared" si="96"/>
        <v>7.1959188060510009</v>
      </c>
      <c r="AO254" s="240"/>
      <c r="AP254" s="240"/>
      <c r="AR254" s="265">
        <f t="shared" si="104"/>
        <v>758.72962945789732</v>
      </c>
      <c r="AS254" s="265">
        <f t="shared" si="105"/>
        <v>766.76263766812588</v>
      </c>
      <c r="AT254" s="239">
        <f t="shared" si="99"/>
        <v>6.6316454945113597</v>
      </c>
      <c r="AU254" s="239">
        <f t="shared" si="100"/>
        <v>6.642177284981944</v>
      </c>
      <c r="AX254" s="136"/>
      <c r="AY254" s="136"/>
      <c r="AZ254" s="136"/>
      <c r="BB254" s="238"/>
      <c r="BC254" s="238"/>
      <c r="BD254" s="125"/>
      <c r="BE254" s="125"/>
      <c r="BF254" s="136"/>
      <c r="BG254" s="136"/>
      <c r="BH254" s="136"/>
      <c r="BI254" s="136"/>
    </row>
    <row r="255" spans="1:61" x14ac:dyDescent="0.2">
      <c r="A255" s="232" t="s">
        <v>34</v>
      </c>
      <c r="B255" s="232" t="s">
        <v>35</v>
      </c>
      <c r="C255" s="290" t="s">
        <v>48</v>
      </c>
      <c r="D255" s="381" t="s">
        <v>312</v>
      </c>
      <c r="E255" s="278">
        <v>7.375</v>
      </c>
      <c r="F255" s="278">
        <v>4.1752105820553416</v>
      </c>
      <c r="G255" s="296">
        <f t="shared" si="88"/>
        <v>2.421815882862727</v>
      </c>
      <c r="H255" s="278">
        <v>46</v>
      </c>
      <c r="I255" s="235">
        <v>36.299999999999997</v>
      </c>
      <c r="J255" s="279">
        <v>33.636674889237447</v>
      </c>
      <c r="K255" s="399">
        <v>7</v>
      </c>
      <c r="L255" s="399" t="s">
        <v>323</v>
      </c>
      <c r="M255" s="402" t="s">
        <v>93</v>
      </c>
      <c r="N255" s="235">
        <v>628</v>
      </c>
      <c r="O255" s="386">
        <f t="shared" si="103"/>
        <v>661.6366748892375</v>
      </c>
      <c r="P255" s="386"/>
      <c r="Q255" s="386"/>
      <c r="R255" s="387">
        <v>2</v>
      </c>
      <c r="S255" s="236">
        <v>0.96</v>
      </c>
      <c r="T255" s="237" t="s">
        <v>37</v>
      </c>
      <c r="Y255" s="236">
        <v>0.96</v>
      </c>
      <c r="Z255" s="237" t="s">
        <v>37</v>
      </c>
      <c r="AE255" s="236"/>
      <c r="AF255" s="239">
        <f t="shared" si="91"/>
        <v>6.4425401664681985</v>
      </c>
      <c r="AG255" s="239">
        <f t="shared" si="92"/>
        <v>6.4947165758025349</v>
      </c>
      <c r="AH255" s="240"/>
      <c r="AI255" s="240"/>
      <c r="AK255" s="265">
        <f t="shared" si="93"/>
        <v>1256</v>
      </c>
      <c r="AL255" s="265">
        <f t="shared" si="94"/>
        <v>1289.6366748892374</v>
      </c>
      <c r="AM255" s="239">
        <f t="shared" si="95"/>
        <v>7.1356873470281439</v>
      </c>
      <c r="AN255" s="239">
        <f t="shared" si="96"/>
        <v>7.1621158103129634</v>
      </c>
      <c r="AO255" s="240"/>
      <c r="AP255" s="240"/>
      <c r="AR255" s="265">
        <f t="shared" si="104"/>
        <v>407.36263219850861</v>
      </c>
      <c r="AS255" s="265">
        <f t="shared" si="105"/>
        <v>418.27212616450004</v>
      </c>
      <c r="AT255" s="239">
        <f t="shared" si="99"/>
        <v>6.0097037769509463</v>
      </c>
      <c r="AU255" s="239">
        <f t="shared" si="100"/>
        <v>6.0361322402357658</v>
      </c>
      <c r="AX255" s="136"/>
      <c r="AY255" s="136"/>
      <c r="AZ255" s="136"/>
      <c r="BB255" s="238"/>
      <c r="BC255" s="238"/>
      <c r="BD255" s="125"/>
      <c r="BE255" s="125"/>
      <c r="BF255" s="136"/>
      <c r="BG255" s="136"/>
      <c r="BH255" s="136"/>
      <c r="BI255" s="136"/>
    </row>
    <row r="256" spans="1:61" x14ac:dyDescent="0.2">
      <c r="A256" s="232" t="s">
        <v>34</v>
      </c>
      <c r="B256" s="232" t="s">
        <v>35</v>
      </c>
      <c r="C256" s="290" t="s">
        <v>48</v>
      </c>
      <c r="D256" s="381" t="s">
        <v>312</v>
      </c>
      <c r="E256" s="278">
        <v>7.52</v>
      </c>
      <c r="F256" s="278">
        <v>2.0393672214266942</v>
      </c>
      <c r="G256" s="296">
        <f t="shared" si="88"/>
        <v>1.1829276226372936</v>
      </c>
      <c r="H256" s="278">
        <v>26</v>
      </c>
      <c r="I256" s="235">
        <v>20.100000000000001</v>
      </c>
      <c r="J256" s="279">
        <v>17.600093656180341</v>
      </c>
      <c r="K256" s="399">
        <v>7</v>
      </c>
      <c r="L256" s="399" t="s">
        <v>323</v>
      </c>
      <c r="M256" s="402" t="s">
        <v>93</v>
      </c>
      <c r="N256" s="235">
        <v>227</v>
      </c>
      <c r="O256" s="386">
        <f t="shared" si="103"/>
        <v>244.60009365618035</v>
      </c>
      <c r="P256" s="386"/>
      <c r="Q256" s="386"/>
      <c r="R256" s="387">
        <v>2</v>
      </c>
      <c r="S256" s="236">
        <v>0.96</v>
      </c>
      <c r="T256" s="237" t="s">
        <v>37</v>
      </c>
      <c r="Y256" s="236">
        <v>0.96</v>
      </c>
      <c r="Z256" s="237" t="s">
        <v>37</v>
      </c>
      <c r="AE256" s="236"/>
      <c r="AF256" s="239">
        <f t="shared" si="91"/>
        <v>5.4249500174814029</v>
      </c>
      <c r="AG256" s="239">
        <f t="shared" si="92"/>
        <v>5.4996246061482577</v>
      </c>
      <c r="AH256" s="240"/>
      <c r="AI256" s="240"/>
      <c r="AK256" s="265">
        <f t="shared" si="93"/>
        <v>454</v>
      </c>
      <c r="AL256" s="265">
        <f t="shared" si="94"/>
        <v>471.60009365618032</v>
      </c>
      <c r="AM256" s="239">
        <f t="shared" si="95"/>
        <v>6.1180971980413483</v>
      </c>
      <c r="AN256" s="239">
        <f t="shared" si="96"/>
        <v>6.1561313672556057</v>
      </c>
      <c r="AO256" s="240"/>
      <c r="AP256" s="240"/>
      <c r="AR256" s="265">
        <f t="shared" si="104"/>
        <v>259.71052285542521</v>
      </c>
      <c r="AS256" s="265">
        <f t="shared" si="105"/>
        <v>269.77864956412793</v>
      </c>
      <c r="AT256" s="239">
        <f t="shared" si="99"/>
        <v>5.5595676371216936</v>
      </c>
      <c r="AU256" s="239">
        <f t="shared" si="100"/>
        <v>5.5976018063359509</v>
      </c>
      <c r="AX256" s="136"/>
      <c r="AY256" s="136"/>
      <c r="AZ256" s="136"/>
      <c r="BB256" s="238"/>
      <c r="BC256" s="238"/>
      <c r="BD256" s="125"/>
      <c r="BE256" s="125"/>
      <c r="BF256" s="136"/>
      <c r="BG256" s="136"/>
      <c r="BH256" s="136"/>
      <c r="BI256" s="136"/>
    </row>
    <row r="257" spans="1:61" x14ac:dyDescent="0.2">
      <c r="A257" s="232" t="s">
        <v>34</v>
      </c>
      <c r="B257" s="232" t="s">
        <v>35</v>
      </c>
      <c r="C257" s="290" t="s">
        <v>48</v>
      </c>
      <c r="D257" s="381" t="s">
        <v>312</v>
      </c>
      <c r="E257" s="278">
        <v>7.4850000000000003</v>
      </c>
      <c r="F257" s="278">
        <v>2.3622472771305825</v>
      </c>
      <c r="G257" s="296">
        <f t="shared" si="88"/>
        <v>1.3702130377787602</v>
      </c>
      <c r="H257" s="278">
        <v>21</v>
      </c>
      <c r="I257" s="235">
        <v>14.3</v>
      </c>
      <c r="J257" s="279">
        <v>88.00050037516084</v>
      </c>
      <c r="K257" s="399">
        <v>7</v>
      </c>
      <c r="L257" s="399" t="s">
        <v>323</v>
      </c>
      <c r="M257" s="402" t="s">
        <v>93</v>
      </c>
      <c r="N257" s="235">
        <v>315</v>
      </c>
      <c r="O257" s="386">
        <f t="shared" si="103"/>
        <v>403.00050037516087</v>
      </c>
      <c r="P257" s="386"/>
      <c r="Q257" s="386"/>
      <c r="R257" s="387">
        <v>2</v>
      </c>
      <c r="S257" s="236">
        <v>0.96</v>
      </c>
      <c r="T257" s="237" t="s">
        <v>37</v>
      </c>
      <c r="Y257" s="236">
        <v>0.96</v>
      </c>
      <c r="Z257" s="237" t="s">
        <v>37</v>
      </c>
      <c r="AE257" s="236"/>
      <c r="AF257" s="239">
        <f t="shared" si="91"/>
        <v>5.7525726388256331</v>
      </c>
      <c r="AG257" s="239">
        <f t="shared" si="92"/>
        <v>5.9989378035716214</v>
      </c>
      <c r="AH257" s="240"/>
      <c r="AI257" s="240"/>
      <c r="AK257" s="265">
        <f t="shared" si="93"/>
        <v>630</v>
      </c>
      <c r="AL257" s="265">
        <f t="shared" si="94"/>
        <v>718.00050037516087</v>
      </c>
      <c r="AM257" s="239">
        <f t="shared" si="95"/>
        <v>6.4457198193855785</v>
      </c>
      <c r="AN257" s="239">
        <f t="shared" si="96"/>
        <v>6.5764702659493199</v>
      </c>
      <c r="AO257" s="240"/>
      <c r="AP257" s="240"/>
      <c r="AR257" s="265">
        <f t="shared" si="104"/>
        <v>499.71209628584796</v>
      </c>
      <c r="AS257" s="265">
        <f t="shared" si="105"/>
        <v>569.51354789961817</v>
      </c>
      <c r="AT257" s="239">
        <f t="shared" si="99"/>
        <v>6.2140321251531256</v>
      </c>
      <c r="AU257" s="239">
        <f t="shared" si="100"/>
        <v>6.3447825717168671</v>
      </c>
      <c r="AX257" s="136"/>
      <c r="AY257" s="136"/>
      <c r="AZ257" s="136"/>
      <c r="BB257" s="238"/>
      <c r="BC257" s="238"/>
      <c r="BD257" s="125"/>
      <c r="BE257" s="125"/>
      <c r="BF257" s="136"/>
      <c r="BG257" s="136"/>
      <c r="BH257" s="136"/>
      <c r="BI257" s="136"/>
    </row>
    <row r="258" spans="1:61" x14ac:dyDescent="0.2">
      <c r="A258" s="232" t="s">
        <v>34</v>
      </c>
      <c r="B258" s="232" t="s">
        <v>35</v>
      </c>
      <c r="C258" s="290" t="s">
        <v>48</v>
      </c>
      <c r="D258" s="381" t="s">
        <v>312</v>
      </c>
      <c r="E258" s="278">
        <v>7.5049999999999999</v>
      </c>
      <c r="F258" s="278">
        <v>2.4210378774303138</v>
      </c>
      <c r="G258" s="296">
        <f t="shared" si="88"/>
        <v>1.4043143140547065</v>
      </c>
      <c r="H258" s="278">
        <v>50</v>
      </c>
      <c r="I258" s="235">
        <v>23.5</v>
      </c>
      <c r="J258" s="279">
        <v>30.97727391992974</v>
      </c>
      <c r="K258" s="399">
        <v>7</v>
      </c>
      <c r="L258" s="399" t="s">
        <v>323</v>
      </c>
      <c r="M258" s="402" t="s">
        <v>93</v>
      </c>
      <c r="N258" s="235">
        <v>100</v>
      </c>
      <c r="O258" s="386">
        <f t="shared" si="103"/>
        <v>130.97727391992973</v>
      </c>
      <c r="P258" s="386"/>
      <c r="Q258" s="386"/>
      <c r="R258" s="387">
        <v>2</v>
      </c>
      <c r="S258" s="236">
        <v>0.96</v>
      </c>
      <c r="T258" s="237" t="s">
        <v>37</v>
      </c>
      <c r="Y258" s="236">
        <v>0.96</v>
      </c>
      <c r="Z258" s="237" t="s">
        <v>37</v>
      </c>
      <c r="AE258" s="236"/>
      <c r="AF258" s="239">
        <f t="shared" si="91"/>
        <v>4.6051701859880918</v>
      </c>
      <c r="AG258" s="239">
        <f t="shared" si="92"/>
        <v>4.8750238266242372</v>
      </c>
      <c r="AH258" s="240"/>
      <c r="AI258" s="240"/>
      <c r="AK258" s="265">
        <f t="shared" si="93"/>
        <v>200</v>
      </c>
      <c r="AL258" s="265">
        <f t="shared" si="94"/>
        <v>230.97727391992973</v>
      </c>
      <c r="AM258" s="239">
        <f t="shared" si="95"/>
        <v>5.2983173665480363</v>
      </c>
      <c r="AN258" s="239">
        <f t="shared" si="96"/>
        <v>5.442319324383031</v>
      </c>
      <c r="AO258" s="240"/>
      <c r="AP258" s="240"/>
      <c r="AR258" s="265">
        <f t="shared" si="104"/>
        <v>98.470639124267024</v>
      </c>
      <c r="AS258" s="265">
        <f t="shared" si="105"/>
        <v>113.72239893038187</v>
      </c>
      <c r="AT258" s="239">
        <f t="shared" si="99"/>
        <v>4.5897584237867024</v>
      </c>
      <c r="AU258" s="239">
        <f t="shared" si="100"/>
        <v>4.7337603816216962</v>
      </c>
      <c r="AX258" s="136"/>
      <c r="AY258" s="136"/>
      <c r="AZ258" s="136"/>
      <c r="BB258" s="238"/>
      <c r="BC258" s="238"/>
      <c r="BD258" s="125"/>
      <c r="BE258" s="125"/>
      <c r="BF258" s="136"/>
      <c r="BG258" s="136"/>
      <c r="BH258" s="136"/>
      <c r="BI258" s="136"/>
    </row>
    <row r="259" spans="1:61" x14ac:dyDescent="0.2">
      <c r="A259" s="232" t="s">
        <v>34</v>
      </c>
      <c r="B259" s="232" t="s">
        <v>35</v>
      </c>
      <c r="C259" s="290" t="s">
        <v>48</v>
      </c>
      <c r="D259" s="381" t="s">
        <v>312</v>
      </c>
      <c r="E259" s="278">
        <v>7.52</v>
      </c>
      <c r="F259" s="278">
        <v>0.61333838670211449</v>
      </c>
      <c r="G259" s="296">
        <f t="shared" si="88"/>
        <v>0.35576472546526361</v>
      </c>
      <c r="H259" s="278">
        <v>25</v>
      </c>
      <c r="I259" s="235">
        <v>16.899999999999999</v>
      </c>
      <c r="J259" s="279">
        <v>7.3217397162852489</v>
      </c>
      <c r="K259" s="399">
        <v>7</v>
      </c>
      <c r="L259" s="399" t="s">
        <v>323</v>
      </c>
      <c r="M259" s="402" t="s">
        <v>93</v>
      </c>
      <c r="N259" s="235">
        <v>313</v>
      </c>
      <c r="O259" s="386">
        <f t="shared" si="103"/>
        <v>320.32173971628526</v>
      </c>
      <c r="P259" s="386"/>
      <c r="Q259" s="386"/>
      <c r="R259" s="387">
        <v>2</v>
      </c>
      <c r="S259" s="236">
        <v>0.96</v>
      </c>
      <c r="T259" s="237" t="s">
        <v>37</v>
      </c>
      <c r="Y259" s="236">
        <v>0.96</v>
      </c>
      <c r="Z259" s="237" t="s">
        <v>37</v>
      </c>
      <c r="AE259" s="236"/>
      <c r="AF259" s="239">
        <f t="shared" si="91"/>
        <v>5.7462031905401529</v>
      </c>
      <c r="AG259" s="239">
        <f t="shared" si="92"/>
        <v>5.7693259272943163</v>
      </c>
      <c r="AH259" s="240"/>
      <c r="AI259" s="240"/>
      <c r="AK259" s="265">
        <f t="shared" si="93"/>
        <v>626</v>
      </c>
      <c r="AL259" s="265">
        <f t="shared" si="94"/>
        <v>633.32173971628526</v>
      </c>
      <c r="AM259" s="239">
        <f t="shared" si="95"/>
        <v>6.4393503711000983</v>
      </c>
      <c r="AN259" s="239">
        <f t="shared" si="96"/>
        <v>6.4509785706077416</v>
      </c>
      <c r="AO259" s="240"/>
      <c r="AP259" s="240"/>
      <c r="AR259" s="265">
        <f t="shared" si="104"/>
        <v>422.96555928058041</v>
      </c>
      <c r="AS259" s="265">
        <f t="shared" si="105"/>
        <v>427.91259399943897</v>
      </c>
      <c r="AT259" s="239">
        <f t="shared" si="99"/>
        <v>6.0472907555910069</v>
      </c>
      <c r="AU259" s="239">
        <f t="shared" si="100"/>
        <v>6.0589189550986502</v>
      </c>
      <c r="AX259" s="136"/>
      <c r="AY259" s="136"/>
      <c r="AZ259" s="136"/>
      <c r="BB259" s="238"/>
      <c r="BC259" s="238"/>
      <c r="BD259" s="125"/>
      <c r="BE259" s="125"/>
      <c r="BF259" s="136"/>
      <c r="BG259" s="136"/>
      <c r="BH259" s="136"/>
      <c r="BI259" s="136"/>
    </row>
    <row r="260" spans="1:61" x14ac:dyDescent="0.2">
      <c r="A260" s="232" t="s">
        <v>34</v>
      </c>
      <c r="B260" s="232" t="s">
        <v>35</v>
      </c>
      <c r="C260" s="290" t="s">
        <v>48</v>
      </c>
      <c r="D260" s="381" t="s">
        <v>312</v>
      </c>
      <c r="E260" s="278">
        <v>5.4</v>
      </c>
      <c r="F260" s="278">
        <v>3.3</v>
      </c>
      <c r="G260" s="296">
        <f t="shared" si="88"/>
        <v>1.91415313225058</v>
      </c>
      <c r="H260" s="278">
        <v>23</v>
      </c>
      <c r="I260" s="235">
        <v>6.7</v>
      </c>
      <c r="J260" s="279">
        <v>21</v>
      </c>
      <c r="K260" s="399">
        <v>7</v>
      </c>
      <c r="L260" s="399" t="s">
        <v>323</v>
      </c>
      <c r="M260" s="399" t="s">
        <v>104</v>
      </c>
      <c r="N260" s="235">
        <v>106</v>
      </c>
      <c r="O260" s="386">
        <f t="shared" si="103"/>
        <v>127</v>
      </c>
      <c r="P260" s="386"/>
      <c r="Q260" s="386"/>
      <c r="R260" s="387">
        <v>2</v>
      </c>
      <c r="S260" s="236">
        <v>0.96</v>
      </c>
      <c r="T260" s="237" t="s">
        <v>37</v>
      </c>
      <c r="Y260" s="236">
        <v>0.96</v>
      </c>
      <c r="Z260" s="237" t="s">
        <v>37</v>
      </c>
      <c r="AE260" s="236"/>
      <c r="AF260" s="239">
        <f t="shared" si="91"/>
        <v>4.6634390941120669</v>
      </c>
      <c r="AG260" s="239">
        <f t="shared" si="92"/>
        <v>4.8441870864585912</v>
      </c>
      <c r="AH260" s="240"/>
      <c r="AI260" s="240"/>
      <c r="AK260" s="265">
        <f t="shared" si="93"/>
        <v>212</v>
      </c>
      <c r="AL260" s="265">
        <f t="shared" si="94"/>
        <v>233</v>
      </c>
      <c r="AM260" s="239">
        <f t="shared" si="95"/>
        <v>5.3565862746720123</v>
      </c>
      <c r="AN260" s="239">
        <f t="shared" si="96"/>
        <v>5.4510384535657002</v>
      </c>
      <c r="AO260" s="240"/>
      <c r="AP260" s="240"/>
      <c r="AR260" s="265">
        <f t="shared" si="104"/>
        <v>348.18171424866352</v>
      </c>
      <c r="AS260" s="265">
        <f t="shared" si="105"/>
        <v>382.67141235820094</v>
      </c>
      <c r="AT260" s="239">
        <f t="shared" si="99"/>
        <v>5.8527245108737436</v>
      </c>
      <c r="AU260" s="239">
        <f t="shared" si="100"/>
        <v>5.9471766897674314</v>
      </c>
      <c r="AX260" s="136"/>
      <c r="AY260" s="136"/>
      <c r="AZ260" s="136"/>
      <c r="BB260" s="238"/>
      <c r="BC260" s="238"/>
      <c r="BD260" s="125"/>
      <c r="BE260" s="125"/>
      <c r="BF260" s="136"/>
      <c r="BG260" s="136"/>
      <c r="BH260" s="136"/>
      <c r="BI260" s="136"/>
    </row>
    <row r="261" spans="1:61" s="238" customFormat="1" x14ac:dyDescent="0.2">
      <c r="A261" s="275" t="s">
        <v>34</v>
      </c>
      <c r="B261" s="275" t="s">
        <v>35</v>
      </c>
      <c r="C261" s="290" t="s">
        <v>48</v>
      </c>
      <c r="D261" s="381" t="s">
        <v>312</v>
      </c>
      <c r="E261" s="295">
        <v>5</v>
      </c>
      <c r="F261" s="295">
        <v>2.2999999999999998</v>
      </c>
      <c r="G261" s="296">
        <f t="shared" si="88"/>
        <v>1.334106728538283</v>
      </c>
      <c r="H261" s="295">
        <v>9</v>
      </c>
      <c r="I261" s="295">
        <v>1.9</v>
      </c>
      <c r="J261" s="294">
        <v>19</v>
      </c>
      <c r="K261" s="399">
        <v>7</v>
      </c>
      <c r="L261" s="399" t="s">
        <v>323</v>
      </c>
      <c r="M261" s="399" t="s">
        <v>93</v>
      </c>
      <c r="N261" s="295">
        <v>71</v>
      </c>
      <c r="O261" s="386">
        <f t="shared" si="103"/>
        <v>90</v>
      </c>
      <c r="P261" s="386"/>
      <c r="Q261" s="386"/>
      <c r="R261" s="387">
        <v>2</v>
      </c>
      <c r="S261" s="285">
        <v>0.96</v>
      </c>
      <c r="T261" s="388" t="s">
        <v>37</v>
      </c>
      <c r="U261" s="285"/>
      <c r="V261" s="388"/>
      <c r="W261" s="388"/>
      <c r="X261" s="388"/>
      <c r="Y261" s="285">
        <v>0.96</v>
      </c>
      <c r="Z261" s="388" t="s">
        <v>37</v>
      </c>
      <c r="AA261" s="285"/>
      <c r="AB261" s="388"/>
      <c r="AC261" s="388"/>
      <c r="AD261" s="388"/>
      <c r="AE261" s="285"/>
      <c r="AF261" s="239">
        <f t="shared" si="91"/>
        <v>4.2626798770413155</v>
      </c>
      <c r="AG261" s="239">
        <f t="shared" si="92"/>
        <v>4.499809670330265</v>
      </c>
      <c r="AH261" s="240"/>
      <c r="AI261" s="240"/>
      <c r="AK261" s="265">
        <f t="shared" si="93"/>
        <v>142</v>
      </c>
      <c r="AL261" s="265">
        <f t="shared" si="94"/>
        <v>161</v>
      </c>
      <c r="AM261" s="239">
        <f t="shared" si="95"/>
        <v>4.9558270576012609</v>
      </c>
      <c r="AN261" s="239">
        <f t="shared" si="96"/>
        <v>5.0814043649844631</v>
      </c>
      <c r="AO261" s="240"/>
      <c r="AP261" s="240"/>
      <c r="AR261" s="265">
        <f t="shared" si="104"/>
        <v>781.96406626248449</v>
      </c>
      <c r="AS261" s="265">
        <f t="shared" si="105"/>
        <v>886.59306104408449</v>
      </c>
      <c r="AT261" s="239">
        <f t="shared" si="99"/>
        <v>6.6618087884185364</v>
      </c>
      <c r="AU261" s="239">
        <f t="shared" si="100"/>
        <v>6.7873860958017387</v>
      </c>
      <c r="AV261" s="125"/>
      <c r="AW261" s="125"/>
      <c r="BD261" s="125"/>
      <c r="BE261" s="125"/>
    </row>
    <row r="262" spans="1:61" x14ac:dyDescent="0.2">
      <c r="A262" s="232" t="s">
        <v>34</v>
      </c>
      <c r="B262" s="232" t="s">
        <v>35</v>
      </c>
      <c r="C262" s="290" t="s">
        <v>48</v>
      </c>
      <c r="D262" s="381" t="s">
        <v>312</v>
      </c>
      <c r="E262" s="235">
        <v>6.2</v>
      </c>
      <c r="F262" s="235">
        <v>2.7</v>
      </c>
      <c r="G262" s="296">
        <f>F262/1.724</f>
        <v>1.5661252900232019</v>
      </c>
      <c r="H262" s="235">
        <v>9</v>
      </c>
      <c r="I262" s="300">
        <f>(30+4.4*E262)*(H262/100)+(-34.66+29.72*E262)*(F262/100)</f>
        <v>9.1945080000000008</v>
      </c>
      <c r="J262" s="410">
        <v>10.7</v>
      </c>
      <c r="K262" s="398">
        <v>14</v>
      </c>
      <c r="L262" s="398">
        <v>42</v>
      </c>
      <c r="M262" s="398" t="s">
        <v>93</v>
      </c>
      <c r="N262" s="235">
        <v>175</v>
      </c>
      <c r="O262" s="386">
        <f t="shared" ref="O262:O293" si="109">N262+J262</f>
        <v>185.7</v>
      </c>
      <c r="P262" s="386"/>
      <c r="Q262" s="386"/>
      <c r="R262" s="387">
        <v>2</v>
      </c>
      <c r="S262" s="236">
        <v>0.96</v>
      </c>
      <c r="T262" s="237" t="s">
        <v>37</v>
      </c>
      <c r="Y262" s="236">
        <v>0.96</v>
      </c>
      <c r="Z262" s="237" t="s">
        <v>37</v>
      </c>
      <c r="AE262" s="236"/>
      <c r="AF262" s="239">
        <f t="shared" ref="AF262:AF325" si="110">LN(N262)</f>
        <v>5.1647859739235145</v>
      </c>
      <c r="AG262" s="239">
        <f t="shared" ref="AG262:AG325" si="111">LN(O262)</f>
        <v>5.2241324683586603</v>
      </c>
      <c r="AH262" s="240"/>
      <c r="AI262" s="240"/>
      <c r="AK262" s="265">
        <f t="shared" ref="AK262:AK325" si="112">N262*R262</f>
        <v>350</v>
      </c>
      <c r="AL262" s="265">
        <f t="shared" ref="AL262:AL325" si="113">AK262+J262</f>
        <v>360.7</v>
      </c>
      <c r="AM262" s="239">
        <f t="shared" ref="AM262:AM325" si="114">LN(AK262)</f>
        <v>5.857933154483459</v>
      </c>
      <c r="AN262" s="239">
        <f t="shared" ref="AN262:AN325" si="115">LN(AL262)</f>
        <v>5.8880465879094936</v>
      </c>
      <c r="AO262" s="240"/>
      <c r="AP262" s="240"/>
      <c r="AR262" s="265">
        <f t="shared" ref="AR262:AR293" si="116">AK262*(eCEC/$I262)^$S262</f>
        <v>424.21165657515996</v>
      </c>
      <c r="AS262" s="265">
        <f t="shared" ref="AS262:AS293" si="117">AL262*(eCEC/$I262)^$Y262</f>
        <v>437.18041293331481</v>
      </c>
      <c r="AT262" s="239">
        <f t="shared" ref="AT262:AT325" si="118">LN(AR262)</f>
        <v>6.0502325207138155</v>
      </c>
      <c r="AU262" s="239">
        <f t="shared" ref="AU262:AU325" si="119">LN(AS262)</f>
        <v>6.0803459541398492</v>
      </c>
      <c r="AX262" s="136"/>
      <c r="AY262" s="136"/>
      <c r="AZ262" s="136"/>
      <c r="BB262" s="238"/>
      <c r="BC262" s="238"/>
      <c r="BD262" s="125"/>
      <c r="BE262" s="125"/>
      <c r="BF262" s="136"/>
      <c r="BG262" s="136"/>
      <c r="BH262" s="136"/>
      <c r="BI262" s="136"/>
    </row>
    <row r="263" spans="1:61" s="238" customFormat="1" x14ac:dyDescent="0.2">
      <c r="A263" s="275" t="s">
        <v>34</v>
      </c>
      <c r="B263" s="275" t="s">
        <v>35</v>
      </c>
      <c r="C263" s="290" t="s">
        <v>48</v>
      </c>
      <c r="D263" s="381" t="s">
        <v>312</v>
      </c>
      <c r="E263" s="295">
        <v>6.55</v>
      </c>
      <c r="F263" s="295">
        <v>2.7</v>
      </c>
      <c r="G263" s="296">
        <f>F263/1.724</f>
        <v>1.5661252900232019</v>
      </c>
      <c r="H263" s="295">
        <v>9</v>
      </c>
      <c r="I263" s="300">
        <f>(30+4.4*E263)*(H263/100)+(-34.66+29.72*E263)*(F263/100)</f>
        <v>9.6139620000000008</v>
      </c>
      <c r="J263" s="411">
        <v>10.7</v>
      </c>
      <c r="K263" s="399">
        <v>14</v>
      </c>
      <c r="L263" s="399">
        <v>42</v>
      </c>
      <c r="M263" s="399" t="s">
        <v>93</v>
      </c>
      <c r="N263" s="295">
        <v>350</v>
      </c>
      <c r="O263" s="386">
        <f t="shared" si="109"/>
        <v>360.7</v>
      </c>
      <c r="P263" s="386"/>
      <c r="Q263" s="386"/>
      <c r="R263" s="387">
        <v>2</v>
      </c>
      <c r="S263" s="285">
        <v>0.96</v>
      </c>
      <c r="T263" s="388" t="s">
        <v>37</v>
      </c>
      <c r="U263" s="285"/>
      <c r="V263" s="388"/>
      <c r="W263" s="388"/>
      <c r="X263" s="388"/>
      <c r="Y263" s="285">
        <v>0.96</v>
      </c>
      <c r="Z263" s="388" t="s">
        <v>37</v>
      </c>
      <c r="AA263" s="285"/>
      <c r="AB263" s="388"/>
      <c r="AC263" s="388"/>
      <c r="AD263" s="388"/>
      <c r="AE263" s="285"/>
      <c r="AF263" s="239">
        <f t="shared" si="110"/>
        <v>5.857933154483459</v>
      </c>
      <c r="AG263" s="239">
        <f t="shared" si="111"/>
        <v>5.8880465879094936</v>
      </c>
      <c r="AH263" s="240"/>
      <c r="AI263" s="240"/>
      <c r="AK263" s="265">
        <f t="shared" si="112"/>
        <v>700</v>
      </c>
      <c r="AL263" s="265">
        <f t="shared" si="113"/>
        <v>710.7</v>
      </c>
      <c r="AM263" s="239">
        <f t="shared" si="114"/>
        <v>6.5510803350434044</v>
      </c>
      <c r="AN263" s="239">
        <f t="shared" si="115"/>
        <v>6.5662503998328496</v>
      </c>
      <c r="AO263" s="240"/>
      <c r="AP263" s="240"/>
      <c r="AR263" s="265">
        <f t="shared" si="116"/>
        <v>812.85605224916912</v>
      </c>
      <c r="AS263" s="265">
        <f t="shared" si="117"/>
        <v>825.28113761926363</v>
      </c>
      <c r="AT263" s="239">
        <f t="shared" si="118"/>
        <v>6.7005540363671834</v>
      </c>
      <c r="AU263" s="239">
        <f t="shared" si="119"/>
        <v>6.7157241011566278</v>
      </c>
      <c r="AV263" s="125"/>
      <c r="AW263" s="125"/>
      <c r="BD263" s="125"/>
      <c r="BE263" s="125"/>
    </row>
    <row r="264" spans="1:61" s="422" customFormat="1" ht="13.5" thickBot="1" x14ac:dyDescent="0.25">
      <c r="A264" s="412" t="s">
        <v>34</v>
      </c>
      <c r="B264" s="412" t="s">
        <v>35</v>
      </c>
      <c r="C264" s="339" t="s">
        <v>48</v>
      </c>
      <c r="D264" s="413" t="s">
        <v>312</v>
      </c>
      <c r="E264" s="345">
        <v>7.25</v>
      </c>
      <c r="F264" s="345">
        <v>2.7</v>
      </c>
      <c r="G264" s="343">
        <f>F264/1.724</f>
        <v>1.5661252900232019</v>
      </c>
      <c r="H264" s="345">
        <v>9</v>
      </c>
      <c r="I264" s="414">
        <f>(30+4.4*E264)*(H264/100)+(-34.66+29.72*E264)*(F264/100)</f>
        <v>10.452870000000001</v>
      </c>
      <c r="J264" s="415">
        <v>10.7</v>
      </c>
      <c r="K264" s="416">
        <v>14</v>
      </c>
      <c r="L264" s="416">
        <v>42</v>
      </c>
      <c r="M264" s="416" t="s">
        <v>93</v>
      </c>
      <c r="N264" s="345">
        <v>350</v>
      </c>
      <c r="O264" s="417">
        <f t="shared" si="109"/>
        <v>360.7</v>
      </c>
      <c r="P264" s="417"/>
      <c r="Q264" s="417"/>
      <c r="R264" s="418">
        <v>2</v>
      </c>
      <c r="S264" s="350">
        <v>0.96</v>
      </c>
      <c r="T264" s="419" t="s">
        <v>37</v>
      </c>
      <c r="U264" s="350"/>
      <c r="V264" s="419"/>
      <c r="W264" s="419"/>
      <c r="X264" s="419"/>
      <c r="Y264" s="350">
        <v>0.96</v>
      </c>
      <c r="Z264" s="419" t="s">
        <v>37</v>
      </c>
      <c r="AA264" s="350"/>
      <c r="AB264" s="419"/>
      <c r="AC264" s="419"/>
      <c r="AD264" s="419"/>
      <c r="AE264" s="350"/>
      <c r="AF264" s="420">
        <f t="shared" si="110"/>
        <v>5.857933154483459</v>
      </c>
      <c r="AG264" s="420">
        <f t="shared" si="111"/>
        <v>5.8880465879094936</v>
      </c>
      <c r="AH264" s="421"/>
      <c r="AI264" s="421"/>
      <c r="AK264" s="423">
        <f t="shared" si="112"/>
        <v>700</v>
      </c>
      <c r="AL264" s="423">
        <f t="shared" si="113"/>
        <v>710.7</v>
      </c>
      <c r="AM264" s="420">
        <f t="shared" si="114"/>
        <v>6.5510803350434044</v>
      </c>
      <c r="AN264" s="420">
        <f t="shared" si="115"/>
        <v>6.5662503998328496</v>
      </c>
      <c r="AO264" s="421"/>
      <c r="AP264" s="421"/>
      <c r="AR264" s="423">
        <f t="shared" si="116"/>
        <v>750.12531407621816</v>
      </c>
      <c r="AS264" s="423">
        <f t="shared" si="117"/>
        <v>761.59151530566896</v>
      </c>
      <c r="AT264" s="420">
        <f t="shared" si="118"/>
        <v>6.6202402780080973</v>
      </c>
      <c r="AU264" s="420">
        <f t="shared" si="119"/>
        <v>6.6354103427975417</v>
      </c>
      <c r="AV264" s="424"/>
      <c r="AW264" s="424"/>
      <c r="BD264" s="424"/>
      <c r="BE264" s="424"/>
    </row>
    <row r="265" spans="1:61" ht="13.5" thickTop="1" x14ac:dyDescent="0.2">
      <c r="A265" s="232" t="s">
        <v>34</v>
      </c>
      <c r="B265" s="232" t="s">
        <v>49</v>
      </c>
      <c r="C265" s="425" t="s">
        <v>50</v>
      </c>
      <c r="D265" s="381" t="s">
        <v>326</v>
      </c>
      <c r="E265" s="387">
        <v>4.0999999999999996</v>
      </c>
      <c r="F265" s="387">
        <v>66</v>
      </c>
      <c r="G265" s="296">
        <f t="shared" ref="G265:G315" si="120">F265/1.724</f>
        <v>38.283062645011604</v>
      </c>
      <c r="H265" s="387">
        <v>5.0999999999999996</v>
      </c>
      <c r="I265" s="300">
        <f t="shared" ref="I265:I274" si="121">(30+4.4*E265)*(H265/100)+(-34.66+29.72*E265)*(F265/100)</f>
        <v>59.996760000000002</v>
      </c>
      <c r="J265" s="387">
        <v>10.7</v>
      </c>
      <c r="K265" s="383">
        <v>0</v>
      </c>
      <c r="L265" s="383">
        <v>70</v>
      </c>
      <c r="M265" s="383" t="s">
        <v>104</v>
      </c>
      <c r="N265" s="387">
        <v>63</v>
      </c>
      <c r="O265" s="387">
        <f t="shared" si="109"/>
        <v>73.7</v>
      </c>
      <c r="P265" s="387"/>
      <c r="Q265" s="387"/>
      <c r="R265" s="387">
        <v>2</v>
      </c>
      <c r="S265" s="426">
        <v>0.57999999999999996</v>
      </c>
      <c r="T265" s="427" t="s">
        <v>37</v>
      </c>
      <c r="U265" s="426"/>
      <c r="V265" s="427"/>
      <c r="W265" s="427"/>
      <c r="X265" s="427"/>
      <c r="Y265" s="426">
        <v>0.57999999999999996</v>
      </c>
      <c r="Z265" s="427" t="s">
        <v>37</v>
      </c>
      <c r="AA265" s="426"/>
      <c r="AB265" s="427"/>
      <c r="AC265" s="427"/>
      <c r="AD265" s="427"/>
      <c r="AE265" s="426"/>
      <c r="AF265" s="239">
        <f t="shared" si="110"/>
        <v>4.1431347263915326</v>
      </c>
      <c r="AG265" s="239">
        <f t="shared" si="111"/>
        <v>4.3000027991952914</v>
      </c>
      <c r="AH265" s="240"/>
      <c r="AI265" s="240"/>
      <c r="AK265" s="265">
        <f t="shared" si="112"/>
        <v>126</v>
      </c>
      <c r="AL265" s="265">
        <f t="shared" si="113"/>
        <v>136.69999999999999</v>
      </c>
      <c r="AM265" s="239">
        <f t="shared" si="114"/>
        <v>4.836281906951478</v>
      </c>
      <c r="AN265" s="239">
        <f t="shared" si="115"/>
        <v>4.9177887437299042</v>
      </c>
      <c r="AO265" s="240"/>
      <c r="AP265" s="240"/>
      <c r="AR265" s="265">
        <f t="shared" si="116"/>
        <v>47.682570432920762</v>
      </c>
      <c r="AS265" s="265">
        <f t="shared" si="117"/>
        <v>51.731804588732281</v>
      </c>
      <c r="AT265" s="239">
        <f t="shared" si="118"/>
        <v>3.8645659313904233</v>
      </c>
      <c r="AU265" s="239">
        <f t="shared" si="119"/>
        <v>3.946072768168849</v>
      </c>
      <c r="AX265" s="385">
        <f>GEOMEAN(AR265:AR267)</f>
        <v>155.47611754145635</v>
      </c>
      <c r="AY265" s="385">
        <f>GEOMEAN(AS265:AS267)</f>
        <v>161.31322102052184</v>
      </c>
      <c r="AZ265" s="385">
        <f>MIN(AX265:AX268)</f>
        <v>155.47611754145635</v>
      </c>
      <c r="BA265" s="385">
        <f>MIN(AY265:AY268)</f>
        <v>161.31322102052184</v>
      </c>
      <c r="BB265" s="239">
        <f>LN(AZ265)</f>
        <v>5.046492134881511</v>
      </c>
      <c r="BC265" s="239">
        <f>LN(BA265)</f>
        <v>5.0833479471814931</v>
      </c>
      <c r="BD265" s="240"/>
      <c r="BE265" s="240"/>
      <c r="BF265" s="136"/>
      <c r="BG265" s="136"/>
      <c r="BH265" s="136"/>
      <c r="BI265" s="136"/>
    </row>
    <row r="266" spans="1:61" x14ac:dyDescent="0.2">
      <c r="A266" s="232" t="s">
        <v>34</v>
      </c>
      <c r="B266" s="232" t="s">
        <v>49</v>
      </c>
      <c r="C266" s="425" t="s">
        <v>50</v>
      </c>
      <c r="D266" s="381" t="s">
        <v>325</v>
      </c>
      <c r="E266" s="387">
        <v>4.0999999999999996</v>
      </c>
      <c r="F266" s="387">
        <v>66</v>
      </c>
      <c r="G266" s="296">
        <f t="shared" si="120"/>
        <v>38.283062645011604</v>
      </c>
      <c r="H266" s="387">
        <v>5.0999999999999996</v>
      </c>
      <c r="I266" s="300">
        <f t="shared" si="121"/>
        <v>59.996760000000002</v>
      </c>
      <c r="J266" s="387">
        <v>10.7</v>
      </c>
      <c r="K266" s="383">
        <v>0</v>
      </c>
      <c r="L266" s="383">
        <v>70</v>
      </c>
      <c r="M266" s="383" t="s">
        <v>104</v>
      </c>
      <c r="N266" s="387">
        <v>441</v>
      </c>
      <c r="O266" s="387">
        <f t="shared" si="109"/>
        <v>451.7</v>
      </c>
      <c r="P266" s="387"/>
      <c r="Q266" s="387"/>
      <c r="R266" s="387">
        <v>2</v>
      </c>
      <c r="S266" s="426">
        <v>0.57999999999999996</v>
      </c>
      <c r="T266" s="427" t="s">
        <v>37</v>
      </c>
      <c r="U266" s="426"/>
      <c r="V266" s="427"/>
      <c r="W266" s="427"/>
      <c r="X266" s="427"/>
      <c r="Y266" s="426">
        <v>0.57999999999999996</v>
      </c>
      <c r="Z266" s="427" t="s">
        <v>37</v>
      </c>
      <c r="AA266" s="426"/>
      <c r="AB266" s="427"/>
      <c r="AC266" s="427"/>
      <c r="AD266" s="427"/>
      <c r="AE266" s="426"/>
      <c r="AF266" s="239">
        <f t="shared" si="110"/>
        <v>6.089044875446846</v>
      </c>
      <c r="AG266" s="239">
        <f t="shared" si="111"/>
        <v>6.1130182426605586</v>
      </c>
      <c r="AH266" s="240"/>
      <c r="AI266" s="240"/>
      <c r="AK266" s="265">
        <f t="shared" si="112"/>
        <v>882</v>
      </c>
      <c r="AL266" s="265">
        <f t="shared" si="113"/>
        <v>892.7</v>
      </c>
      <c r="AM266" s="239">
        <f t="shared" si="114"/>
        <v>6.7821920560067914</v>
      </c>
      <c r="AN266" s="239">
        <f t="shared" si="115"/>
        <v>6.7942505781853164</v>
      </c>
      <c r="AO266" s="240"/>
      <c r="AP266" s="240"/>
      <c r="AR266" s="265">
        <f t="shared" si="116"/>
        <v>333.77799303044532</v>
      </c>
      <c r="AS266" s="265">
        <f t="shared" si="117"/>
        <v>337.82722718625689</v>
      </c>
      <c r="AT266" s="239">
        <f t="shared" si="118"/>
        <v>5.8104760804457367</v>
      </c>
      <c r="AU266" s="239">
        <f t="shared" si="119"/>
        <v>5.8225346026242617</v>
      </c>
      <c r="AX266" s="385"/>
      <c r="AY266" s="385"/>
      <c r="AZ266" s="385"/>
      <c r="BA266" s="385"/>
      <c r="BB266" s="239"/>
      <c r="BC266" s="239"/>
      <c r="BD266" s="240"/>
      <c r="BE266" s="240"/>
      <c r="BF266" s="136"/>
      <c r="BG266" s="136"/>
      <c r="BH266" s="136"/>
      <c r="BI266" s="136"/>
    </row>
    <row r="267" spans="1:61" x14ac:dyDescent="0.2">
      <c r="A267" s="232" t="s">
        <v>34</v>
      </c>
      <c r="B267" s="232" t="s">
        <v>49</v>
      </c>
      <c r="C267" s="425" t="s">
        <v>50</v>
      </c>
      <c r="D267" s="381" t="s">
        <v>326</v>
      </c>
      <c r="E267" s="387">
        <v>4.0999999999999996</v>
      </c>
      <c r="F267" s="387">
        <v>66</v>
      </c>
      <c r="G267" s="296">
        <f t="shared" si="120"/>
        <v>38.283062645011604</v>
      </c>
      <c r="H267" s="387">
        <v>5.0999999999999996</v>
      </c>
      <c r="I267" s="300">
        <f t="shared" si="121"/>
        <v>59.996760000000002</v>
      </c>
      <c r="J267" s="387">
        <v>10.7</v>
      </c>
      <c r="K267" s="383">
        <v>0</v>
      </c>
      <c r="L267" s="383">
        <v>70</v>
      </c>
      <c r="M267" s="383" t="s">
        <v>104</v>
      </c>
      <c r="N267" s="387">
        <v>312</v>
      </c>
      <c r="O267" s="387">
        <f t="shared" si="109"/>
        <v>322.7</v>
      </c>
      <c r="P267" s="387"/>
      <c r="Q267" s="387"/>
      <c r="R267" s="387">
        <v>2</v>
      </c>
      <c r="S267" s="426">
        <v>0.57999999999999996</v>
      </c>
      <c r="T267" s="427" t="s">
        <v>37</v>
      </c>
      <c r="U267" s="426"/>
      <c r="V267" s="427"/>
      <c r="W267" s="427"/>
      <c r="X267" s="427"/>
      <c r="Y267" s="426">
        <v>0.57999999999999996</v>
      </c>
      <c r="Z267" s="427" t="s">
        <v>37</v>
      </c>
      <c r="AA267" s="426"/>
      <c r="AB267" s="427"/>
      <c r="AC267" s="427"/>
      <c r="AD267" s="427"/>
      <c r="AE267" s="426"/>
      <c r="AF267" s="239">
        <f t="shared" si="110"/>
        <v>5.7430031878094825</v>
      </c>
      <c r="AG267" s="239">
        <f t="shared" si="111"/>
        <v>5.7767230990579161</v>
      </c>
      <c r="AH267" s="240"/>
      <c r="AI267" s="240"/>
      <c r="AK267" s="265">
        <f t="shared" si="112"/>
        <v>624</v>
      </c>
      <c r="AL267" s="265">
        <f t="shared" si="113"/>
        <v>634.70000000000005</v>
      </c>
      <c r="AM267" s="239">
        <f t="shared" si="114"/>
        <v>6.4361503683694279</v>
      </c>
      <c r="AN267" s="239">
        <f t="shared" si="115"/>
        <v>6.4531524463124246</v>
      </c>
      <c r="AO267" s="240"/>
      <c r="AP267" s="240"/>
      <c r="AR267" s="265">
        <f t="shared" si="116"/>
        <v>236.14225357255995</v>
      </c>
      <c r="AS267" s="265">
        <f t="shared" si="117"/>
        <v>240.1914877283715</v>
      </c>
      <c r="AT267" s="239">
        <f t="shared" si="118"/>
        <v>5.4644343928083732</v>
      </c>
      <c r="AU267" s="239">
        <f t="shared" si="119"/>
        <v>5.4814364707513699</v>
      </c>
      <c r="AX267" s="385"/>
      <c r="AY267" s="385"/>
      <c r="AZ267" s="385"/>
      <c r="BA267" s="385"/>
      <c r="BB267" s="239"/>
      <c r="BC267" s="239"/>
      <c r="BD267" s="240"/>
      <c r="BE267" s="240"/>
      <c r="BF267" s="136"/>
      <c r="BG267" s="136"/>
      <c r="BH267" s="136"/>
      <c r="BI267" s="136"/>
    </row>
    <row r="268" spans="1:61" s="165" customFormat="1" x14ac:dyDescent="0.2">
      <c r="A268" s="156" t="s">
        <v>34</v>
      </c>
      <c r="B268" s="156" t="s">
        <v>49</v>
      </c>
      <c r="C268" s="428" t="s">
        <v>50</v>
      </c>
      <c r="D268" s="391" t="s">
        <v>327</v>
      </c>
      <c r="E268" s="361">
        <v>4.0999999999999996</v>
      </c>
      <c r="F268" s="361">
        <v>66</v>
      </c>
      <c r="G268" s="330">
        <f t="shared" si="120"/>
        <v>38.283062645011604</v>
      </c>
      <c r="H268" s="361">
        <v>5.0999999999999996</v>
      </c>
      <c r="I268" s="393">
        <f t="shared" si="121"/>
        <v>59.996760000000002</v>
      </c>
      <c r="J268" s="361">
        <v>10.7</v>
      </c>
      <c r="K268" s="394">
        <v>0</v>
      </c>
      <c r="L268" s="394">
        <v>70</v>
      </c>
      <c r="M268" s="394" t="s">
        <v>104</v>
      </c>
      <c r="N268" s="361">
        <v>455</v>
      </c>
      <c r="O268" s="361">
        <f t="shared" si="109"/>
        <v>465.7</v>
      </c>
      <c r="P268" s="361"/>
      <c r="Q268" s="361"/>
      <c r="R268" s="361">
        <v>2</v>
      </c>
      <c r="S268" s="429">
        <v>0.57999999999999996</v>
      </c>
      <c r="T268" s="430" t="s">
        <v>37</v>
      </c>
      <c r="U268" s="429"/>
      <c r="V268" s="430"/>
      <c r="W268" s="430"/>
      <c r="X268" s="430"/>
      <c r="Y268" s="429">
        <v>0.57999999999999996</v>
      </c>
      <c r="Z268" s="430" t="s">
        <v>37</v>
      </c>
      <c r="AA268" s="429"/>
      <c r="AB268" s="430"/>
      <c r="AC268" s="430"/>
      <c r="AD268" s="430"/>
      <c r="AE268" s="429"/>
      <c r="AF268" s="166">
        <f t="shared" si="110"/>
        <v>6.1202974189509503</v>
      </c>
      <c r="AG268" s="166">
        <f t="shared" si="111"/>
        <v>6.1435416499883315</v>
      </c>
      <c r="AH268" s="169"/>
      <c r="AI268" s="169"/>
      <c r="AK268" s="168">
        <f t="shared" si="112"/>
        <v>910</v>
      </c>
      <c r="AL268" s="168">
        <f t="shared" si="113"/>
        <v>920.7</v>
      </c>
      <c r="AM268" s="166">
        <f t="shared" si="114"/>
        <v>6.8134445995108956</v>
      </c>
      <c r="AN268" s="166">
        <f t="shared" si="115"/>
        <v>6.8251342502938002</v>
      </c>
      <c r="AO268" s="169"/>
      <c r="AP268" s="169"/>
      <c r="AR268" s="168">
        <f t="shared" si="116"/>
        <v>344.37411979331659</v>
      </c>
      <c r="AS268" s="168">
        <f t="shared" si="117"/>
        <v>348.42335394912817</v>
      </c>
      <c r="AT268" s="166">
        <f t="shared" si="118"/>
        <v>5.8417286239498409</v>
      </c>
      <c r="AU268" s="166">
        <f t="shared" si="119"/>
        <v>5.8534182747327455</v>
      </c>
      <c r="AV268" s="167"/>
      <c r="AW268" s="167"/>
      <c r="AX268" s="168">
        <f>GEOMEAN(AR268)</f>
        <v>344.37411979331659</v>
      </c>
      <c r="AY268" s="168">
        <f>GEOMEAN(AS268)</f>
        <v>348.42335394912817</v>
      </c>
      <c r="AZ268" s="168"/>
      <c r="BA268" s="168"/>
      <c r="BB268" s="166"/>
      <c r="BC268" s="166"/>
      <c r="BD268" s="169"/>
      <c r="BE268" s="169"/>
    </row>
    <row r="269" spans="1:61" x14ac:dyDescent="0.2">
      <c r="A269" s="232" t="s">
        <v>34</v>
      </c>
      <c r="B269" s="232" t="s">
        <v>49</v>
      </c>
      <c r="C269" s="425" t="s">
        <v>52</v>
      </c>
      <c r="D269" s="381" t="s">
        <v>51</v>
      </c>
      <c r="E269" s="387">
        <v>6.2</v>
      </c>
      <c r="F269" s="387">
        <v>10</v>
      </c>
      <c r="G269" s="296">
        <f t="shared" si="120"/>
        <v>5.8004640371229703</v>
      </c>
      <c r="H269" s="387">
        <v>20</v>
      </c>
      <c r="I269" s="300">
        <f>(30+4.4*E269)*(0/100)+(-34.66+29.72*E269)*(F269/100)</f>
        <v>14.960400000000002</v>
      </c>
      <c r="J269" s="387">
        <v>3.2</v>
      </c>
      <c r="K269" s="383">
        <v>0</v>
      </c>
      <c r="L269" s="383">
        <v>84</v>
      </c>
      <c r="M269" s="383" t="s">
        <v>93</v>
      </c>
      <c r="N269" s="387">
        <v>56</v>
      </c>
      <c r="O269" s="387">
        <f t="shared" si="109"/>
        <v>59.2</v>
      </c>
      <c r="P269" s="387"/>
      <c r="Q269" s="387"/>
      <c r="R269" s="387">
        <v>2</v>
      </c>
      <c r="S269" s="426">
        <v>0.57999999999999996</v>
      </c>
      <c r="T269" s="427" t="s">
        <v>37</v>
      </c>
      <c r="U269" s="426"/>
      <c r="V269" s="427"/>
      <c r="W269" s="427"/>
      <c r="X269" s="427"/>
      <c r="Y269" s="426">
        <v>0.57999999999999996</v>
      </c>
      <c r="Z269" s="427" t="s">
        <v>37</v>
      </c>
      <c r="AA269" s="426"/>
      <c r="AB269" s="427"/>
      <c r="AC269" s="427"/>
      <c r="AD269" s="427"/>
      <c r="AE269" s="426"/>
      <c r="AF269" s="239">
        <f t="shared" si="110"/>
        <v>4.0253516907351496</v>
      </c>
      <c r="AG269" s="239">
        <f t="shared" si="111"/>
        <v>4.0809215418899605</v>
      </c>
      <c r="AH269" s="240"/>
      <c r="AI269" s="240"/>
      <c r="AK269" s="265">
        <f t="shared" si="112"/>
        <v>112</v>
      </c>
      <c r="AL269" s="265">
        <f t="shared" si="113"/>
        <v>115.2</v>
      </c>
      <c r="AM269" s="239">
        <f t="shared" si="114"/>
        <v>4.7184988712950942</v>
      </c>
      <c r="AN269" s="239">
        <f t="shared" si="115"/>
        <v>4.746669748261791</v>
      </c>
      <c r="AO269" s="240"/>
      <c r="AP269" s="240"/>
      <c r="AR269" s="265">
        <f t="shared" si="116"/>
        <v>94.85368335360738</v>
      </c>
      <c r="AS269" s="265">
        <f t="shared" si="117"/>
        <v>97.563788592281881</v>
      </c>
      <c r="AT269" s="239">
        <f t="shared" si="118"/>
        <v>4.5523355290862479</v>
      </c>
      <c r="AU269" s="239">
        <f t="shared" si="119"/>
        <v>4.5805064060529439</v>
      </c>
      <c r="AX269" s="385">
        <f>GEOMEAN(AR269:AR270)</f>
        <v>94.85368335360738</v>
      </c>
      <c r="AY269" s="385">
        <f>GEOMEAN(AS269:AS270)</f>
        <v>98.784172398378246</v>
      </c>
      <c r="AZ269" s="385">
        <f>MIN(AX269:AX277)</f>
        <v>94.85368335360738</v>
      </c>
      <c r="BA269" s="385">
        <f>MIN(AY269:AY277)</f>
        <v>98.784172398378246</v>
      </c>
      <c r="BB269" s="239">
        <f>LN(AZ269)</f>
        <v>4.5523355290862479</v>
      </c>
      <c r="BC269" s="239">
        <f>LN(BA269)</f>
        <v>4.592937393523707</v>
      </c>
      <c r="BD269" s="240"/>
      <c r="BE269" s="240"/>
      <c r="BF269" s="136"/>
      <c r="BG269" s="136"/>
      <c r="BH269" s="136"/>
      <c r="BI269" s="136"/>
    </row>
    <row r="270" spans="1:61" s="298" customFormat="1" x14ac:dyDescent="0.2">
      <c r="A270" s="290" t="s">
        <v>34</v>
      </c>
      <c r="B270" s="290" t="s">
        <v>49</v>
      </c>
      <c r="C270" s="425" t="s">
        <v>52</v>
      </c>
      <c r="D270" s="381" t="s">
        <v>51</v>
      </c>
      <c r="E270" s="387">
        <v>6.2</v>
      </c>
      <c r="F270" s="387">
        <v>10</v>
      </c>
      <c r="G270" s="296">
        <f>F270/1.724</f>
        <v>5.8004640371229703</v>
      </c>
      <c r="H270" s="387">
        <v>20</v>
      </c>
      <c r="I270" s="300">
        <f t="shared" ref="I270:I273" si="122">(30+4.4*E270)*(0/100)+(-34.66+29.72*E270)*(F270/100)</f>
        <v>14.960400000000002</v>
      </c>
      <c r="J270" s="387">
        <v>6.1</v>
      </c>
      <c r="K270" s="383">
        <v>0</v>
      </c>
      <c r="L270" s="383">
        <v>84</v>
      </c>
      <c r="M270" s="383" t="s">
        <v>93</v>
      </c>
      <c r="N270" s="387">
        <v>56</v>
      </c>
      <c r="O270" s="387">
        <f t="shared" si="109"/>
        <v>62.1</v>
      </c>
      <c r="P270" s="387"/>
      <c r="Q270" s="387"/>
      <c r="R270" s="387">
        <v>2</v>
      </c>
      <c r="S270" s="426">
        <v>0.57999999999999996</v>
      </c>
      <c r="T270" s="427" t="s">
        <v>37</v>
      </c>
      <c r="U270" s="426"/>
      <c r="V270" s="427"/>
      <c r="W270" s="427"/>
      <c r="X270" s="427"/>
      <c r="Y270" s="426">
        <v>0.57999999999999996</v>
      </c>
      <c r="Z270" s="427" t="s">
        <v>37</v>
      </c>
      <c r="AA270" s="426"/>
      <c r="AB270" s="427"/>
      <c r="AC270" s="427"/>
      <c r="AD270" s="427"/>
      <c r="AE270" s="426"/>
      <c r="AF270" s="287">
        <f t="shared" si="110"/>
        <v>4.0253516907351496</v>
      </c>
      <c r="AG270" s="287">
        <f t="shared" si="111"/>
        <v>4.1287459889394329</v>
      </c>
      <c r="AH270" s="288"/>
      <c r="AI270" s="288"/>
      <c r="AK270" s="286">
        <f t="shared" si="112"/>
        <v>112</v>
      </c>
      <c r="AL270" s="286">
        <f t="shared" si="113"/>
        <v>118.1</v>
      </c>
      <c r="AM270" s="287">
        <f t="shared" si="114"/>
        <v>4.7184988712950942</v>
      </c>
      <c r="AN270" s="287">
        <f t="shared" si="115"/>
        <v>4.7715317232033163</v>
      </c>
      <c r="AO270" s="288"/>
      <c r="AP270" s="288"/>
      <c r="AR270" s="286">
        <f t="shared" si="116"/>
        <v>94.85368335360738</v>
      </c>
      <c r="AS270" s="286">
        <f t="shared" si="117"/>
        <v>100.01982146483064</v>
      </c>
      <c r="AT270" s="287">
        <f t="shared" si="118"/>
        <v>4.5523355290862479</v>
      </c>
      <c r="AU270" s="287">
        <f t="shared" si="119"/>
        <v>4.6053683809944701</v>
      </c>
      <c r="AV270" s="299"/>
      <c r="AW270" s="299"/>
      <c r="AX270" s="286"/>
      <c r="AY270" s="286"/>
      <c r="AZ270" s="286"/>
      <c r="BA270" s="286"/>
      <c r="BB270" s="287"/>
      <c r="BC270" s="287"/>
      <c r="BD270" s="288"/>
      <c r="BE270" s="288"/>
    </row>
    <row r="271" spans="1:61" s="298" customFormat="1" x14ac:dyDescent="0.2">
      <c r="A271" s="290" t="s">
        <v>34</v>
      </c>
      <c r="B271" s="290" t="s">
        <v>49</v>
      </c>
      <c r="C271" s="425" t="s">
        <v>52</v>
      </c>
      <c r="D271" s="381" t="s">
        <v>324</v>
      </c>
      <c r="E271" s="387">
        <v>6.7</v>
      </c>
      <c r="F271" s="387">
        <v>10</v>
      </c>
      <c r="G271" s="296">
        <f t="shared" si="120"/>
        <v>5.8004640371229703</v>
      </c>
      <c r="H271" s="387">
        <v>20</v>
      </c>
      <c r="I271" s="300">
        <f t="shared" si="122"/>
        <v>16.446400000000001</v>
      </c>
      <c r="J271" s="387">
        <v>3.2</v>
      </c>
      <c r="K271" s="383">
        <v>0</v>
      </c>
      <c r="L271" s="383">
        <v>28</v>
      </c>
      <c r="M271" s="383" t="s">
        <v>93</v>
      </c>
      <c r="N271" s="387">
        <v>120</v>
      </c>
      <c r="O271" s="387">
        <f t="shared" si="109"/>
        <v>123.2</v>
      </c>
      <c r="P271" s="387"/>
      <c r="Q271" s="387"/>
      <c r="R271" s="387">
        <v>2</v>
      </c>
      <c r="S271" s="426">
        <v>0.57999999999999996</v>
      </c>
      <c r="T271" s="427" t="s">
        <v>37</v>
      </c>
      <c r="U271" s="426"/>
      <c r="V271" s="427"/>
      <c r="W271" s="427"/>
      <c r="X271" s="427"/>
      <c r="Y271" s="426">
        <v>0.57999999999999996</v>
      </c>
      <c r="Z271" s="427" t="s">
        <v>37</v>
      </c>
      <c r="AA271" s="426"/>
      <c r="AB271" s="427"/>
      <c r="AC271" s="427"/>
      <c r="AD271" s="427"/>
      <c r="AE271" s="426"/>
      <c r="AF271" s="287">
        <f t="shared" si="110"/>
        <v>4.7874917427820458</v>
      </c>
      <c r="AG271" s="287">
        <f t="shared" si="111"/>
        <v>4.8138090510994198</v>
      </c>
      <c r="AH271" s="288"/>
      <c r="AI271" s="288"/>
      <c r="AK271" s="286">
        <f t="shared" si="112"/>
        <v>240</v>
      </c>
      <c r="AL271" s="286">
        <f t="shared" si="113"/>
        <v>243.2</v>
      </c>
      <c r="AM271" s="287">
        <f t="shared" si="114"/>
        <v>5.4806389233419912</v>
      </c>
      <c r="AN271" s="287">
        <f t="shared" si="115"/>
        <v>5.4938841500920121</v>
      </c>
      <c r="AO271" s="288"/>
      <c r="AP271" s="288"/>
      <c r="AR271" s="286">
        <f t="shared" si="116"/>
        <v>192.39482489287968</v>
      </c>
      <c r="AS271" s="286">
        <f t="shared" si="117"/>
        <v>194.96008922478475</v>
      </c>
      <c r="AT271" s="287">
        <f t="shared" si="118"/>
        <v>5.2595496402237023</v>
      </c>
      <c r="AU271" s="287">
        <f t="shared" si="119"/>
        <v>5.2727948669737232</v>
      </c>
      <c r="AV271" s="299"/>
      <c r="AW271" s="299"/>
      <c r="AX271" s="286">
        <f>GEOMEAN(AR271:AR276)</f>
        <v>155.16920882790623</v>
      </c>
      <c r="AY271" s="286">
        <f>GEOMEAN(AS271:AS276)</f>
        <v>173.43813632215344</v>
      </c>
      <c r="AZ271" s="286"/>
      <c r="BA271" s="286"/>
      <c r="BB271" s="287"/>
      <c r="BC271" s="287"/>
      <c r="BD271" s="288"/>
      <c r="BE271" s="288"/>
    </row>
    <row r="272" spans="1:61" s="298" customFormat="1" x14ac:dyDescent="0.2">
      <c r="A272" s="290" t="s">
        <v>34</v>
      </c>
      <c r="B272" s="290" t="s">
        <v>49</v>
      </c>
      <c r="C272" s="425" t="s">
        <v>52</v>
      </c>
      <c r="D272" s="381" t="s">
        <v>324</v>
      </c>
      <c r="E272" s="387">
        <v>6</v>
      </c>
      <c r="F272" s="387">
        <v>10</v>
      </c>
      <c r="G272" s="296">
        <f t="shared" si="120"/>
        <v>5.8004640371229703</v>
      </c>
      <c r="H272" s="387">
        <v>20</v>
      </c>
      <c r="I272" s="300">
        <f t="shared" si="122"/>
        <v>14.366</v>
      </c>
      <c r="J272" s="387">
        <v>3.2</v>
      </c>
      <c r="K272" s="383">
        <v>0</v>
      </c>
      <c r="L272" s="383">
        <v>28</v>
      </c>
      <c r="M272" s="383" t="s">
        <v>93</v>
      </c>
      <c r="N272" s="387">
        <v>100</v>
      </c>
      <c r="O272" s="387">
        <f t="shared" si="109"/>
        <v>103.2</v>
      </c>
      <c r="P272" s="387"/>
      <c r="Q272" s="387"/>
      <c r="R272" s="387">
        <v>2</v>
      </c>
      <c r="S272" s="426">
        <v>0.57999999999999996</v>
      </c>
      <c r="T272" s="427" t="s">
        <v>37</v>
      </c>
      <c r="U272" s="426"/>
      <c r="V272" s="427"/>
      <c r="W272" s="427"/>
      <c r="X272" s="427"/>
      <c r="Y272" s="426">
        <v>0.57999999999999996</v>
      </c>
      <c r="Z272" s="427" t="s">
        <v>37</v>
      </c>
      <c r="AA272" s="426"/>
      <c r="AB272" s="427"/>
      <c r="AC272" s="427"/>
      <c r="AD272" s="427"/>
      <c r="AE272" s="426"/>
      <c r="AF272" s="287">
        <f t="shared" si="110"/>
        <v>4.6051701859880918</v>
      </c>
      <c r="AG272" s="287">
        <f t="shared" si="111"/>
        <v>4.6366688530474622</v>
      </c>
      <c r="AH272" s="288"/>
      <c r="AI272" s="288"/>
      <c r="AK272" s="286">
        <f t="shared" si="112"/>
        <v>200</v>
      </c>
      <c r="AL272" s="286">
        <f t="shared" si="113"/>
        <v>203.2</v>
      </c>
      <c r="AM272" s="287">
        <f t="shared" si="114"/>
        <v>5.2983173665480363</v>
      </c>
      <c r="AN272" s="287">
        <f t="shared" si="115"/>
        <v>5.3141907157043269</v>
      </c>
      <c r="AO272" s="288"/>
      <c r="AP272" s="288"/>
      <c r="AR272" s="286">
        <f t="shared" si="116"/>
        <v>173.41171456537</v>
      </c>
      <c r="AS272" s="286">
        <f t="shared" si="117"/>
        <v>176.18630199841593</v>
      </c>
      <c r="AT272" s="287">
        <f t="shared" si="118"/>
        <v>5.1556686201116158</v>
      </c>
      <c r="AU272" s="287">
        <f t="shared" si="119"/>
        <v>5.1715419692679063</v>
      </c>
      <c r="AV272" s="299"/>
      <c r="AW272" s="299"/>
      <c r="AX272" s="286"/>
      <c r="AY272" s="286"/>
      <c r="AZ272" s="286"/>
      <c r="BA272" s="286"/>
      <c r="BB272" s="287"/>
      <c r="BC272" s="287"/>
      <c r="BD272" s="288"/>
      <c r="BE272" s="288"/>
    </row>
    <row r="273" spans="1:61" s="298" customFormat="1" x14ac:dyDescent="0.2">
      <c r="A273" s="290" t="s">
        <v>34</v>
      </c>
      <c r="B273" s="290" t="s">
        <v>49</v>
      </c>
      <c r="C273" s="425" t="s">
        <v>52</v>
      </c>
      <c r="D273" s="381" t="s">
        <v>328</v>
      </c>
      <c r="E273" s="387">
        <v>6</v>
      </c>
      <c r="F273" s="387">
        <v>10</v>
      </c>
      <c r="G273" s="296">
        <f t="shared" si="120"/>
        <v>5.8004640371229703</v>
      </c>
      <c r="H273" s="387">
        <v>20</v>
      </c>
      <c r="I273" s="300">
        <f t="shared" si="122"/>
        <v>14.366</v>
      </c>
      <c r="J273" s="387">
        <v>3.2</v>
      </c>
      <c r="K273" s="383">
        <v>0</v>
      </c>
      <c r="L273" s="383">
        <v>28</v>
      </c>
      <c r="M273" s="383" t="s">
        <v>93</v>
      </c>
      <c r="N273" s="387">
        <v>100</v>
      </c>
      <c r="O273" s="387">
        <f t="shared" si="109"/>
        <v>103.2</v>
      </c>
      <c r="P273" s="387"/>
      <c r="Q273" s="387"/>
      <c r="R273" s="387">
        <v>2</v>
      </c>
      <c r="S273" s="426">
        <v>0.57999999999999996</v>
      </c>
      <c r="T273" s="427" t="s">
        <v>37</v>
      </c>
      <c r="U273" s="426"/>
      <c r="V273" s="427"/>
      <c r="W273" s="427"/>
      <c r="X273" s="427"/>
      <c r="Y273" s="426">
        <v>0.57999999999999996</v>
      </c>
      <c r="Z273" s="427" t="s">
        <v>37</v>
      </c>
      <c r="AA273" s="426"/>
      <c r="AB273" s="427"/>
      <c r="AC273" s="427"/>
      <c r="AD273" s="427"/>
      <c r="AE273" s="426"/>
      <c r="AF273" s="287">
        <f t="shared" si="110"/>
        <v>4.6051701859880918</v>
      </c>
      <c r="AG273" s="287">
        <f t="shared" si="111"/>
        <v>4.6366688530474622</v>
      </c>
      <c r="AH273" s="288"/>
      <c r="AI273" s="288"/>
      <c r="AK273" s="286">
        <f t="shared" si="112"/>
        <v>200</v>
      </c>
      <c r="AL273" s="286">
        <f t="shared" si="113"/>
        <v>203.2</v>
      </c>
      <c r="AM273" s="287">
        <f t="shared" si="114"/>
        <v>5.2983173665480363</v>
      </c>
      <c r="AN273" s="287">
        <f t="shared" si="115"/>
        <v>5.3141907157043269</v>
      </c>
      <c r="AO273" s="288"/>
      <c r="AP273" s="288"/>
      <c r="AR273" s="286">
        <f t="shared" si="116"/>
        <v>173.41171456537</v>
      </c>
      <c r="AS273" s="286">
        <f t="shared" si="117"/>
        <v>176.18630199841593</v>
      </c>
      <c r="AT273" s="287">
        <f t="shared" si="118"/>
        <v>5.1556686201116158</v>
      </c>
      <c r="AU273" s="287">
        <f t="shared" si="119"/>
        <v>5.1715419692679063</v>
      </c>
      <c r="AV273" s="299"/>
      <c r="AW273" s="299"/>
      <c r="AX273" s="286"/>
      <c r="AY273" s="286"/>
      <c r="AZ273" s="286"/>
      <c r="BA273" s="286"/>
      <c r="BB273" s="287"/>
      <c r="BC273" s="287"/>
      <c r="BD273" s="288"/>
      <c r="BE273" s="288"/>
    </row>
    <row r="274" spans="1:61" s="298" customFormat="1" x14ac:dyDescent="0.2">
      <c r="A274" s="290" t="s">
        <v>34</v>
      </c>
      <c r="B274" s="290" t="s">
        <v>49</v>
      </c>
      <c r="C274" s="425" t="s">
        <v>52</v>
      </c>
      <c r="D274" s="381" t="s">
        <v>324</v>
      </c>
      <c r="E274" s="387">
        <v>5.8</v>
      </c>
      <c r="F274" s="387">
        <v>3.9</v>
      </c>
      <c r="G274" s="296">
        <f t="shared" si="120"/>
        <v>2.2621809744779582</v>
      </c>
      <c r="H274" s="387">
        <v>5.0999999999999996</v>
      </c>
      <c r="I274" s="300">
        <f t="shared" si="121"/>
        <v>8.2024439999999998</v>
      </c>
      <c r="J274" s="387">
        <v>5.2</v>
      </c>
      <c r="K274" s="383">
        <v>0</v>
      </c>
      <c r="L274" s="383">
        <v>28</v>
      </c>
      <c r="M274" s="383" t="s">
        <v>93</v>
      </c>
      <c r="N274" s="387">
        <v>3.2</v>
      </c>
      <c r="O274" s="387">
        <f t="shared" si="109"/>
        <v>8.4</v>
      </c>
      <c r="P274" s="387"/>
      <c r="Q274" s="387"/>
      <c r="R274" s="387">
        <v>2</v>
      </c>
      <c r="S274" s="426">
        <v>0.57999999999999996</v>
      </c>
      <c r="T274" s="427" t="s">
        <v>37</v>
      </c>
      <c r="U274" s="426"/>
      <c r="V274" s="427"/>
      <c r="W274" s="427"/>
      <c r="X274" s="427"/>
      <c r="Y274" s="426">
        <v>0.57999999999999996</v>
      </c>
      <c r="Z274" s="427" t="s">
        <v>37</v>
      </c>
      <c r="AA274" s="426"/>
      <c r="AB274" s="427"/>
      <c r="AC274" s="427"/>
      <c r="AD274" s="427"/>
      <c r="AE274" s="426"/>
      <c r="AF274" s="287">
        <f t="shared" si="110"/>
        <v>1.1631508098056809</v>
      </c>
      <c r="AG274" s="287">
        <f t="shared" si="111"/>
        <v>2.1282317058492679</v>
      </c>
      <c r="AH274" s="288"/>
      <c r="AI274" s="288"/>
      <c r="AK274" s="286">
        <f t="shared" si="112"/>
        <v>6.4</v>
      </c>
      <c r="AL274" s="286">
        <f t="shared" si="113"/>
        <v>11.600000000000001</v>
      </c>
      <c r="AM274" s="287">
        <f t="shared" si="114"/>
        <v>1.8562979903656263</v>
      </c>
      <c r="AN274" s="287">
        <f t="shared" si="115"/>
        <v>2.451005098112319</v>
      </c>
      <c r="AO274" s="288"/>
      <c r="AP274" s="288"/>
      <c r="AR274" s="286">
        <f t="shared" si="116"/>
        <v>7.6806170427081533</v>
      </c>
      <c r="AS274" s="286">
        <f t="shared" si="117"/>
        <v>13.921118389908528</v>
      </c>
      <c r="AT274" s="287">
        <f t="shared" si="118"/>
        <v>2.0386998880347904</v>
      </c>
      <c r="AU274" s="287">
        <f t="shared" si="119"/>
        <v>2.6334069957814834</v>
      </c>
      <c r="AV274" s="299"/>
      <c r="AW274" s="299"/>
      <c r="AX274" s="286"/>
      <c r="AY274" s="286"/>
      <c r="AZ274" s="286"/>
      <c r="BA274" s="286"/>
      <c r="BB274" s="287"/>
      <c r="BC274" s="287"/>
      <c r="BD274" s="288"/>
      <c r="BE274" s="288"/>
    </row>
    <row r="275" spans="1:61" s="298" customFormat="1" x14ac:dyDescent="0.2">
      <c r="A275" s="290" t="s">
        <v>34</v>
      </c>
      <c r="B275" s="290" t="s">
        <v>49</v>
      </c>
      <c r="C275" s="425" t="s">
        <v>52</v>
      </c>
      <c r="D275" s="381" t="s">
        <v>324</v>
      </c>
      <c r="E275" s="387">
        <v>5</v>
      </c>
      <c r="F275" s="387">
        <v>3.7</v>
      </c>
      <c r="G275" s="296">
        <f t="shared" si="120"/>
        <v>2.1461716937354991</v>
      </c>
      <c r="H275" s="387">
        <v>7.9</v>
      </c>
      <c r="I275" s="387">
        <v>7.88</v>
      </c>
      <c r="J275" s="387">
        <v>5.7</v>
      </c>
      <c r="K275" s="399">
        <v>7</v>
      </c>
      <c r="L275" s="399">
        <v>28</v>
      </c>
      <c r="M275" s="383" t="s">
        <v>93</v>
      </c>
      <c r="N275" s="387">
        <v>154</v>
      </c>
      <c r="O275" s="387">
        <f t="shared" si="109"/>
        <v>159.69999999999999</v>
      </c>
      <c r="P275" s="387"/>
      <c r="Q275" s="387"/>
      <c r="R275" s="387">
        <v>2</v>
      </c>
      <c r="S275" s="426">
        <v>0.57999999999999996</v>
      </c>
      <c r="T275" s="427" t="s">
        <v>37</v>
      </c>
      <c r="U275" s="426"/>
      <c r="V275" s="427"/>
      <c r="W275" s="427"/>
      <c r="X275" s="427"/>
      <c r="Y275" s="426">
        <v>0.57999999999999996</v>
      </c>
      <c r="Z275" s="427" t="s">
        <v>37</v>
      </c>
      <c r="AA275" s="426"/>
      <c r="AB275" s="427"/>
      <c r="AC275" s="427"/>
      <c r="AD275" s="427"/>
      <c r="AE275" s="426"/>
      <c r="AF275" s="287">
        <f t="shared" si="110"/>
        <v>5.0369526024136295</v>
      </c>
      <c r="AG275" s="287">
        <f t="shared" si="111"/>
        <v>5.0732970552209666</v>
      </c>
      <c r="AH275" s="288"/>
      <c r="AI275" s="288"/>
      <c r="AK275" s="286">
        <f t="shared" si="112"/>
        <v>308</v>
      </c>
      <c r="AL275" s="286">
        <f t="shared" si="113"/>
        <v>313.7</v>
      </c>
      <c r="AM275" s="287">
        <f t="shared" si="114"/>
        <v>5.730099782973574</v>
      </c>
      <c r="AN275" s="287">
        <f t="shared" si="115"/>
        <v>5.7484371151966327</v>
      </c>
      <c r="AO275" s="288"/>
      <c r="AP275" s="288"/>
      <c r="AR275" s="286">
        <f t="shared" si="116"/>
        <v>378.32822857807548</v>
      </c>
      <c r="AS275" s="286">
        <f t="shared" si="117"/>
        <v>385.32975748357882</v>
      </c>
      <c r="AT275" s="287">
        <f t="shared" si="118"/>
        <v>5.9357621484111904</v>
      </c>
      <c r="AU275" s="287">
        <f t="shared" si="119"/>
        <v>5.9540994806342482</v>
      </c>
      <c r="AV275" s="299"/>
      <c r="AW275" s="299"/>
      <c r="AX275" s="286"/>
      <c r="AY275" s="286"/>
      <c r="AZ275" s="286"/>
      <c r="BA275" s="286"/>
      <c r="BB275" s="287"/>
      <c r="BC275" s="287"/>
      <c r="BD275" s="288"/>
      <c r="BE275" s="288"/>
    </row>
    <row r="276" spans="1:61" s="238" customFormat="1" x14ac:dyDescent="0.2">
      <c r="A276" s="275" t="s">
        <v>34</v>
      </c>
      <c r="B276" s="275" t="s">
        <v>49</v>
      </c>
      <c r="C276" s="425" t="s">
        <v>52</v>
      </c>
      <c r="D276" s="381" t="s">
        <v>44</v>
      </c>
      <c r="E276" s="387">
        <v>5.6</v>
      </c>
      <c r="F276" s="387">
        <v>0.5</v>
      </c>
      <c r="G276" s="296">
        <f t="shared" si="120"/>
        <v>0.29002320185614849</v>
      </c>
      <c r="H276" s="387">
        <v>4</v>
      </c>
      <c r="I276" s="387">
        <v>2.8666</v>
      </c>
      <c r="J276" s="387">
        <v>3.7</v>
      </c>
      <c r="K276" s="383">
        <v>3</v>
      </c>
      <c r="L276" s="383">
        <v>28</v>
      </c>
      <c r="M276" s="383" t="s">
        <v>93</v>
      </c>
      <c r="N276" s="387">
        <v>188</v>
      </c>
      <c r="O276" s="387">
        <f t="shared" si="109"/>
        <v>191.7</v>
      </c>
      <c r="P276" s="387"/>
      <c r="Q276" s="387"/>
      <c r="R276" s="387">
        <v>2</v>
      </c>
      <c r="S276" s="426">
        <v>0.57999999999999996</v>
      </c>
      <c r="T276" s="427" t="s">
        <v>37</v>
      </c>
      <c r="U276" s="426"/>
      <c r="V276" s="427"/>
      <c r="W276" s="427"/>
      <c r="X276" s="427"/>
      <c r="Y276" s="426">
        <v>0.57999999999999996</v>
      </c>
      <c r="Z276" s="427" t="s">
        <v>37</v>
      </c>
      <c r="AA276" s="426"/>
      <c r="AB276" s="427"/>
      <c r="AC276" s="427"/>
      <c r="AD276" s="427"/>
      <c r="AE276" s="426"/>
      <c r="AF276" s="239">
        <f t="shared" si="110"/>
        <v>5.2364419628299492</v>
      </c>
      <c r="AG276" s="239">
        <f t="shared" si="111"/>
        <v>5.2559316500515987</v>
      </c>
      <c r="AH276" s="240"/>
      <c r="AI276" s="240"/>
      <c r="AK276" s="265">
        <f t="shared" si="112"/>
        <v>376</v>
      </c>
      <c r="AL276" s="265">
        <f t="shared" si="113"/>
        <v>379.7</v>
      </c>
      <c r="AM276" s="239">
        <f t="shared" si="114"/>
        <v>5.9295891433898946</v>
      </c>
      <c r="AN276" s="239">
        <f t="shared" si="115"/>
        <v>5.939381467237757</v>
      </c>
      <c r="AO276" s="240"/>
      <c r="AP276" s="240"/>
      <c r="AR276" s="265">
        <f t="shared" si="116"/>
        <v>830.26774336361518</v>
      </c>
      <c r="AS276" s="265">
        <f t="shared" si="117"/>
        <v>838.43793126373589</v>
      </c>
      <c r="AT276" s="239">
        <f t="shared" si="118"/>
        <v>6.7217482311379406</v>
      </c>
      <c r="AU276" s="239">
        <f t="shared" si="119"/>
        <v>6.7315405549858021</v>
      </c>
      <c r="AV276" s="125"/>
      <c r="AW276" s="125"/>
      <c r="AX276" s="265"/>
      <c r="AY276" s="265"/>
      <c r="AZ276" s="265"/>
      <c r="BA276" s="265"/>
      <c r="BB276" s="239"/>
      <c r="BC276" s="239"/>
      <c r="BD276" s="240"/>
      <c r="BE276" s="240"/>
    </row>
    <row r="277" spans="1:61" s="165" customFormat="1" x14ac:dyDescent="0.2">
      <c r="A277" s="156" t="s">
        <v>34</v>
      </c>
      <c r="B277" s="156" t="s">
        <v>49</v>
      </c>
      <c r="C277" s="428" t="s">
        <v>52</v>
      </c>
      <c r="D277" s="391" t="s">
        <v>36</v>
      </c>
      <c r="E277" s="361">
        <v>5.6</v>
      </c>
      <c r="F277" s="361">
        <v>0.5</v>
      </c>
      <c r="G277" s="330">
        <f t="shared" si="120"/>
        <v>0.29002320185614849</v>
      </c>
      <c r="H277" s="361">
        <v>4</v>
      </c>
      <c r="I277" s="361">
        <v>2.8666</v>
      </c>
      <c r="J277" s="361">
        <v>3.7</v>
      </c>
      <c r="K277" s="394">
        <v>3</v>
      </c>
      <c r="L277" s="394">
        <v>28</v>
      </c>
      <c r="M277" s="394" t="s">
        <v>93</v>
      </c>
      <c r="N277" s="361">
        <v>188</v>
      </c>
      <c r="O277" s="361">
        <f t="shared" si="109"/>
        <v>191.7</v>
      </c>
      <c r="P277" s="361"/>
      <c r="Q277" s="361"/>
      <c r="R277" s="361">
        <v>2</v>
      </c>
      <c r="S277" s="429">
        <v>0.57999999999999996</v>
      </c>
      <c r="T277" s="430" t="s">
        <v>37</v>
      </c>
      <c r="U277" s="429"/>
      <c r="V277" s="430"/>
      <c r="W277" s="430"/>
      <c r="X277" s="430"/>
      <c r="Y277" s="429">
        <v>0.57999999999999996</v>
      </c>
      <c r="Z277" s="430" t="s">
        <v>37</v>
      </c>
      <c r="AA277" s="429"/>
      <c r="AB277" s="430"/>
      <c r="AC277" s="430"/>
      <c r="AD277" s="430"/>
      <c r="AE277" s="429"/>
      <c r="AF277" s="166">
        <f t="shared" si="110"/>
        <v>5.2364419628299492</v>
      </c>
      <c r="AG277" s="166">
        <f t="shared" si="111"/>
        <v>5.2559316500515987</v>
      </c>
      <c r="AH277" s="169"/>
      <c r="AI277" s="169"/>
      <c r="AK277" s="168">
        <f t="shared" si="112"/>
        <v>376</v>
      </c>
      <c r="AL277" s="168">
        <f t="shared" si="113"/>
        <v>379.7</v>
      </c>
      <c r="AM277" s="166">
        <f t="shared" si="114"/>
        <v>5.9295891433898946</v>
      </c>
      <c r="AN277" s="166">
        <f t="shared" si="115"/>
        <v>5.939381467237757</v>
      </c>
      <c r="AO277" s="169"/>
      <c r="AP277" s="169"/>
      <c r="AR277" s="168">
        <f t="shared" si="116"/>
        <v>830.26774336361518</v>
      </c>
      <c r="AS277" s="168">
        <f t="shared" si="117"/>
        <v>838.43793126373589</v>
      </c>
      <c r="AT277" s="166">
        <f t="shared" si="118"/>
        <v>6.7217482311379406</v>
      </c>
      <c r="AU277" s="166">
        <f t="shared" si="119"/>
        <v>6.7315405549858021</v>
      </c>
      <c r="AV277" s="167"/>
      <c r="AW277" s="167"/>
      <c r="AX277" s="168">
        <f>GEOMEAN(AR277:AR277)</f>
        <v>830.26774336361518</v>
      </c>
      <c r="AY277" s="168">
        <f>GEOMEAN(AS277:AS277)</f>
        <v>838.43793126373589</v>
      </c>
      <c r="AZ277" s="168"/>
      <c r="BA277" s="168"/>
      <c r="BB277" s="166"/>
      <c r="BC277" s="166"/>
      <c r="BD277" s="169"/>
      <c r="BE277" s="169"/>
    </row>
    <row r="278" spans="1:61" x14ac:dyDescent="0.2">
      <c r="A278" s="232" t="s">
        <v>34</v>
      </c>
      <c r="B278" s="232" t="s">
        <v>49</v>
      </c>
      <c r="C278" s="425" t="s">
        <v>53</v>
      </c>
      <c r="D278" s="381" t="s">
        <v>36</v>
      </c>
      <c r="E278" s="387">
        <v>6.3</v>
      </c>
      <c r="F278" s="387">
        <v>10</v>
      </c>
      <c r="G278" s="296">
        <f t="shared" si="120"/>
        <v>5.8004640371229703</v>
      </c>
      <c r="H278" s="387">
        <v>20</v>
      </c>
      <c r="I278" s="300">
        <f t="shared" ref="I278:I280" si="123">(30+4.4*E278)*(0/100)+(-34.66+29.72*E278)*(F278/100)</f>
        <v>15.2576</v>
      </c>
      <c r="J278" s="387">
        <v>2.4</v>
      </c>
      <c r="K278" s="383">
        <v>0</v>
      </c>
      <c r="L278" s="383">
        <v>56</v>
      </c>
      <c r="M278" s="383" t="s">
        <v>93</v>
      </c>
      <c r="N278" s="387">
        <v>200</v>
      </c>
      <c r="O278" s="387">
        <f t="shared" si="109"/>
        <v>202.4</v>
      </c>
      <c r="P278" s="387"/>
      <c r="Q278" s="387"/>
      <c r="R278" s="387">
        <v>2</v>
      </c>
      <c r="S278" s="426">
        <v>0.57999999999999996</v>
      </c>
      <c r="T278" s="427" t="s">
        <v>37</v>
      </c>
      <c r="U278" s="426"/>
      <c r="V278" s="427"/>
      <c r="W278" s="427"/>
      <c r="X278" s="427"/>
      <c r="Y278" s="426">
        <v>0.57999999999999996</v>
      </c>
      <c r="Z278" s="427" t="s">
        <v>37</v>
      </c>
      <c r="AA278" s="426"/>
      <c r="AB278" s="427"/>
      <c r="AC278" s="427"/>
      <c r="AD278" s="427"/>
      <c r="AE278" s="426"/>
      <c r="AF278" s="239">
        <f t="shared" si="110"/>
        <v>5.2983173665480363</v>
      </c>
      <c r="AG278" s="239">
        <f t="shared" si="111"/>
        <v>5.3102459374133106</v>
      </c>
      <c r="AH278" s="240"/>
      <c r="AI278" s="240"/>
      <c r="AK278" s="265">
        <f t="shared" si="112"/>
        <v>400</v>
      </c>
      <c r="AL278" s="265">
        <f t="shared" si="113"/>
        <v>402.4</v>
      </c>
      <c r="AM278" s="239">
        <f t="shared" si="114"/>
        <v>5.9914645471079817</v>
      </c>
      <c r="AN278" s="239">
        <f t="shared" si="115"/>
        <v>5.9974466187855295</v>
      </c>
      <c r="AO278" s="240"/>
      <c r="AP278" s="240"/>
      <c r="AR278" s="265">
        <f t="shared" si="116"/>
        <v>334.92010399400937</v>
      </c>
      <c r="AS278" s="265">
        <f t="shared" si="117"/>
        <v>336.92962461797339</v>
      </c>
      <c r="AT278" s="239">
        <f t="shared" si="118"/>
        <v>5.8138920078402121</v>
      </c>
      <c r="AU278" s="239">
        <f t="shared" si="119"/>
        <v>5.819874079517759</v>
      </c>
      <c r="AX278" s="385">
        <f>GEOMEAN(AR278:AR279)</f>
        <v>410.07632339011207</v>
      </c>
      <c r="AY278" s="385">
        <f>GEOMEAN(AS278:AS279)</f>
        <v>412.42619985589107</v>
      </c>
      <c r="AZ278" s="385">
        <f>MIN(AX278:AX304)</f>
        <v>162.55854854030099</v>
      </c>
      <c r="BA278" s="385">
        <f>MIN(AY278:AY304)</f>
        <v>176.60930736064421</v>
      </c>
      <c r="BB278" s="239">
        <f>LN(AZ278)</f>
        <v>5.0910382355873436</v>
      </c>
      <c r="BC278" s="239">
        <f>LN(BA278)</f>
        <v>5.1739399898425074</v>
      </c>
      <c r="BD278" s="240"/>
      <c r="BE278" s="240"/>
      <c r="BF278" s="136"/>
      <c r="BG278" s="136"/>
      <c r="BH278" s="136"/>
      <c r="BI278" s="136"/>
    </row>
    <row r="279" spans="1:61" x14ac:dyDescent="0.2">
      <c r="A279" s="232" t="s">
        <v>34</v>
      </c>
      <c r="B279" s="232" t="s">
        <v>49</v>
      </c>
      <c r="C279" s="425" t="s">
        <v>53</v>
      </c>
      <c r="D279" s="381" t="s">
        <v>36</v>
      </c>
      <c r="E279" s="387">
        <v>6.1</v>
      </c>
      <c r="F279" s="387">
        <v>10</v>
      </c>
      <c r="G279" s="296">
        <f t="shared" si="120"/>
        <v>5.8004640371229703</v>
      </c>
      <c r="H279" s="387">
        <v>20</v>
      </c>
      <c r="I279" s="300">
        <f t="shared" si="123"/>
        <v>14.663199999999998</v>
      </c>
      <c r="J279" s="387">
        <v>3.2</v>
      </c>
      <c r="K279" s="383">
        <v>0</v>
      </c>
      <c r="L279" s="383">
        <v>14</v>
      </c>
      <c r="M279" s="383" t="s">
        <v>329</v>
      </c>
      <c r="N279" s="387">
        <v>293</v>
      </c>
      <c r="O279" s="387">
        <f t="shared" si="109"/>
        <v>296.2</v>
      </c>
      <c r="P279" s="387"/>
      <c r="Q279" s="387"/>
      <c r="R279" s="387">
        <v>2</v>
      </c>
      <c r="S279" s="426">
        <v>0.57999999999999996</v>
      </c>
      <c r="T279" s="427" t="s">
        <v>37</v>
      </c>
      <c r="U279" s="426"/>
      <c r="V279" s="427"/>
      <c r="W279" s="427"/>
      <c r="X279" s="427"/>
      <c r="Y279" s="426">
        <v>0.57999999999999996</v>
      </c>
      <c r="Z279" s="427" t="s">
        <v>37</v>
      </c>
      <c r="AA279" s="426"/>
      <c r="AB279" s="427"/>
      <c r="AC279" s="427"/>
      <c r="AD279" s="427"/>
      <c r="AE279" s="426"/>
      <c r="AF279" s="239">
        <f t="shared" si="110"/>
        <v>5.6801726090170677</v>
      </c>
      <c r="AG279" s="239">
        <f t="shared" si="111"/>
        <v>5.6910349018336985</v>
      </c>
      <c r="AH279" s="240"/>
      <c r="AI279" s="240"/>
      <c r="AK279" s="265">
        <f t="shared" si="112"/>
        <v>586</v>
      </c>
      <c r="AL279" s="265">
        <f t="shared" si="113"/>
        <v>589.20000000000005</v>
      </c>
      <c r="AM279" s="239">
        <f t="shared" si="114"/>
        <v>6.3733197895770122</v>
      </c>
      <c r="AN279" s="239">
        <f t="shared" si="115"/>
        <v>6.3787656845884753</v>
      </c>
      <c r="AO279" s="240"/>
      <c r="AP279" s="240"/>
      <c r="AR279" s="265">
        <f t="shared" si="116"/>
        <v>502.09763164339535</v>
      </c>
      <c r="AS279" s="265">
        <f t="shared" si="117"/>
        <v>504.83946171380296</v>
      </c>
      <c r="AT279" s="239">
        <f t="shared" si="118"/>
        <v>6.2187945861273155</v>
      </c>
      <c r="AU279" s="239">
        <f t="shared" si="119"/>
        <v>6.2242404811387777</v>
      </c>
      <c r="AX279" s="385"/>
      <c r="AY279" s="385"/>
      <c r="AZ279" s="385"/>
      <c r="BA279" s="385"/>
      <c r="BB279" s="239"/>
      <c r="BC279" s="239"/>
      <c r="BD279" s="240"/>
      <c r="BE279" s="240"/>
      <c r="BF279" s="136"/>
      <c r="BG279" s="136"/>
      <c r="BH279" s="136"/>
      <c r="BI279" s="136"/>
    </row>
    <row r="280" spans="1:61" x14ac:dyDescent="0.2">
      <c r="A280" s="232" t="s">
        <v>34</v>
      </c>
      <c r="B280" s="232" t="s">
        <v>49</v>
      </c>
      <c r="C280" s="425" t="s">
        <v>53</v>
      </c>
      <c r="D280" s="381" t="s">
        <v>51</v>
      </c>
      <c r="E280" s="387">
        <v>6.1</v>
      </c>
      <c r="F280" s="387">
        <v>10</v>
      </c>
      <c r="G280" s="296">
        <f t="shared" si="120"/>
        <v>5.8004640371229703</v>
      </c>
      <c r="H280" s="387">
        <v>20</v>
      </c>
      <c r="I280" s="300">
        <f t="shared" si="123"/>
        <v>14.663199999999998</v>
      </c>
      <c r="J280" s="387">
        <v>3.2</v>
      </c>
      <c r="K280" s="383">
        <v>0</v>
      </c>
      <c r="L280" s="383">
        <v>21</v>
      </c>
      <c r="M280" s="383" t="s">
        <v>329</v>
      </c>
      <c r="N280" s="387">
        <v>725</v>
      </c>
      <c r="O280" s="387">
        <f t="shared" si="109"/>
        <v>728.2</v>
      </c>
      <c r="P280" s="387"/>
      <c r="Q280" s="387"/>
      <c r="R280" s="387">
        <v>2</v>
      </c>
      <c r="S280" s="426">
        <v>0.57999999999999996</v>
      </c>
      <c r="T280" s="427" t="s">
        <v>37</v>
      </c>
      <c r="U280" s="426"/>
      <c r="V280" s="427"/>
      <c r="W280" s="427"/>
      <c r="X280" s="427"/>
      <c r="Y280" s="426">
        <v>0.57999999999999996</v>
      </c>
      <c r="Z280" s="427" t="s">
        <v>37</v>
      </c>
      <c r="AA280" s="426"/>
      <c r="AB280" s="427"/>
      <c r="AC280" s="427"/>
      <c r="AD280" s="427"/>
      <c r="AE280" s="426"/>
      <c r="AF280" s="239">
        <f t="shared" si="110"/>
        <v>6.5861716548546747</v>
      </c>
      <c r="AG280" s="239">
        <f t="shared" si="111"/>
        <v>6.590575735741333</v>
      </c>
      <c r="AH280" s="240"/>
      <c r="AI280" s="240"/>
      <c r="AK280" s="265">
        <f t="shared" si="112"/>
        <v>1450</v>
      </c>
      <c r="AL280" s="265">
        <f t="shared" si="113"/>
        <v>1453.2</v>
      </c>
      <c r="AM280" s="239">
        <f t="shared" si="114"/>
        <v>7.2793188354146201</v>
      </c>
      <c r="AN280" s="239">
        <f t="shared" si="115"/>
        <v>7.2815233003470468</v>
      </c>
      <c r="AO280" s="240"/>
      <c r="AP280" s="240"/>
      <c r="AR280" s="265">
        <f t="shared" si="116"/>
        <v>1242.3917506534526</v>
      </c>
      <c r="AS280" s="265">
        <f t="shared" si="117"/>
        <v>1245.1335807238602</v>
      </c>
      <c r="AT280" s="239">
        <f t="shared" si="118"/>
        <v>7.1247936319649225</v>
      </c>
      <c r="AU280" s="239">
        <f t="shared" si="119"/>
        <v>7.1269980968973492</v>
      </c>
      <c r="AX280" s="385">
        <f>GEOMEAN(AR280:AR281)</f>
        <v>1180.6188876687588</v>
      </c>
      <c r="AY280" s="385">
        <f>GEOMEAN(AS280:AS281)</f>
        <v>1188.2357710907543</v>
      </c>
      <c r="AZ280" s="385"/>
      <c r="BA280" s="385"/>
      <c r="BB280" s="239"/>
      <c r="BC280" s="239"/>
      <c r="BD280" s="240"/>
      <c r="BE280" s="240"/>
      <c r="BF280" s="136"/>
      <c r="BG280" s="136"/>
      <c r="BH280" s="136"/>
      <c r="BI280" s="136"/>
    </row>
    <row r="281" spans="1:61" x14ac:dyDescent="0.2">
      <c r="A281" s="232" t="s">
        <v>34</v>
      </c>
      <c r="B281" s="232" t="s">
        <v>49</v>
      </c>
      <c r="C281" s="425" t="s">
        <v>53</v>
      </c>
      <c r="D281" s="381" t="s">
        <v>51</v>
      </c>
      <c r="E281" s="387">
        <v>6.75</v>
      </c>
      <c r="F281" s="387">
        <v>4.7</v>
      </c>
      <c r="G281" s="296">
        <f t="shared" si="120"/>
        <v>2.7262180974477959</v>
      </c>
      <c r="H281" s="387">
        <v>14.5</v>
      </c>
      <c r="I281" s="300">
        <f t="shared" ref="I281:I287" si="124">(30+4.4*E281)*(H281/100)+(-34.66+29.72*E281)*(F281/100)</f>
        <v>16.456150000000001</v>
      </c>
      <c r="J281" s="387">
        <v>15</v>
      </c>
      <c r="K281" s="383">
        <v>1</v>
      </c>
      <c r="L281" s="383">
        <v>21</v>
      </c>
      <c r="M281" s="383" t="s">
        <v>93</v>
      </c>
      <c r="N281" s="387">
        <v>700</v>
      </c>
      <c r="O281" s="387">
        <f t="shared" si="109"/>
        <v>715</v>
      </c>
      <c r="P281" s="387"/>
      <c r="Q281" s="387"/>
      <c r="R281" s="387">
        <v>2</v>
      </c>
      <c r="S281" s="426">
        <v>0.57999999999999996</v>
      </c>
      <c r="T281" s="427" t="s">
        <v>37</v>
      </c>
      <c r="U281" s="426"/>
      <c r="V281" s="427"/>
      <c r="W281" s="427"/>
      <c r="X281" s="427"/>
      <c r="Y281" s="426">
        <v>0.57999999999999996</v>
      </c>
      <c r="Z281" s="427" t="s">
        <v>37</v>
      </c>
      <c r="AA281" s="426"/>
      <c r="AB281" s="427"/>
      <c r="AC281" s="427"/>
      <c r="AD281" s="427"/>
      <c r="AE281" s="426"/>
      <c r="AF281" s="239">
        <f t="shared" si="110"/>
        <v>6.5510803350434044</v>
      </c>
      <c r="AG281" s="239">
        <f t="shared" si="111"/>
        <v>6.5722825426940075</v>
      </c>
      <c r="AH281" s="240"/>
      <c r="AI281" s="240"/>
      <c r="AK281" s="265">
        <f t="shared" si="112"/>
        <v>1400</v>
      </c>
      <c r="AL281" s="265">
        <f t="shared" si="113"/>
        <v>1415</v>
      </c>
      <c r="AM281" s="239">
        <f t="shared" si="114"/>
        <v>7.2442275156033498</v>
      </c>
      <c r="AN281" s="239">
        <f t="shared" si="115"/>
        <v>7.2548848100773382</v>
      </c>
      <c r="AO281" s="240"/>
      <c r="AP281" s="240"/>
      <c r="AR281" s="265">
        <f t="shared" si="116"/>
        <v>1121.9174283691898</v>
      </c>
      <c r="AS281" s="265">
        <f t="shared" si="117"/>
        <v>1133.937972244574</v>
      </c>
      <c r="AT281" s="239">
        <f t="shared" si="118"/>
        <v>7.0227944901206838</v>
      </c>
      <c r="AU281" s="239">
        <f t="shared" si="119"/>
        <v>7.0334517845946714</v>
      </c>
      <c r="AX281" s="385"/>
      <c r="AY281" s="385"/>
      <c r="AZ281" s="385"/>
      <c r="BA281" s="385"/>
      <c r="BB281" s="239"/>
      <c r="BC281" s="239"/>
      <c r="BD281" s="240"/>
      <c r="BE281" s="240"/>
      <c r="BF281" s="136"/>
      <c r="BG281" s="136"/>
      <c r="BH281" s="136"/>
      <c r="BI281" s="136"/>
    </row>
    <row r="282" spans="1:61" x14ac:dyDescent="0.2">
      <c r="A282" s="232" t="s">
        <v>34</v>
      </c>
      <c r="B282" s="232" t="s">
        <v>49</v>
      </c>
      <c r="C282" s="425" t="s">
        <v>53</v>
      </c>
      <c r="D282" s="381" t="s">
        <v>324</v>
      </c>
      <c r="E282" s="387">
        <v>6.3</v>
      </c>
      <c r="F282" s="387">
        <v>10</v>
      </c>
      <c r="G282" s="296">
        <f t="shared" si="120"/>
        <v>5.8004640371229703</v>
      </c>
      <c r="H282" s="387">
        <v>20</v>
      </c>
      <c r="I282" s="300">
        <f t="shared" ref="I282:I285" si="125">(30+4.4*E282)*(0/100)+(-34.66+29.72*E282)*(F282/100)</f>
        <v>15.2576</v>
      </c>
      <c r="J282" s="387">
        <v>2.4</v>
      </c>
      <c r="K282" s="383">
        <v>0</v>
      </c>
      <c r="L282" s="383">
        <v>56</v>
      </c>
      <c r="M282" s="383" t="s">
        <v>93</v>
      </c>
      <c r="N282" s="387">
        <v>10</v>
      </c>
      <c r="O282" s="387">
        <f t="shared" si="109"/>
        <v>12.4</v>
      </c>
      <c r="P282" s="387"/>
      <c r="Q282" s="387"/>
      <c r="R282" s="387">
        <v>2</v>
      </c>
      <c r="S282" s="426">
        <v>0.57999999999999996</v>
      </c>
      <c r="T282" s="427" t="s">
        <v>37</v>
      </c>
      <c r="U282" s="426"/>
      <c r="V282" s="427"/>
      <c r="W282" s="427"/>
      <c r="X282" s="427"/>
      <c r="Y282" s="426">
        <v>0.57999999999999996</v>
      </c>
      <c r="Z282" s="427" t="s">
        <v>37</v>
      </c>
      <c r="AA282" s="426"/>
      <c r="AB282" s="427"/>
      <c r="AC282" s="427"/>
      <c r="AD282" s="427"/>
      <c r="AE282" s="426"/>
      <c r="AF282" s="239">
        <f t="shared" si="110"/>
        <v>2.3025850929940459</v>
      </c>
      <c r="AG282" s="239">
        <f t="shared" si="111"/>
        <v>2.5176964726109912</v>
      </c>
      <c r="AH282" s="240"/>
      <c r="AI282" s="240"/>
      <c r="AK282" s="265">
        <f t="shared" si="112"/>
        <v>20</v>
      </c>
      <c r="AL282" s="265">
        <f t="shared" si="113"/>
        <v>22.4</v>
      </c>
      <c r="AM282" s="239">
        <f t="shared" si="114"/>
        <v>2.9957322735539909</v>
      </c>
      <c r="AN282" s="239">
        <f t="shared" si="115"/>
        <v>3.1090609588609941</v>
      </c>
      <c r="AO282" s="240"/>
      <c r="AP282" s="240"/>
      <c r="AR282" s="265">
        <f t="shared" si="116"/>
        <v>16.74600519970047</v>
      </c>
      <c r="AS282" s="265">
        <f t="shared" si="117"/>
        <v>18.755525823664524</v>
      </c>
      <c r="AT282" s="239">
        <f t="shared" si="118"/>
        <v>2.8181597342862208</v>
      </c>
      <c r="AU282" s="239">
        <f t="shared" si="119"/>
        <v>2.931488419593224</v>
      </c>
      <c r="AX282" s="385">
        <f>GEOMEAN(AR282:AR304)</f>
        <v>162.55854854030099</v>
      </c>
      <c r="AY282" s="385">
        <f>GEOMEAN(AS282:AS304)</f>
        <v>176.60930736064421</v>
      </c>
      <c r="AZ282" s="385"/>
      <c r="BA282" s="385"/>
      <c r="BB282" s="239"/>
      <c r="BC282" s="239"/>
      <c r="BD282" s="240"/>
      <c r="BE282" s="240"/>
      <c r="BF282" s="136"/>
      <c r="BG282" s="136"/>
      <c r="BH282" s="136"/>
      <c r="BI282" s="136"/>
    </row>
    <row r="283" spans="1:61" x14ac:dyDescent="0.2">
      <c r="A283" s="232" t="s">
        <v>34</v>
      </c>
      <c r="B283" s="232" t="s">
        <v>49</v>
      </c>
      <c r="C283" s="425" t="s">
        <v>53</v>
      </c>
      <c r="D283" s="381" t="s">
        <v>324</v>
      </c>
      <c r="E283" s="387">
        <v>6.1</v>
      </c>
      <c r="F283" s="387">
        <v>10</v>
      </c>
      <c r="G283" s="296">
        <f t="shared" si="120"/>
        <v>5.8004640371229703</v>
      </c>
      <c r="H283" s="387">
        <v>20</v>
      </c>
      <c r="I283" s="300">
        <f t="shared" si="125"/>
        <v>14.663199999999998</v>
      </c>
      <c r="J283" s="387">
        <v>3.2</v>
      </c>
      <c r="K283" s="383">
        <v>0</v>
      </c>
      <c r="L283" s="383">
        <v>21</v>
      </c>
      <c r="M283" s="383" t="s">
        <v>329</v>
      </c>
      <c r="N283" s="387">
        <v>29</v>
      </c>
      <c r="O283" s="387">
        <f t="shared" si="109"/>
        <v>32.200000000000003</v>
      </c>
      <c r="P283" s="387"/>
      <c r="Q283" s="387"/>
      <c r="R283" s="387">
        <v>2</v>
      </c>
      <c r="S283" s="426">
        <v>0.57999999999999996</v>
      </c>
      <c r="T283" s="427" t="s">
        <v>37</v>
      </c>
      <c r="U283" s="426"/>
      <c r="V283" s="427"/>
      <c r="W283" s="427"/>
      <c r="X283" s="427"/>
      <c r="Y283" s="426">
        <v>0.57999999999999996</v>
      </c>
      <c r="Z283" s="427" t="s">
        <v>37</v>
      </c>
      <c r="AA283" s="426"/>
      <c r="AB283" s="427"/>
      <c r="AC283" s="427"/>
      <c r="AD283" s="427"/>
      <c r="AE283" s="426"/>
      <c r="AF283" s="239">
        <f t="shared" si="110"/>
        <v>3.3672958299864741</v>
      </c>
      <c r="AG283" s="239">
        <f t="shared" si="111"/>
        <v>3.4719664525503626</v>
      </c>
      <c r="AH283" s="240"/>
      <c r="AI283" s="240"/>
      <c r="AK283" s="265">
        <f t="shared" si="112"/>
        <v>58</v>
      </c>
      <c r="AL283" s="265">
        <f t="shared" si="113"/>
        <v>61.2</v>
      </c>
      <c r="AM283" s="239">
        <f t="shared" si="114"/>
        <v>4.0604430105464191</v>
      </c>
      <c r="AN283" s="239">
        <f t="shared" si="115"/>
        <v>4.1141471895182802</v>
      </c>
      <c r="AO283" s="240"/>
      <c r="AP283" s="240"/>
      <c r="AR283" s="265">
        <f t="shared" si="116"/>
        <v>49.695670026138103</v>
      </c>
      <c r="AS283" s="265">
        <f t="shared" si="117"/>
        <v>52.437500096545726</v>
      </c>
      <c r="AT283" s="239">
        <f t="shared" si="118"/>
        <v>3.905917807096722</v>
      </c>
      <c r="AU283" s="239">
        <f t="shared" si="119"/>
        <v>3.9596219860685831</v>
      </c>
      <c r="AX283" s="385"/>
      <c r="AY283" s="385"/>
      <c r="AZ283" s="385"/>
      <c r="BA283" s="385"/>
      <c r="BB283" s="239"/>
      <c r="BC283" s="239"/>
      <c r="BD283" s="240"/>
      <c r="BE283" s="240"/>
      <c r="BF283" s="136"/>
      <c r="BG283" s="136"/>
      <c r="BH283" s="136"/>
      <c r="BI283" s="136"/>
    </row>
    <row r="284" spans="1:61" x14ac:dyDescent="0.2">
      <c r="A284" s="232" t="s">
        <v>34</v>
      </c>
      <c r="B284" s="232" t="s">
        <v>49</v>
      </c>
      <c r="C284" s="425" t="s">
        <v>53</v>
      </c>
      <c r="D284" s="381" t="s">
        <v>324</v>
      </c>
      <c r="E284" s="387">
        <v>6</v>
      </c>
      <c r="F284" s="387">
        <v>10</v>
      </c>
      <c r="G284" s="296">
        <f t="shared" si="120"/>
        <v>5.8004640371229703</v>
      </c>
      <c r="H284" s="387">
        <v>20</v>
      </c>
      <c r="I284" s="300">
        <f t="shared" si="125"/>
        <v>14.366</v>
      </c>
      <c r="J284" s="387">
        <v>3.2</v>
      </c>
      <c r="K284" s="383">
        <v>0</v>
      </c>
      <c r="L284" s="383">
        <v>28</v>
      </c>
      <c r="M284" s="383" t="s">
        <v>93</v>
      </c>
      <c r="N284" s="387">
        <v>10</v>
      </c>
      <c r="O284" s="387">
        <f t="shared" si="109"/>
        <v>13.2</v>
      </c>
      <c r="P284" s="387"/>
      <c r="Q284" s="387"/>
      <c r="R284" s="387">
        <v>2</v>
      </c>
      <c r="S284" s="426">
        <v>0.57999999999999996</v>
      </c>
      <c r="T284" s="427" t="s">
        <v>37</v>
      </c>
      <c r="U284" s="426"/>
      <c r="V284" s="427"/>
      <c r="W284" s="427"/>
      <c r="X284" s="427"/>
      <c r="Y284" s="426">
        <v>0.57999999999999996</v>
      </c>
      <c r="Z284" s="427" t="s">
        <v>37</v>
      </c>
      <c r="AA284" s="426"/>
      <c r="AB284" s="427"/>
      <c r="AC284" s="427"/>
      <c r="AD284" s="427"/>
      <c r="AE284" s="426"/>
      <c r="AF284" s="239">
        <f t="shared" si="110"/>
        <v>2.3025850929940459</v>
      </c>
      <c r="AG284" s="239">
        <f t="shared" si="111"/>
        <v>2.5802168295923251</v>
      </c>
      <c r="AH284" s="240"/>
      <c r="AI284" s="240"/>
      <c r="AK284" s="265">
        <f t="shared" si="112"/>
        <v>20</v>
      </c>
      <c r="AL284" s="265">
        <f t="shared" si="113"/>
        <v>23.2</v>
      </c>
      <c r="AM284" s="239">
        <f t="shared" si="114"/>
        <v>2.9957322735539909</v>
      </c>
      <c r="AN284" s="239">
        <f t="shared" si="115"/>
        <v>3.1441522786722644</v>
      </c>
      <c r="AO284" s="240"/>
      <c r="AP284" s="240"/>
      <c r="AR284" s="265">
        <f t="shared" si="116"/>
        <v>17.341171456537001</v>
      </c>
      <c r="AS284" s="265">
        <f t="shared" si="117"/>
        <v>20.115758889582921</v>
      </c>
      <c r="AT284" s="239">
        <f t="shared" si="118"/>
        <v>2.8530835271175703</v>
      </c>
      <c r="AU284" s="239">
        <f t="shared" si="119"/>
        <v>3.0015035322358434</v>
      </c>
      <c r="AX284" s="385"/>
      <c r="AY284" s="385"/>
      <c r="AZ284" s="385"/>
      <c r="BA284" s="385"/>
      <c r="BB284" s="239"/>
      <c r="BC284" s="239"/>
      <c r="BD284" s="240"/>
      <c r="BE284" s="240"/>
      <c r="BF284" s="136"/>
      <c r="BG284" s="136"/>
      <c r="BH284" s="136"/>
      <c r="BI284" s="136"/>
    </row>
    <row r="285" spans="1:61" x14ac:dyDescent="0.2">
      <c r="A285" s="232" t="s">
        <v>34</v>
      </c>
      <c r="B285" s="232" t="s">
        <v>49</v>
      </c>
      <c r="C285" s="425" t="s">
        <v>53</v>
      </c>
      <c r="D285" s="381" t="s">
        <v>328</v>
      </c>
      <c r="E285" s="387">
        <v>6</v>
      </c>
      <c r="F285" s="387">
        <v>10</v>
      </c>
      <c r="G285" s="296">
        <f t="shared" si="120"/>
        <v>5.8004640371229703</v>
      </c>
      <c r="H285" s="387">
        <v>20</v>
      </c>
      <c r="I285" s="300">
        <f t="shared" si="125"/>
        <v>14.366</v>
      </c>
      <c r="J285" s="387">
        <v>3.2</v>
      </c>
      <c r="K285" s="383">
        <v>0</v>
      </c>
      <c r="L285" s="383">
        <v>28</v>
      </c>
      <c r="M285" s="383" t="s">
        <v>93</v>
      </c>
      <c r="N285" s="387">
        <v>32</v>
      </c>
      <c r="O285" s="387">
        <f t="shared" si="109"/>
        <v>35.200000000000003</v>
      </c>
      <c r="P285" s="387"/>
      <c r="Q285" s="387"/>
      <c r="R285" s="387">
        <v>2</v>
      </c>
      <c r="S285" s="426">
        <v>0.57999999999999996</v>
      </c>
      <c r="T285" s="427" t="s">
        <v>37</v>
      </c>
      <c r="U285" s="426"/>
      <c r="V285" s="427"/>
      <c r="W285" s="427"/>
      <c r="X285" s="427"/>
      <c r="Y285" s="426">
        <v>0.57999999999999996</v>
      </c>
      <c r="Z285" s="427" t="s">
        <v>37</v>
      </c>
      <c r="AA285" s="426"/>
      <c r="AB285" s="427"/>
      <c r="AC285" s="427"/>
      <c r="AD285" s="427"/>
      <c r="AE285" s="426"/>
      <c r="AF285" s="239">
        <f t="shared" si="110"/>
        <v>3.4657359027997265</v>
      </c>
      <c r="AG285" s="239">
        <f t="shared" si="111"/>
        <v>3.5610460826040513</v>
      </c>
      <c r="AH285" s="240"/>
      <c r="AI285" s="240"/>
      <c r="AK285" s="265">
        <f t="shared" si="112"/>
        <v>64</v>
      </c>
      <c r="AL285" s="265">
        <f t="shared" si="113"/>
        <v>67.2</v>
      </c>
      <c r="AM285" s="239">
        <f t="shared" si="114"/>
        <v>4.1588830833596715</v>
      </c>
      <c r="AN285" s="239">
        <f t="shared" si="115"/>
        <v>4.2076732475291037</v>
      </c>
      <c r="AO285" s="240"/>
      <c r="AP285" s="240"/>
      <c r="AR285" s="265">
        <f t="shared" si="116"/>
        <v>55.491748660918404</v>
      </c>
      <c r="AS285" s="265">
        <f t="shared" si="117"/>
        <v>58.266336093964327</v>
      </c>
      <c r="AT285" s="239">
        <f t="shared" si="118"/>
        <v>4.0162343369232509</v>
      </c>
      <c r="AU285" s="239">
        <f t="shared" si="119"/>
        <v>4.0650245010926831</v>
      </c>
      <c r="AX285" s="385"/>
      <c r="AY285" s="385"/>
      <c r="AZ285" s="385"/>
      <c r="BA285" s="385"/>
      <c r="BB285" s="239"/>
      <c r="BC285" s="239"/>
      <c r="BD285" s="240"/>
      <c r="BE285" s="240"/>
      <c r="BF285" s="136"/>
      <c r="BG285" s="136"/>
      <c r="BH285" s="136"/>
      <c r="BI285" s="136"/>
    </row>
    <row r="286" spans="1:61" s="298" customFormat="1" x14ac:dyDescent="0.2">
      <c r="A286" s="290" t="s">
        <v>34</v>
      </c>
      <c r="B286" s="290" t="s">
        <v>49</v>
      </c>
      <c r="C286" s="425" t="s">
        <v>53</v>
      </c>
      <c r="D286" s="381" t="s">
        <v>328</v>
      </c>
      <c r="E286" s="387">
        <v>5.8</v>
      </c>
      <c r="F286" s="387">
        <v>3.9</v>
      </c>
      <c r="G286" s="296">
        <f t="shared" si="120"/>
        <v>2.2621809744779582</v>
      </c>
      <c r="H286" s="387">
        <v>5.0999999999999996</v>
      </c>
      <c r="I286" s="300">
        <f t="shared" si="124"/>
        <v>8.2024439999999998</v>
      </c>
      <c r="J286" s="387">
        <v>5.2</v>
      </c>
      <c r="K286" s="383">
        <v>0</v>
      </c>
      <c r="L286" s="383">
        <v>28</v>
      </c>
      <c r="M286" s="383" t="s">
        <v>93</v>
      </c>
      <c r="N286" s="387">
        <v>32</v>
      </c>
      <c r="O286" s="387">
        <f t="shared" si="109"/>
        <v>37.200000000000003</v>
      </c>
      <c r="P286" s="387"/>
      <c r="Q286" s="387"/>
      <c r="R286" s="387">
        <v>2</v>
      </c>
      <c r="S286" s="426">
        <v>0.57999999999999996</v>
      </c>
      <c r="T286" s="427" t="s">
        <v>37</v>
      </c>
      <c r="U286" s="426"/>
      <c r="V286" s="427"/>
      <c r="W286" s="427"/>
      <c r="X286" s="427"/>
      <c r="Y286" s="426">
        <v>0.57999999999999996</v>
      </c>
      <c r="Z286" s="427" t="s">
        <v>37</v>
      </c>
      <c r="AA286" s="426"/>
      <c r="AB286" s="427"/>
      <c r="AC286" s="427"/>
      <c r="AD286" s="427"/>
      <c r="AE286" s="426"/>
      <c r="AF286" s="287">
        <f t="shared" si="110"/>
        <v>3.4657359027997265</v>
      </c>
      <c r="AG286" s="287">
        <f t="shared" si="111"/>
        <v>3.6163087612791012</v>
      </c>
      <c r="AH286" s="288"/>
      <c r="AI286" s="288"/>
      <c r="AK286" s="286">
        <f t="shared" si="112"/>
        <v>64</v>
      </c>
      <c r="AL286" s="286">
        <f t="shared" si="113"/>
        <v>69.2</v>
      </c>
      <c r="AM286" s="287">
        <f t="shared" si="114"/>
        <v>4.1588830833596715</v>
      </c>
      <c r="AN286" s="287">
        <f t="shared" si="115"/>
        <v>4.2370008626236242</v>
      </c>
      <c r="AO286" s="288"/>
      <c r="AP286" s="288"/>
      <c r="AR286" s="286">
        <f t="shared" si="116"/>
        <v>76.806170427081526</v>
      </c>
      <c r="AS286" s="286">
        <f t="shared" si="117"/>
        <v>83.046671774281904</v>
      </c>
      <c r="AT286" s="287">
        <f t="shared" si="118"/>
        <v>4.3412849810288359</v>
      </c>
      <c r="AU286" s="287">
        <f t="shared" si="119"/>
        <v>4.4194027602927877</v>
      </c>
      <c r="AV286" s="299"/>
      <c r="AW286" s="299"/>
      <c r="AX286" s="286"/>
      <c r="AY286" s="286"/>
      <c r="AZ286" s="286"/>
      <c r="BA286" s="286"/>
      <c r="BB286" s="287"/>
      <c r="BC286" s="287"/>
      <c r="BD286" s="288"/>
      <c r="BE286" s="288"/>
    </row>
    <row r="287" spans="1:61" x14ac:dyDescent="0.2">
      <c r="A287" s="232" t="s">
        <v>34</v>
      </c>
      <c r="B287" s="232" t="s">
        <v>49</v>
      </c>
      <c r="C287" s="425" t="s">
        <v>53</v>
      </c>
      <c r="D287" s="381" t="s">
        <v>324</v>
      </c>
      <c r="E287" s="387">
        <v>6.75</v>
      </c>
      <c r="F287" s="387">
        <v>4.7</v>
      </c>
      <c r="G287" s="296">
        <f t="shared" si="120"/>
        <v>2.7262180974477959</v>
      </c>
      <c r="H287" s="387">
        <v>14.5</v>
      </c>
      <c r="I287" s="300">
        <f t="shared" si="124"/>
        <v>16.456150000000001</v>
      </c>
      <c r="J287" s="387">
        <v>15</v>
      </c>
      <c r="K287" s="383">
        <v>1</v>
      </c>
      <c r="L287" s="383">
        <v>21</v>
      </c>
      <c r="M287" s="383" t="s">
        <v>93</v>
      </c>
      <c r="N287" s="387">
        <v>100</v>
      </c>
      <c r="O287" s="387">
        <f t="shared" si="109"/>
        <v>115</v>
      </c>
      <c r="P287" s="387"/>
      <c r="Q287" s="387"/>
      <c r="R287" s="387">
        <v>2</v>
      </c>
      <c r="S287" s="426">
        <v>0.57999999999999996</v>
      </c>
      <c r="T287" s="427" t="s">
        <v>37</v>
      </c>
      <c r="U287" s="426"/>
      <c r="V287" s="427"/>
      <c r="W287" s="427"/>
      <c r="X287" s="427"/>
      <c r="Y287" s="426">
        <v>0.57999999999999996</v>
      </c>
      <c r="Z287" s="427" t="s">
        <v>37</v>
      </c>
      <c r="AA287" s="426"/>
      <c r="AB287" s="427"/>
      <c r="AC287" s="427"/>
      <c r="AD287" s="427"/>
      <c r="AE287" s="426"/>
      <c r="AF287" s="239">
        <f t="shared" si="110"/>
        <v>4.6051701859880918</v>
      </c>
      <c r="AG287" s="239">
        <f t="shared" si="111"/>
        <v>4.7449321283632502</v>
      </c>
      <c r="AH287" s="240"/>
      <c r="AI287" s="240"/>
      <c r="AK287" s="265">
        <f t="shared" si="112"/>
        <v>200</v>
      </c>
      <c r="AL287" s="265">
        <f t="shared" si="113"/>
        <v>215</v>
      </c>
      <c r="AM287" s="239">
        <f t="shared" si="114"/>
        <v>5.2983173665480363</v>
      </c>
      <c r="AN287" s="239">
        <f t="shared" si="115"/>
        <v>5.3706380281276624</v>
      </c>
      <c r="AO287" s="240"/>
      <c r="AP287" s="240"/>
      <c r="AR287" s="265">
        <f t="shared" si="116"/>
        <v>160.27391833845567</v>
      </c>
      <c r="AS287" s="265">
        <f t="shared" si="117"/>
        <v>172.29446221383986</v>
      </c>
      <c r="AT287" s="239">
        <f t="shared" si="118"/>
        <v>5.0768843410653703</v>
      </c>
      <c r="AU287" s="239">
        <f t="shared" si="119"/>
        <v>5.1492050026449965</v>
      </c>
      <c r="AX287" s="385"/>
      <c r="AY287" s="385"/>
      <c r="AZ287" s="385"/>
      <c r="BA287" s="385"/>
      <c r="BB287" s="239"/>
      <c r="BC287" s="239"/>
      <c r="BD287" s="240"/>
      <c r="BE287" s="240"/>
      <c r="BF287" s="136"/>
      <c r="BG287" s="136"/>
      <c r="BH287" s="136"/>
      <c r="BI287" s="136"/>
    </row>
    <row r="288" spans="1:61" x14ac:dyDescent="0.2">
      <c r="A288" s="232" t="s">
        <v>34</v>
      </c>
      <c r="B288" s="232" t="s">
        <v>49</v>
      </c>
      <c r="C288" s="425" t="s">
        <v>53</v>
      </c>
      <c r="D288" s="381" t="s">
        <v>324</v>
      </c>
      <c r="E288" s="293">
        <v>2.9750000000000001</v>
      </c>
      <c r="F288" s="293">
        <v>8.1964840000000017</v>
      </c>
      <c r="G288" s="296">
        <v>5.0999999999999996</v>
      </c>
      <c r="H288" s="293">
        <v>7</v>
      </c>
      <c r="I288" s="235">
        <v>5.8</v>
      </c>
      <c r="J288" s="294">
        <v>2</v>
      </c>
      <c r="K288" s="399">
        <v>7</v>
      </c>
      <c r="L288" s="399">
        <v>28</v>
      </c>
      <c r="M288" s="383" t="s">
        <v>93</v>
      </c>
      <c r="N288" s="295">
        <v>177</v>
      </c>
      <c r="O288" s="387">
        <f t="shared" si="109"/>
        <v>179</v>
      </c>
      <c r="P288" s="387"/>
      <c r="Q288" s="387"/>
      <c r="R288" s="387">
        <v>2</v>
      </c>
      <c r="S288" s="426">
        <v>0.57999999999999996</v>
      </c>
      <c r="T288" s="427" t="s">
        <v>37</v>
      </c>
      <c r="U288" s="426"/>
      <c r="V288" s="427"/>
      <c r="W288" s="427"/>
      <c r="X288" s="427"/>
      <c r="Y288" s="426">
        <v>0.57999999999999996</v>
      </c>
      <c r="Z288" s="427" t="s">
        <v>37</v>
      </c>
      <c r="AA288" s="426"/>
      <c r="AB288" s="427"/>
      <c r="AC288" s="427"/>
      <c r="AD288" s="427"/>
      <c r="AE288" s="426"/>
      <c r="AF288" s="239">
        <f t="shared" si="110"/>
        <v>5.1761497325738288</v>
      </c>
      <c r="AG288" s="239">
        <f t="shared" si="111"/>
        <v>5.1873858058407549</v>
      </c>
      <c r="AH288" s="240"/>
      <c r="AI288" s="240"/>
      <c r="AK288" s="265">
        <f t="shared" si="112"/>
        <v>354</v>
      </c>
      <c r="AL288" s="265">
        <f t="shared" si="113"/>
        <v>356</v>
      </c>
      <c r="AM288" s="239">
        <f t="shared" si="114"/>
        <v>5.8692969131337742</v>
      </c>
      <c r="AN288" s="239">
        <f t="shared" si="115"/>
        <v>5.8749307308520304</v>
      </c>
      <c r="AO288" s="240"/>
      <c r="AP288" s="240"/>
      <c r="AR288" s="265">
        <f t="shared" si="116"/>
        <v>519.41951495531396</v>
      </c>
      <c r="AS288" s="265">
        <f t="shared" si="117"/>
        <v>522.35408848613486</v>
      </c>
      <c r="AT288" s="239">
        <f t="shared" si="118"/>
        <v>6.2527118706354905</v>
      </c>
      <c r="AU288" s="239">
        <f t="shared" si="119"/>
        <v>6.2583456883537467</v>
      </c>
      <c r="AX288" s="385"/>
      <c r="AY288" s="385"/>
      <c r="AZ288" s="385"/>
      <c r="BA288" s="385"/>
      <c r="BB288" s="239"/>
      <c r="BC288" s="239"/>
      <c r="BD288" s="240"/>
      <c r="BE288" s="240"/>
      <c r="BF288" s="136"/>
      <c r="BG288" s="136"/>
      <c r="BH288" s="136"/>
      <c r="BI288" s="136"/>
    </row>
    <row r="289" spans="1:61" x14ac:dyDescent="0.2">
      <c r="A289" s="232" t="s">
        <v>34</v>
      </c>
      <c r="B289" s="232" t="s">
        <v>49</v>
      </c>
      <c r="C289" s="425" t="s">
        <v>53</v>
      </c>
      <c r="D289" s="381" t="s">
        <v>324</v>
      </c>
      <c r="E289" s="293">
        <v>3.36</v>
      </c>
      <c r="F289" s="293">
        <v>8.3137760000000025</v>
      </c>
      <c r="G289" s="296">
        <v>5.2</v>
      </c>
      <c r="H289" s="293">
        <v>13</v>
      </c>
      <c r="I289" s="235">
        <v>6.7</v>
      </c>
      <c r="J289" s="294">
        <v>17</v>
      </c>
      <c r="K289" s="399">
        <v>7</v>
      </c>
      <c r="L289" s="399">
        <v>28</v>
      </c>
      <c r="M289" s="383" t="s">
        <v>93</v>
      </c>
      <c r="N289" s="295">
        <v>93.6</v>
      </c>
      <c r="O289" s="387">
        <f t="shared" si="109"/>
        <v>110.6</v>
      </c>
      <c r="P289" s="387"/>
      <c r="Q289" s="387"/>
      <c r="R289" s="387">
        <v>2</v>
      </c>
      <c r="S289" s="426">
        <v>0.57999999999999996</v>
      </c>
      <c r="T289" s="427" t="s">
        <v>37</v>
      </c>
      <c r="U289" s="426"/>
      <c r="V289" s="427"/>
      <c r="W289" s="427"/>
      <c r="X289" s="427"/>
      <c r="Y289" s="426">
        <v>0.57999999999999996</v>
      </c>
      <c r="Z289" s="427" t="s">
        <v>37</v>
      </c>
      <c r="AA289" s="426"/>
      <c r="AB289" s="427"/>
      <c r="AC289" s="427"/>
      <c r="AD289" s="427"/>
      <c r="AE289" s="426"/>
      <c r="AF289" s="239">
        <f t="shared" si="110"/>
        <v>4.5390303834835466</v>
      </c>
      <c r="AG289" s="239">
        <f t="shared" si="111"/>
        <v>4.7059200890882344</v>
      </c>
      <c r="AH289" s="240"/>
      <c r="AI289" s="240"/>
      <c r="AK289" s="265">
        <f t="shared" si="112"/>
        <v>187.2</v>
      </c>
      <c r="AL289" s="265">
        <f t="shared" si="113"/>
        <v>204.2</v>
      </c>
      <c r="AM289" s="239">
        <f t="shared" si="114"/>
        <v>5.232177564043492</v>
      </c>
      <c r="AN289" s="239">
        <f t="shared" si="115"/>
        <v>5.3190999057305648</v>
      </c>
      <c r="AO289" s="240"/>
      <c r="AP289" s="240"/>
      <c r="AR289" s="265">
        <f t="shared" si="116"/>
        <v>252.63044985999571</v>
      </c>
      <c r="AS289" s="265">
        <f t="shared" si="117"/>
        <v>275.57231763574316</v>
      </c>
      <c r="AT289" s="239">
        <f t="shared" si="118"/>
        <v>5.531927748415371</v>
      </c>
      <c r="AU289" s="239">
        <f t="shared" si="119"/>
        <v>5.6188500901024439</v>
      </c>
      <c r="AX289" s="385"/>
      <c r="AY289" s="385"/>
      <c r="AZ289" s="385"/>
      <c r="BA289" s="385"/>
      <c r="BB289" s="239"/>
      <c r="BC289" s="239"/>
      <c r="BD289" s="240"/>
      <c r="BE289" s="240"/>
      <c r="BF289" s="136"/>
      <c r="BG289" s="136"/>
      <c r="BH289" s="136"/>
      <c r="BI289" s="136"/>
    </row>
    <row r="290" spans="1:61" x14ac:dyDescent="0.2">
      <c r="A290" s="232" t="s">
        <v>34</v>
      </c>
      <c r="B290" s="232" t="s">
        <v>49</v>
      </c>
      <c r="C290" s="425" t="s">
        <v>53</v>
      </c>
      <c r="D290" s="381" t="s">
        <v>324</v>
      </c>
      <c r="E290" s="293">
        <v>4.7</v>
      </c>
      <c r="F290" s="293">
        <v>37.316435200000001</v>
      </c>
      <c r="G290" s="296">
        <v>23.3</v>
      </c>
      <c r="H290" s="293">
        <v>24</v>
      </c>
      <c r="I290" s="235">
        <v>35.299999999999997</v>
      </c>
      <c r="J290" s="294">
        <v>70</v>
      </c>
      <c r="K290" s="399">
        <v>7</v>
      </c>
      <c r="L290" s="399">
        <v>28</v>
      </c>
      <c r="M290" s="383" t="s">
        <v>93</v>
      </c>
      <c r="N290" s="295">
        <v>56.4</v>
      </c>
      <c r="O290" s="387">
        <f t="shared" si="109"/>
        <v>126.4</v>
      </c>
      <c r="P290" s="387"/>
      <c r="Q290" s="387"/>
      <c r="R290" s="387">
        <v>2</v>
      </c>
      <c r="S290" s="426">
        <v>0.57999999999999996</v>
      </c>
      <c r="T290" s="427" t="s">
        <v>37</v>
      </c>
      <c r="U290" s="426"/>
      <c r="V290" s="427"/>
      <c r="W290" s="427"/>
      <c r="X290" s="427"/>
      <c r="Y290" s="426">
        <v>0.57999999999999996</v>
      </c>
      <c r="Z290" s="427" t="s">
        <v>37</v>
      </c>
      <c r="AA290" s="426"/>
      <c r="AB290" s="427"/>
      <c r="AC290" s="427"/>
      <c r="AD290" s="427"/>
      <c r="AE290" s="426"/>
      <c r="AF290" s="239">
        <f t="shared" si="110"/>
        <v>4.0324691585040133</v>
      </c>
      <c r="AG290" s="239">
        <f t="shared" si="111"/>
        <v>4.8394514817127572</v>
      </c>
      <c r="AH290" s="240"/>
      <c r="AI290" s="240"/>
      <c r="AK290" s="265">
        <f t="shared" si="112"/>
        <v>112.8</v>
      </c>
      <c r="AL290" s="265">
        <f t="shared" si="113"/>
        <v>182.8</v>
      </c>
      <c r="AM290" s="239">
        <f t="shared" si="114"/>
        <v>4.7256163390639587</v>
      </c>
      <c r="AN290" s="239">
        <f t="shared" si="115"/>
        <v>5.20839265902005</v>
      </c>
      <c r="AO290" s="240"/>
      <c r="AP290" s="240"/>
      <c r="AR290" s="265">
        <f t="shared" si="116"/>
        <v>58.063472734275344</v>
      </c>
      <c r="AS290" s="265">
        <f t="shared" si="117"/>
        <v>94.095769643843383</v>
      </c>
      <c r="AT290" s="239">
        <f t="shared" si="118"/>
        <v>4.0615367696612861</v>
      </c>
      <c r="AU290" s="239">
        <f t="shared" si="119"/>
        <v>4.5443130896173773</v>
      </c>
      <c r="AX290" s="385"/>
      <c r="AY290" s="385"/>
      <c r="AZ290" s="385"/>
      <c r="BA290" s="385"/>
      <c r="BB290" s="239"/>
      <c r="BC290" s="239"/>
      <c r="BD290" s="240"/>
      <c r="BE290" s="240"/>
      <c r="BF290" s="136"/>
      <c r="BG290" s="136"/>
      <c r="BH290" s="136"/>
      <c r="BI290" s="136"/>
    </row>
    <row r="291" spans="1:61" x14ac:dyDescent="0.2">
      <c r="A291" s="232" t="s">
        <v>34</v>
      </c>
      <c r="B291" s="232" t="s">
        <v>49</v>
      </c>
      <c r="C291" s="425" t="s">
        <v>53</v>
      </c>
      <c r="D291" s="381" t="s">
        <v>324</v>
      </c>
      <c r="E291" s="293">
        <v>4.7549999999999999</v>
      </c>
      <c r="F291" s="293">
        <v>2.6084792000000001</v>
      </c>
      <c r="G291" s="296">
        <v>1.6</v>
      </c>
      <c r="H291" s="293">
        <v>7</v>
      </c>
      <c r="I291" s="235">
        <v>2.4</v>
      </c>
      <c r="J291" s="294">
        <v>6</v>
      </c>
      <c r="K291" s="399">
        <v>7</v>
      </c>
      <c r="L291" s="399">
        <v>28</v>
      </c>
      <c r="M291" s="383" t="s">
        <v>93</v>
      </c>
      <c r="N291" s="295">
        <v>48.2</v>
      </c>
      <c r="O291" s="387">
        <f t="shared" si="109"/>
        <v>54.2</v>
      </c>
      <c r="P291" s="387"/>
      <c r="Q291" s="387"/>
      <c r="R291" s="387">
        <v>2</v>
      </c>
      <c r="S291" s="426">
        <v>0.57999999999999996</v>
      </c>
      <c r="T291" s="427" t="s">
        <v>37</v>
      </c>
      <c r="U291" s="426"/>
      <c r="V291" s="427"/>
      <c r="W291" s="427"/>
      <c r="X291" s="427"/>
      <c r="Y291" s="426">
        <v>0.57999999999999996</v>
      </c>
      <c r="Z291" s="427" t="s">
        <v>37</v>
      </c>
      <c r="AA291" s="426"/>
      <c r="AB291" s="427"/>
      <c r="AC291" s="427"/>
      <c r="AD291" s="427"/>
      <c r="AE291" s="426"/>
      <c r="AF291" s="239">
        <f t="shared" si="110"/>
        <v>3.8753590210565547</v>
      </c>
      <c r="AG291" s="239">
        <f t="shared" si="111"/>
        <v>3.9926809084456005</v>
      </c>
      <c r="AH291" s="240"/>
      <c r="AI291" s="240"/>
      <c r="AK291" s="265">
        <f t="shared" si="112"/>
        <v>96.4</v>
      </c>
      <c r="AL291" s="265">
        <f t="shared" si="113"/>
        <v>102.4</v>
      </c>
      <c r="AM291" s="239">
        <f t="shared" si="114"/>
        <v>4.5685062016164997</v>
      </c>
      <c r="AN291" s="239">
        <f t="shared" si="115"/>
        <v>4.6288867126054072</v>
      </c>
      <c r="AO291" s="240"/>
      <c r="AP291" s="240"/>
      <c r="AR291" s="265">
        <f t="shared" si="116"/>
        <v>235.97052039277727</v>
      </c>
      <c r="AS291" s="265">
        <f t="shared" si="117"/>
        <v>250.65748224295012</v>
      </c>
      <c r="AT291" s="239">
        <f t="shared" si="118"/>
        <v>5.4637068836333311</v>
      </c>
      <c r="AU291" s="239">
        <f t="shared" si="119"/>
        <v>5.5240873946222386</v>
      </c>
      <c r="AX291" s="385"/>
      <c r="AY291" s="385"/>
      <c r="AZ291" s="385"/>
      <c r="BA291" s="385"/>
      <c r="BB291" s="239"/>
      <c r="BC291" s="239"/>
      <c r="BD291" s="240"/>
      <c r="BE291" s="240"/>
      <c r="BF291" s="136"/>
      <c r="BG291" s="136"/>
      <c r="BH291" s="136"/>
      <c r="BI291" s="136"/>
    </row>
    <row r="292" spans="1:61" x14ac:dyDescent="0.2">
      <c r="A292" s="232" t="s">
        <v>34</v>
      </c>
      <c r="B292" s="232" t="s">
        <v>49</v>
      </c>
      <c r="C292" s="425" t="s">
        <v>53</v>
      </c>
      <c r="D292" s="381" t="s">
        <v>324</v>
      </c>
      <c r="E292" s="293">
        <v>4.8</v>
      </c>
      <c r="F292" s="293">
        <v>0.65026320000000004</v>
      </c>
      <c r="G292" s="296">
        <v>0.4</v>
      </c>
      <c r="H292" s="293">
        <v>38</v>
      </c>
      <c r="I292" s="235">
        <v>11.2</v>
      </c>
      <c r="J292" s="294">
        <v>31</v>
      </c>
      <c r="K292" s="399">
        <v>7</v>
      </c>
      <c r="L292" s="399">
        <v>28</v>
      </c>
      <c r="M292" s="383" t="s">
        <v>93</v>
      </c>
      <c r="N292" s="295">
        <v>179</v>
      </c>
      <c r="O292" s="387">
        <f t="shared" si="109"/>
        <v>210</v>
      </c>
      <c r="P292" s="387"/>
      <c r="Q292" s="387"/>
      <c r="R292" s="387">
        <v>2</v>
      </c>
      <c r="S292" s="426">
        <v>0.57999999999999996</v>
      </c>
      <c r="T292" s="427" t="s">
        <v>37</v>
      </c>
      <c r="U292" s="426"/>
      <c r="V292" s="427"/>
      <c r="W292" s="427"/>
      <c r="X292" s="427"/>
      <c r="Y292" s="426">
        <v>0.57999999999999996</v>
      </c>
      <c r="Z292" s="427" t="s">
        <v>37</v>
      </c>
      <c r="AA292" s="426"/>
      <c r="AB292" s="427"/>
      <c r="AC292" s="427"/>
      <c r="AD292" s="427"/>
      <c r="AE292" s="426"/>
      <c r="AF292" s="239">
        <f t="shared" si="110"/>
        <v>5.1873858058407549</v>
      </c>
      <c r="AG292" s="239">
        <f t="shared" si="111"/>
        <v>5.3471075307174685</v>
      </c>
      <c r="AH292" s="240"/>
      <c r="AI292" s="240"/>
      <c r="AK292" s="265">
        <f t="shared" si="112"/>
        <v>358</v>
      </c>
      <c r="AL292" s="265">
        <f t="shared" si="113"/>
        <v>389</v>
      </c>
      <c r="AM292" s="239">
        <f t="shared" si="114"/>
        <v>5.8805329864007003</v>
      </c>
      <c r="AN292" s="239">
        <f t="shared" si="115"/>
        <v>5.9635793436184459</v>
      </c>
      <c r="AO292" s="240"/>
      <c r="AP292" s="240"/>
      <c r="AR292" s="265">
        <f t="shared" si="116"/>
        <v>358.62437971077856</v>
      </c>
      <c r="AS292" s="265">
        <f t="shared" si="117"/>
        <v>389.67844611031524</v>
      </c>
      <c r="AT292" s="239">
        <f t="shared" si="118"/>
        <v>5.8822755446681851</v>
      </c>
      <c r="AU292" s="239">
        <f t="shared" si="119"/>
        <v>5.9653219018859307</v>
      </c>
      <c r="AX292" s="385"/>
      <c r="AY292" s="385"/>
      <c r="AZ292" s="385"/>
      <c r="BA292" s="385"/>
      <c r="BB292" s="239"/>
      <c r="BC292" s="239"/>
      <c r="BD292" s="240"/>
      <c r="BE292" s="240"/>
      <c r="BF292" s="136"/>
      <c r="BG292" s="136"/>
      <c r="BH292" s="136"/>
      <c r="BI292" s="136"/>
    </row>
    <row r="293" spans="1:61" x14ac:dyDescent="0.2">
      <c r="A293" s="232" t="s">
        <v>34</v>
      </c>
      <c r="B293" s="232" t="s">
        <v>49</v>
      </c>
      <c r="C293" s="425" t="s">
        <v>53</v>
      </c>
      <c r="D293" s="381" t="s">
        <v>324</v>
      </c>
      <c r="E293" s="293">
        <v>5.0549999999999997</v>
      </c>
      <c r="F293" s="293">
        <v>3.75284</v>
      </c>
      <c r="G293" s="296">
        <v>2.2999999999999998</v>
      </c>
      <c r="H293" s="293">
        <v>9</v>
      </c>
      <c r="I293" s="235">
        <v>4.7</v>
      </c>
      <c r="J293" s="294">
        <v>7.7</v>
      </c>
      <c r="K293" s="399">
        <v>7</v>
      </c>
      <c r="L293" s="399">
        <v>28</v>
      </c>
      <c r="M293" s="383" t="s">
        <v>93</v>
      </c>
      <c r="N293" s="295">
        <v>86.8</v>
      </c>
      <c r="O293" s="387">
        <f t="shared" si="109"/>
        <v>94.5</v>
      </c>
      <c r="P293" s="387"/>
      <c r="Q293" s="387"/>
      <c r="R293" s="387">
        <v>2</v>
      </c>
      <c r="S293" s="426">
        <v>0.57999999999999996</v>
      </c>
      <c r="T293" s="427" t="s">
        <v>37</v>
      </c>
      <c r="U293" s="426"/>
      <c r="V293" s="427"/>
      <c r="W293" s="427"/>
      <c r="X293" s="427"/>
      <c r="Y293" s="426">
        <v>0.57999999999999996</v>
      </c>
      <c r="Z293" s="427" t="s">
        <v>37</v>
      </c>
      <c r="AA293" s="426"/>
      <c r="AB293" s="427"/>
      <c r="AC293" s="427"/>
      <c r="AD293" s="427"/>
      <c r="AE293" s="426"/>
      <c r="AF293" s="239">
        <f t="shared" si="110"/>
        <v>4.4636066216663046</v>
      </c>
      <c r="AG293" s="239">
        <f t="shared" si="111"/>
        <v>4.5485998344996972</v>
      </c>
      <c r="AH293" s="240"/>
      <c r="AI293" s="240"/>
      <c r="AK293" s="265">
        <f t="shared" si="112"/>
        <v>173.6</v>
      </c>
      <c r="AL293" s="265">
        <f t="shared" si="113"/>
        <v>181.29999999999998</v>
      </c>
      <c r="AM293" s="239">
        <f t="shared" si="114"/>
        <v>5.15675380222625</v>
      </c>
      <c r="AN293" s="239">
        <f t="shared" si="115"/>
        <v>5.2001531177608049</v>
      </c>
      <c r="AO293" s="240"/>
      <c r="AP293" s="240"/>
      <c r="AR293" s="265">
        <f t="shared" si="116"/>
        <v>287.76382650416735</v>
      </c>
      <c r="AS293" s="265">
        <f t="shared" si="117"/>
        <v>300.52754461523926</v>
      </c>
      <c r="AT293" s="239">
        <f t="shared" si="118"/>
        <v>5.6621400968530553</v>
      </c>
      <c r="AU293" s="239">
        <f t="shared" si="119"/>
        <v>5.7055394123876111</v>
      </c>
      <c r="AX293" s="385"/>
      <c r="AY293" s="385"/>
      <c r="AZ293" s="385"/>
      <c r="BA293" s="385"/>
      <c r="BB293" s="239"/>
      <c r="BC293" s="239"/>
      <c r="BD293" s="240"/>
      <c r="BE293" s="240"/>
      <c r="BF293" s="136"/>
      <c r="BG293" s="136"/>
      <c r="BH293" s="136"/>
      <c r="BI293" s="136"/>
    </row>
    <row r="294" spans="1:61" x14ac:dyDescent="0.2">
      <c r="A294" s="232" t="s">
        <v>34</v>
      </c>
      <c r="B294" s="232" t="s">
        <v>49</v>
      </c>
      <c r="C294" s="425" t="s">
        <v>53</v>
      </c>
      <c r="D294" s="381" t="s">
        <v>324</v>
      </c>
      <c r="E294" s="293">
        <v>5.18</v>
      </c>
      <c r="F294" s="293">
        <v>1.2091624000000001</v>
      </c>
      <c r="G294" s="296">
        <v>0.8</v>
      </c>
      <c r="H294" s="293">
        <v>9</v>
      </c>
      <c r="I294" s="235">
        <v>2.5</v>
      </c>
      <c r="J294" s="294">
        <v>5</v>
      </c>
      <c r="K294" s="399">
        <v>7</v>
      </c>
      <c r="L294" s="399">
        <v>28</v>
      </c>
      <c r="M294" s="383" t="s">
        <v>93</v>
      </c>
      <c r="N294" s="295">
        <v>54.9</v>
      </c>
      <c r="O294" s="387">
        <f t="shared" ref="O294:O325" si="126">N294+J294</f>
        <v>59.9</v>
      </c>
      <c r="P294" s="387"/>
      <c r="Q294" s="387"/>
      <c r="R294" s="387">
        <v>2</v>
      </c>
      <c r="S294" s="426">
        <v>0.57999999999999996</v>
      </c>
      <c r="T294" s="427" t="s">
        <v>37</v>
      </c>
      <c r="U294" s="426"/>
      <c r="V294" s="427"/>
      <c r="W294" s="427"/>
      <c r="X294" s="427"/>
      <c r="Y294" s="426">
        <v>0.57999999999999996</v>
      </c>
      <c r="Z294" s="427" t="s">
        <v>37</v>
      </c>
      <c r="AA294" s="426"/>
      <c r="AB294" s="427"/>
      <c r="AC294" s="427"/>
      <c r="AD294" s="427"/>
      <c r="AE294" s="426"/>
      <c r="AF294" s="239">
        <f t="shared" si="110"/>
        <v>4.0055133485154846</v>
      </c>
      <c r="AG294" s="239">
        <f t="shared" si="111"/>
        <v>4.0926765051214034</v>
      </c>
      <c r="AH294" s="240"/>
      <c r="AI294" s="240"/>
      <c r="AK294" s="265">
        <f t="shared" si="112"/>
        <v>109.8</v>
      </c>
      <c r="AL294" s="265">
        <f t="shared" si="113"/>
        <v>114.8</v>
      </c>
      <c r="AM294" s="239">
        <f t="shared" si="114"/>
        <v>4.69866052907543</v>
      </c>
      <c r="AN294" s="239">
        <f t="shared" si="115"/>
        <v>4.7431914838854663</v>
      </c>
      <c r="AO294" s="240"/>
      <c r="AP294" s="240"/>
      <c r="AR294" s="265">
        <f t="shared" ref="AR294:AR325" si="127">AK294*(eCEC/$I294)^$S294</f>
        <v>262.48251079533389</v>
      </c>
      <c r="AS294" s="265">
        <f t="shared" ref="AS294:AS325" si="128">AL294*(eCEC/$I294)^$Y294</f>
        <v>274.43526629603213</v>
      </c>
      <c r="AT294" s="239">
        <f t="shared" si="118"/>
        <v>5.570184454270513</v>
      </c>
      <c r="AU294" s="239">
        <f t="shared" si="119"/>
        <v>5.6147154090805493</v>
      </c>
      <c r="AX294" s="385"/>
      <c r="AY294" s="385"/>
      <c r="AZ294" s="385"/>
      <c r="BA294" s="385"/>
      <c r="BB294" s="239"/>
      <c r="BC294" s="239"/>
      <c r="BD294" s="240"/>
      <c r="BE294" s="240"/>
      <c r="BF294" s="136"/>
      <c r="BG294" s="136"/>
      <c r="BH294" s="136"/>
      <c r="BI294" s="136"/>
    </row>
    <row r="295" spans="1:61" x14ac:dyDescent="0.2">
      <c r="A295" s="232" t="s">
        <v>34</v>
      </c>
      <c r="B295" s="232" t="s">
        <v>49</v>
      </c>
      <c r="C295" s="425" t="s">
        <v>53</v>
      </c>
      <c r="D295" s="381" t="s">
        <v>324</v>
      </c>
      <c r="E295" s="293">
        <v>6.3550000000000004</v>
      </c>
      <c r="F295" s="293">
        <v>7.0438112000000004</v>
      </c>
      <c r="G295" s="296">
        <v>4.4000000000000004</v>
      </c>
      <c r="H295" s="293">
        <v>21</v>
      </c>
      <c r="I295" s="235">
        <v>23.4</v>
      </c>
      <c r="J295" s="294">
        <v>22</v>
      </c>
      <c r="K295" s="399">
        <v>7</v>
      </c>
      <c r="L295" s="399">
        <v>28</v>
      </c>
      <c r="M295" s="383" t="s">
        <v>93</v>
      </c>
      <c r="N295" s="295">
        <v>177</v>
      </c>
      <c r="O295" s="387">
        <f t="shared" si="126"/>
        <v>199</v>
      </c>
      <c r="P295" s="387"/>
      <c r="Q295" s="387"/>
      <c r="R295" s="387">
        <v>2</v>
      </c>
      <c r="S295" s="426">
        <v>0.57999999999999996</v>
      </c>
      <c r="T295" s="427" t="s">
        <v>37</v>
      </c>
      <c r="U295" s="426"/>
      <c r="V295" s="427"/>
      <c r="W295" s="427"/>
      <c r="X295" s="427"/>
      <c r="Y295" s="426">
        <v>0.57999999999999996</v>
      </c>
      <c r="Z295" s="427" t="s">
        <v>37</v>
      </c>
      <c r="AA295" s="426"/>
      <c r="AB295" s="427"/>
      <c r="AC295" s="427"/>
      <c r="AD295" s="427"/>
      <c r="AE295" s="426"/>
      <c r="AF295" s="239">
        <f t="shared" si="110"/>
        <v>5.1761497325738288</v>
      </c>
      <c r="AG295" s="239">
        <f t="shared" si="111"/>
        <v>5.2933048247244923</v>
      </c>
      <c r="AH295" s="240"/>
      <c r="AI295" s="240"/>
      <c r="AK295" s="265">
        <f t="shared" si="112"/>
        <v>354</v>
      </c>
      <c r="AL295" s="265">
        <f t="shared" si="113"/>
        <v>376</v>
      </c>
      <c r="AM295" s="239">
        <f t="shared" si="114"/>
        <v>5.8692969131337742</v>
      </c>
      <c r="AN295" s="239">
        <f t="shared" si="115"/>
        <v>5.9295891433898946</v>
      </c>
      <c r="AO295" s="240"/>
      <c r="AP295" s="240"/>
      <c r="AR295" s="265">
        <f t="shared" si="127"/>
        <v>231.29236736646399</v>
      </c>
      <c r="AS295" s="265">
        <f t="shared" si="128"/>
        <v>245.66646929319339</v>
      </c>
      <c r="AT295" s="239">
        <f t="shared" si="118"/>
        <v>5.4436825698449471</v>
      </c>
      <c r="AU295" s="239">
        <f t="shared" si="119"/>
        <v>5.5039748001010675</v>
      </c>
      <c r="AX295" s="385"/>
      <c r="AY295" s="385"/>
      <c r="AZ295" s="385"/>
      <c r="BA295" s="385"/>
      <c r="BB295" s="239"/>
      <c r="BC295" s="239"/>
      <c r="BD295" s="240"/>
      <c r="BE295" s="240"/>
      <c r="BF295" s="136"/>
      <c r="BG295" s="136"/>
      <c r="BH295" s="136"/>
      <c r="BI295" s="136"/>
    </row>
    <row r="296" spans="1:61" x14ac:dyDescent="0.2">
      <c r="A296" s="232" t="s">
        <v>34</v>
      </c>
      <c r="B296" s="232" t="s">
        <v>49</v>
      </c>
      <c r="C296" s="425" t="s">
        <v>53</v>
      </c>
      <c r="D296" s="381" t="s">
        <v>324</v>
      </c>
      <c r="E296" s="293">
        <v>6.8</v>
      </c>
      <c r="F296" s="293">
        <v>1.5718104000000002</v>
      </c>
      <c r="G296" s="296">
        <v>1</v>
      </c>
      <c r="H296" s="293">
        <v>15</v>
      </c>
      <c r="I296" s="235">
        <v>8.9</v>
      </c>
      <c r="J296" s="294">
        <v>22</v>
      </c>
      <c r="K296" s="399">
        <v>7</v>
      </c>
      <c r="L296" s="399">
        <v>28</v>
      </c>
      <c r="M296" s="383" t="s">
        <v>93</v>
      </c>
      <c r="N296" s="295">
        <v>91.8</v>
      </c>
      <c r="O296" s="387">
        <f t="shared" si="126"/>
        <v>113.8</v>
      </c>
      <c r="P296" s="387"/>
      <c r="Q296" s="387"/>
      <c r="R296" s="387">
        <v>2</v>
      </c>
      <c r="S296" s="426">
        <v>0.57999999999999996</v>
      </c>
      <c r="T296" s="427" t="s">
        <v>37</v>
      </c>
      <c r="U296" s="426"/>
      <c r="V296" s="427"/>
      <c r="W296" s="427"/>
      <c r="X296" s="427"/>
      <c r="Y296" s="426">
        <v>0.57999999999999996</v>
      </c>
      <c r="Z296" s="427" t="s">
        <v>37</v>
      </c>
      <c r="AA296" s="426"/>
      <c r="AB296" s="427"/>
      <c r="AC296" s="427"/>
      <c r="AD296" s="427"/>
      <c r="AE296" s="426"/>
      <c r="AF296" s="239">
        <f t="shared" si="110"/>
        <v>4.5196122976264448</v>
      </c>
      <c r="AG296" s="239">
        <f t="shared" si="111"/>
        <v>4.7344425216922303</v>
      </c>
      <c r="AH296" s="240"/>
      <c r="AI296" s="240"/>
      <c r="AK296" s="265">
        <f t="shared" si="112"/>
        <v>183.6</v>
      </c>
      <c r="AL296" s="265">
        <f t="shared" si="113"/>
        <v>205.6</v>
      </c>
      <c r="AM296" s="239">
        <f t="shared" si="114"/>
        <v>5.2127594781863902</v>
      </c>
      <c r="AN296" s="239">
        <f t="shared" si="115"/>
        <v>5.3259325335810104</v>
      </c>
      <c r="AO296" s="240"/>
      <c r="AP296" s="240"/>
      <c r="AR296" s="265">
        <f t="shared" si="127"/>
        <v>210.15015254988694</v>
      </c>
      <c r="AS296" s="265">
        <f t="shared" si="128"/>
        <v>235.33154337830476</v>
      </c>
      <c r="AT296" s="239">
        <f t="shared" si="118"/>
        <v>5.3478222873603887</v>
      </c>
      <c r="AU296" s="239">
        <f t="shared" si="119"/>
        <v>5.460995342755008</v>
      </c>
      <c r="AX296" s="385"/>
      <c r="AY296" s="385"/>
      <c r="AZ296" s="385"/>
      <c r="BA296" s="385"/>
      <c r="BB296" s="239"/>
      <c r="BC296" s="239"/>
      <c r="BD296" s="240"/>
      <c r="BE296" s="240"/>
      <c r="BF296" s="136"/>
      <c r="BG296" s="136"/>
      <c r="BH296" s="136"/>
      <c r="BI296" s="136"/>
    </row>
    <row r="297" spans="1:61" x14ac:dyDescent="0.2">
      <c r="A297" s="232" t="s">
        <v>34</v>
      </c>
      <c r="B297" s="232" t="s">
        <v>49</v>
      </c>
      <c r="C297" s="425" t="s">
        <v>53</v>
      </c>
      <c r="D297" s="381" t="s">
        <v>324</v>
      </c>
      <c r="E297" s="293">
        <v>7.2850000000000001</v>
      </c>
      <c r="F297" s="293">
        <v>2.3442543309421522</v>
      </c>
      <c r="G297" s="296">
        <v>1.5</v>
      </c>
      <c r="H297" s="293">
        <v>38</v>
      </c>
      <c r="I297" s="235">
        <v>26.2</v>
      </c>
      <c r="J297" s="294">
        <v>21</v>
      </c>
      <c r="K297" s="399">
        <v>7</v>
      </c>
      <c r="L297" s="399">
        <v>28</v>
      </c>
      <c r="M297" s="383" t="s">
        <v>93</v>
      </c>
      <c r="N297" s="295">
        <v>303</v>
      </c>
      <c r="O297" s="387">
        <f t="shared" si="126"/>
        <v>324</v>
      </c>
      <c r="P297" s="387"/>
      <c r="Q297" s="387"/>
      <c r="R297" s="387">
        <v>2</v>
      </c>
      <c r="S297" s="426">
        <v>0.57999999999999996</v>
      </c>
      <c r="T297" s="427" t="s">
        <v>37</v>
      </c>
      <c r="U297" s="426"/>
      <c r="V297" s="427"/>
      <c r="W297" s="427"/>
      <c r="X297" s="427"/>
      <c r="Y297" s="426">
        <v>0.57999999999999996</v>
      </c>
      <c r="Z297" s="427" t="s">
        <v>37</v>
      </c>
      <c r="AA297" s="426"/>
      <c r="AB297" s="427"/>
      <c r="AC297" s="427"/>
      <c r="AD297" s="427"/>
      <c r="AE297" s="426"/>
      <c r="AF297" s="239">
        <f t="shared" si="110"/>
        <v>5.7137328055093688</v>
      </c>
      <c r="AG297" s="239">
        <f t="shared" si="111"/>
        <v>5.780743515792329</v>
      </c>
      <c r="AH297" s="240"/>
      <c r="AI297" s="240"/>
      <c r="AK297" s="265">
        <f t="shared" si="112"/>
        <v>606</v>
      </c>
      <c r="AL297" s="265">
        <f t="shared" si="113"/>
        <v>627</v>
      </c>
      <c r="AM297" s="239">
        <f t="shared" si="114"/>
        <v>6.4068799860693142</v>
      </c>
      <c r="AN297" s="239">
        <f t="shared" si="115"/>
        <v>6.4409465406329209</v>
      </c>
      <c r="AO297" s="240"/>
      <c r="AP297" s="240"/>
      <c r="AR297" s="265">
        <f t="shared" si="127"/>
        <v>370.81826005612817</v>
      </c>
      <c r="AS297" s="265">
        <f t="shared" si="128"/>
        <v>383.66839778084545</v>
      </c>
      <c r="AT297" s="239">
        <f t="shared" si="118"/>
        <v>5.9157120775065177</v>
      </c>
      <c r="AU297" s="239">
        <f t="shared" si="119"/>
        <v>5.9497786320701245</v>
      </c>
      <c r="AX297" s="385"/>
      <c r="AY297" s="385"/>
      <c r="AZ297" s="385"/>
      <c r="BA297" s="385"/>
      <c r="BB297" s="239"/>
      <c r="BC297" s="239"/>
      <c r="BD297" s="240"/>
      <c r="BE297" s="240"/>
      <c r="BF297" s="136"/>
      <c r="BG297" s="136"/>
      <c r="BH297" s="136"/>
      <c r="BI297" s="136"/>
    </row>
    <row r="298" spans="1:61" x14ac:dyDescent="0.2">
      <c r="A298" s="232" t="s">
        <v>34</v>
      </c>
      <c r="B298" s="232" t="s">
        <v>49</v>
      </c>
      <c r="C298" s="425" t="s">
        <v>53</v>
      </c>
      <c r="D298" s="381" t="s">
        <v>324</v>
      </c>
      <c r="E298" s="293">
        <v>7.375</v>
      </c>
      <c r="F298" s="293">
        <v>2.0096692831802643</v>
      </c>
      <c r="G298" s="296">
        <v>1.3</v>
      </c>
      <c r="H298" s="293">
        <v>27</v>
      </c>
      <c r="I298" s="235">
        <v>20</v>
      </c>
      <c r="J298" s="294">
        <v>14</v>
      </c>
      <c r="K298" s="399">
        <v>7</v>
      </c>
      <c r="L298" s="399">
        <v>28</v>
      </c>
      <c r="M298" s="383" t="s">
        <v>93</v>
      </c>
      <c r="N298" s="295">
        <v>289</v>
      </c>
      <c r="O298" s="387">
        <f t="shared" si="126"/>
        <v>303</v>
      </c>
      <c r="P298" s="387"/>
      <c r="Q298" s="387"/>
      <c r="R298" s="387">
        <v>2</v>
      </c>
      <c r="S298" s="426">
        <v>0.57999999999999996</v>
      </c>
      <c r="T298" s="427" t="s">
        <v>37</v>
      </c>
      <c r="U298" s="426"/>
      <c r="V298" s="427"/>
      <c r="W298" s="427"/>
      <c r="X298" s="427"/>
      <c r="Y298" s="426">
        <v>0.57999999999999996</v>
      </c>
      <c r="Z298" s="427" t="s">
        <v>37</v>
      </c>
      <c r="AA298" s="426"/>
      <c r="AB298" s="427"/>
      <c r="AC298" s="427"/>
      <c r="AD298" s="427"/>
      <c r="AE298" s="426"/>
      <c r="AF298" s="239">
        <f t="shared" si="110"/>
        <v>5.6664266881124323</v>
      </c>
      <c r="AG298" s="239">
        <f t="shared" si="111"/>
        <v>5.7137328055093688</v>
      </c>
      <c r="AH298" s="240"/>
      <c r="AI298" s="240"/>
      <c r="AK298" s="265">
        <f t="shared" si="112"/>
        <v>578</v>
      </c>
      <c r="AL298" s="265">
        <f t="shared" si="113"/>
        <v>592</v>
      </c>
      <c r="AM298" s="239">
        <f t="shared" si="114"/>
        <v>6.3595738686723777</v>
      </c>
      <c r="AN298" s="239">
        <f t="shared" si="115"/>
        <v>6.3835066348840055</v>
      </c>
      <c r="AO298" s="240"/>
      <c r="AP298" s="240"/>
      <c r="AR298" s="265">
        <f t="shared" si="127"/>
        <v>413.65061801712477</v>
      </c>
      <c r="AS298" s="265">
        <f t="shared" si="128"/>
        <v>423.66983713864681</v>
      </c>
      <c r="AT298" s="239">
        <f t="shared" si="118"/>
        <v>6.0250216996931556</v>
      </c>
      <c r="AU298" s="239">
        <f t="shared" si="119"/>
        <v>6.0489544659047843</v>
      </c>
      <c r="AX298" s="385"/>
      <c r="AY298" s="385"/>
      <c r="AZ298" s="385"/>
      <c r="BA298" s="385"/>
      <c r="BB298" s="239"/>
      <c r="BC298" s="239"/>
      <c r="BD298" s="240"/>
      <c r="BE298" s="240"/>
      <c r="BF298" s="136"/>
      <c r="BG298" s="136"/>
      <c r="BH298" s="136"/>
      <c r="BI298" s="136"/>
    </row>
    <row r="299" spans="1:61" x14ac:dyDescent="0.2">
      <c r="A299" s="232" t="s">
        <v>34</v>
      </c>
      <c r="B299" s="232" t="s">
        <v>49</v>
      </c>
      <c r="C299" s="425" t="s">
        <v>53</v>
      </c>
      <c r="D299" s="381" t="s">
        <v>324</v>
      </c>
      <c r="E299" s="293">
        <v>7.375</v>
      </c>
      <c r="F299" s="293">
        <v>4.1752105820553416</v>
      </c>
      <c r="G299" s="296">
        <v>2.6</v>
      </c>
      <c r="H299" s="293">
        <v>46</v>
      </c>
      <c r="I299" s="235">
        <v>36.299999999999997</v>
      </c>
      <c r="J299" s="294">
        <v>34</v>
      </c>
      <c r="K299" s="399">
        <v>7</v>
      </c>
      <c r="L299" s="399">
        <v>28</v>
      </c>
      <c r="M299" s="383" t="s">
        <v>93</v>
      </c>
      <c r="N299" s="295">
        <v>287</v>
      </c>
      <c r="O299" s="387">
        <f t="shared" si="126"/>
        <v>321</v>
      </c>
      <c r="P299" s="387"/>
      <c r="Q299" s="387"/>
      <c r="R299" s="387">
        <v>2</v>
      </c>
      <c r="S299" s="426">
        <v>0.57999999999999996</v>
      </c>
      <c r="T299" s="427" t="s">
        <v>37</v>
      </c>
      <c r="U299" s="426"/>
      <c r="V299" s="427"/>
      <c r="W299" s="427"/>
      <c r="X299" s="427"/>
      <c r="Y299" s="426">
        <v>0.57999999999999996</v>
      </c>
      <c r="Z299" s="427" t="s">
        <v>37</v>
      </c>
      <c r="AA299" s="426"/>
      <c r="AB299" s="427"/>
      <c r="AC299" s="427"/>
      <c r="AD299" s="427"/>
      <c r="AE299" s="426"/>
      <c r="AF299" s="239">
        <f t="shared" si="110"/>
        <v>5.6594822157596214</v>
      </c>
      <c r="AG299" s="239">
        <f t="shared" si="111"/>
        <v>5.7714411231300158</v>
      </c>
      <c r="AH299" s="240"/>
      <c r="AI299" s="240"/>
      <c r="AK299" s="265">
        <f t="shared" si="112"/>
        <v>574</v>
      </c>
      <c r="AL299" s="265">
        <f t="shared" si="113"/>
        <v>608</v>
      </c>
      <c r="AM299" s="239">
        <f t="shared" si="114"/>
        <v>6.3526293963195668</v>
      </c>
      <c r="AN299" s="239">
        <f t="shared" si="115"/>
        <v>6.4101748819661672</v>
      </c>
      <c r="AO299" s="240"/>
      <c r="AP299" s="240"/>
      <c r="AR299" s="265">
        <f t="shared" si="127"/>
        <v>290.71623561224396</v>
      </c>
      <c r="AS299" s="265">
        <f t="shared" si="128"/>
        <v>307.9363610666278</v>
      </c>
      <c r="AT299" s="239">
        <f t="shared" si="118"/>
        <v>5.6723476560645922</v>
      </c>
      <c r="AU299" s="239">
        <f t="shared" si="119"/>
        <v>5.7298931417111936</v>
      </c>
      <c r="AX299" s="385"/>
      <c r="AY299" s="385"/>
      <c r="AZ299" s="385"/>
      <c r="BA299" s="385"/>
      <c r="BB299" s="239"/>
      <c r="BC299" s="239"/>
      <c r="BD299" s="240"/>
      <c r="BE299" s="240"/>
      <c r="BF299" s="136"/>
      <c r="BG299" s="136"/>
      <c r="BH299" s="136"/>
      <c r="BI299" s="136"/>
    </row>
    <row r="300" spans="1:61" x14ac:dyDescent="0.2">
      <c r="A300" s="232" t="s">
        <v>34</v>
      </c>
      <c r="B300" s="232" t="s">
        <v>49</v>
      </c>
      <c r="C300" s="425" t="s">
        <v>53</v>
      </c>
      <c r="D300" s="381" t="s">
        <v>324</v>
      </c>
      <c r="E300" s="293">
        <v>7.52</v>
      </c>
      <c r="F300" s="293">
        <v>2.0393672214266942</v>
      </c>
      <c r="G300" s="296">
        <v>1.3</v>
      </c>
      <c r="H300" s="293">
        <v>26</v>
      </c>
      <c r="I300" s="235">
        <v>20.100000000000001</v>
      </c>
      <c r="J300" s="294">
        <v>18</v>
      </c>
      <c r="K300" s="399">
        <v>7</v>
      </c>
      <c r="L300" s="399">
        <v>28</v>
      </c>
      <c r="M300" s="383" t="s">
        <v>93</v>
      </c>
      <c r="N300" s="295">
        <v>153</v>
      </c>
      <c r="O300" s="387">
        <f t="shared" si="126"/>
        <v>171</v>
      </c>
      <c r="P300" s="387"/>
      <c r="Q300" s="387"/>
      <c r="R300" s="387">
        <v>2</v>
      </c>
      <c r="S300" s="426">
        <v>0.57999999999999996</v>
      </c>
      <c r="T300" s="427" t="s">
        <v>37</v>
      </c>
      <c r="U300" s="426"/>
      <c r="V300" s="427"/>
      <c r="W300" s="427"/>
      <c r="X300" s="427"/>
      <c r="Y300" s="426">
        <v>0.57999999999999996</v>
      </c>
      <c r="Z300" s="427" t="s">
        <v>37</v>
      </c>
      <c r="AA300" s="426"/>
      <c r="AB300" s="427"/>
      <c r="AC300" s="427"/>
      <c r="AD300" s="427"/>
      <c r="AE300" s="426"/>
      <c r="AF300" s="239">
        <f t="shared" si="110"/>
        <v>5.0304379213924353</v>
      </c>
      <c r="AG300" s="239">
        <f t="shared" si="111"/>
        <v>5.1416635565026603</v>
      </c>
      <c r="AH300" s="240"/>
      <c r="AI300" s="240"/>
      <c r="AK300" s="265">
        <f t="shared" si="112"/>
        <v>306</v>
      </c>
      <c r="AL300" s="265">
        <f t="shared" si="113"/>
        <v>324</v>
      </c>
      <c r="AM300" s="239">
        <f t="shared" si="114"/>
        <v>5.7235851019523807</v>
      </c>
      <c r="AN300" s="239">
        <f t="shared" si="115"/>
        <v>5.780743515792329</v>
      </c>
      <c r="AO300" s="240"/>
      <c r="AP300" s="240"/>
      <c r="AR300" s="265">
        <f t="shared" si="127"/>
        <v>218.35892610449216</v>
      </c>
      <c r="AS300" s="265">
        <f t="shared" si="128"/>
        <v>231.20356881652111</v>
      </c>
      <c r="AT300" s="239">
        <f t="shared" si="118"/>
        <v>5.3861401588967563</v>
      </c>
      <c r="AU300" s="239">
        <f t="shared" si="119"/>
        <v>5.4432985727367047</v>
      </c>
      <c r="AX300" s="385"/>
      <c r="AY300" s="385"/>
      <c r="AZ300" s="385"/>
      <c r="BA300" s="385"/>
      <c r="BB300" s="239"/>
      <c r="BC300" s="239"/>
      <c r="BD300" s="240"/>
      <c r="BE300" s="240"/>
      <c r="BF300" s="136"/>
      <c r="BG300" s="136"/>
      <c r="BH300" s="136"/>
      <c r="BI300" s="136"/>
    </row>
    <row r="301" spans="1:61" x14ac:dyDescent="0.2">
      <c r="A301" s="232" t="s">
        <v>34</v>
      </c>
      <c r="B301" s="232" t="s">
        <v>49</v>
      </c>
      <c r="C301" s="425" t="s">
        <v>53</v>
      </c>
      <c r="D301" s="381" t="s">
        <v>324</v>
      </c>
      <c r="E301" s="293">
        <v>7.5049999999999999</v>
      </c>
      <c r="F301" s="293">
        <v>2.4210378774303138</v>
      </c>
      <c r="G301" s="296">
        <v>1.5</v>
      </c>
      <c r="H301" s="293">
        <v>50</v>
      </c>
      <c r="I301" s="235">
        <v>23.5</v>
      </c>
      <c r="J301" s="294">
        <v>31</v>
      </c>
      <c r="K301" s="399">
        <v>7</v>
      </c>
      <c r="L301" s="399">
        <v>28</v>
      </c>
      <c r="M301" s="383" t="s">
        <v>93</v>
      </c>
      <c r="N301" s="295">
        <v>164</v>
      </c>
      <c r="O301" s="387">
        <f t="shared" si="126"/>
        <v>195</v>
      </c>
      <c r="P301" s="387"/>
      <c r="Q301" s="387"/>
      <c r="R301" s="387">
        <v>2</v>
      </c>
      <c r="S301" s="426">
        <v>0.57999999999999996</v>
      </c>
      <c r="T301" s="427" t="s">
        <v>37</v>
      </c>
      <c r="U301" s="426"/>
      <c r="V301" s="427"/>
      <c r="W301" s="427"/>
      <c r="X301" s="427"/>
      <c r="Y301" s="426">
        <v>0.57999999999999996</v>
      </c>
      <c r="Z301" s="427" t="s">
        <v>37</v>
      </c>
      <c r="AA301" s="426"/>
      <c r="AB301" s="427"/>
      <c r="AC301" s="427"/>
      <c r="AD301" s="427"/>
      <c r="AE301" s="426"/>
      <c r="AF301" s="239">
        <f t="shared" si="110"/>
        <v>5.0998664278241987</v>
      </c>
      <c r="AG301" s="239">
        <f t="shared" si="111"/>
        <v>5.2729995585637468</v>
      </c>
      <c r="AH301" s="240"/>
      <c r="AI301" s="240"/>
      <c r="AK301" s="265">
        <f t="shared" si="112"/>
        <v>328</v>
      </c>
      <c r="AL301" s="265">
        <f t="shared" si="113"/>
        <v>359</v>
      </c>
      <c r="AM301" s="239">
        <f t="shared" si="114"/>
        <v>5.7930136083841441</v>
      </c>
      <c r="AN301" s="239">
        <f t="shared" si="115"/>
        <v>5.8833223884882786</v>
      </c>
      <c r="AO301" s="240"/>
      <c r="AP301" s="240"/>
      <c r="AR301" s="265">
        <f t="shared" si="127"/>
        <v>213.7753962873025</v>
      </c>
      <c r="AS301" s="265">
        <f t="shared" si="128"/>
        <v>233.97977825348048</v>
      </c>
      <c r="AT301" s="239">
        <f t="shared" si="118"/>
        <v>5.3649259137991709</v>
      </c>
      <c r="AU301" s="239">
        <f t="shared" si="119"/>
        <v>5.4552346939033063</v>
      </c>
      <c r="AX301" s="385"/>
      <c r="AY301" s="385"/>
      <c r="AZ301" s="385"/>
      <c r="BA301" s="385"/>
      <c r="BB301" s="239"/>
      <c r="BC301" s="239"/>
      <c r="BD301" s="240"/>
      <c r="BE301" s="240"/>
      <c r="BF301" s="136"/>
      <c r="BG301" s="136"/>
      <c r="BH301" s="136"/>
      <c r="BI301" s="136"/>
    </row>
    <row r="302" spans="1:61" x14ac:dyDescent="0.2">
      <c r="A302" s="232" t="s">
        <v>34</v>
      </c>
      <c r="B302" s="232" t="s">
        <v>49</v>
      </c>
      <c r="C302" s="425" t="s">
        <v>53</v>
      </c>
      <c r="D302" s="381" t="s">
        <v>324</v>
      </c>
      <c r="E302" s="293">
        <v>5.4</v>
      </c>
      <c r="F302" s="293">
        <v>3.3</v>
      </c>
      <c r="G302" s="296">
        <f t="shared" si="120"/>
        <v>1.91415313225058</v>
      </c>
      <c r="H302" s="293">
        <v>23</v>
      </c>
      <c r="I302" s="235">
        <v>6.7</v>
      </c>
      <c r="J302" s="294">
        <v>21</v>
      </c>
      <c r="K302" s="399">
        <v>7</v>
      </c>
      <c r="L302" s="399">
        <v>28</v>
      </c>
      <c r="M302" s="383" t="s">
        <v>93</v>
      </c>
      <c r="N302" s="295">
        <v>91.6</v>
      </c>
      <c r="O302" s="387">
        <f t="shared" si="126"/>
        <v>112.6</v>
      </c>
      <c r="P302" s="387"/>
      <c r="Q302" s="387"/>
      <c r="R302" s="387">
        <v>2</v>
      </c>
      <c r="S302" s="426">
        <v>0.57999999999999996</v>
      </c>
      <c r="T302" s="427" t="s">
        <v>37</v>
      </c>
      <c r="U302" s="426"/>
      <c r="V302" s="427"/>
      <c r="W302" s="427"/>
      <c r="X302" s="427"/>
      <c r="Y302" s="426">
        <v>0.57999999999999996</v>
      </c>
      <c r="Z302" s="427" t="s">
        <v>37</v>
      </c>
      <c r="AA302" s="426"/>
      <c r="AB302" s="427"/>
      <c r="AC302" s="427"/>
      <c r="AD302" s="427"/>
      <c r="AE302" s="426"/>
      <c r="AF302" s="239">
        <f t="shared" si="110"/>
        <v>4.5174312716800848</v>
      </c>
      <c r="AG302" s="239">
        <f t="shared" si="111"/>
        <v>4.7238417157055901</v>
      </c>
      <c r="AH302" s="240"/>
      <c r="AI302" s="240"/>
      <c r="AK302" s="265">
        <f t="shared" si="112"/>
        <v>183.2</v>
      </c>
      <c r="AL302" s="265">
        <f t="shared" si="113"/>
        <v>204.2</v>
      </c>
      <c r="AM302" s="239">
        <f t="shared" si="114"/>
        <v>5.2105784522400302</v>
      </c>
      <c r="AN302" s="239">
        <f t="shared" si="115"/>
        <v>5.3190999057305648</v>
      </c>
      <c r="AO302" s="240"/>
      <c r="AP302" s="240"/>
      <c r="AR302" s="265">
        <f t="shared" si="127"/>
        <v>247.23236332452569</v>
      </c>
      <c r="AS302" s="265">
        <f t="shared" si="128"/>
        <v>275.57231763574316</v>
      </c>
      <c r="AT302" s="239">
        <f t="shared" si="118"/>
        <v>5.5103286366119093</v>
      </c>
      <c r="AU302" s="239">
        <f t="shared" si="119"/>
        <v>5.6188500901024439</v>
      </c>
      <c r="AX302" s="385"/>
      <c r="AY302" s="385"/>
      <c r="AZ302" s="385"/>
      <c r="BA302" s="385"/>
      <c r="BB302" s="239"/>
      <c r="BC302" s="239"/>
      <c r="BD302" s="240"/>
      <c r="BE302" s="240"/>
      <c r="BF302" s="136"/>
      <c r="BG302" s="136"/>
      <c r="BH302" s="136"/>
      <c r="BI302" s="136"/>
    </row>
    <row r="303" spans="1:61" x14ac:dyDescent="0.2">
      <c r="A303" s="232" t="s">
        <v>34</v>
      </c>
      <c r="B303" s="232" t="s">
        <v>49</v>
      </c>
      <c r="C303" s="425" t="s">
        <v>53</v>
      </c>
      <c r="D303" s="381" t="s">
        <v>324</v>
      </c>
      <c r="E303" s="293">
        <v>5</v>
      </c>
      <c r="F303" s="293">
        <v>3.7</v>
      </c>
      <c r="G303" s="296">
        <f t="shared" si="120"/>
        <v>2.1461716937354991</v>
      </c>
      <c r="H303" s="293">
        <v>7.9</v>
      </c>
      <c r="I303" s="235">
        <v>7.88</v>
      </c>
      <c r="J303" s="294">
        <v>5.7</v>
      </c>
      <c r="K303" s="399">
        <v>7</v>
      </c>
      <c r="L303" s="399">
        <v>28</v>
      </c>
      <c r="M303" s="383" t="s">
        <v>93</v>
      </c>
      <c r="N303" s="295">
        <v>81.900000000000006</v>
      </c>
      <c r="O303" s="387">
        <f t="shared" si="126"/>
        <v>87.600000000000009</v>
      </c>
      <c r="P303" s="387"/>
      <c r="Q303" s="387"/>
      <c r="R303" s="387">
        <v>2</v>
      </c>
      <c r="S303" s="426">
        <v>0.57999999999999996</v>
      </c>
      <c r="T303" s="427" t="s">
        <v>37</v>
      </c>
      <c r="U303" s="426"/>
      <c r="V303" s="427"/>
      <c r="W303" s="427"/>
      <c r="X303" s="427"/>
      <c r="Y303" s="426">
        <v>0.57999999999999996</v>
      </c>
      <c r="Z303" s="427" t="s">
        <v>37</v>
      </c>
      <c r="AA303" s="426"/>
      <c r="AB303" s="427"/>
      <c r="AC303" s="427"/>
      <c r="AD303" s="427"/>
      <c r="AE303" s="426"/>
      <c r="AF303" s="239">
        <f t="shared" si="110"/>
        <v>4.4054989908590239</v>
      </c>
      <c r="AG303" s="239">
        <f t="shared" si="111"/>
        <v>4.4727809979423458</v>
      </c>
      <c r="AH303" s="240"/>
      <c r="AI303" s="240"/>
      <c r="AK303" s="265">
        <f t="shared" si="112"/>
        <v>163.80000000000001</v>
      </c>
      <c r="AL303" s="265">
        <f t="shared" si="113"/>
        <v>169.5</v>
      </c>
      <c r="AM303" s="239">
        <f t="shared" si="114"/>
        <v>5.0986461714189693</v>
      </c>
      <c r="AN303" s="239">
        <f t="shared" si="115"/>
        <v>5.1328529268205045</v>
      </c>
      <c r="AO303" s="240"/>
      <c r="AP303" s="240"/>
      <c r="AR303" s="265">
        <f t="shared" si="127"/>
        <v>201.20183065288563</v>
      </c>
      <c r="AS303" s="265">
        <f t="shared" si="128"/>
        <v>208.20335955838897</v>
      </c>
      <c r="AT303" s="239">
        <f t="shared" si="118"/>
        <v>5.3043085368565857</v>
      </c>
      <c r="AU303" s="239">
        <f t="shared" si="119"/>
        <v>5.3385152922581209</v>
      </c>
      <c r="AX303" s="385"/>
      <c r="AY303" s="385"/>
      <c r="AZ303" s="385"/>
      <c r="BA303" s="385"/>
      <c r="BB303" s="239"/>
      <c r="BC303" s="239"/>
      <c r="BD303" s="240"/>
      <c r="BE303" s="240"/>
      <c r="BF303" s="136"/>
      <c r="BG303" s="136"/>
      <c r="BH303" s="136"/>
      <c r="BI303" s="136"/>
    </row>
    <row r="304" spans="1:61" s="165" customFormat="1" x14ac:dyDescent="0.2">
      <c r="A304" s="156" t="s">
        <v>34</v>
      </c>
      <c r="B304" s="156" t="s">
        <v>49</v>
      </c>
      <c r="C304" s="428" t="s">
        <v>53</v>
      </c>
      <c r="D304" s="391" t="s">
        <v>324</v>
      </c>
      <c r="E304" s="318">
        <v>6.45</v>
      </c>
      <c r="F304" s="318">
        <v>8.1</v>
      </c>
      <c r="G304" s="330">
        <f t="shared" si="120"/>
        <v>4.6983758700696052</v>
      </c>
      <c r="H304" s="318">
        <v>20</v>
      </c>
      <c r="I304" s="231">
        <v>16.739999999999998</v>
      </c>
      <c r="J304" s="329">
        <v>2.2999999999999998</v>
      </c>
      <c r="K304" s="400">
        <v>7</v>
      </c>
      <c r="L304" s="400">
        <v>28</v>
      </c>
      <c r="M304" s="394" t="s">
        <v>93</v>
      </c>
      <c r="N304" s="231">
        <v>186</v>
      </c>
      <c r="O304" s="361">
        <f t="shared" si="126"/>
        <v>188.3</v>
      </c>
      <c r="P304" s="361"/>
      <c r="Q304" s="361"/>
      <c r="R304" s="361">
        <v>2</v>
      </c>
      <c r="S304" s="429">
        <v>0.57999999999999996</v>
      </c>
      <c r="T304" s="430" t="s">
        <v>37</v>
      </c>
      <c r="U304" s="429"/>
      <c r="V304" s="430"/>
      <c r="W304" s="430"/>
      <c r="X304" s="430"/>
      <c r="Y304" s="429">
        <v>0.57999999999999996</v>
      </c>
      <c r="Z304" s="430" t="s">
        <v>37</v>
      </c>
      <c r="AA304" s="429"/>
      <c r="AB304" s="430"/>
      <c r="AC304" s="430"/>
      <c r="AD304" s="430"/>
      <c r="AE304" s="429"/>
      <c r="AF304" s="166">
        <f t="shared" si="110"/>
        <v>5.2257466737132017</v>
      </c>
      <c r="AG304" s="166">
        <f t="shared" si="111"/>
        <v>5.2380364356631066</v>
      </c>
      <c r="AH304" s="169"/>
      <c r="AI304" s="169"/>
      <c r="AK304" s="168">
        <f t="shared" si="112"/>
        <v>372</v>
      </c>
      <c r="AL304" s="168">
        <f t="shared" si="113"/>
        <v>374.3</v>
      </c>
      <c r="AM304" s="166">
        <f t="shared" si="114"/>
        <v>5.9188938542731462</v>
      </c>
      <c r="AN304" s="166">
        <f t="shared" si="115"/>
        <v>5.9250576149103837</v>
      </c>
      <c r="AO304" s="169"/>
      <c r="AP304" s="169"/>
      <c r="AR304" s="168">
        <f t="shared" si="127"/>
        <v>295.16714414780625</v>
      </c>
      <c r="AS304" s="168">
        <f t="shared" si="128"/>
        <v>296.99210229710724</v>
      </c>
      <c r="AT304" s="166">
        <f t="shared" si="118"/>
        <v>5.6875417862196684</v>
      </c>
      <c r="AU304" s="166">
        <f t="shared" si="119"/>
        <v>5.6937055468569051</v>
      </c>
      <c r="AV304" s="167"/>
      <c r="AW304" s="167"/>
      <c r="AX304" s="168"/>
      <c r="AY304" s="168"/>
      <c r="AZ304" s="168"/>
      <c r="BA304" s="168"/>
      <c r="BB304" s="166"/>
      <c r="BC304" s="166"/>
      <c r="BD304" s="169"/>
      <c r="BE304" s="169"/>
    </row>
    <row r="305" spans="1:61" x14ac:dyDescent="0.2">
      <c r="A305" s="232" t="s">
        <v>34</v>
      </c>
      <c r="B305" s="232" t="s">
        <v>49</v>
      </c>
      <c r="C305" s="425" t="s">
        <v>54</v>
      </c>
      <c r="D305" s="381" t="s">
        <v>36</v>
      </c>
      <c r="E305" s="387">
        <v>7.3</v>
      </c>
      <c r="F305" s="387">
        <v>8</v>
      </c>
      <c r="G305" s="296">
        <f t="shared" si="120"/>
        <v>4.6403712296983759</v>
      </c>
      <c r="H305" s="387">
        <v>17</v>
      </c>
      <c r="I305" s="300">
        <f t="shared" ref="I305:I314" si="129">(30+4.4*E305)*(H305/100)+(-34.66+29.72*E305)*(F305/100)</f>
        <v>25.144080000000002</v>
      </c>
      <c r="J305" s="387">
        <v>12</v>
      </c>
      <c r="K305" s="383">
        <v>0</v>
      </c>
      <c r="L305" s="383">
        <v>84</v>
      </c>
      <c r="M305" s="383" t="s">
        <v>93</v>
      </c>
      <c r="N305" s="387">
        <v>150</v>
      </c>
      <c r="O305" s="387">
        <f t="shared" si="126"/>
        <v>162</v>
      </c>
      <c r="P305" s="387"/>
      <c r="Q305" s="387"/>
      <c r="R305" s="387">
        <v>2</v>
      </c>
      <c r="S305" s="426">
        <v>0.57999999999999996</v>
      </c>
      <c r="T305" s="427" t="s">
        <v>37</v>
      </c>
      <c r="U305" s="426"/>
      <c r="V305" s="427"/>
      <c r="W305" s="427"/>
      <c r="X305" s="427"/>
      <c r="Y305" s="426">
        <v>0.57999999999999996</v>
      </c>
      <c r="Z305" s="427" t="s">
        <v>37</v>
      </c>
      <c r="AA305" s="426"/>
      <c r="AB305" s="427"/>
      <c r="AC305" s="427"/>
      <c r="AD305" s="427"/>
      <c r="AE305" s="426"/>
      <c r="AF305" s="239">
        <f t="shared" si="110"/>
        <v>5.0106352940962555</v>
      </c>
      <c r="AG305" s="239">
        <f t="shared" si="111"/>
        <v>5.0875963352323836</v>
      </c>
      <c r="AH305" s="240"/>
      <c r="AI305" s="240"/>
      <c r="AK305" s="265">
        <f t="shared" si="112"/>
        <v>300</v>
      </c>
      <c r="AL305" s="265">
        <f t="shared" si="113"/>
        <v>312</v>
      </c>
      <c r="AM305" s="239">
        <f t="shared" si="114"/>
        <v>5.7037824746562009</v>
      </c>
      <c r="AN305" s="239">
        <f t="shared" si="115"/>
        <v>5.7430031878094825</v>
      </c>
      <c r="AO305" s="240"/>
      <c r="AP305" s="240"/>
      <c r="AR305" s="265">
        <f t="shared" si="127"/>
        <v>188.0060203138639</v>
      </c>
      <c r="AS305" s="265">
        <f t="shared" si="128"/>
        <v>195.52626112641846</v>
      </c>
      <c r="AT305" s="239">
        <f t="shared" si="118"/>
        <v>5.2364739852633102</v>
      </c>
      <c r="AU305" s="239">
        <f t="shared" si="119"/>
        <v>5.2756946984165918</v>
      </c>
      <c r="AX305" s="385">
        <f>GEOMEAN(AR305:AR308)</f>
        <v>293.34080235261575</v>
      </c>
      <c r="AY305" s="385">
        <f>GEOMEAN(AS305:AS308)</f>
        <v>305.21879533816963</v>
      </c>
      <c r="AZ305" s="385">
        <f>MIN(AX305:AX314)</f>
        <v>90.693526545002712</v>
      </c>
      <c r="BA305" s="385">
        <f>MIN(AY305:AY314)</f>
        <v>104.50436831339296</v>
      </c>
      <c r="BB305" s="239">
        <f>LN(AZ305)</f>
        <v>4.5074859824130371</v>
      </c>
      <c r="BC305" s="239">
        <f>LN(BA305)</f>
        <v>4.6492288725732225</v>
      </c>
      <c r="BD305" s="240"/>
      <c r="BE305" s="240"/>
      <c r="BF305" s="136"/>
      <c r="BG305" s="136"/>
      <c r="BH305" s="136"/>
      <c r="BI305" s="136"/>
    </row>
    <row r="306" spans="1:61" x14ac:dyDescent="0.2">
      <c r="A306" s="232" t="s">
        <v>34</v>
      </c>
      <c r="B306" s="232" t="s">
        <v>49</v>
      </c>
      <c r="C306" s="425" t="s">
        <v>54</v>
      </c>
      <c r="D306" s="381" t="s">
        <v>36</v>
      </c>
      <c r="E306" s="387">
        <v>4.8</v>
      </c>
      <c r="F306" s="387">
        <v>5.7</v>
      </c>
      <c r="G306" s="296">
        <f t="shared" si="120"/>
        <v>3.3062645011600931</v>
      </c>
      <c r="H306" s="387">
        <v>2</v>
      </c>
      <c r="I306" s="300">
        <f t="shared" si="129"/>
        <v>7.1781719999999991</v>
      </c>
      <c r="J306" s="387">
        <v>14</v>
      </c>
      <c r="K306" s="383">
        <v>0</v>
      </c>
      <c r="L306" s="383">
        <v>42</v>
      </c>
      <c r="M306" s="383" t="s">
        <v>93</v>
      </c>
      <c r="N306" s="387">
        <v>117</v>
      </c>
      <c r="O306" s="387">
        <f t="shared" si="126"/>
        <v>131</v>
      </c>
      <c r="P306" s="387"/>
      <c r="Q306" s="387"/>
      <c r="R306" s="387">
        <v>2</v>
      </c>
      <c r="S306" s="426">
        <v>0.57999999999999996</v>
      </c>
      <c r="T306" s="427" t="s">
        <v>37</v>
      </c>
      <c r="U306" s="426"/>
      <c r="V306" s="427"/>
      <c r="W306" s="427"/>
      <c r="X306" s="427"/>
      <c r="Y306" s="426">
        <v>0.57999999999999996</v>
      </c>
      <c r="Z306" s="427" t="s">
        <v>37</v>
      </c>
      <c r="AA306" s="426"/>
      <c r="AB306" s="427"/>
      <c r="AC306" s="427"/>
      <c r="AD306" s="427"/>
      <c r="AE306" s="426"/>
      <c r="AF306" s="239">
        <f t="shared" si="110"/>
        <v>4.7621739347977563</v>
      </c>
      <c r="AG306" s="239">
        <f t="shared" si="111"/>
        <v>4.8751973232011512</v>
      </c>
      <c r="AH306" s="240"/>
      <c r="AI306" s="240"/>
      <c r="AK306" s="265">
        <f t="shared" si="112"/>
        <v>234</v>
      </c>
      <c r="AL306" s="265">
        <f t="shared" si="113"/>
        <v>248</v>
      </c>
      <c r="AM306" s="239">
        <f t="shared" si="114"/>
        <v>5.4553211153577017</v>
      </c>
      <c r="AN306" s="239">
        <f t="shared" si="115"/>
        <v>5.5134287461649825</v>
      </c>
      <c r="AO306" s="240"/>
      <c r="AP306" s="240"/>
      <c r="AR306" s="265">
        <f t="shared" si="127"/>
        <v>303.41081351718196</v>
      </c>
      <c r="AS306" s="265">
        <f t="shared" si="128"/>
        <v>321.56359723188518</v>
      </c>
      <c r="AT306" s="239">
        <f t="shared" si="118"/>
        <v>5.7150877074038302</v>
      </c>
      <c r="AU306" s="239">
        <f t="shared" si="119"/>
        <v>5.7731953382111119</v>
      </c>
      <c r="AX306" s="385"/>
      <c r="AY306" s="385"/>
      <c r="AZ306" s="385"/>
      <c r="BA306" s="385"/>
      <c r="BB306" s="239"/>
      <c r="BC306" s="239"/>
      <c r="BD306" s="240"/>
      <c r="BE306" s="240"/>
      <c r="BF306" s="136"/>
      <c r="BG306" s="136"/>
      <c r="BH306" s="136"/>
      <c r="BI306" s="136"/>
    </row>
    <row r="307" spans="1:61" x14ac:dyDescent="0.2">
      <c r="A307" s="232" t="s">
        <v>34</v>
      </c>
      <c r="B307" s="232" t="s">
        <v>49</v>
      </c>
      <c r="C307" s="425" t="s">
        <v>54</v>
      </c>
      <c r="D307" s="381" t="s">
        <v>36</v>
      </c>
      <c r="E307" s="387">
        <v>7.3</v>
      </c>
      <c r="F307" s="387">
        <v>3.4</v>
      </c>
      <c r="G307" s="296">
        <f t="shared" si="120"/>
        <v>1.9721577726218098</v>
      </c>
      <c r="H307" s="387">
        <v>17</v>
      </c>
      <c r="I307" s="300">
        <f t="shared" si="129"/>
        <v>16.758464000000004</v>
      </c>
      <c r="J307" s="387">
        <v>13</v>
      </c>
      <c r="K307" s="408">
        <v>0</v>
      </c>
      <c r="L307" s="408">
        <v>42</v>
      </c>
      <c r="M307" s="383" t="s">
        <v>93</v>
      </c>
      <c r="N307" s="387">
        <v>123</v>
      </c>
      <c r="O307" s="387">
        <f t="shared" si="126"/>
        <v>136</v>
      </c>
      <c r="P307" s="387"/>
      <c r="Q307" s="387"/>
      <c r="R307" s="387">
        <v>2</v>
      </c>
      <c r="S307" s="426">
        <v>0.57999999999999996</v>
      </c>
      <c r="T307" s="427" t="s">
        <v>37</v>
      </c>
      <c r="U307" s="426"/>
      <c r="V307" s="427"/>
      <c r="W307" s="427"/>
      <c r="X307" s="427"/>
      <c r="Y307" s="426">
        <v>0.57999999999999996</v>
      </c>
      <c r="Z307" s="427" t="s">
        <v>37</v>
      </c>
      <c r="AA307" s="426"/>
      <c r="AB307" s="427"/>
      <c r="AC307" s="427"/>
      <c r="AD307" s="427"/>
      <c r="AE307" s="426"/>
      <c r="AF307" s="239">
        <f t="shared" si="110"/>
        <v>4.8121843553724171</v>
      </c>
      <c r="AG307" s="239">
        <f t="shared" si="111"/>
        <v>4.9126548857360524</v>
      </c>
      <c r="AH307" s="240"/>
      <c r="AI307" s="240"/>
      <c r="AK307" s="265">
        <f t="shared" si="112"/>
        <v>246</v>
      </c>
      <c r="AL307" s="265">
        <f t="shared" si="113"/>
        <v>259</v>
      </c>
      <c r="AM307" s="239">
        <f t="shared" si="114"/>
        <v>5.5053315359323625</v>
      </c>
      <c r="AN307" s="239">
        <f t="shared" si="115"/>
        <v>5.5568280616995374</v>
      </c>
      <c r="AO307" s="240"/>
      <c r="AP307" s="240"/>
      <c r="AR307" s="265">
        <f t="shared" si="127"/>
        <v>195.06641455730031</v>
      </c>
      <c r="AS307" s="265">
        <f t="shared" si="128"/>
        <v>205.37480231845845</v>
      </c>
      <c r="AT307" s="239">
        <f t="shared" si="118"/>
        <v>5.2733400880503343</v>
      </c>
      <c r="AU307" s="239">
        <f t="shared" si="119"/>
        <v>5.3248366138175092</v>
      </c>
      <c r="AX307" s="385"/>
      <c r="AY307" s="385"/>
      <c r="AZ307" s="385"/>
      <c r="BA307" s="385"/>
      <c r="BB307" s="239"/>
      <c r="BC307" s="239"/>
      <c r="BD307" s="240"/>
      <c r="BE307" s="240"/>
      <c r="BF307" s="136"/>
      <c r="BG307" s="136"/>
      <c r="BH307" s="136"/>
      <c r="BI307" s="136"/>
    </row>
    <row r="308" spans="1:61" x14ac:dyDescent="0.2">
      <c r="A308" s="232" t="s">
        <v>34</v>
      </c>
      <c r="B308" s="232" t="s">
        <v>49</v>
      </c>
      <c r="C308" s="425" t="s">
        <v>54</v>
      </c>
      <c r="D308" s="381" t="s">
        <v>36</v>
      </c>
      <c r="E308" s="387">
        <v>5.6</v>
      </c>
      <c r="F308" s="387">
        <v>0.5</v>
      </c>
      <c r="G308" s="296">
        <f t="shared" si="120"/>
        <v>0.29002320185614849</v>
      </c>
      <c r="H308" s="387">
        <v>4</v>
      </c>
      <c r="I308" s="300">
        <f t="shared" si="129"/>
        <v>2.8444599999999998</v>
      </c>
      <c r="J308" s="387">
        <v>3</v>
      </c>
      <c r="K308" s="383">
        <v>5</v>
      </c>
      <c r="L308" s="383">
        <v>110</v>
      </c>
      <c r="M308" s="383" t="s">
        <v>93</v>
      </c>
      <c r="N308" s="387">
        <v>150</v>
      </c>
      <c r="O308" s="387">
        <f t="shared" si="126"/>
        <v>153</v>
      </c>
      <c r="P308" s="387"/>
      <c r="Q308" s="387"/>
      <c r="R308" s="387">
        <v>2</v>
      </c>
      <c r="S308" s="426">
        <v>0.57999999999999996</v>
      </c>
      <c r="T308" s="427" t="s">
        <v>37</v>
      </c>
      <c r="U308" s="426"/>
      <c r="V308" s="427"/>
      <c r="W308" s="427"/>
      <c r="X308" s="427"/>
      <c r="Y308" s="426">
        <v>0.57999999999999996</v>
      </c>
      <c r="Z308" s="427" t="s">
        <v>37</v>
      </c>
      <c r="AA308" s="426"/>
      <c r="AB308" s="427"/>
      <c r="AC308" s="427"/>
      <c r="AD308" s="427"/>
      <c r="AE308" s="426"/>
      <c r="AF308" s="239">
        <f t="shared" si="110"/>
        <v>5.0106352940962555</v>
      </c>
      <c r="AG308" s="239">
        <f t="shared" si="111"/>
        <v>5.0304379213924353</v>
      </c>
      <c r="AH308" s="240"/>
      <c r="AI308" s="240"/>
      <c r="AK308" s="265">
        <f t="shared" si="112"/>
        <v>300</v>
      </c>
      <c r="AL308" s="265">
        <f t="shared" si="113"/>
        <v>303</v>
      </c>
      <c r="AM308" s="239">
        <f t="shared" si="114"/>
        <v>5.7037824746562009</v>
      </c>
      <c r="AN308" s="239">
        <f t="shared" si="115"/>
        <v>5.7137328055093688</v>
      </c>
      <c r="AO308" s="240"/>
      <c r="AP308" s="240"/>
      <c r="AR308" s="265">
        <f t="shared" si="127"/>
        <v>665.43339053057571</v>
      </c>
      <c r="AS308" s="265">
        <f t="shared" si="128"/>
        <v>672.08772443588146</v>
      </c>
      <c r="AT308" s="239">
        <f t="shared" si="118"/>
        <v>6.5004385434653749</v>
      </c>
      <c r="AU308" s="239">
        <f t="shared" si="119"/>
        <v>6.5103888743185427</v>
      </c>
      <c r="AX308" s="385"/>
      <c r="AY308" s="385"/>
      <c r="AZ308" s="385"/>
      <c r="BA308" s="385"/>
      <c r="BB308" s="239"/>
      <c r="BC308" s="239"/>
      <c r="BD308" s="240"/>
      <c r="BE308" s="240"/>
      <c r="BF308" s="136"/>
      <c r="BG308" s="136"/>
      <c r="BH308" s="136"/>
      <c r="BI308" s="136"/>
    </row>
    <row r="309" spans="1:61" x14ac:dyDescent="0.2">
      <c r="A309" s="232" t="s">
        <v>34</v>
      </c>
      <c r="B309" s="232" t="s">
        <v>49</v>
      </c>
      <c r="C309" s="425" t="s">
        <v>54</v>
      </c>
      <c r="D309" s="381" t="s">
        <v>55</v>
      </c>
      <c r="E309" s="387">
        <v>4.8</v>
      </c>
      <c r="F309" s="387">
        <v>5.7</v>
      </c>
      <c r="G309" s="296">
        <f t="shared" si="120"/>
        <v>3.3062645011600931</v>
      </c>
      <c r="H309" s="387">
        <v>2</v>
      </c>
      <c r="I309" s="300">
        <f t="shared" si="129"/>
        <v>7.1781719999999991</v>
      </c>
      <c r="J309" s="387">
        <v>14</v>
      </c>
      <c r="K309" s="383">
        <v>0</v>
      </c>
      <c r="L309" s="383">
        <v>42</v>
      </c>
      <c r="M309" s="383" t="s">
        <v>93</v>
      </c>
      <c r="N309" s="387">
        <v>40</v>
      </c>
      <c r="O309" s="387">
        <f t="shared" si="126"/>
        <v>54</v>
      </c>
      <c r="P309" s="387"/>
      <c r="Q309" s="387"/>
      <c r="R309" s="387">
        <v>2</v>
      </c>
      <c r="S309" s="426">
        <v>0.57999999999999996</v>
      </c>
      <c r="T309" s="427" t="s">
        <v>37</v>
      </c>
      <c r="U309" s="426"/>
      <c r="V309" s="427"/>
      <c r="W309" s="427"/>
      <c r="X309" s="427"/>
      <c r="Y309" s="426">
        <v>0.57999999999999996</v>
      </c>
      <c r="Z309" s="427" t="s">
        <v>37</v>
      </c>
      <c r="AA309" s="426"/>
      <c r="AB309" s="427"/>
      <c r="AC309" s="427"/>
      <c r="AD309" s="427"/>
      <c r="AE309" s="426"/>
      <c r="AF309" s="239">
        <f t="shared" si="110"/>
        <v>3.6888794541139363</v>
      </c>
      <c r="AG309" s="239">
        <f t="shared" si="111"/>
        <v>3.9889840465642745</v>
      </c>
      <c r="AH309" s="240"/>
      <c r="AI309" s="240"/>
      <c r="AK309" s="265">
        <f t="shared" si="112"/>
        <v>80</v>
      </c>
      <c r="AL309" s="265">
        <f t="shared" si="113"/>
        <v>94</v>
      </c>
      <c r="AM309" s="239">
        <f t="shared" si="114"/>
        <v>4.3820266346738812</v>
      </c>
      <c r="AN309" s="239">
        <f t="shared" si="115"/>
        <v>4.5432947822700038</v>
      </c>
      <c r="AO309" s="240"/>
      <c r="AP309" s="240"/>
      <c r="AR309" s="265">
        <f t="shared" si="127"/>
        <v>103.73019265544683</v>
      </c>
      <c r="AS309" s="265">
        <f t="shared" si="128"/>
        <v>121.88297637015002</v>
      </c>
      <c r="AT309" s="239">
        <f t="shared" si="118"/>
        <v>4.6417932267200106</v>
      </c>
      <c r="AU309" s="239">
        <f t="shared" si="119"/>
        <v>4.8030613743161332</v>
      </c>
      <c r="AX309" s="385">
        <f>GEOMEAN(AR309:AR310)</f>
        <v>90.693526545002712</v>
      </c>
      <c r="AY309" s="385">
        <f>GEOMEAN(AS309:AS310)</f>
        <v>104.50436831339296</v>
      </c>
      <c r="AZ309" s="385"/>
      <c r="BA309" s="385"/>
      <c r="BB309" s="239"/>
      <c r="BC309" s="239"/>
      <c r="BD309" s="240"/>
      <c r="BE309" s="240"/>
      <c r="BF309" s="136"/>
      <c r="BG309" s="136"/>
      <c r="BH309" s="136"/>
      <c r="BI309" s="136"/>
    </row>
    <row r="310" spans="1:61" x14ac:dyDescent="0.2">
      <c r="A310" s="232" t="s">
        <v>34</v>
      </c>
      <c r="B310" s="232" t="s">
        <v>49</v>
      </c>
      <c r="C310" s="425" t="s">
        <v>54</v>
      </c>
      <c r="D310" s="381" t="s">
        <v>55</v>
      </c>
      <c r="E310" s="387">
        <v>7.3</v>
      </c>
      <c r="F310" s="387">
        <v>3.4</v>
      </c>
      <c r="G310" s="296">
        <f t="shared" si="120"/>
        <v>1.9721577726218098</v>
      </c>
      <c r="H310" s="387">
        <v>17</v>
      </c>
      <c r="I310" s="300">
        <f t="shared" si="129"/>
        <v>16.758464000000004</v>
      </c>
      <c r="J310" s="387">
        <v>13</v>
      </c>
      <c r="K310" s="408">
        <v>0</v>
      </c>
      <c r="L310" s="408">
        <v>42</v>
      </c>
      <c r="M310" s="383" t="s">
        <v>93</v>
      </c>
      <c r="N310" s="387">
        <v>50</v>
      </c>
      <c r="O310" s="387">
        <f t="shared" si="126"/>
        <v>63</v>
      </c>
      <c r="P310" s="387"/>
      <c r="Q310" s="387"/>
      <c r="R310" s="387">
        <v>2</v>
      </c>
      <c r="S310" s="426">
        <v>0.57999999999999996</v>
      </c>
      <c r="T310" s="427" t="s">
        <v>37</v>
      </c>
      <c r="U310" s="426"/>
      <c r="V310" s="427"/>
      <c r="W310" s="427"/>
      <c r="X310" s="427"/>
      <c r="Y310" s="426">
        <v>0.57999999999999996</v>
      </c>
      <c r="Z310" s="427" t="s">
        <v>37</v>
      </c>
      <c r="AA310" s="426"/>
      <c r="AB310" s="427"/>
      <c r="AC310" s="427"/>
      <c r="AD310" s="427"/>
      <c r="AE310" s="426"/>
      <c r="AF310" s="239">
        <f t="shared" si="110"/>
        <v>3.912023005428146</v>
      </c>
      <c r="AG310" s="239">
        <f t="shared" si="111"/>
        <v>4.1431347263915326</v>
      </c>
      <c r="AH310" s="240"/>
      <c r="AI310" s="240"/>
      <c r="AK310" s="265">
        <f t="shared" si="112"/>
        <v>100</v>
      </c>
      <c r="AL310" s="265">
        <f t="shared" si="113"/>
        <v>113</v>
      </c>
      <c r="AM310" s="239">
        <f t="shared" si="114"/>
        <v>4.6051701859880918</v>
      </c>
      <c r="AN310" s="239">
        <f t="shared" si="115"/>
        <v>4.7273878187123408</v>
      </c>
      <c r="AO310" s="240"/>
      <c r="AP310" s="240"/>
      <c r="AR310" s="265">
        <f t="shared" si="127"/>
        <v>79.29529047044727</v>
      </c>
      <c r="AS310" s="265">
        <f t="shared" si="128"/>
        <v>89.603678231605429</v>
      </c>
      <c r="AT310" s="239">
        <f t="shared" si="118"/>
        <v>4.3731787381060627</v>
      </c>
      <c r="AU310" s="239">
        <f t="shared" si="119"/>
        <v>4.4953963708303117</v>
      </c>
      <c r="AX310" s="385"/>
      <c r="AY310" s="385"/>
      <c r="AZ310" s="385"/>
      <c r="BA310" s="385"/>
      <c r="BB310" s="239"/>
      <c r="BC310" s="239"/>
      <c r="BD310" s="240"/>
      <c r="BE310" s="240"/>
      <c r="BF310" s="136"/>
      <c r="BG310" s="136"/>
      <c r="BH310" s="136"/>
      <c r="BI310" s="136"/>
    </row>
    <row r="311" spans="1:61" x14ac:dyDescent="0.2">
      <c r="A311" s="232" t="s">
        <v>34</v>
      </c>
      <c r="B311" s="232" t="s">
        <v>49</v>
      </c>
      <c r="C311" s="425" t="s">
        <v>54</v>
      </c>
      <c r="D311" s="381" t="s">
        <v>51</v>
      </c>
      <c r="E311" s="387">
        <v>4.8</v>
      </c>
      <c r="F311" s="387">
        <v>5.7</v>
      </c>
      <c r="G311" s="296">
        <f t="shared" si="120"/>
        <v>3.3062645011600931</v>
      </c>
      <c r="H311" s="387">
        <v>2</v>
      </c>
      <c r="I311" s="300">
        <f t="shared" si="129"/>
        <v>7.1781719999999991</v>
      </c>
      <c r="J311" s="387">
        <v>14</v>
      </c>
      <c r="K311" s="383">
        <v>0</v>
      </c>
      <c r="L311" s="383">
        <v>42</v>
      </c>
      <c r="M311" s="383" t="s">
        <v>93</v>
      </c>
      <c r="N311" s="387">
        <v>117</v>
      </c>
      <c r="O311" s="387">
        <f t="shared" si="126"/>
        <v>131</v>
      </c>
      <c r="P311" s="387"/>
      <c r="Q311" s="387"/>
      <c r="R311" s="387">
        <v>2</v>
      </c>
      <c r="S311" s="426">
        <v>0.57999999999999996</v>
      </c>
      <c r="T311" s="427" t="s">
        <v>37</v>
      </c>
      <c r="U311" s="426"/>
      <c r="V311" s="427"/>
      <c r="W311" s="427"/>
      <c r="X311" s="427"/>
      <c r="Y311" s="426">
        <v>0.57999999999999996</v>
      </c>
      <c r="Z311" s="427" t="s">
        <v>37</v>
      </c>
      <c r="AA311" s="426"/>
      <c r="AB311" s="427"/>
      <c r="AC311" s="427"/>
      <c r="AD311" s="427"/>
      <c r="AE311" s="426"/>
      <c r="AF311" s="239">
        <f t="shared" si="110"/>
        <v>4.7621739347977563</v>
      </c>
      <c r="AG311" s="239">
        <f t="shared" si="111"/>
        <v>4.8751973232011512</v>
      </c>
      <c r="AH311" s="240"/>
      <c r="AI311" s="240"/>
      <c r="AK311" s="265">
        <f t="shared" si="112"/>
        <v>234</v>
      </c>
      <c r="AL311" s="265">
        <f t="shared" si="113"/>
        <v>248</v>
      </c>
      <c r="AM311" s="239">
        <f t="shared" si="114"/>
        <v>5.4553211153577017</v>
      </c>
      <c r="AN311" s="239">
        <f t="shared" si="115"/>
        <v>5.5134287461649825</v>
      </c>
      <c r="AO311" s="240"/>
      <c r="AP311" s="240"/>
      <c r="AR311" s="265">
        <f t="shared" si="127"/>
        <v>303.41081351718196</v>
      </c>
      <c r="AS311" s="265">
        <f t="shared" si="128"/>
        <v>321.56359723188518</v>
      </c>
      <c r="AT311" s="239">
        <f t="shared" si="118"/>
        <v>5.7150877074038302</v>
      </c>
      <c r="AU311" s="239">
        <f t="shared" si="119"/>
        <v>5.7731953382111119</v>
      </c>
      <c r="AX311" s="385">
        <f>GEOMEAN(AR311:AR313)</f>
        <v>231.34841564245886</v>
      </c>
      <c r="AY311" s="385">
        <f>GEOMEAN(AS311:AS313)</f>
        <v>241.49222564959678</v>
      </c>
      <c r="AZ311" s="385"/>
      <c r="BA311" s="385"/>
      <c r="BB311" s="239"/>
      <c r="BC311" s="239"/>
      <c r="BD311" s="240"/>
      <c r="BE311" s="240"/>
      <c r="BF311" s="136"/>
      <c r="BG311" s="136"/>
      <c r="BH311" s="136"/>
      <c r="BI311" s="136"/>
    </row>
    <row r="312" spans="1:61" x14ac:dyDescent="0.2">
      <c r="A312" s="232" t="s">
        <v>34</v>
      </c>
      <c r="B312" s="232" t="s">
        <v>49</v>
      </c>
      <c r="C312" s="425" t="s">
        <v>54</v>
      </c>
      <c r="D312" s="381" t="s">
        <v>51</v>
      </c>
      <c r="E312" s="387">
        <v>5.6</v>
      </c>
      <c r="F312" s="387">
        <v>0.5</v>
      </c>
      <c r="G312" s="296">
        <f t="shared" si="120"/>
        <v>0.29002320185614849</v>
      </c>
      <c r="H312" s="387">
        <v>4</v>
      </c>
      <c r="I312" s="300">
        <f t="shared" si="129"/>
        <v>2.8444599999999998</v>
      </c>
      <c r="J312" s="387">
        <v>3</v>
      </c>
      <c r="K312" s="383">
        <v>5</v>
      </c>
      <c r="L312" s="383">
        <v>110</v>
      </c>
      <c r="M312" s="383" t="s">
        <v>93</v>
      </c>
      <c r="N312" s="387">
        <v>73</v>
      </c>
      <c r="O312" s="387">
        <f t="shared" si="126"/>
        <v>76</v>
      </c>
      <c r="P312" s="387"/>
      <c r="Q312" s="387"/>
      <c r="R312" s="387">
        <v>2</v>
      </c>
      <c r="S312" s="426">
        <v>0.57999999999999996</v>
      </c>
      <c r="T312" s="427" t="s">
        <v>37</v>
      </c>
      <c r="U312" s="426"/>
      <c r="V312" s="427"/>
      <c r="W312" s="427"/>
      <c r="X312" s="427"/>
      <c r="Y312" s="426">
        <v>0.57999999999999996</v>
      </c>
      <c r="Z312" s="427" t="s">
        <v>37</v>
      </c>
      <c r="AA312" s="426"/>
      <c r="AB312" s="427"/>
      <c r="AC312" s="427"/>
      <c r="AD312" s="427"/>
      <c r="AE312" s="426"/>
      <c r="AF312" s="239">
        <f t="shared" si="110"/>
        <v>4.290459441148391</v>
      </c>
      <c r="AG312" s="239">
        <f t="shared" si="111"/>
        <v>4.3307333402863311</v>
      </c>
      <c r="AH312" s="240"/>
      <c r="AI312" s="240"/>
      <c r="AK312" s="265">
        <f t="shared" si="112"/>
        <v>146</v>
      </c>
      <c r="AL312" s="265">
        <f t="shared" si="113"/>
        <v>149</v>
      </c>
      <c r="AM312" s="239">
        <f t="shared" si="114"/>
        <v>4.9836066217083363</v>
      </c>
      <c r="AN312" s="239">
        <f t="shared" si="115"/>
        <v>5.0039463059454592</v>
      </c>
      <c r="AO312" s="240"/>
      <c r="AP312" s="240"/>
      <c r="AR312" s="265">
        <f t="shared" si="127"/>
        <v>323.8442500582135</v>
      </c>
      <c r="AS312" s="265">
        <f t="shared" si="128"/>
        <v>330.49858396351925</v>
      </c>
      <c r="AT312" s="239">
        <f t="shared" si="118"/>
        <v>5.7802626905175103</v>
      </c>
      <c r="AU312" s="239">
        <f t="shared" si="119"/>
        <v>5.8006023747546331</v>
      </c>
      <c r="AX312" s="385"/>
      <c r="AY312" s="385"/>
      <c r="AZ312" s="385"/>
      <c r="BA312" s="385"/>
      <c r="BB312" s="239"/>
      <c r="BC312" s="239"/>
      <c r="BD312" s="240"/>
      <c r="BE312" s="240"/>
      <c r="BF312" s="136"/>
      <c r="BG312" s="136"/>
      <c r="BH312" s="136"/>
      <c r="BI312" s="136"/>
    </row>
    <row r="313" spans="1:61" x14ac:dyDescent="0.2">
      <c r="A313" s="232" t="s">
        <v>34</v>
      </c>
      <c r="B313" s="232" t="s">
        <v>49</v>
      </c>
      <c r="C313" s="425" t="s">
        <v>54</v>
      </c>
      <c r="D313" s="381" t="s">
        <v>51</v>
      </c>
      <c r="E313" s="387">
        <v>7.5</v>
      </c>
      <c r="F313" s="387">
        <v>9.8000000000000007</v>
      </c>
      <c r="G313" s="296">
        <f t="shared" si="120"/>
        <v>5.6844547563805108</v>
      </c>
      <c r="H313" s="387">
        <v>41</v>
      </c>
      <c r="I313" s="300">
        <f t="shared" si="129"/>
        <v>44.277519999999996</v>
      </c>
      <c r="J313" s="387">
        <v>14.4</v>
      </c>
      <c r="K313" s="383">
        <v>14</v>
      </c>
      <c r="L313" s="383">
        <v>294</v>
      </c>
      <c r="M313" s="383" t="s">
        <v>93</v>
      </c>
      <c r="N313" s="387">
        <v>139.6</v>
      </c>
      <c r="O313" s="387">
        <f t="shared" si="126"/>
        <v>154</v>
      </c>
      <c r="P313" s="387"/>
      <c r="Q313" s="387"/>
      <c r="R313" s="387">
        <v>2</v>
      </c>
      <c r="S313" s="426">
        <v>0.57999999999999996</v>
      </c>
      <c r="T313" s="427" t="s">
        <v>37</v>
      </c>
      <c r="U313" s="426"/>
      <c r="V313" s="427"/>
      <c r="W313" s="427"/>
      <c r="X313" s="427"/>
      <c r="Y313" s="426">
        <v>0.57999999999999996</v>
      </c>
      <c r="Z313" s="427" t="s">
        <v>37</v>
      </c>
      <c r="AA313" s="426"/>
      <c r="AB313" s="427"/>
      <c r="AC313" s="427"/>
      <c r="AD313" s="427"/>
      <c r="AE313" s="426"/>
      <c r="AF313" s="239">
        <f t="shared" si="110"/>
        <v>4.9387811903282719</v>
      </c>
      <c r="AG313" s="239">
        <f t="shared" si="111"/>
        <v>5.0369526024136295</v>
      </c>
      <c r="AH313" s="240"/>
      <c r="AI313" s="240"/>
      <c r="AK313" s="265">
        <f t="shared" si="112"/>
        <v>279.2</v>
      </c>
      <c r="AL313" s="265">
        <f t="shared" si="113"/>
        <v>293.59999999999997</v>
      </c>
      <c r="AM313" s="239">
        <f t="shared" si="114"/>
        <v>5.6319283708882173</v>
      </c>
      <c r="AN313" s="239">
        <f t="shared" si="115"/>
        <v>5.6822182967403601</v>
      </c>
      <c r="AO313" s="240"/>
      <c r="AP313" s="240"/>
      <c r="AR313" s="265">
        <f t="shared" si="127"/>
        <v>126.01793059344436</v>
      </c>
      <c r="AS313" s="265">
        <f t="shared" si="128"/>
        <v>132.51742271574233</v>
      </c>
      <c r="AT313" s="239">
        <f t="shared" si="118"/>
        <v>4.8364242031240749</v>
      </c>
      <c r="AU313" s="239">
        <f t="shared" si="119"/>
        <v>4.8867141289762177</v>
      </c>
      <c r="AX313" s="385"/>
      <c r="AY313" s="385"/>
      <c r="AZ313" s="385"/>
      <c r="BA313" s="385"/>
      <c r="BB313" s="239"/>
      <c r="BC313" s="239"/>
      <c r="BD313" s="240"/>
      <c r="BE313" s="240"/>
      <c r="BF313" s="136"/>
      <c r="BG313" s="136"/>
      <c r="BH313" s="136"/>
      <c r="BI313" s="136"/>
    </row>
    <row r="314" spans="1:61" s="165" customFormat="1" ht="13.5" customHeight="1" x14ac:dyDescent="0.2">
      <c r="A314" s="156" t="s">
        <v>34</v>
      </c>
      <c r="B314" s="156" t="s">
        <v>49</v>
      </c>
      <c r="C314" s="428" t="s">
        <v>54</v>
      </c>
      <c r="D314" s="381" t="s">
        <v>324</v>
      </c>
      <c r="E314" s="361">
        <v>4.8</v>
      </c>
      <c r="F314" s="361">
        <v>5.7</v>
      </c>
      <c r="G314" s="330">
        <f t="shared" si="120"/>
        <v>3.3062645011600931</v>
      </c>
      <c r="H314" s="361">
        <v>2</v>
      </c>
      <c r="I314" s="393">
        <f t="shared" si="129"/>
        <v>7.1781719999999991</v>
      </c>
      <c r="J314" s="361">
        <v>14</v>
      </c>
      <c r="K314" s="394">
        <v>0</v>
      </c>
      <c r="L314" s="394">
        <v>42</v>
      </c>
      <c r="M314" s="394" t="s">
        <v>93</v>
      </c>
      <c r="N314" s="361">
        <v>40</v>
      </c>
      <c r="O314" s="361">
        <f t="shared" si="126"/>
        <v>54</v>
      </c>
      <c r="P314" s="361"/>
      <c r="Q314" s="361"/>
      <c r="R314" s="361">
        <v>2</v>
      </c>
      <c r="S314" s="429">
        <v>0.57999999999999996</v>
      </c>
      <c r="T314" s="430" t="s">
        <v>37</v>
      </c>
      <c r="U314" s="429"/>
      <c r="V314" s="430"/>
      <c r="W314" s="430"/>
      <c r="X314" s="430"/>
      <c r="Y314" s="429">
        <v>0.57999999999999996</v>
      </c>
      <c r="Z314" s="430" t="s">
        <v>37</v>
      </c>
      <c r="AA314" s="429"/>
      <c r="AB314" s="430"/>
      <c r="AC314" s="430"/>
      <c r="AD314" s="430"/>
      <c r="AE314" s="429"/>
      <c r="AF314" s="166">
        <f t="shared" si="110"/>
        <v>3.6888794541139363</v>
      </c>
      <c r="AG314" s="166">
        <f t="shared" si="111"/>
        <v>3.9889840465642745</v>
      </c>
      <c r="AH314" s="169"/>
      <c r="AI314" s="169"/>
      <c r="AK314" s="168">
        <f t="shared" si="112"/>
        <v>80</v>
      </c>
      <c r="AL314" s="168">
        <f t="shared" si="113"/>
        <v>94</v>
      </c>
      <c r="AM314" s="166">
        <f t="shared" si="114"/>
        <v>4.3820266346738812</v>
      </c>
      <c r="AN314" s="166">
        <f t="shared" si="115"/>
        <v>4.5432947822700038</v>
      </c>
      <c r="AO314" s="169"/>
      <c r="AP314" s="169"/>
      <c r="AR314" s="168">
        <f t="shared" si="127"/>
        <v>103.73019265544683</v>
      </c>
      <c r="AS314" s="168">
        <f t="shared" si="128"/>
        <v>121.88297637015002</v>
      </c>
      <c r="AT314" s="166">
        <f t="shared" si="118"/>
        <v>4.6417932267200106</v>
      </c>
      <c r="AU314" s="166">
        <f t="shared" si="119"/>
        <v>4.8030613743161332</v>
      </c>
      <c r="AV314" s="167"/>
      <c r="AW314" s="167"/>
      <c r="AX314" s="168">
        <f>GEOMEAN(AR314:AR314)</f>
        <v>103.73019265544683</v>
      </c>
      <c r="AY314" s="168">
        <f>GEOMEAN(AS314:AS314)</f>
        <v>121.88297637015002</v>
      </c>
      <c r="AZ314" s="168"/>
      <c r="BA314" s="168"/>
      <c r="BB314" s="166"/>
      <c r="BC314" s="166"/>
      <c r="BD314" s="169"/>
      <c r="BE314" s="169"/>
    </row>
    <row r="315" spans="1:61" s="165" customFormat="1" x14ac:dyDescent="0.2">
      <c r="A315" s="156" t="s">
        <v>34</v>
      </c>
      <c r="B315" s="156" t="s">
        <v>49</v>
      </c>
      <c r="C315" s="428" t="s">
        <v>56</v>
      </c>
      <c r="D315" s="431" t="s">
        <v>328</v>
      </c>
      <c r="E315" s="361">
        <v>5.5</v>
      </c>
      <c r="F315" s="361">
        <v>10</v>
      </c>
      <c r="G315" s="330">
        <f t="shared" si="120"/>
        <v>5.8004640371229703</v>
      </c>
      <c r="H315" s="432">
        <v>20</v>
      </c>
      <c r="I315" s="433">
        <f t="shared" ref="I315" si="130">(30+4.4*E315)*(0/100)+(-34.66+29.72*E315)*(F315/100)</f>
        <v>12.879999999999999</v>
      </c>
      <c r="J315" s="361">
        <v>3.2</v>
      </c>
      <c r="K315" s="434" t="s">
        <v>331</v>
      </c>
      <c r="L315" s="434">
        <v>21</v>
      </c>
      <c r="M315" s="434" t="s">
        <v>93</v>
      </c>
      <c r="N315" s="361">
        <v>32</v>
      </c>
      <c r="O315" s="361">
        <f t="shared" si="126"/>
        <v>35.200000000000003</v>
      </c>
      <c r="P315" s="361"/>
      <c r="Q315" s="361"/>
      <c r="R315" s="361">
        <v>2</v>
      </c>
      <c r="S315" s="429">
        <v>0.57999999999999996</v>
      </c>
      <c r="T315" s="430" t="s">
        <v>37</v>
      </c>
      <c r="U315" s="429"/>
      <c r="V315" s="430"/>
      <c r="W315" s="430"/>
      <c r="X315" s="430"/>
      <c r="Y315" s="429">
        <v>0.57999999999999996</v>
      </c>
      <c r="Z315" s="430" t="s">
        <v>37</v>
      </c>
      <c r="AA315" s="429"/>
      <c r="AB315" s="430"/>
      <c r="AC315" s="430"/>
      <c r="AD315" s="430"/>
      <c r="AE315" s="429"/>
      <c r="AF315" s="166">
        <f t="shared" si="110"/>
        <v>3.4657359027997265</v>
      </c>
      <c r="AG315" s="166">
        <f t="shared" si="111"/>
        <v>3.5610460826040513</v>
      </c>
      <c r="AH315" s="169"/>
      <c r="AI315" s="169"/>
      <c r="AK315" s="168">
        <f t="shared" si="112"/>
        <v>64</v>
      </c>
      <c r="AL315" s="168">
        <f t="shared" si="113"/>
        <v>67.2</v>
      </c>
      <c r="AM315" s="166">
        <f t="shared" si="114"/>
        <v>4.1588830833596715</v>
      </c>
      <c r="AN315" s="166">
        <f t="shared" si="115"/>
        <v>4.2076732475291037</v>
      </c>
      <c r="AO315" s="169"/>
      <c r="AP315" s="169"/>
      <c r="AR315" s="168">
        <f t="shared" si="127"/>
        <v>59.119671199690956</v>
      </c>
      <c r="AS315" s="168">
        <f t="shared" si="128"/>
        <v>62.075654759675508</v>
      </c>
      <c r="AT315" s="166">
        <f t="shared" si="118"/>
        <v>4.0795637150495647</v>
      </c>
      <c r="AU315" s="166">
        <f t="shared" si="119"/>
        <v>4.1283538792189969</v>
      </c>
      <c r="AV315" s="167"/>
      <c r="AW315" s="167"/>
      <c r="AX315" s="168">
        <f>GEOMEAN(AR315:AR315)</f>
        <v>59.119671199690956</v>
      </c>
      <c r="AY315" s="168">
        <f>GEOMEAN(AS315:AS315)</f>
        <v>62.075654759675508</v>
      </c>
      <c r="AZ315" s="168">
        <f>MIN(AX315)</f>
        <v>59.119671199690956</v>
      </c>
      <c r="BA315" s="168">
        <f>MIN(AY315)</f>
        <v>62.075654759675508</v>
      </c>
      <c r="BB315" s="166">
        <f>LN(AZ315)</f>
        <v>4.0795637150495647</v>
      </c>
      <c r="BC315" s="166">
        <f>LN(BA315)</f>
        <v>4.1283538792189969</v>
      </c>
      <c r="BD315" s="169"/>
      <c r="BE315" s="169"/>
    </row>
    <row r="316" spans="1:61" x14ac:dyDescent="0.2">
      <c r="A316" s="232" t="s">
        <v>34</v>
      </c>
      <c r="B316" s="232" t="s">
        <v>49</v>
      </c>
      <c r="C316" s="389" t="s">
        <v>57</v>
      </c>
      <c r="D316" s="381" t="s">
        <v>328</v>
      </c>
      <c r="E316" s="293">
        <v>3.36</v>
      </c>
      <c r="F316" s="293">
        <v>8.3137760000000025</v>
      </c>
      <c r="G316" s="296">
        <v>5.2</v>
      </c>
      <c r="H316" s="293">
        <v>13</v>
      </c>
      <c r="I316" s="235">
        <v>6.7</v>
      </c>
      <c r="J316" s="294">
        <v>17</v>
      </c>
      <c r="K316" s="399">
        <v>7</v>
      </c>
      <c r="L316" s="399">
        <v>28</v>
      </c>
      <c r="M316" s="399" t="s">
        <v>93</v>
      </c>
      <c r="N316" s="295">
        <v>174</v>
      </c>
      <c r="O316" s="313">
        <f t="shared" si="126"/>
        <v>191</v>
      </c>
      <c r="P316" s="313"/>
      <c r="Q316" s="313"/>
      <c r="R316" s="387">
        <v>2</v>
      </c>
      <c r="S316" s="285">
        <v>0.96</v>
      </c>
      <c r="T316" s="388" t="s">
        <v>37</v>
      </c>
      <c r="U316" s="285"/>
      <c r="V316" s="388"/>
      <c r="W316" s="388"/>
      <c r="X316" s="388"/>
      <c r="Y316" s="285">
        <v>0.96</v>
      </c>
      <c r="Z316" s="388" t="s">
        <v>37</v>
      </c>
      <c r="AA316" s="285"/>
      <c r="AB316" s="388"/>
      <c r="AC316" s="388"/>
      <c r="AD316" s="388"/>
      <c r="AE316" s="285"/>
      <c r="AF316" s="239">
        <f t="shared" si="110"/>
        <v>5.1590552992145291</v>
      </c>
      <c r="AG316" s="239">
        <f t="shared" si="111"/>
        <v>5.2522734280466299</v>
      </c>
      <c r="AH316" s="240"/>
      <c r="AI316" s="240"/>
      <c r="AK316" s="265">
        <f t="shared" si="112"/>
        <v>348</v>
      </c>
      <c r="AL316" s="265">
        <f t="shared" si="113"/>
        <v>365</v>
      </c>
      <c r="AM316" s="239">
        <f t="shared" si="114"/>
        <v>5.8522024797744745</v>
      </c>
      <c r="AN316" s="239">
        <f t="shared" si="115"/>
        <v>5.8998973535824915</v>
      </c>
      <c r="AO316" s="240"/>
      <c r="AP316" s="240"/>
      <c r="AR316" s="265">
        <f t="shared" si="127"/>
        <v>571.54356867233446</v>
      </c>
      <c r="AS316" s="265">
        <f t="shared" si="128"/>
        <v>599.46380047529328</v>
      </c>
      <c r="AT316" s="239">
        <f t="shared" si="118"/>
        <v>6.3483407159762058</v>
      </c>
      <c r="AU316" s="239">
        <f t="shared" si="119"/>
        <v>6.3960355897842227</v>
      </c>
      <c r="AX316" s="385">
        <f>GEOMEAN(AR316:AR344)</f>
        <v>494.77291495488254</v>
      </c>
      <c r="AY316" s="385">
        <f>GEOMEAN(AS316:AS344)</f>
        <v>523.8553935040411</v>
      </c>
      <c r="AZ316" s="385">
        <f>MIN(AX316:AX349)</f>
        <v>494.77291495488254</v>
      </c>
      <c r="BA316" s="385">
        <f>MIN(AY316:AY349)</f>
        <v>523.8553935040411</v>
      </c>
      <c r="BB316" s="239">
        <f>LN(AZ316)</f>
        <v>6.2040988996402939</v>
      </c>
      <c r="BC316" s="239">
        <f>LN(BA316)</f>
        <v>6.2612156796399132</v>
      </c>
      <c r="BD316" s="240"/>
      <c r="BE316" s="240"/>
      <c r="BF316" s="136"/>
      <c r="BG316" s="136"/>
      <c r="BH316" s="136"/>
      <c r="BI316" s="136"/>
    </row>
    <row r="317" spans="1:61" x14ac:dyDescent="0.2">
      <c r="A317" s="232" t="s">
        <v>34</v>
      </c>
      <c r="B317" s="232" t="s">
        <v>49</v>
      </c>
      <c r="C317" s="389" t="s">
        <v>57</v>
      </c>
      <c r="D317" s="381" t="s">
        <v>328</v>
      </c>
      <c r="E317" s="293">
        <v>3.375</v>
      </c>
      <c r="F317" s="293">
        <v>2.9831456000000003</v>
      </c>
      <c r="G317" s="296">
        <v>1.9</v>
      </c>
      <c r="H317" s="293">
        <v>5</v>
      </c>
      <c r="I317" s="235">
        <v>1.9</v>
      </c>
      <c r="J317" s="294">
        <v>2.4087150626686804</v>
      </c>
      <c r="K317" s="399">
        <v>7</v>
      </c>
      <c r="L317" s="399">
        <v>28</v>
      </c>
      <c r="M317" s="399" t="s">
        <v>93</v>
      </c>
      <c r="N317" s="405">
        <v>28.2</v>
      </c>
      <c r="O317" s="313">
        <f t="shared" si="126"/>
        <v>30.608715062668679</v>
      </c>
      <c r="P317" s="313"/>
      <c r="Q317" s="313"/>
      <c r="R317" s="387">
        <v>2</v>
      </c>
      <c r="S317" s="285">
        <v>0.96</v>
      </c>
      <c r="T317" s="388" t="s">
        <v>37</v>
      </c>
      <c r="U317" s="285"/>
      <c r="V317" s="388"/>
      <c r="W317" s="388"/>
      <c r="X317" s="388"/>
      <c r="Y317" s="285">
        <v>0.96</v>
      </c>
      <c r="Z317" s="388" t="s">
        <v>37</v>
      </c>
      <c r="AA317" s="285"/>
      <c r="AB317" s="388"/>
      <c r="AC317" s="388"/>
      <c r="AD317" s="388"/>
      <c r="AE317" s="285"/>
      <c r="AF317" s="239">
        <f t="shared" si="110"/>
        <v>3.3393219779440679</v>
      </c>
      <c r="AG317" s="239">
        <f t="shared" si="111"/>
        <v>3.4212847743783787</v>
      </c>
      <c r="AH317" s="240"/>
      <c r="AI317" s="240"/>
      <c r="AK317" s="265">
        <f t="shared" si="112"/>
        <v>56.4</v>
      </c>
      <c r="AL317" s="265">
        <f t="shared" si="113"/>
        <v>58.808715062668682</v>
      </c>
      <c r="AM317" s="239">
        <f t="shared" si="114"/>
        <v>4.0324691585040133</v>
      </c>
      <c r="AN317" s="239">
        <f t="shared" si="115"/>
        <v>4.0742900592732791</v>
      </c>
      <c r="AO317" s="240"/>
      <c r="AP317" s="240"/>
      <c r="AR317" s="265">
        <f t="shared" si="127"/>
        <v>310.58291082538113</v>
      </c>
      <c r="AS317" s="265">
        <f t="shared" si="128"/>
        <v>323.84719691602976</v>
      </c>
      <c r="AT317" s="239">
        <f t="shared" si="118"/>
        <v>5.7384508893212889</v>
      </c>
      <c r="AU317" s="239">
        <f t="shared" si="119"/>
        <v>5.7802717900905556</v>
      </c>
      <c r="AX317" s="385"/>
      <c r="AY317" s="385"/>
      <c r="AZ317" s="385"/>
      <c r="BA317" s="385"/>
      <c r="BB317" s="239"/>
      <c r="BC317" s="239"/>
      <c r="BD317" s="240"/>
      <c r="BE317" s="240"/>
      <c r="BF317" s="136"/>
      <c r="BG317" s="136"/>
      <c r="BH317" s="136"/>
      <c r="BI317" s="136"/>
    </row>
    <row r="318" spans="1:61" x14ac:dyDescent="0.2">
      <c r="A318" s="232" t="s">
        <v>34</v>
      </c>
      <c r="B318" s="232" t="s">
        <v>49</v>
      </c>
      <c r="C318" s="389" t="s">
        <v>57</v>
      </c>
      <c r="D318" s="381" t="s">
        <v>328</v>
      </c>
      <c r="E318" s="293">
        <v>4.2</v>
      </c>
      <c r="F318" s="293">
        <v>20.711168000000004</v>
      </c>
      <c r="G318" s="296">
        <v>12.9</v>
      </c>
      <c r="H318" s="293">
        <v>13</v>
      </c>
      <c r="I318" s="235">
        <v>15.2</v>
      </c>
      <c r="J318" s="294">
        <v>14</v>
      </c>
      <c r="K318" s="399">
        <v>7</v>
      </c>
      <c r="L318" s="399">
        <v>28</v>
      </c>
      <c r="M318" s="399" t="s">
        <v>93</v>
      </c>
      <c r="N318" s="295">
        <v>279</v>
      </c>
      <c r="O318" s="313">
        <f t="shared" si="126"/>
        <v>293</v>
      </c>
      <c r="P318" s="313"/>
      <c r="Q318" s="313"/>
      <c r="R318" s="387">
        <v>2</v>
      </c>
      <c r="S318" s="285">
        <v>0.96</v>
      </c>
      <c r="T318" s="388" t="s">
        <v>37</v>
      </c>
      <c r="U318" s="285"/>
      <c r="V318" s="388"/>
      <c r="W318" s="388"/>
      <c r="X318" s="388"/>
      <c r="Y318" s="285">
        <v>0.96</v>
      </c>
      <c r="Z318" s="388" t="s">
        <v>37</v>
      </c>
      <c r="AA318" s="285"/>
      <c r="AB318" s="388"/>
      <c r="AC318" s="388"/>
      <c r="AD318" s="388"/>
      <c r="AE318" s="285"/>
      <c r="AF318" s="239">
        <f t="shared" si="110"/>
        <v>5.6312117818213654</v>
      </c>
      <c r="AG318" s="239">
        <f t="shared" si="111"/>
        <v>5.6801726090170677</v>
      </c>
      <c r="AH318" s="240"/>
      <c r="AI318" s="240"/>
      <c r="AK318" s="265">
        <f t="shared" si="112"/>
        <v>558</v>
      </c>
      <c r="AL318" s="265">
        <f t="shared" si="113"/>
        <v>572</v>
      </c>
      <c r="AM318" s="239">
        <f t="shared" si="114"/>
        <v>6.3243589623813108</v>
      </c>
      <c r="AN318" s="239">
        <f t="shared" si="115"/>
        <v>6.3491389913797978</v>
      </c>
      <c r="AO318" s="240"/>
      <c r="AP318" s="240"/>
      <c r="AR318" s="265">
        <f t="shared" si="127"/>
        <v>417.41328127107727</v>
      </c>
      <c r="AS318" s="265">
        <f t="shared" si="128"/>
        <v>427.886015926624</v>
      </c>
      <c r="AT318" s="239">
        <f t="shared" si="118"/>
        <v>6.0340768131859441</v>
      </c>
      <c r="AU318" s="239">
        <f t="shared" si="119"/>
        <v>6.0588568421844311</v>
      </c>
      <c r="AX318" s="385"/>
      <c r="AY318" s="385"/>
      <c r="AZ318" s="385"/>
      <c r="BA318" s="385"/>
      <c r="BB318" s="239"/>
      <c r="BC318" s="239"/>
      <c r="BD318" s="240"/>
      <c r="BE318" s="240"/>
      <c r="BF318" s="136"/>
      <c r="BG318" s="136"/>
      <c r="BH318" s="136"/>
      <c r="BI318" s="136"/>
    </row>
    <row r="319" spans="1:61" x14ac:dyDescent="0.2">
      <c r="A319" s="232" t="s">
        <v>34</v>
      </c>
      <c r="B319" s="232" t="s">
        <v>49</v>
      </c>
      <c r="C319" s="389" t="s">
        <v>57</v>
      </c>
      <c r="D319" s="381" t="s">
        <v>328</v>
      </c>
      <c r="E319" s="293">
        <v>4.7450000000000001</v>
      </c>
      <c r="F319" s="293">
        <v>37.316435200000001</v>
      </c>
      <c r="G319" s="296">
        <v>23.3</v>
      </c>
      <c r="H319" s="293">
        <v>24</v>
      </c>
      <c r="I319" s="235">
        <v>35.299999999999997</v>
      </c>
      <c r="J319" s="294">
        <v>70</v>
      </c>
      <c r="K319" s="399">
        <v>7</v>
      </c>
      <c r="L319" s="399">
        <v>28</v>
      </c>
      <c r="M319" s="399" t="s">
        <v>104</v>
      </c>
      <c r="N319" s="405">
        <v>1390</v>
      </c>
      <c r="O319" s="313">
        <f t="shared" si="126"/>
        <v>1460</v>
      </c>
      <c r="P319" s="313"/>
      <c r="Q319" s="313"/>
      <c r="R319" s="387">
        <v>2</v>
      </c>
      <c r="S319" s="285">
        <v>0.96</v>
      </c>
      <c r="T319" s="388" t="s">
        <v>37</v>
      </c>
      <c r="U319" s="285"/>
      <c r="V319" s="388"/>
      <c r="W319" s="388"/>
      <c r="X319" s="388"/>
      <c r="Y319" s="285">
        <v>0.96</v>
      </c>
      <c r="Z319" s="388" t="s">
        <v>37</v>
      </c>
      <c r="AA319" s="285"/>
      <c r="AB319" s="388"/>
      <c r="AC319" s="388"/>
      <c r="AD319" s="388"/>
      <c r="AE319" s="285"/>
      <c r="AF319" s="239">
        <f t="shared" si="110"/>
        <v>7.2370590261247374</v>
      </c>
      <c r="AG319" s="239">
        <f t="shared" si="111"/>
        <v>7.2861917147023822</v>
      </c>
      <c r="AH319" s="240"/>
      <c r="AI319" s="240"/>
      <c r="AK319" s="265">
        <f t="shared" si="112"/>
        <v>2780</v>
      </c>
      <c r="AL319" s="265">
        <f t="shared" si="113"/>
        <v>2850</v>
      </c>
      <c r="AM319" s="239">
        <f t="shared" si="114"/>
        <v>7.9302062066846828</v>
      </c>
      <c r="AN319" s="239">
        <f t="shared" si="115"/>
        <v>7.9550742732626958</v>
      </c>
      <c r="AO319" s="240"/>
      <c r="AP319" s="240"/>
      <c r="AR319" s="265">
        <f t="shared" si="127"/>
        <v>926.15353259942185</v>
      </c>
      <c r="AS319" s="265">
        <f t="shared" si="128"/>
        <v>949.47394529077428</v>
      </c>
      <c r="AT319" s="239">
        <f t="shared" si="118"/>
        <v>6.8310400228457766</v>
      </c>
      <c r="AU319" s="239">
        <f t="shared" si="119"/>
        <v>6.8559080894237896</v>
      </c>
      <c r="AX319" s="279"/>
      <c r="AY319" s="313"/>
      <c r="AZ319" s="279"/>
      <c r="BA319" s="435"/>
      <c r="BB319" s="239"/>
      <c r="BC319" s="239"/>
      <c r="BD319" s="240"/>
      <c r="BE319" s="240"/>
      <c r="BF319" s="136"/>
      <c r="BG319" s="136"/>
      <c r="BH319" s="136"/>
      <c r="BI319" s="136"/>
    </row>
    <row r="320" spans="1:61" x14ac:dyDescent="0.2">
      <c r="A320" s="232" t="s">
        <v>34</v>
      </c>
      <c r="B320" s="232" t="s">
        <v>49</v>
      </c>
      <c r="C320" s="389" t="s">
        <v>57</v>
      </c>
      <c r="D320" s="381" t="s">
        <v>328</v>
      </c>
      <c r="E320" s="278">
        <v>4.7549999999999999</v>
      </c>
      <c r="F320" s="278">
        <v>2.6084792000000001</v>
      </c>
      <c r="G320" s="280">
        <v>1.6</v>
      </c>
      <c r="H320" s="278">
        <v>7</v>
      </c>
      <c r="I320" s="235">
        <v>2.4</v>
      </c>
      <c r="J320" s="279">
        <v>5.6</v>
      </c>
      <c r="K320" s="399">
        <v>7</v>
      </c>
      <c r="L320" s="399">
        <v>28</v>
      </c>
      <c r="M320" s="399" t="s">
        <v>104</v>
      </c>
      <c r="N320" s="405">
        <v>55.5</v>
      </c>
      <c r="O320" s="313">
        <f t="shared" si="126"/>
        <v>61.1</v>
      </c>
      <c r="P320" s="313"/>
      <c r="Q320" s="313"/>
      <c r="R320" s="387">
        <v>2</v>
      </c>
      <c r="S320" s="285">
        <v>0.96</v>
      </c>
      <c r="T320" s="388" t="s">
        <v>37</v>
      </c>
      <c r="U320" s="285"/>
      <c r="V320" s="388"/>
      <c r="W320" s="388"/>
      <c r="X320" s="388"/>
      <c r="Y320" s="285">
        <v>0.96</v>
      </c>
      <c r="Z320" s="388" t="s">
        <v>37</v>
      </c>
      <c r="AA320" s="285"/>
      <c r="AB320" s="388"/>
      <c r="AC320" s="388"/>
      <c r="AD320" s="388"/>
      <c r="AE320" s="285"/>
      <c r="AF320" s="239">
        <f t="shared" si="110"/>
        <v>4.0163830207523885</v>
      </c>
      <c r="AG320" s="239">
        <f t="shared" si="111"/>
        <v>4.1125118661775497</v>
      </c>
      <c r="AH320" s="240"/>
      <c r="AI320" s="240"/>
      <c r="AK320" s="265">
        <f t="shared" si="112"/>
        <v>111</v>
      </c>
      <c r="AL320" s="265">
        <f t="shared" si="113"/>
        <v>116.6</v>
      </c>
      <c r="AM320" s="239">
        <f t="shared" si="114"/>
        <v>4.7095302013123339</v>
      </c>
      <c r="AN320" s="239">
        <f t="shared" si="115"/>
        <v>4.7587492739163917</v>
      </c>
      <c r="AO320" s="240"/>
      <c r="AP320" s="240"/>
      <c r="AR320" s="265">
        <f t="shared" si="127"/>
        <v>488.45222875183788</v>
      </c>
      <c r="AS320" s="265">
        <f t="shared" si="128"/>
        <v>513.09486371589458</v>
      </c>
      <c r="AT320" s="239">
        <f t="shared" si="118"/>
        <v>6.1912416749953652</v>
      </c>
      <c r="AU320" s="239">
        <f t="shared" si="119"/>
        <v>6.2404607475994229</v>
      </c>
      <c r="AX320" s="279"/>
      <c r="AY320" s="313"/>
      <c r="AZ320" s="279"/>
      <c r="BA320" s="435"/>
      <c r="BB320" s="239"/>
      <c r="BC320" s="239"/>
      <c r="BD320" s="240"/>
      <c r="BE320" s="240"/>
      <c r="BF320" s="136"/>
      <c r="BG320" s="136"/>
      <c r="BH320" s="136"/>
      <c r="BI320" s="136"/>
    </row>
    <row r="321" spans="1:61" x14ac:dyDescent="0.2">
      <c r="A321" s="232" t="s">
        <v>34</v>
      </c>
      <c r="B321" s="232" t="s">
        <v>49</v>
      </c>
      <c r="C321" s="389" t="s">
        <v>57</v>
      </c>
      <c r="D321" s="381" t="s">
        <v>328</v>
      </c>
      <c r="E321" s="293">
        <v>4.8</v>
      </c>
      <c r="F321" s="293">
        <v>0.65026320000000004</v>
      </c>
      <c r="G321" s="296">
        <v>0.4</v>
      </c>
      <c r="H321" s="293">
        <v>38</v>
      </c>
      <c r="I321" s="235">
        <v>11.2</v>
      </c>
      <c r="J321" s="294">
        <v>31</v>
      </c>
      <c r="K321" s="399">
        <v>7</v>
      </c>
      <c r="L321" s="399">
        <v>28</v>
      </c>
      <c r="M321" s="399" t="s">
        <v>93</v>
      </c>
      <c r="N321" s="405">
        <v>53.1</v>
      </c>
      <c r="O321" s="313">
        <f t="shared" si="126"/>
        <v>84.1</v>
      </c>
      <c r="P321" s="313"/>
      <c r="Q321" s="313"/>
      <c r="R321" s="387">
        <v>2</v>
      </c>
      <c r="S321" s="285">
        <v>0.96</v>
      </c>
      <c r="T321" s="388" t="s">
        <v>37</v>
      </c>
      <c r="U321" s="285"/>
      <c r="V321" s="388"/>
      <c r="W321" s="388"/>
      <c r="X321" s="388"/>
      <c r="Y321" s="285">
        <v>0.96</v>
      </c>
      <c r="Z321" s="388" t="s">
        <v>37</v>
      </c>
      <c r="AA321" s="285"/>
      <c r="AB321" s="388"/>
      <c r="AC321" s="388"/>
      <c r="AD321" s="388"/>
      <c r="AE321" s="285"/>
      <c r="AF321" s="239">
        <f t="shared" si="110"/>
        <v>3.9721769282478934</v>
      </c>
      <c r="AG321" s="239">
        <f t="shared" si="111"/>
        <v>4.4320065669789024</v>
      </c>
      <c r="AH321" s="240"/>
      <c r="AI321" s="240"/>
      <c r="AK321" s="265">
        <f t="shared" si="112"/>
        <v>106.2</v>
      </c>
      <c r="AL321" s="265">
        <f t="shared" si="113"/>
        <v>137.19999999999999</v>
      </c>
      <c r="AM321" s="239">
        <f t="shared" si="114"/>
        <v>4.6653241088078383</v>
      </c>
      <c r="AN321" s="239">
        <f t="shared" si="115"/>
        <v>4.9214397152917844</v>
      </c>
      <c r="AO321" s="240"/>
      <c r="AP321" s="240"/>
      <c r="AR321" s="265">
        <f t="shared" si="127"/>
        <v>106.50674784418428</v>
      </c>
      <c r="AS321" s="265">
        <f t="shared" si="128"/>
        <v>137.59628817534914</v>
      </c>
      <c r="AT321" s="239">
        <f t="shared" si="118"/>
        <v>4.6682083431816066</v>
      </c>
      <c r="AU321" s="239">
        <f t="shared" si="119"/>
        <v>4.9243239496655526</v>
      </c>
      <c r="AX321" s="279"/>
      <c r="AY321" s="313"/>
      <c r="AZ321" s="279"/>
      <c r="BA321" s="435"/>
      <c r="BB321" s="239"/>
      <c r="BC321" s="239"/>
      <c r="BD321" s="240"/>
      <c r="BE321" s="240"/>
      <c r="BF321" s="136"/>
      <c r="BG321" s="136"/>
      <c r="BH321" s="136"/>
      <c r="BI321" s="136"/>
    </row>
    <row r="322" spans="1:61" x14ac:dyDescent="0.2">
      <c r="A322" s="232" t="s">
        <v>34</v>
      </c>
      <c r="B322" s="232" t="s">
        <v>49</v>
      </c>
      <c r="C322" s="389" t="s">
        <v>57</v>
      </c>
      <c r="D322" s="381" t="s">
        <v>328</v>
      </c>
      <c r="E322" s="293">
        <v>5.2</v>
      </c>
      <c r="F322" s="293">
        <v>1.2091624000000001</v>
      </c>
      <c r="G322" s="296">
        <v>0.8</v>
      </c>
      <c r="H322" s="293">
        <v>9</v>
      </c>
      <c r="I322" s="235">
        <v>2.5</v>
      </c>
      <c r="J322" s="294">
        <v>4.5938169731159029</v>
      </c>
      <c r="K322" s="399">
        <v>7</v>
      </c>
      <c r="L322" s="399">
        <v>28</v>
      </c>
      <c r="M322" s="399" t="s">
        <v>93</v>
      </c>
      <c r="N322" s="405">
        <v>172</v>
      </c>
      <c r="O322" s="313">
        <f t="shared" si="126"/>
        <v>176.59381697311591</v>
      </c>
      <c r="P322" s="313"/>
      <c r="Q322" s="313"/>
      <c r="R322" s="387">
        <v>2</v>
      </c>
      <c r="S322" s="285">
        <v>0.96</v>
      </c>
      <c r="T322" s="388" t="s">
        <v>37</v>
      </c>
      <c r="U322" s="285"/>
      <c r="V322" s="388"/>
      <c r="W322" s="388"/>
      <c r="X322" s="388"/>
      <c r="Y322" s="285">
        <v>0.96</v>
      </c>
      <c r="Z322" s="388" t="s">
        <v>37</v>
      </c>
      <c r="AA322" s="285"/>
      <c r="AB322" s="388"/>
      <c r="AC322" s="388"/>
      <c r="AD322" s="388"/>
      <c r="AE322" s="285"/>
      <c r="AF322" s="239">
        <f t="shared" si="110"/>
        <v>5.1474944768134527</v>
      </c>
      <c r="AG322" s="239">
        <f t="shared" si="111"/>
        <v>5.1738522760796837</v>
      </c>
      <c r="AH322" s="240"/>
      <c r="AI322" s="240"/>
      <c r="AK322" s="265">
        <f t="shared" si="112"/>
        <v>344</v>
      </c>
      <c r="AL322" s="265">
        <f t="shared" si="113"/>
        <v>348.59381697311591</v>
      </c>
      <c r="AM322" s="239">
        <f t="shared" si="114"/>
        <v>5.8406416573733981</v>
      </c>
      <c r="AN322" s="239">
        <f t="shared" si="115"/>
        <v>5.8539073961905732</v>
      </c>
      <c r="AO322" s="240"/>
      <c r="AP322" s="240"/>
      <c r="AR322" s="265">
        <f t="shared" si="127"/>
        <v>1455.5862454877486</v>
      </c>
      <c r="AS322" s="265">
        <f t="shared" si="128"/>
        <v>1475.0243175818059</v>
      </c>
      <c r="AT322" s="239">
        <f t="shared" si="118"/>
        <v>7.2831640163169844</v>
      </c>
      <c r="AU322" s="239">
        <f t="shared" si="119"/>
        <v>7.2964297551341586</v>
      </c>
      <c r="AX322" s="279"/>
      <c r="AY322" s="313"/>
      <c r="AZ322" s="279"/>
      <c r="BA322" s="435"/>
      <c r="BB322" s="239"/>
      <c r="BC322" s="239"/>
      <c r="BD322" s="240"/>
      <c r="BE322" s="240"/>
      <c r="BF322" s="136"/>
      <c r="BG322" s="136"/>
      <c r="BH322" s="136"/>
      <c r="BI322" s="136"/>
    </row>
    <row r="323" spans="1:61" x14ac:dyDescent="0.2">
      <c r="A323" s="232" t="s">
        <v>34</v>
      </c>
      <c r="B323" s="232" t="s">
        <v>49</v>
      </c>
      <c r="C323" s="389" t="s">
        <v>57</v>
      </c>
      <c r="D323" s="381" t="s">
        <v>328</v>
      </c>
      <c r="E323" s="293">
        <v>5.4349999999999996</v>
      </c>
      <c r="F323" s="293">
        <v>1.39886</v>
      </c>
      <c r="G323" s="296">
        <v>0.9</v>
      </c>
      <c r="H323" s="293">
        <v>51</v>
      </c>
      <c r="I323" s="235">
        <v>22.6</v>
      </c>
      <c r="J323" s="294">
        <v>21</v>
      </c>
      <c r="K323" s="399">
        <v>7</v>
      </c>
      <c r="L323" s="399">
        <v>28</v>
      </c>
      <c r="M323" s="399" t="s">
        <v>93</v>
      </c>
      <c r="N323" s="405">
        <v>276</v>
      </c>
      <c r="O323" s="313">
        <f t="shared" si="126"/>
        <v>297</v>
      </c>
      <c r="P323" s="313"/>
      <c r="Q323" s="313"/>
      <c r="R323" s="387">
        <v>2</v>
      </c>
      <c r="S323" s="285">
        <v>0.96</v>
      </c>
      <c r="T323" s="388" t="s">
        <v>37</v>
      </c>
      <c r="U323" s="285"/>
      <c r="V323" s="388"/>
      <c r="W323" s="388"/>
      <c r="X323" s="388"/>
      <c r="Y323" s="285">
        <v>0.96</v>
      </c>
      <c r="Z323" s="388" t="s">
        <v>37</v>
      </c>
      <c r="AA323" s="285"/>
      <c r="AB323" s="388"/>
      <c r="AC323" s="388"/>
      <c r="AD323" s="388"/>
      <c r="AE323" s="285"/>
      <c r="AF323" s="239">
        <f t="shared" si="110"/>
        <v>5.6204008657171496</v>
      </c>
      <c r="AG323" s="239">
        <f t="shared" si="111"/>
        <v>5.6937321388026998</v>
      </c>
      <c r="AH323" s="240"/>
      <c r="AI323" s="240"/>
      <c r="AK323" s="265">
        <f t="shared" si="112"/>
        <v>552</v>
      </c>
      <c r="AL323" s="265">
        <f t="shared" si="113"/>
        <v>573</v>
      </c>
      <c r="AM323" s="239">
        <f t="shared" si="114"/>
        <v>6.313548046277095</v>
      </c>
      <c r="AN323" s="239">
        <f t="shared" si="115"/>
        <v>6.3508857167147399</v>
      </c>
      <c r="AO323" s="240"/>
      <c r="AP323" s="240"/>
      <c r="AR323" s="265">
        <f t="shared" si="127"/>
        <v>282.16093447736534</v>
      </c>
      <c r="AS323" s="265">
        <f t="shared" si="128"/>
        <v>292.89531785422162</v>
      </c>
      <c r="AT323" s="239">
        <f t="shared" si="118"/>
        <v>5.6424775977927597</v>
      </c>
      <c r="AU323" s="239">
        <f t="shared" si="119"/>
        <v>5.6798152682304037</v>
      </c>
      <c r="AX323" s="279"/>
      <c r="AY323" s="313"/>
      <c r="AZ323" s="279"/>
      <c r="BA323" s="435"/>
      <c r="BB323" s="239"/>
      <c r="BC323" s="239"/>
      <c r="BD323" s="240"/>
      <c r="BE323" s="240"/>
      <c r="BF323" s="136"/>
      <c r="BG323" s="136"/>
      <c r="BH323" s="136"/>
      <c r="BI323" s="136"/>
    </row>
    <row r="324" spans="1:61" x14ac:dyDescent="0.2">
      <c r="A324" s="232" t="s">
        <v>34</v>
      </c>
      <c r="B324" s="232" t="s">
        <v>49</v>
      </c>
      <c r="C324" s="389" t="s">
        <v>57</v>
      </c>
      <c r="D324" s="381" t="s">
        <v>328</v>
      </c>
      <c r="E324" s="293">
        <v>6.3550000000000004</v>
      </c>
      <c r="F324" s="293">
        <v>7.0438112000000004</v>
      </c>
      <c r="G324" s="296">
        <v>4.4000000000000004</v>
      </c>
      <c r="H324" s="293">
        <v>21</v>
      </c>
      <c r="I324" s="235">
        <v>23.4</v>
      </c>
      <c r="J324" s="294">
        <v>22</v>
      </c>
      <c r="K324" s="399">
        <v>7</v>
      </c>
      <c r="L324" s="399">
        <v>28</v>
      </c>
      <c r="M324" s="399" t="s">
        <v>93</v>
      </c>
      <c r="N324" s="405">
        <v>244</v>
      </c>
      <c r="O324" s="313">
        <f t="shared" si="126"/>
        <v>266</v>
      </c>
      <c r="P324" s="313"/>
      <c r="Q324" s="313"/>
      <c r="R324" s="387">
        <v>2</v>
      </c>
      <c r="S324" s="285">
        <v>0.96</v>
      </c>
      <c r="T324" s="388" t="s">
        <v>37</v>
      </c>
      <c r="U324" s="285"/>
      <c r="V324" s="388"/>
      <c r="W324" s="388"/>
      <c r="X324" s="388"/>
      <c r="Y324" s="285">
        <v>0.96</v>
      </c>
      <c r="Z324" s="388" t="s">
        <v>37</v>
      </c>
      <c r="AA324" s="285"/>
      <c r="AB324" s="388"/>
      <c r="AC324" s="388"/>
      <c r="AD324" s="388"/>
      <c r="AE324" s="285"/>
      <c r="AF324" s="239">
        <f t="shared" si="110"/>
        <v>5.4971682252932021</v>
      </c>
      <c r="AG324" s="239">
        <f t="shared" si="111"/>
        <v>5.5834963087816991</v>
      </c>
      <c r="AH324" s="240"/>
      <c r="AI324" s="240"/>
      <c r="AK324" s="265">
        <f t="shared" si="112"/>
        <v>488</v>
      </c>
      <c r="AL324" s="265">
        <f t="shared" si="113"/>
        <v>510</v>
      </c>
      <c r="AM324" s="239">
        <f t="shared" si="114"/>
        <v>6.1903154058531475</v>
      </c>
      <c r="AN324" s="239">
        <f t="shared" si="115"/>
        <v>6.2344107257183712</v>
      </c>
      <c r="AO324" s="240"/>
      <c r="AP324" s="240"/>
      <c r="AR324" s="265">
        <f t="shared" si="127"/>
        <v>241.25399168500928</v>
      </c>
      <c r="AS324" s="265">
        <f t="shared" si="128"/>
        <v>252.13019622818595</v>
      </c>
      <c r="AT324" s="239">
        <f t="shared" si="118"/>
        <v>5.4858502859268121</v>
      </c>
      <c r="AU324" s="239">
        <f t="shared" si="119"/>
        <v>5.5299456057920366</v>
      </c>
      <c r="AX324" s="279"/>
      <c r="AY324" s="313"/>
      <c r="AZ324" s="279"/>
      <c r="BA324" s="435"/>
      <c r="BB324" s="239"/>
      <c r="BC324" s="239"/>
      <c r="BD324" s="240"/>
      <c r="BE324" s="240"/>
      <c r="BF324" s="136"/>
      <c r="BG324" s="136"/>
      <c r="BH324" s="136"/>
      <c r="BI324" s="136"/>
    </row>
    <row r="325" spans="1:61" x14ac:dyDescent="0.2">
      <c r="A325" s="232" t="s">
        <v>34</v>
      </c>
      <c r="B325" s="232" t="s">
        <v>49</v>
      </c>
      <c r="C325" s="389" t="s">
        <v>57</v>
      </c>
      <c r="D325" s="381" t="s">
        <v>328</v>
      </c>
      <c r="E325" s="293">
        <v>6.8</v>
      </c>
      <c r="F325" s="293">
        <v>1.5718104000000002</v>
      </c>
      <c r="G325" s="296">
        <v>1</v>
      </c>
      <c r="H325" s="293">
        <v>15</v>
      </c>
      <c r="I325" s="235">
        <v>8.9</v>
      </c>
      <c r="J325" s="294">
        <v>22</v>
      </c>
      <c r="K325" s="399">
        <v>7</v>
      </c>
      <c r="L325" s="399">
        <v>28</v>
      </c>
      <c r="M325" s="399" t="s">
        <v>93</v>
      </c>
      <c r="N325" s="405">
        <v>237</v>
      </c>
      <c r="O325" s="313">
        <f t="shared" si="126"/>
        <v>259</v>
      </c>
      <c r="P325" s="313"/>
      <c r="Q325" s="313"/>
      <c r="R325" s="387">
        <v>2</v>
      </c>
      <c r="S325" s="285">
        <v>0.96</v>
      </c>
      <c r="T325" s="388" t="s">
        <v>37</v>
      </c>
      <c r="U325" s="285"/>
      <c r="V325" s="388"/>
      <c r="W325" s="388"/>
      <c r="X325" s="388"/>
      <c r="Y325" s="285">
        <v>0.96</v>
      </c>
      <c r="Z325" s="388" t="s">
        <v>37</v>
      </c>
      <c r="AA325" s="285"/>
      <c r="AB325" s="388"/>
      <c r="AC325" s="388"/>
      <c r="AD325" s="388"/>
      <c r="AE325" s="285"/>
      <c r="AF325" s="239">
        <f t="shared" si="110"/>
        <v>5.4680601411351315</v>
      </c>
      <c r="AG325" s="239">
        <f t="shared" si="111"/>
        <v>5.5568280616995374</v>
      </c>
      <c r="AH325" s="240"/>
      <c r="AI325" s="240"/>
      <c r="AK325" s="265">
        <f t="shared" si="112"/>
        <v>474</v>
      </c>
      <c r="AL325" s="265">
        <f t="shared" si="113"/>
        <v>496</v>
      </c>
      <c r="AM325" s="239">
        <f t="shared" si="114"/>
        <v>6.1612073216950769</v>
      </c>
      <c r="AN325" s="239">
        <f t="shared" si="115"/>
        <v>6.2065759267249279</v>
      </c>
      <c r="AO325" s="240"/>
      <c r="AP325" s="240"/>
      <c r="AR325" s="265">
        <f t="shared" si="127"/>
        <v>592.74219508912233</v>
      </c>
      <c r="AS325" s="265">
        <f t="shared" si="128"/>
        <v>620.25343621140235</v>
      </c>
      <c r="AT325" s="239">
        <f t="shared" si="118"/>
        <v>6.3847595575692804</v>
      </c>
      <c r="AU325" s="239">
        <f t="shared" si="119"/>
        <v>6.4301281625991313</v>
      </c>
      <c r="AX325" s="279"/>
      <c r="AY325" s="313"/>
      <c r="AZ325" s="279"/>
      <c r="BA325" s="435"/>
      <c r="BB325" s="239"/>
      <c r="BC325" s="239"/>
      <c r="BD325" s="240"/>
      <c r="BE325" s="240"/>
      <c r="BF325" s="136"/>
      <c r="BG325" s="136"/>
      <c r="BH325" s="136"/>
      <c r="BI325" s="136"/>
    </row>
    <row r="326" spans="1:61" x14ac:dyDescent="0.2">
      <c r="A326" s="232" t="s">
        <v>34</v>
      </c>
      <c r="B326" s="232" t="s">
        <v>49</v>
      </c>
      <c r="C326" s="389" t="s">
        <v>57</v>
      </c>
      <c r="D326" s="381" t="s">
        <v>328</v>
      </c>
      <c r="E326" s="293">
        <v>7.2850000000000001</v>
      </c>
      <c r="F326" s="293">
        <v>2.3442543309421522</v>
      </c>
      <c r="G326" s="296">
        <v>1.5</v>
      </c>
      <c r="H326" s="293">
        <v>38</v>
      </c>
      <c r="I326" s="235">
        <v>26.2</v>
      </c>
      <c r="J326" s="294">
        <v>21</v>
      </c>
      <c r="K326" s="399">
        <v>7</v>
      </c>
      <c r="L326" s="399">
        <v>28</v>
      </c>
      <c r="M326" s="399" t="s">
        <v>93</v>
      </c>
      <c r="N326" s="405">
        <v>534</v>
      </c>
      <c r="O326" s="313">
        <f t="shared" ref="O326:O357" si="131">N326+J326</f>
        <v>555</v>
      </c>
      <c r="P326" s="313"/>
      <c r="Q326" s="313"/>
      <c r="R326" s="387">
        <v>2</v>
      </c>
      <c r="S326" s="285">
        <v>0.96</v>
      </c>
      <c r="T326" s="388" t="s">
        <v>37</v>
      </c>
      <c r="U326" s="285"/>
      <c r="V326" s="388"/>
      <c r="W326" s="388"/>
      <c r="X326" s="388"/>
      <c r="Y326" s="285">
        <v>0.96</v>
      </c>
      <c r="Z326" s="388" t="s">
        <v>37</v>
      </c>
      <c r="AA326" s="285"/>
      <c r="AB326" s="388"/>
      <c r="AC326" s="388"/>
      <c r="AD326" s="388"/>
      <c r="AE326" s="285"/>
      <c r="AF326" s="239">
        <f t="shared" ref="AF326:AF389" si="132">LN(N326)</f>
        <v>6.280395838960195</v>
      </c>
      <c r="AG326" s="239">
        <f t="shared" ref="AG326:AG389" si="133">LN(O326)</f>
        <v>6.3189681137464344</v>
      </c>
      <c r="AH326" s="240"/>
      <c r="AI326" s="240"/>
      <c r="AK326" s="265">
        <f t="shared" ref="AK326:AK389" si="134">N326*R326</f>
        <v>1068</v>
      </c>
      <c r="AL326" s="265">
        <f t="shared" ref="AL326:AL389" si="135">AK326+J326</f>
        <v>1089</v>
      </c>
      <c r="AM326" s="239">
        <f t="shared" ref="AM326:AM389" si="136">LN(AK326)</f>
        <v>6.9735430195201404</v>
      </c>
      <c r="AN326" s="239">
        <f t="shared" ref="AN326:AN389" si="137">LN(AL326)</f>
        <v>6.9930151229329605</v>
      </c>
      <c r="AO326" s="240"/>
      <c r="AP326" s="240"/>
      <c r="AR326" s="265">
        <f t="shared" ref="AR326:AR357" si="138">AK326*(eCEC/$I326)^$S326</f>
        <v>473.70058587102523</v>
      </c>
      <c r="AS326" s="265">
        <f t="shared" ref="AS326:AS357" si="139">AL326*(eCEC/$I326)^$Y326</f>
        <v>483.01492323365773</v>
      </c>
      <c r="AT326" s="239">
        <f t="shared" ref="AT326:AT389" si="140">LN(AR326)</f>
        <v>6.1605754467265461</v>
      </c>
      <c r="AU326" s="239">
        <f t="shared" ref="AU326:AU389" si="141">LN(AS326)</f>
        <v>6.1800475501393661</v>
      </c>
      <c r="AX326" s="279"/>
      <c r="AY326" s="313"/>
      <c r="AZ326" s="279"/>
      <c r="BA326" s="435"/>
      <c r="BB326" s="239"/>
      <c r="BC326" s="239"/>
      <c r="BD326" s="240"/>
      <c r="BE326" s="240"/>
      <c r="BF326" s="136"/>
      <c r="BG326" s="136"/>
      <c r="BH326" s="136"/>
      <c r="BI326" s="136"/>
    </row>
    <row r="327" spans="1:61" x14ac:dyDescent="0.2">
      <c r="A327" s="232" t="s">
        <v>34</v>
      </c>
      <c r="B327" s="232" t="s">
        <v>49</v>
      </c>
      <c r="C327" s="389" t="s">
        <v>57</v>
      </c>
      <c r="D327" s="381" t="s">
        <v>328</v>
      </c>
      <c r="E327" s="293">
        <v>7.375</v>
      </c>
      <c r="F327" s="293">
        <v>2.0096692831802643</v>
      </c>
      <c r="G327" s="296">
        <v>1.3</v>
      </c>
      <c r="H327" s="293">
        <v>27</v>
      </c>
      <c r="I327" s="235">
        <v>20</v>
      </c>
      <c r="J327" s="294">
        <v>14</v>
      </c>
      <c r="K327" s="399">
        <v>7</v>
      </c>
      <c r="L327" s="399">
        <v>28</v>
      </c>
      <c r="M327" s="399" t="s">
        <v>93</v>
      </c>
      <c r="N327" s="405">
        <v>160</v>
      </c>
      <c r="O327" s="313">
        <f t="shared" si="131"/>
        <v>174</v>
      </c>
      <c r="P327" s="313"/>
      <c r="Q327" s="313"/>
      <c r="R327" s="387">
        <v>2</v>
      </c>
      <c r="S327" s="285">
        <v>0.96</v>
      </c>
      <c r="T327" s="388" t="s">
        <v>37</v>
      </c>
      <c r="U327" s="285"/>
      <c r="V327" s="388"/>
      <c r="W327" s="388"/>
      <c r="X327" s="388"/>
      <c r="Y327" s="285">
        <v>0.96</v>
      </c>
      <c r="Z327" s="388" t="s">
        <v>37</v>
      </c>
      <c r="AA327" s="285"/>
      <c r="AB327" s="388"/>
      <c r="AC327" s="388"/>
      <c r="AD327" s="388"/>
      <c r="AE327" s="285"/>
      <c r="AF327" s="239">
        <f t="shared" si="132"/>
        <v>5.0751738152338266</v>
      </c>
      <c r="AG327" s="239">
        <f t="shared" si="133"/>
        <v>5.1590552992145291</v>
      </c>
      <c r="AH327" s="240"/>
      <c r="AI327" s="240"/>
      <c r="AK327" s="265">
        <f t="shared" si="134"/>
        <v>320</v>
      </c>
      <c r="AL327" s="265">
        <f t="shared" si="135"/>
        <v>334</v>
      </c>
      <c r="AM327" s="239">
        <f t="shared" si="136"/>
        <v>5.768320995793772</v>
      </c>
      <c r="AN327" s="239">
        <f t="shared" si="137"/>
        <v>5.8111409929767008</v>
      </c>
      <c r="AO327" s="240"/>
      <c r="AP327" s="240"/>
      <c r="AR327" s="265">
        <f t="shared" si="138"/>
        <v>183.93445562615693</v>
      </c>
      <c r="AS327" s="265">
        <f t="shared" si="139"/>
        <v>191.98158805980128</v>
      </c>
      <c r="AT327" s="239">
        <f t="shared" si="140"/>
        <v>5.2145794747247152</v>
      </c>
      <c r="AU327" s="239">
        <f t="shared" si="141"/>
        <v>5.257399471907644</v>
      </c>
      <c r="AX327" s="279"/>
      <c r="AY327" s="313"/>
      <c r="AZ327" s="279"/>
      <c r="BA327" s="435"/>
      <c r="BB327" s="239"/>
      <c r="BC327" s="239"/>
      <c r="BD327" s="240"/>
      <c r="BE327" s="240"/>
      <c r="BF327" s="136"/>
      <c r="BG327" s="136"/>
      <c r="BH327" s="136"/>
      <c r="BI327" s="136"/>
    </row>
    <row r="328" spans="1:61" x14ac:dyDescent="0.2">
      <c r="A328" s="232" t="s">
        <v>34</v>
      </c>
      <c r="B328" s="232" t="s">
        <v>49</v>
      </c>
      <c r="C328" s="389" t="s">
        <v>57</v>
      </c>
      <c r="D328" s="381" t="s">
        <v>328</v>
      </c>
      <c r="E328" s="293">
        <v>7.375</v>
      </c>
      <c r="F328" s="293">
        <v>4.1752105820553416</v>
      </c>
      <c r="G328" s="296">
        <v>2.6</v>
      </c>
      <c r="H328" s="293">
        <v>46</v>
      </c>
      <c r="I328" s="235">
        <v>36.299999999999997</v>
      </c>
      <c r="J328" s="294">
        <v>34</v>
      </c>
      <c r="K328" s="399">
        <v>7</v>
      </c>
      <c r="L328" s="399">
        <v>28</v>
      </c>
      <c r="M328" s="399" t="s">
        <v>93</v>
      </c>
      <c r="N328" s="405">
        <v>887</v>
      </c>
      <c r="O328" s="313">
        <f t="shared" si="131"/>
        <v>921</v>
      </c>
      <c r="P328" s="313"/>
      <c r="Q328" s="313"/>
      <c r="R328" s="387">
        <v>2</v>
      </c>
      <c r="S328" s="285">
        <v>0.96</v>
      </c>
      <c r="T328" s="388" t="s">
        <v>37</v>
      </c>
      <c r="U328" s="285"/>
      <c r="V328" s="388"/>
      <c r="W328" s="388"/>
      <c r="X328" s="388"/>
      <c r="Y328" s="285">
        <v>0.96</v>
      </c>
      <c r="Z328" s="388" t="s">
        <v>37</v>
      </c>
      <c r="AA328" s="285"/>
      <c r="AB328" s="388"/>
      <c r="AC328" s="388"/>
      <c r="AD328" s="388"/>
      <c r="AE328" s="285"/>
      <c r="AF328" s="239">
        <f t="shared" si="132"/>
        <v>6.7878449823095792</v>
      </c>
      <c r="AG328" s="239">
        <f t="shared" si="133"/>
        <v>6.8254600362553068</v>
      </c>
      <c r="AH328" s="240"/>
      <c r="AI328" s="240"/>
      <c r="AK328" s="265">
        <f t="shared" si="134"/>
        <v>1774</v>
      </c>
      <c r="AL328" s="265">
        <f t="shared" si="135"/>
        <v>1808</v>
      </c>
      <c r="AM328" s="239">
        <f t="shared" si="136"/>
        <v>7.4809921628695246</v>
      </c>
      <c r="AN328" s="239">
        <f t="shared" si="137"/>
        <v>7.4999765409521215</v>
      </c>
      <c r="AO328" s="240"/>
      <c r="AP328" s="240"/>
      <c r="AR328" s="265">
        <f t="shared" si="138"/>
        <v>575.36728464980433</v>
      </c>
      <c r="AS328" s="265">
        <f t="shared" si="139"/>
        <v>586.3946170500825</v>
      </c>
      <c r="AT328" s="239">
        <f t="shared" si="140"/>
        <v>6.355008592792327</v>
      </c>
      <c r="AU328" s="239">
        <f t="shared" si="141"/>
        <v>6.3739929708749239</v>
      </c>
      <c r="AX328" s="279"/>
      <c r="AY328" s="313"/>
      <c r="AZ328" s="279"/>
      <c r="BA328" s="435"/>
      <c r="BB328" s="239"/>
      <c r="BC328" s="239"/>
      <c r="BD328" s="240"/>
      <c r="BE328" s="240"/>
      <c r="BF328" s="136"/>
      <c r="BG328" s="136"/>
      <c r="BH328" s="136"/>
      <c r="BI328" s="136"/>
    </row>
    <row r="329" spans="1:61" x14ac:dyDescent="0.2">
      <c r="A329" s="232" t="s">
        <v>34</v>
      </c>
      <c r="B329" s="232" t="s">
        <v>49</v>
      </c>
      <c r="C329" s="389" t="s">
        <v>57</v>
      </c>
      <c r="D329" s="381" t="s">
        <v>328</v>
      </c>
      <c r="E329" s="293">
        <v>7.52</v>
      </c>
      <c r="F329" s="293">
        <v>2.0393672214266942</v>
      </c>
      <c r="G329" s="296">
        <v>1.3</v>
      </c>
      <c r="H329" s="293">
        <v>26</v>
      </c>
      <c r="I329" s="235">
        <v>20.100000000000001</v>
      </c>
      <c r="J329" s="294">
        <v>18</v>
      </c>
      <c r="K329" s="399">
        <v>7</v>
      </c>
      <c r="L329" s="399">
        <v>28</v>
      </c>
      <c r="M329" s="399" t="s">
        <v>93</v>
      </c>
      <c r="N329" s="405">
        <v>453</v>
      </c>
      <c r="O329" s="313">
        <f t="shared" si="131"/>
        <v>471</v>
      </c>
      <c r="P329" s="313"/>
      <c r="Q329" s="313"/>
      <c r="R329" s="387">
        <v>2</v>
      </c>
      <c r="S329" s="285">
        <v>0.96</v>
      </c>
      <c r="T329" s="388" t="s">
        <v>37</v>
      </c>
      <c r="U329" s="285"/>
      <c r="V329" s="388"/>
      <c r="W329" s="388"/>
      <c r="X329" s="388"/>
      <c r="Y329" s="285">
        <v>0.96</v>
      </c>
      <c r="Z329" s="388" t="s">
        <v>37</v>
      </c>
      <c r="AA329" s="285"/>
      <c r="AB329" s="388"/>
      <c r="AC329" s="388"/>
      <c r="AD329" s="388"/>
      <c r="AE329" s="285"/>
      <c r="AF329" s="239">
        <f t="shared" si="132"/>
        <v>6.1158921254830343</v>
      </c>
      <c r="AG329" s="239">
        <f t="shared" si="133"/>
        <v>6.1548580940164177</v>
      </c>
      <c r="AH329" s="240"/>
      <c r="AI329" s="240"/>
      <c r="AK329" s="265">
        <f t="shared" si="134"/>
        <v>906</v>
      </c>
      <c r="AL329" s="265">
        <f t="shared" si="135"/>
        <v>924</v>
      </c>
      <c r="AM329" s="239">
        <f t="shared" si="136"/>
        <v>6.8090393060429797</v>
      </c>
      <c r="AN329" s="239">
        <f t="shared" si="137"/>
        <v>6.828712071641684</v>
      </c>
      <c r="AO329" s="240"/>
      <c r="AP329" s="240"/>
      <c r="AR329" s="265">
        <f t="shared" si="138"/>
        <v>518.27694649122293</v>
      </c>
      <c r="AS329" s="265">
        <f t="shared" si="139"/>
        <v>528.57383946786979</v>
      </c>
      <c r="AT329" s="239">
        <f t="shared" si="140"/>
        <v>6.2505097451233249</v>
      </c>
      <c r="AU329" s="239">
        <f t="shared" si="141"/>
        <v>6.2701825107220301</v>
      </c>
      <c r="AX329" s="279"/>
      <c r="AY329" s="313"/>
      <c r="AZ329" s="279"/>
      <c r="BA329" s="435"/>
      <c r="BB329" s="239"/>
      <c r="BC329" s="239"/>
      <c r="BD329" s="240"/>
      <c r="BE329" s="240"/>
      <c r="BF329" s="136"/>
      <c r="BG329" s="136"/>
      <c r="BH329" s="136"/>
      <c r="BI329" s="136"/>
    </row>
    <row r="330" spans="1:61" x14ac:dyDescent="0.2">
      <c r="A330" s="232" t="s">
        <v>34</v>
      </c>
      <c r="B330" s="232" t="s">
        <v>49</v>
      </c>
      <c r="C330" s="389" t="s">
        <v>57</v>
      </c>
      <c r="D330" s="381" t="s">
        <v>328</v>
      </c>
      <c r="E330" s="293">
        <v>7.4850000000000003</v>
      </c>
      <c r="F330" s="293">
        <v>2.3622472771305825</v>
      </c>
      <c r="G330" s="296">
        <v>1.5</v>
      </c>
      <c r="H330" s="293">
        <v>21</v>
      </c>
      <c r="I330" s="235">
        <v>14.3</v>
      </c>
      <c r="J330" s="294">
        <v>88</v>
      </c>
      <c r="K330" s="399">
        <v>7</v>
      </c>
      <c r="L330" s="399">
        <v>28</v>
      </c>
      <c r="M330" s="399" t="s">
        <v>93</v>
      </c>
      <c r="N330" s="405">
        <v>139</v>
      </c>
      <c r="O330" s="313">
        <f t="shared" si="131"/>
        <v>227</v>
      </c>
      <c r="P330" s="313"/>
      <c r="Q330" s="313"/>
      <c r="R330" s="387">
        <v>2</v>
      </c>
      <c r="S330" s="285">
        <v>0.96</v>
      </c>
      <c r="T330" s="388" t="s">
        <v>37</v>
      </c>
      <c r="U330" s="285"/>
      <c r="V330" s="388"/>
      <c r="W330" s="388"/>
      <c r="X330" s="388"/>
      <c r="Y330" s="285">
        <v>0.96</v>
      </c>
      <c r="Z330" s="388" t="s">
        <v>37</v>
      </c>
      <c r="AA330" s="285"/>
      <c r="AB330" s="388"/>
      <c r="AC330" s="388"/>
      <c r="AD330" s="388"/>
      <c r="AE330" s="285"/>
      <c r="AF330" s="239">
        <f t="shared" si="132"/>
        <v>4.9344739331306915</v>
      </c>
      <c r="AG330" s="239">
        <f t="shared" si="133"/>
        <v>5.4249500174814029</v>
      </c>
      <c r="AH330" s="240"/>
      <c r="AI330" s="240"/>
      <c r="AK330" s="265">
        <f t="shared" si="134"/>
        <v>278</v>
      </c>
      <c r="AL330" s="265">
        <f t="shared" si="135"/>
        <v>366</v>
      </c>
      <c r="AM330" s="239">
        <f t="shared" si="136"/>
        <v>5.6276211136906369</v>
      </c>
      <c r="AN330" s="239">
        <f t="shared" si="137"/>
        <v>5.9026333334013659</v>
      </c>
      <c r="AO330" s="240"/>
      <c r="AP330" s="240"/>
      <c r="AR330" s="265">
        <f t="shared" si="138"/>
        <v>220.50787740867577</v>
      </c>
      <c r="AS330" s="265">
        <f t="shared" si="139"/>
        <v>290.30893212796883</v>
      </c>
      <c r="AT330" s="239">
        <f t="shared" si="140"/>
        <v>5.3959334194581849</v>
      </c>
      <c r="AU330" s="239">
        <f t="shared" si="141"/>
        <v>5.6709456391689139</v>
      </c>
      <c r="AX330" s="279"/>
      <c r="AY330" s="313"/>
      <c r="AZ330" s="279"/>
      <c r="BA330" s="435"/>
      <c r="BB330" s="239"/>
      <c r="BC330" s="239"/>
      <c r="BD330" s="240"/>
      <c r="BE330" s="240"/>
      <c r="BF330" s="136"/>
      <c r="BG330" s="136"/>
      <c r="BH330" s="136"/>
      <c r="BI330" s="136"/>
    </row>
    <row r="331" spans="1:61" x14ac:dyDescent="0.2">
      <c r="A331" s="232" t="s">
        <v>34</v>
      </c>
      <c r="B331" s="232" t="s">
        <v>49</v>
      </c>
      <c r="C331" s="389" t="s">
        <v>57</v>
      </c>
      <c r="D331" s="381" t="s">
        <v>328</v>
      </c>
      <c r="E331" s="293">
        <v>7.5049999999999999</v>
      </c>
      <c r="F331" s="293">
        <v>2.4210378774303138</v>
      </c>
      <c r="G331" s="296">
        <v>1.5</v>
      </c>
      <c r="H331" s="293">
        <v>50</v>
      </c>
      <c r="I331" s="235">
        <v>23.5</v>
      </c>
      <c r="J331" s="294">
        <v>31</v>
      </c>
      <c r="K331" s="399">
        <v>7</v>
      </c>
      <c r="L331" s="399">
        <v>28</v>
      </c>
      <c r="M331" s="399" t="s">
        <v>93</v>
      </c>
      <c r="N331" s="405">
        <v>632</v>
      </c>
      <c r="O331" s="313">
        <f t="shared" si="131"/>
        <v>663</v>
      </c>
      <c r="P331" s="313"/>
      <c r="Q331" s="313"/>
      <c r="R331" s="387">
        <v>2</v>
      </c>
      <c r="S331" s="285">
        <v>0.96</v>
      </c>
      <c r="T331" s="388" t="s">
        <v>37</v>
      </c>
      <c r="U331" s="285"/>
      <c r="V331" s="388"/>
      <c r="W331" s="388"/>
      <c r="X331" s="388"/>
      <c r="Y331" s="285">
        <v>0.96</v>
      </c>
      <c r="Z331" s="388" t="s">
        <v>37</v>
      </c>
      <c r="AA331" s="285"/>
      <c r="AB331" s="388"/>
      <c r="AC331" s="388"/>
      <c r="AD331" s="388"/>
      <c r="AE331" s="285"/>
      <c r="AF331" s="239">
        <f t="shared" si="132"/>
        <v>6.4488893941468577</v>
      </c>
      <c r="AG331" s="239">
        <f t="shared" si="133"/>
        <v>6.4967749901858625</v>
      </c>
      <c r="AH331" s="240"/>
      <c r="AI331" s="240"/>
      <c r="AK331" s="265">
        <f t="shared" si="134"/>
        <v>1264</v>
      </c>
      <c r="AL331" s="265">
        <f t="shared" si="135"/>
        <v>1295</v>
      </c>
      <c r="AM331" s="239">
        <f t="shared" si="136"/>
        <v>7.1420365747068031</v>
      </c>
      <c r="AN331" s="239">
        <f t="shared" si="137"/>
        <v>7.1662659741336379</v>
      </c>
      <c r="AO331" s="240"/>
      <c r="AP331" s="240"/>
      <c r="AR331" s="265">
        <f t="shared" si="138"/>
        <v>622.33443926536756</v>
      </c>
      <c r="AS331" s="265">
        <f t="shared" si="139"/>
        <v>637.59738832962898</v>
      </c>
      <c r="AT331" s="239">
        <f t="shared" si="140"/>
        <v>6.4334776319454683</v>
      </c>
      <c r="AU331" s="239">
        <f t="shared" si="141"/>
        <v>6.457707031372304</v>
      </c>
      <c r="AX331" s="279"/>
      <c r="AY331" s="313"/>
      <c r="AZ331" s="279"/>
      <c r="BA331" s="435"/>
      <c r="BB331" s="239"/>
      <c r="BC331" s="239"/>
      <c r="BD331" s="240"/>
      <c r="BE331" s="240"/>
      <c r="BF331" s="136"/>
      <c r="BG331" s="136"/>
      <c r="BH331" s="136"/>
      <c r="BI331" s="136"/>
    </row>
    <row r="332" spans="1:61" x14ac:dyDescent="0.2">
      <c r="A332" s="232" t="s">
        <v>34</v>
      </c>
      <c r="B332" s="232" t="s">
        <v>49</v>
      </c>
      <c r="C332" s="389" t="s">
        <v>57</v>
      </c>
      <c r="D332" s="381" t="s">
        <v>328</v>
      </c>
      <c r="E332" s="293">
        <v>7.52</v>
      </c>
      <c r="F332" s="293">
        <v>0.61333838670211449</v>
      </c>
      <c r="G332" s="296">
        <v>0.4</v>
      </c>
      <c r="H332" s="293">
        <v>25</v>
      </c>
      <c r="I332" s="235">
        <v>16.899999999999999</v>
      </c>
      <c r="J332" s="294">
        <v>7</v>
      </c>
      <c r="K332" s="399">
        <v>7</v>
      </c>
      <c r="L332" s="399">
        <v>28</v>
      </c>
      <c r="M332" s="399" t="s">
        <v>93</v>
      </c>
      <c r="N332" s="405">
        <v>538</v>
      </c>
      <c r="O332" s="313">
        <f t="shared" si="131"/>
        <v>545</v>
      </c>
      <c r="P332" s="313"/>
      <c r="Q332" s="313"/>
      <c r="R332" s="387">
        <v>2</v>
      </c>
      <c r="S332" s="285">
        <v>0.96</v>
      </c>
      <c r="T332" s="388" t="s">
        <v>37</v>
      </c>
      <c r="U332" s="285"/>
      <c r="V332" s="388"/>
      <c r="W332" s="388"/>
      <c r="X332" s="388"/>
      <c r="Y332" s="285">
        <v>0.96</v>
      </c>
      <c r="Z332" s="388" t="s">
        <v>37</v>
      </c>
      <c r="AA332" s="285"/>
      <c r="AB332" s="388"/>
      <c r="AC332" s="388"/>
      <c r="AD332" s="388"/>
      <c r="AE332" s="285"/>
      <c r="AF332" s="239">
        <f t="shared" si="132"/>
        <v>6.2878585601617845</v>
      </c>
      <c r="AG332" s="239">
        <f t="shared" si="133"/>
        <v>6.300785794663244</v>
      </c>
      <c r="AH332" s="240"/>
      <c r="AI332" s="240"/>
      <c r="AK332" s="265">
        <f t="shared" si="134"/>
        <v>1076</v>
      </c>
      <c r="AL332" s="265">
        <f t="shared" si="135"/>
        <v>1083</v>
      </c>
      <c r="AM332" s="239">
        <f t="shared" si="136"/>
        <v>6.9810057407217299</v>
      </c>
      <c r="AN332" s="239">
        <f t="shared" si="137"/>
        <v>6.9874902470009905</v>
      </c>
      <c r="AO332" s="240"/>
      <c r="AP332" s="240"/>
      <c r="AR332" s="265">
        <f t="shared" si="138"/>
        <v>727.01428400304235</v>
      </c>
      <c r="AS332" s="265">
        <f t="shared" si="139"/>
        <v>731.74393083205848</v>
      </c>
      <c r="AT332" s="239">
        <f t="shared" si="140"/>
        <v>6.5889461252126376</v>
      </c>
      <c r="AU332" s="239">
        <f t="shared" si="141"/>
        <v>6.5954306314918991</v>
      </c>
      <c r="AX332" s="279"/>
      <c r="AY332" s="313"/>
      <c r="AZ332" s="279"/>
      <c r="BA332" s="435"/>
      <c r="BB332" s="239"/>
      <c r="BC332" s="239"/>
      <c r="BD332" s="240"/>
      <c r="BE332" s="240"/>
      <c r="BF332" s="136"/>
      <c r="BG332" s="136"/>
      <c r="BH332" s="136"/>
      <c r="BI332" s="136"/>
    </row>
    <row r="333" spans="1:61" x14ac:dyDescent="0.2">
      <c r="A333" s="232" t="s">
        <v>34</v>
      </c>
      <c r="B333" s="232" t="s">
        <v>49</v>
      </c>
      <c r="C333" s="389" t="s">
        <v>57</v>
      </c>
      <c r="D333" s="381" t="s">
        <v>328</v>
      </c>
      <c r="E333" s="293">
        <v>5.4</v>
      </c>
      <c r="F333" s="293">
        <v>3.3</v>
      </c>
      <c r="G333" s="296">
        <f t="shared" ref="G333:G372" si="142">F333/1.724</f>
        <v>1.91415313225058</v>
      </c>
      <c r="H333" s="293">
        <v>23</v>
      </c>
      <c r="I333" s="235">
        <v>6.7</v>
      </c>
      <c r="J333" s="294">
        <v>21</v>
      </c>
      <c r="K333" s="399">
        <v>7</v>
      </c>
      <c r="L333" s="399">
        <v>28</v>
      </c>
      <c r="M333" s="399" t="s">
        <v>93</v>
      </c>
      <c r="N333" s="405">
        <v>493</v>
      </c>
      <c r="O333" s="313">
        <f t="shared" si="131"/>
        <v>514</v>
      </c>
      <c r="P333" s="313"/>
      <c r="Q333" s="313"/>
      <c r="R333" s="387">
        <v>2</v>
      </c>
      <c r="S333" s="285">
        <v>0.96</v>
      </c>
      <c r="T333" s="388" t="s">
        <v>37</v>
      </c>
      <c r="U333" s="285"/>
      <c r="V333" s="388"/>
      <c r="W333" s="388"/>
      <c r="X333" s="388"/>
      <c r="Y333" s="285">
        <v>0.96</v>
      </c>
      <c r="Z333" s="388" t="s">
        <v>37</v>
      </c>
      <c r="AA333" s="285"/>
      <c r="AB333" s="388"/>
      <c r="AC333" s="388"/>
      <c r="AD333" s="388"/>
      <c r="AE333" s="285"/>
      <c r="AF333" s="239">
        <f t="shared" si="132"/>
        <v>6.2005091740426899</v>
      </c>
      <c r="AG333" s="239">
        <f t="shared" si="133"/>
        <v>6.2422232654551655</v>
      </c>
      <c r="AH333" s="240"/>
      <c r="AI333" s="240"/>
      <c r="AK333" s="265">
        <f t="shared" si="134"/>
        <v>986</v>
      </c>
      <c r="AL333" s="265">
        <f t="shared" si="135"/>
        <v>1007</v>
      </c>
      <c r="AM333" s="239">
        <f t="shared" si="136"/>
        <v>6.8936563546026353</v>
      </c>
      <c r="AN333" s="239">
        <f t="shared" si="137"/>
        <v>6.9147308927185627</v>
      </c>
      <c r="AO333" s="240"/>
      <c r="AP333" s="240"/>
      <c r="AR333" s="265">
        <f t="shared" si="138"/>
        <v>1619.3734445716143</v>
      </c>
      <c r="AS333" s="265">
        <f t="shared" si="139"/>
        <v>1653.8631426811517</v>
      </c>
      <c r="AT333" s="239">
        <f t="shared" si="140"/>
        <v>7.3897945908043665</v>
      </c>
      <c r="AU333" s="239">
        <f t="shared" si="141"/>
        <v>7.410869128920293</v>
      </c>
      <c r="AX333" s="279"/>
      <c r="AY333" s="313"/>
      <c r="AZ333" s="279"/>
      <c r="BA333" s="435"/>
      <c r="BB333" s="239"/>
      <c r="BC333" s="239"/>
      <c r="BD333" s="240"/>
      <c r="BE333" s="240"/>
      <c r="BF333" s="136"/>
      <c r="BG333" s="136"/>
      <c r="BH333" s="136"/>
      <c r="BI333" s="136"/>
    </row>
    <row r="334" spans="1:61" x14ac:dyDescent="0.2">
      <c r="A334" s="232" t="s">
        <v>34</v>
      </c>
      <c r="B334" s="232" t="s">
        <v>49</v>
      </c>
      <c r="C334" s="389" t="s">
        <v>57</v>
      </c>
      <c r="D334" s="381" t="s">
        <v>328</v>
      </c>
      <c r="E334" s="293">
        <v>4.3</v>
      </c>
      <c r="F334" s="293">
        <v>2.2000000000000002</v>
      </c>
      <c r="G334" s="296">
        <f t="shared" si="142"/>
        <v>1.2761020881670535</v>
      </c>
      <c r="H334" s="293">
        <v>9</v>
      </c>
      <c r="I334" s="235">
        <v>1.2</v>
      </c>
      <c r="J334" s="294">
        <v>19</v>
      </c>
      <c r="K334" s="399">
        <v>7</v>
      </c>
      <c r="L334" s="399">
        <v>28</v>
      </c>
      <c r="M334" s="399" t="s">
        <v>93</v>
      </c>
      <c r="N334" s="405">
        <v>27.9</v>
      </c>
      <c r="O334" s="313">
        <f t="shared" si="131"/>
        <v>46.9</v>
      </c>
      <c r="P334" s="313"/>
      <c r="Q334" s="313"/>
      <c r="R334" s="387">
        <v>2</v>
      </c>
      <c r="S334" s="285">
        <v>0.96</v>
      </c>
      <c r="T334" s="388" t="s">
        <v>37</v>
      </c>
      <c r="U334" s="285"/>
      <c r="V334" s="388"/>
      <c r="W334" s="388"/>
      <c r="X334" s="388"/>
      <c r="Y334" s="285">
        <v>0.96</v>
      </c>
      <c r="Z334" s="388" t="s">
        <v>37</v>
      </c>
      <c r="AA334" s="285"/>
      <c r="AB334" s="388"/>
      <c r="AC334" s="388"/>
      <c r="AD334" s="388"/>
      <c r="AE334" s="285"/>
      <c r="AF334" s="239">
        <f t="shared" si="132"/>
        <v>3.3286266888273199</v>
      </c>
      <c r="AG334" s="239">
        <f t="shared" si="133"/>
        <v>3.8480176754522337</v>
      </c>
      <c r="AH334" s="240"/>
      <c r="AI334" s="240"/>
      <c r="AK334" s="265">
        <f t="shared" si="134"/>
        <v>55.8</v>
      </c>
      <c r="AL334" s="265">
        <f t="shared" si="135"/>
        <v>74.8</v>
      </c>
      <c r="AM334" s="239">
        <f t="shared" si="136"/>
        <v>4.0217738693872649</v>
      </c>
      <c r="AN334" s="239">
        <f t="shared" si="137"/>
        <v>4.3148178849804317</v>
      </c>
      <c r="AO334" s="240"/>
      <c r="AP334" s="240"/>
      <c r="AR334" s="265">
        <f t="shared" si="138"/>
        <v>477.66356052878939</v>
      </c>
      <c r="AS334" s="265">
        <f t="shared" si="139"/>
        <v>640.30885891672847</v>
      </c>
      <c r="AT334" s="239">
        <f t="shared" si="140"/>
        <v>6.1689066364078435</v>
      </c>
      <c r="AU334" s="239">
        <f t="shared" si="141"/>
        <v>6.4619506520010095</v>
      </c>
      <c r="AX334" s="279"/>
      <c r="AY334" s="313"/>
      <c r="AZ334" s="279"/>
      <c r="BA334" s="435"/>
      <c r="BB334" s="239"/>
      <c r="BC334" s="239"/>
      <c r="BD334" s="240"/>
      <c r="BE334" s="240"/>
      <c r="BF334" s="136"/>
      <c r="BG334" s="136"/>
      <c r="BH334" s="136"/>
      <c r="BI334" s="136"/>
    </row>
    <row r="335" spans="1:61" x14ac:dyDescent="0.2">
      <c r="A335" s="232" t="s">
        <v>34</v>
      </c>
      <c r="B335" s="232" t="s">
        <v>49</v>
      </c>
      <c r="C335" s="389" t="s">
        <v>57</v>
      </c>
      <c r="D335" s="381" t="s">
        <v>328</v>
      </c>
      <c r="E335" s="293">
        <v>5</v>
      </c>
      <c r="F335" s="293">
        <v>2.2999999999999998</v>
      </c>
      <c r="G335" s="296">
        <f t="shared" si="142"/>
        <v>1.334106728538283</v>
      </c>
      <c r="H335" s="293">
        <v>9</v>
      </c>
      <c r="I335" s="235">
        <v>1.9</v>
      </c>
      <c r="J335" s="294">
        <v>19</v>
      </c>
      <c r="K335" s="399">
        <v>7</v>
      </c>
      <c r="L335" s="399">
        <v>28</v>
      </c>
      <c r="M335" s="399" t="s">
        <v>93</v>
      </c>
      <c r="N335" s="405">
        <v>48</v>
      </c>
      <c r="O335" s="313">
        <f t="shared" si="131"/>
        <v>67</v>
      </c>
      <c r="P335" s="313"/>
      <c r="Q335" s="313"/>
      <c r="R335" s="387">
        <v>2</v>
      </c>
      <c r="S335" s="285">
        <v>0.96</v>
      </c>
      <c r="T335" s="388" t="s">
        <v>37</v>
      </c>
      <c r="U335" s="285"/>
      <c r="V335" s="388"/>
      <c r="W335" s="388"/>
      <c r="X335" s="388"/>
      <c r="Y335" s="285">
        <v>0.96</v>
      </c>
      <c r="Z335" s="388" t="s">
        <v>37</v>
      </c>
      <c r="AA335" s="285"/>
      <c r="AB335" s="388"/>
      <c r="AC335" s="388"/>
      <c r="AD335" s="388"/>
      <c r="AE335" s="285"/>
      <c r="AF335" s="239">
        <f t="shared" si="132"/>
        <v>3.8712010109078911</v>
      </c>
      <c r="AG335" s="239">
        <f t="shared" si="133"/>
        <v>4.2046926193909657</v>
      </c>
      <c r="AH335" s="240"/>
      <c r="AI335" s="240"/>
      <c r="AK335" s="265">
        <f t="shared" si="134"/>
        <v>96</v>
      </c>
      <c r="AL335" s="265">
        <f t="shared" si="135"/>
        <v>115</v>
      </c>
      <c r="AM335" s="239">
        <f t="shared" si="136"/>
        <v>4.5643481914678361</v>
      </c>
      <c r="AN335" s="239">
        <f t="shared" si="137"/>
        <v>4.7449321283632502</v>
      </c>
      <c r="AO335" s="240"/>
      <c r="AP335" s="240"/>
      <c r="AR335" s="265">
        <f t="shared" si="138"/>
        <v>528.6517631070318</v>
      </c>
      <c r="AS335" s="265">
        <f t="shared" si="139"/>
        <v>633.2807578886318</v>
      </c>
      <c r="AT335" s="239">
        <f t="shared" si="140"/>
        <v>6.2703299222851125</v>
      </c>
      <c r="AU335" s="239">
        <f t="shared" si="141"/>
        <v>6.4509138591805257</v>
      </c>
      <c r="AX335" s="279"/>
      <c r="AY335" s="313"/>
      <c r="AZ335" s="279"/>
      <c r="BA335" s="435"/>
      <c r="BB335" s="239"/>
      <c r="BC335" s="239"/>
      <c r="BD335" s="240"/>
      <c r="BE335" s="240"/>
      <c r="BF335" s="136"/>
      <c r="BG335" s="136"/>
      <c r="BH335" s="136"/>
      <c r="BI335" s="136"/>
    </row>
    <row r="336" spans="1:61" s="298" customFormat="1" x14ac:dyDescent="0.2">
      <c r="A336" s="290" t="s">
        <v>34</v>
      </c>
      <c r="B336" s="290" t="s">
        <v>49</v>
      </c>
      <c r="C336" s="425" t="s">
        <v>57</v>
      </c>
      <c r="D336" s="381" t="s">
        <v>328</v>
      </c>
      <c r="E336" s="293">
        <v>6.5</v>
      </c>
      <c r="F336" s="293">
        <v>2.5</v>
      </c>
      <c r="G336" s="296">
        <f t="shared" si="142"/>
        <v>1.4501160092807426</v>
      </c>
      <c r="H336" s="293">
        <v>8</v>
      </c>
      <c r="I336" s="295">
        <v>11.6</v>
      </c>
      <c r="J336" s="294">
        <v>35</v>
      </c>
      <c r="K336" s="399">
        <v>7</v>
      </c>
      <c r="L336" s="399">
        <v>28</v>
      </c>
      <c r="M336" s="399" t="s">
        <v>93</v>
      </c>
      <c r="N336" s="295">
        <v>132</v>
      </c>
      <c r="O336" s="313">
        <f t="shared" si="131"/>
        <v>167</v>
      </c>
      <c r="P336" s="313"/>
      <c r="Q336" s="313"/>
      <c r="R336" s="387">
        <v>2</v>
      </c>
      <c r="S336" s="285">
        <v>0.96</v>
      </c>
      <c r="T336" s="388" t="s">
        <v>37</v>
      </c>
      <c r="U336" s="285"/>
      <c r="V336" s="388"/>
      <c r="W336" s="388"/>
      <c r="X336" s="388"/>
      <c r="Y336" s="285">
        <v>0.96</v>
      </c>
      <c r="Z336" s="388" t="s">
        <v>37</v>
      </c>
      <c r="AA336" s="285"/>
      <c r="AB336" s="388"/>
      <c r="AC336" s="388"/>
      <c r="AD336" s="388"/>
      <c r="AE336" s="285"/>
      <c r="AF336" s="287">
        <f t="shared" si="132"/>
        <v>4.8828019225863706</v>
      </c>
      <c r="AG336" s="287">
        <f t="shared" si="133"/>
        <v>5.1179938124167554</v>
      </c>
      <c r="AH336" s="288"/>
      <c r="AI336" s="288"/>
      <c r="AK336" s="286">
        <f t="shared" si="134"/>
        <v>264</v>
      </c>
      <c r="AL336" s="286">
        <f t="shared" si="135"/>
        <v>299</v>
      </c>
      <c r="AM336" s="287">
        <f t="shared" si="136"/>
        <v>5.575949103146316</v>
      </c>
      <c r="AN336" s="287">
        <f t="shared" si="137"/>
        <v>5.7004435733906869</v>
      </c>
      <c r="AO336" s="288"/>
      <c r="AP336" s="288"/>
      <c r="AR336" s="286">
        <f t="shared" si="138"/>
        <v>255.99186599078135</v>
      </c>
      <c r="AS336" s="286">
        <f t="shared" si="139"/>
        <v>289.93018155774098</v>
      </c>
      <c r="AT336" s="287">
        <f t="shared" si="140"/>
        <v>5.5451456705012649</v>
      </c>
      <c r="AU336" s="287">
        <f t="shared" si="141"/>
        <v>5.6696401407456349</v>
      </c>
      <c r="AV336" s="299"/>
      <c r="AW336" s="299"/>
      <c r="AX336" s="294"/>
      <c r="AY336" s="313"/>
      <c r="AZ336" s="294"/>
      <c r="BA336" s="294"/>
      <c r="BB336" s="287"/>
      <c r="BC336" s="287"/>
      <c r="BD336" s="288"/>
      <c r="BE336" s="288"/>
    </row>
    <row r="337" spans="1:61" s="298" customFormat="1" x14ac:dyDescent="0.2">
      <c r="A337" s="290" t="s">
        <v>34</v>
      </c>
      <c r="B337" s="290" t="s">
        <v>49</v>
      </c>
      <c r="C337" s="425" t="s">
        <v>57</v>
      </c>
      <c r="D337" s="381" t="s">
        <v>328</v>
      </c>
      <c r="E337" s="293">
        <v>6</v>
      </c>
      <c r="F337" s="293">
        <v>10</v>
      </c>
      <c r="G337" s="296">
        <f t="shared" si="142"/>
        <v>5.8004640371229703</v>
      </c>
      <c r="H337" s="387">
        <v>20</v>
      </c>
      <c r="I337" s="300">
        <f t="shared" ref="I337:I342" si="143">(30+4.4*E337)*(0/100)+(-34.66+29.72*E337)*(F337/100)</f>
        <v>14.366</v>
      </c>
      <c r="J337" s="294">
        <v>3.2</v>
      </c>
      <c r="K337" s="399">
        <v>7</v>
      </c>
      <c r="L337" s="399">
        <v>28</v>
      </c>
      <c r="M337" s="399" t="s">
        <v>93</v>
      </c>
      <c r="N337" s="295">
        <v>796.8</v>
      </c>
      <c r="O337" s="313">
        <f t="shared" si="131"/>
        <v>800</v>
      </c>
      <c r="P337" s="313"/>
      <c r="Q337" s="313"/>
      <c r="R337" s="387">
        <v>2</v>
      </c>
      <c r="S337" s="285">
        <v>0.96</v>
      </c>
      <c r="T337" s="388" t="s">
        <v>37</v>
      </c>
      <c r="U337" s="285"/>
      <c r="V337" s="388"/>
      <c r="W337" s="388"/>
      <c r="X337" s="388"/>
      <c r="Y337" s="285">
        <v>0.96</v>
      </c>
      <c r="Z337" s="388" t="s">
        <v>37</v>
      </c>
      <c r="AA337" s="285"/>
      <c r="AB337" s="388"/>
      <c r="AC337" s="388"/>
      <c r="AD337" s="388"/>
      <c r="AE337" s="285"/>
      <c r="AF337" s="287">
        <f t="shared" si="132"/>
        <v>6.6806037062703885</v>
      </c>
      <c r="AG337" s="287">
        <f t="shared" si="133"/>
        <v>6.6846117276679271</v>
      </c>
      <c r="AH337" s="288"/>
      <c r="AI337" s="288"/>
      <c r="AK337" s="286">
        <f t="shared" si="134"/>
        <v>1593.6</v>
      </c>
      <c r="AL337" s="286">
        <f t="shared" si="135"/>
        <v>1596.8</v>
      </c>
      <c r="AM337" s="287">
        <f t="shared" si="136"/>
        <v>7.3737508868303339</v>
      </c>
      <c r="AN337" s="287">
        <f t="shared" si="137"/>
        <v>7.3757569055571999</v>
      </c>
      <c r="AO337" s="288"/>
      <c r="AP337" s="288"/>
      <c r="AR337" s="286">
        <f t="shared" si="138"/>
        <v>1258.458221376997</v>
      </c>
      <c r="AS337" s="286">
        <f t="shared" si="139"/>
        <v>1260.9852459179147</v>
      </c>
      <c r="AT337" s="287">
        <f t="shared" si="140"/>
        <v>7.1376426168666027</v>
      </c>
      <c r="AU337" s="287">
        <f t="shared" si="141"/>
        <v>7.1396486355934687</v>
      </c>
      <c r="AV337" s="299"/>
      <c r="AW337" s="299"/>
      <c r="AX337" s="294"/>
      <c r="AY337" s="313"/>
      <c r="AZ337" s="294"/>
      <c r="BA337" s="294"/>
      <c r="BB337" s="287"/>
      <c r="BC337" s="287"/>
      <c r="BD337" s="288"/>
      <c r="BE337" s="288"/>
    </row>
    <row r="338" spans="1:61" s="298" customFormat="1" x14ac:dyDescent="0.2">
      <c r="A338" s="290" t="s">
        <v>34</v>
      </c>
      <c r="B338" s="290" t="s">
        <v>49</v>
      </c>
      <c r="C338" s="425" t="s">
        <v>57</v>
      </c>
      <c r="D338" s="381" t="s">
        <v>328</v>
      </c>
      <c r="E338" s="387">
        <v>6</v>
      </c>
      <c r="F338" s="387">
        <v>10</v>
      </c>
      <c r="G338" s="296">
        <f t="shared" si="142"/>
        <v>5.8004640371229703</v>
      </c>
      <c r="H338" s="387">
        <v>20</v>
      </c>
      <c r="I338" s="300">
        <f t="shared" si="143"/>
        <v>14.366</v>
      </c>
      <c r="J338" s="387">
        <v>3.2</v>
      </c>
      <c r="K338" s="383">
        <v>2</v>
      </c>
      <c r="L338" s="383">
        <v>28</v>
      </c>
      <c r="M338" s="383" t="s">
        <v>93</v>
      </c>
      <c r="N338" s="387">
        <v>200</v>
      </c>
      <c r="O338" s="313">
        <f t="shared" si="131"/>
        <v>203.2</v>
      </c>
      <c r="P338" s="313"/>
      <c r="Q338" s="313"/>
      <c r="R338" s="387">
        <v>2</v>
      </c>
      <c r="S338" s="285">
        <v>0.96</v>
      </c>
      <c r="T338" s="388" t="s">
        <v>37</v>
      </c>
      <c r="U338" s="285"/>
      <c r="V338" s="388"/>
      <c r="W338" s="388"/>
      <c r="X338" s="388"/>
      <c r="Y338" s="285">
        <v>0.96</v>
      </c>
      <c r="Z338" s="388" t="s">
        <v>37</v>
      </c>
      <c r="AA338" s="285"/>
      <c r="AB338" s="388"/>
      <c r="AC338" s="388"/>
      <c r="AD338" s="388"/>
      <c r="AE338" s="285"/>
      <c r="AF338" s="287">
        <f t="shared" si="132"/>
        <v>5.2983173665480363</v>
      </c>
      <c r="AG338" s="287">
        <f t="shared" si="133"/>
        <v>5.3141907157043269</v>
      </c>
      <c r="AH338" s="288"/>
      <c r="AI338" s="288"/>
      <c r="AK338" s="286">
        <f t="shared" si="134"/>
        <v>400</v>
      </c>
      <c r="AL338" s="286">
        <f t="shared" si="135"/>
        <v>403.2</v>
      </c>
      <c r="AM338" s="287">
        <f t="shared" si="136"/>
        <v>5.9914645471079817</v>
      </c>
      <c r="AN338" s="287">
        <f t="shared" si="137"/>
        <v>5.9994327167571591</v>
      </c>
      <c r="AO338" s="288"/>
      <c r="AP338" s="288"/>
      <c r="AR338" s="286">
        <f t="shared" si="138"/>
        <v>315.87806761470813</v>
      </c>
      <c r="AS338" s="286">
        <f t="shared" si="139"/>
        <v>318.40509215562577</v>
      </c>
      <c r="AT338" s="287">
        <f t="shared" si="140"/>
        <v>5.7553562771442515</v>
      </c>
      <c r="AU338" s="287">
        <f t="shared" si="141"/>
        <v>5.7633244467934279</v>
      </c>
      <c r="AV338" s="299"/>
      <c r="AW338" s="299"/>
      <c r="AX338" s="286"/>
      <c r="AY338" s="286"/>
      <c r="AZ338" s="286"/>
      <c r="BA338" s="286"/>
      <c r="BB338" s="287"/>
      <c r="BC338" s="287"/>
      <c r="BD338" s="288"/>
      <c r="BE338" s="288"/>
    </row>
    <row r="339" spans="1:61" s="298" customFormat="1" x14ac:dyDescent="0.2">
      <c r="A339" s="290" t="s">
        <v>34</v>
      </c>
      <c r="B339" s="290" t="s">
        <v>49</v>
      </c>
      <c r="C339" s="425" t="s">
        <v>57</v>
      </c>
      <c r="D339" s="381" t="s">
        <v>328</v>
      </c>
      <c r="E339" s="387">
        <v>5</v>
      </c>
      <c r="F339" s="387">
        <v>10</v>
      </c>
      <c r="G339" s="296">
        <f t="shared" si="142"/>
        <v>5.8004640371229703</v>
      </c>
      <c r="H339" s="387">
        <v>20</v>
      </c>
      <c r="I339" s="300">
        <f t="shared" si="143"/>
        <v>11.394</v>
      </c>
      <c r="J339" s="387">
        <v>3.2</v>
      </c>
      <c r="K339" s="383">
        <v>2</v>
      </c>
      <c r="L339" s="383">
        <v>28</v>
      </c>
      <c r="M339" s="383" t="s">
        <v>93</v>
      </c>
      <c r="N339" s="387">
        <v>200</v>
      </c>
      <c r="O339" s="313">
        <f t="shared" si="131"/>
        <v>203.2</v>
      </c>
      <c r="P339" s="313"/>
      <c r="Q339" s="313"/>
      <c r="R339" s="387">
        <v>2</v>
      </c>
      <c r="S339" s="285">
        <v>0.96</v>
      </c>
      <c r="T339" s="388" t="s">
        <v>37</v>
      </c>
      <c r="U339" s="285"/>
      <c r="V339" s="388"/>
      <c r="W339" s="388"/>
      <c r="X339" s="388"/>
      <c r="Y339" s="285">
        <v>0.96</v>
      </c>
      <c r="Z339" s="388" t="s">
        <v>37</v>
      </c>
      <c r="AA339" s="285"/>
      <c r="AB339" s="388"/>
      <c r="AC339" s="388"/>
      <c r="AD339" s="388"/>
      <c r="AE339" s="285"/>
      <c r="AF339" s="287">
        <f t="shared" si="132"/>
        <v>5.2983173665480363</v>
      </c>
      <c r="AG339" s="287">
        <f t="shared" si="133"/>
        <v>5.3141907157043269</v>
      </c>
      <c r="AH339" s="288"/>
      <c r="AI339" s="288"/>
      <c r="AK339" s="286">
        <f t="shared" si="134"/>
        <v>400</v>
      </c>
      <c r="AL339" s="286">
        <f t="shared" si="135"/>
        <v>403.2</v>
      </c>
      <c r="AM339" s="287">
        <f t="shared" si="136"/>
        <v>5.9914645471079817</v>
      </c>
      <c r="AN339" s="287">
        <f t="shared" si="137"/>
        <v>5.9994327167571591</v>
      </c>
      <c r="AO339" s="288"/>
      <c r="AP339" s="288"/>
      <c r="AR339" s="286">
        <f t="shared" si="138"/>
        <v>394.59605009206524</v>
      </c>
      <c r="AS339" s="286">
        <f t="shared" si="139"/>
        <v>397.75281849280174</v>
      </c>
      <c r="AT339" s="287">
        <f t="shared" si="140"/>
        <v>5.9778625836348809</v>
      </c>
      <c r="AU339" s="287">
        <f t="shared" si="141"/>
        <v>5.9858307532840573</v>
      </c>
      <c r="AV339" s="299"/>
      <c r="AW339" s="299"/>
      <c r="AX339" s="286"/>
      <c r="AY339" s="286"/>
      <c r="AZ339" s="286"/>
      <c r="BA339" s="286"/>
      <c r="BB339" s="287"/>
      <c r="BC339" s="287"/>
      <c r="BD339" s="288"/>
      <c r="BE339" s="288"/>
    </row>
    <row r="340" spans="1:61" s="298" customFormat="1" x14ac:dyDescent="0.2">
      <c r="A340" s="290" t="s">
        <v>34</v>
      </c>
      <c r="B340" s="290" t="s">
        <v>49</v>
      </c>
      <c r="C340" s="425" t="s">
        <v>57</v>
      </c>
      <c r="D340" s="381" t="s">
        <v>328</v>
      </c>
      <c r="E340" s="387">
        <v>4.5</v>
      </c>
      <c r="F340" s="387">
        <v>10</v>
      </c>
      <c r="G340" s="296">
        <f t="shared" si="142"/>
        <v>5.8004640371229703</v>
      </c>
      <c r="H340" s="387">
        <v>20</v>
      </c>
      <c r="I340" s="300">
        <f t="shared" si="143"/>
        <v>9.9080000000000013</v>
      </c>
      <c r="J340" s="387">
        <v>3.2</v>
      </c>
      <c r="K340" s="383">
        <v>2</v>
      </c>
      <c r="L340" s="383">
        <v>28</v>
      </c>
      <c r="M340" s="383" t="s">
        <v>93</v>
      </c>
      <c r="N340" s="387">
        <v>1000</v>
      </c>
      <c r="O340" s="313">
        <f t="shared" si="131"/>
        <v>1003.2</v>
      </c>
      <c r="P340" s="313"/>
      <c r="Q340" s="313"/>
      <c r="R340" s="387">
        <v>2</v>
      </c>
      <c r="S340" s="285">
        <v>0.96</v>
      </c>
      <c r="T340" s="388" t="s">
        <v>37</v>
      </c>
      <c r="U340" s="285"/>
      <c r="V340" s="388"/>
      <c r="W340" s="388"/>
      <c r="X340" s="388"/>
      <c r="Y340" s="285">
        <v>0.96</v>
      </c>
      <c r="Z340" s="388" t="s">
        <v>37</v>
      </c>
      <c r="AA340" s="285"/>
      <c r="AB340" s="388"/>
      <c r="AC340" s="388"/>
      <c r="AD340" s="388"/>
      <c r="AE340" s="285"/>
      <c r="AF340" s="287">
        <f t="shared" si="132"/>
        <v>6.9077552789821368</v>
      </c>
      <c r="AG340" s="287">
        <f t="shared" si="133"/>
        <v>6.9109501698786566</v>
      </c>
      <c r="AH340" s="288"/>
      <c r="AI340" s="288"/>
      <c r="AK340" s="286">
        <f t="shared" si="134"/>
        <v>2000</v>
      </c>
      <c r="AL340" s="286">
        <f t="shared" si="135"/>
        <v>2003.2</v>
      </c>
      <c r="AM340" s="287">
        <f t="shared" si="136"/>
        <v>7.6009024595420822</v>
      </c>
      <c r="AN340" s="287">
        <f t="shared" si="137"/>
        <v>7.6025011809057794</v>
      </c>
      <c r="AO340" s="288"/>
      <c r="AP340" s="288"/>
      <c r="AR340" s="286">
        <f t="shared" si="138"/>
        <v>2256.2402707136716</v>
      </c>
      <c r="AS340" s="286">
        <f t="shared" si="139"/>
        <v>2259.8502551468137</v>
      </c>
      <c r="AT340" s="287">
        <f t="shared" si="140"/>
        <v>7.7214551099228288</v>
      </c>
      <c r="AU340" s="287">
        <f t="shared" si="141"/>
        <v>7.723053831286526</v>
      </c>
      <c r="AV340" s="299"/>
      <c r="AW340" s="299"/>
      <c r="AX340" s="286"/>
      <c r="AY340" s="286"/>
      <c r="AZ340" s="286"/>
      <c r="BA340" s="286"/>
      <c r="BB340" s="287"/>
      <c r="BC340" s="287"/>
      <c r="BD340" s="288"/>
      <c r="BE340" s="288"/>
    </row>
    <row r="341" spans="1:61" s="298" customFormat="1" x14ac:dyDescent="0.2">
      <c r="A341" s="290" t="s">
        <v>34</v>
      </c>
      <c r="B341" s="290" t="s">
        <v>49</v>
      </c>
      <c r="C341" s="425" t="s">
        <v>57</v>
      </c>
      <c r="D341" s="381" t="s">
        <v>328</v>
      </c>
      <c r="E341" s="387">
        <v>6</v>
      </c>
      <c r="F341" s="387">
        <v>10</v>
      </c>
      <c r="G341" s="296">
        <f t="shared" si="142"/>
        <v>5.8004640371229703</v>
      </c>
      <c r="H341" s="387">
        <v>20</v>
      </c>
      <c r="I341" s="300">
        <f t="shared" si="143"/>
        <v>14.366</v>
      </c>
      <c r="J341" s="387">
        <v>3.2</v>
      </c>
      <c r="K341" s="383">
        <v>2</v>
      </c>
      <c r="L341" s="383">
        <v>28</v>
      </c>
      <c r="M341" s="383" t="s">
        <v>93</v>
      </c>
      <c r="N341" s="387">
        <v>200</v>
      </c>
      <c r="O341" s="313">
        <f t="shared" si="131"/>
        <v>203.2</v>
      </c>
      <c r="P341" s="313"/>
      <c r="Q341" s="313"/>
      <c r="R341" s="387">
        <v>2</v>
      </c>
      <c r="S341" s="285">
        <v>0.96</v>
      </c>
      <c r="T341" s="388" t="s">
        <v>37</v>
      </c>
      <c r="U341" s="285"/>
      <c r="V341" s="388"/>
      <c r="W341" s="388"/>
      <c r="X341" s="388"/>
      <c r="Y341" s="285">
        <v>0.96</v>
      </c>
      <c r="Z341" s="388" t="s">
        <v>37</v>
      </c>
      <c r="AA341" s="285"/>
      <c r="AB341" s="388"/>
      <c r="AC341" s="388"/>
      <c r="AD341" s="388"/>
      <c r="AE341" s="285"/>
      <c r="AF341" s="287">
        <f t="shared" si="132"/>
        <v>5.2983173665480363</v>
      </c>
      <c r="AG341" s="287">
        <f t="shared" si="133"/>
        <v>5.3141907157043269</v>
      </c>
      <c r="AH341" s="288"/>
      <c r="AI341" s="288"/>
      <c r="AK341" s="286">
        <f t="shared" si="134"/>
        <v>400</v>
      </c>
      <c r="AL341" s="286">
        <f t="shared" si="135"/>
        <v>403.2</v>
      </c>
      <c r="AM341" s="287">
        <f t="shared" si="136"/>
        <v>5.9914645471079817</v>
      </c>
      <c r="AN341" s="287">
        <f t="shared" si="137"/>
        <v>5.9994327167571591</v>
      </c>
      <c r="AO341" s="288"/>
      <c r="AP341" s="288"/>
      <c r="AR341" s="286">
        <f t="shared" si="138"/>
        <v>315.87806761470813</v>
      </c>
      <c r="AS341" s="286">
        <f t="shared" si="139"/>
        <v>318.40509215562577</v>
      </c>
      <c r="AT341" s="287">
        <f t="shared" si="140"/>
        <v>5.7553562771442515</v>
      </c>
      <c r="AU341" s="287">
        <f t="shared" si="141"/>
        <v>5.7633244467934279</v>
      </c>
      <c r="AV341" s="299"/>
      <c r="AW341" s="299"/>
      <c r="AX341" s="286"/>
      <c r="AY341" s="286"/>
      <c r="AZ341" s="286"/>
      <c r="BA341" s="286"/>
      <c r="BB341" s="287"/>
      <c r="BC341" s="287"/>
      <c r="BD341" s="288"/>
      <c r="BE341" s="288"/>
    </row>
    <row r="342" spans="1:61" x14ac:dyDescent="0.2">
      <c r="A342" s="232" t="s">
        <v>34</v>
      </c>
      <c r="B342" s="232" t="s">
        <v>49</v>
      </c>
      <c r="C342" s="389" t="s">
        <v>57</v>
      </c>
      <c r="D342" s="381" t="s">
        <v>328</v>
      </c>
      <c r="E342" s="387">
        <v>6</v>
      </c>
      <c r="F342" s="387">
        <v>10</v>
      </c>
      <c r="G342" s="296">
        <f t="shared" si="142"/>
        <v>5.8004640371229703</v>
      </c>
      <c r="H342" s="387">
        <v>20</v>
      </c>
      <c r="I342" s="300">
        <f t="shared" si="143"/>
        <v>14.366</v>
      </c>
      <c r="J342" s="387">
        <v>3.2</v>
      </c>
      <c r="K342" s="383">
        <v>2</v>
      </c>
      <c r="L342" s="383">
        <v>42</v>
      </c>
      <c r="M342" s="383" t="s">
        <v>93</v>
      </c>
      <c r="N342" s="382">
        <v>200</v>
      </c>
      <c r="O342" s="313">
        <f t="shared" si="131"/>
        <v>203.2</v>
      </c>
      <c r="P342" s="313"/>
      <c r="Q342" s="313"/>
      <c r="R342" s="387">
        <v>2</v>
      </c>
      <c r="S342" s="285">
        <v>0.96</v>
      </c>
      <c r="T342" s="388" t="s">
        <v>37</v>
      </c>
      <c r="U342" s="285"/>
      <c r="V342" s="388"/>
      <c r="W342" s="388"/>
      <c r="X342" s="388"/>
      <c r="Y342" s="285">
        <v>0.96</v>
      </c>
      <c r="Z342" s="388" t="s">
        <v>37</v>
      </c>
      <c r="AA342" s="285"/>
      <c r="AB342" s="388"/>
      <c r="AC342" s="388"/>
      <c r="AD342" s="388"/>
      <c r="AE342" s="285"/>
      <c r="AF342" s="239">
        <f t="shared" si="132"/>
        <v>5.2983173665480363</v>
      </c>
      <c r="AG342" s="239">
        <f t="shared" si="133"/>
        <v>5.3141907157043269</v>
      </c>
      <c r="AH342" s="240"/>
      <c r="AI342" s="240"/>
      <c r="AK342" s="265">
        <f t="shared" si="134"/>
        <v>400</v>
      </c>
      <c r="AL342" s="265">
        <f t="shared" si="135"/>
        <v>403.2</v>
      </c>
      <c r="AM342" s="239">
        <f t="shared" si="136"/>
        <v>5.9914645471079817</v>
      </c>
      <c r="AN342" s="239">
        <f t="shared" si="137"/>
        <v>5.9994327167571591</v>
      </c>
      <c r="AO342" s="240"/>
      <c r="AP342" s="240"/>
      <c r="AR342" s="265">
        <f t="shared" si="138"/>
        <v>315.87806761470813</v>
      </c>
      <c r="AS342" s="265">
        <f t="shared" si="139"/>
        <v>318.40509215562577</v>
      </c>
      <c r="AT342" s="239">
        <f t="shared" si="140"/>
        <v>5.7553562771442515</v>
      </c>
      <c r="AU342" s="239">
        <f t="shared" si="141"/>
        <v>5.7633244467934279</v>
      </c>
      <c r="AX342" s="385"/>
      <c r="AY342" s="385"/>
      <c r="AZ342" s="385"/>
      <c r="BA342" s="385"/>
      <c r="BB342" s="239"/>
      <c r="BC342" s="239"/>
      <c r="BD342" s="240"/>
      <c r="BE342" s="240"/>
      <c r="BF342" s="136"/>
      <c r="BG342" s="136"/>
      <c r="BH342" s="136"/>
      <c r="BI342" s="136"/>
    </row>
    <row r="343" spans="1:61" x14ac:dyDescent="0.2">
      <c r="A343" s="232" t="s">
        <v>34</v>
      </c>
      <c r="B343" s="232" t="s">
        <v>49</v>
      </c>
      <c r="C343" s="389" t="s">
        <v>57</v>
      </c>
      <c r="D343" s="381" t="s">
        <v>328</v>
      </c>
      <c r="E343" s="387">
        <v>5.8</v>
      </c>
      <c r="F343" s="387">
        <v>3.9</v>
      </c>
      <c r="G343" s="296">
        <f t="shared" si="142"/>
        <v>2.2621809744779582</v>
      </c>
      <c r="H343" s="387">
        <v>5.0999999999999996</v>
      </c>
      <c r="I343" s="300">
        <f t="shared" ref="I343:I372" si="144">(30+4.4*E343)*(H343/100)+(-34.66+29.72*E343)*(F343/100)</f>
        <v>8.2024439999999998</v>
      </c>
      <c r="J343" s="387">
        <v>5.2</v>
      </c>
      <c r="K343" s="383">
        <v>0</v>
      </c>
      <c r="L343" s="383">
        <v>21</v>
      </c>
      <c r="M343" s="383" t="s">
        <v>93</v>
      </c>
      <c r="N343" s="382">
        <v>400</v>
      </c>
      <c r="O343" s="313">
        <f t="shared" si="131"/>
        <v>405.2</v>
      </c>
      <c r="P343" s="313"/>
      <c r="Q343" s="313"/>
      <c r="R343" s="387">
        <v>2</v>
      </c>
      <c r="S343" s="285">
        <v>0.96</v>
      </c>
      <c r="T343" s="388" t="s">
        <v>37</v>
      </c>
      <c r="U343" s="285"/>
      <c r="V343" s="388"/>
      <c r="W343" s="388"/>
      <c r="X343" s="388"/>
      <c r="Y343" s="285">
        <v>0.96</v>
      </c>
      <c r="Z343" s="388" t="s">
        <v>37</v>
      </c>
      <c r="AA343" s="285"/>
      <c r="AB343" s="388"/>
      <c r="AC343" s="388"/>
      <c r="AD343" s="388"/>
      <c r="AE343" s="285"/>
      <c r="AF343" s="239">
        <f t="shared" si="132"/>
        <v>5.9914645471079817</v>
      </c>
      <c r="AG343" s="239">
        <f t="shared" si="133"/>
        <v>6.0043807723745282</v>
      </c>
      <c r="AH343" s="240"/>
      <c r="AI343" s="240"/>
      <c r="AK343" s="265">
        <f t="shared" si="134"/>
        <v>800</v>
      </c>
      <c r="AL343" s="265">
        <f t="shared" si="135"/>
        <v>805.2</v>
      </c>
      <c r="AM343" s="239">
        <f t="shared" si="136"/>
        <v>6.6846117276679271</v>
      </c>
      <c r="AN343" s="239">
        <f t="shared" si="137"/>
        <v>6.691090693765636</v>
      </c>
      <c r="AO343" s="240"/>
      <c r="AP343" s="240"/>
      <c r="AR343" s="265">
        <f t="shared" si="138"/>
        <v>1081.9479110764439</v>
      </c>
      <c r="AS343" s="265">
        <f t="shared" si="139"/>
        <v>1088.9805724984408</v>
      </c>
      <c r="AT343" s="239">
        <f t="shared" si="140"/>
        <v>6.9865183169134406</v>
      </c>
      <c r="AU343" s="239">
        <f t="shared" si="141"/>
        <v>6.9929972830111495</v>
      </c>
      <c r="AX343" s="385"/>
      <c r="AY343" s="385"/>
      <c r="AZ343" s="385"/>
      <c r="BA343" s="385"/>
      <c r="BB343" s="239"/>
      <c r="BC343" s="239"/>
      <c r="BD343" s="240"/>
      <c r="BE343" s="240"/>
      <c r="BF343" s="136"/>
      <c r="BG343" s="136"/>
      <c r="BH343" s="136"/>
      <c r="BI343" s="136"/>
    </row>
    <row r="344" spans="1:61" x14ac:dyDescent="0.2">
      <c r="A344" s="232" t="s">
        <v>34</v>
      </c>
      <c r="B344" s="232" t="s">
        <v>49</v>
      </c>
      <c r="C344" s="389" t="s">
        <v>57</v>
      </c>
      <c r="D344" s="381" t="s">
        <v>328</v>
      </c>
      <c r="E344" s="387">
        <v>6</v>
      </c>
      <c r="F344" s="387">
        <v>10</v>
      </c>
      <c r="G344" s="296">
        <f t="shared" si="142"/>
        <v>5.8004640371229703</v>
      </c>
      <c r="H344" s="387">
        <v>20</v>
      </c>
      <c r="I344" s="300">
        <f t="shared" ref="I344:I348" si="145">(30+4.4*E344)*(0/100)+(-34.66+29.72*E344)*(F344/100)</f>
        <v>14.366</v>
      </c>
      <c r="J344" s="387">
        <v>3.2</v>
      </c>
      <c r="K344" s="383">
        <v>0</v>
      </c>
      <c r="L344" s="383">
        <v>56</v>
      </c>
      <c r="M344" s="383" t="s">
        <v>93</v>
      </c>
      <c r="N344" s="382">
        <v>400</v>
      </c>
      <c r="O344" s="313">
        <f t="shared" si="131"/>
        <v>403.2</v>
      </c>
      <c r="P344" s="313"/>
      <c r="Q344" s="313"/>
      <c r="R344" s="387">
        <v>2</v>
      </c>
      <c r="S344" s="285">
        <v>0.96</v>
      </c>
      <c r="T344" s="388" t="s">
        <v>37</v>
      </c>
      <c r="U344" s="285"/>
      <c r="V344" s="388"/>
      <c r="W344" s="388"/>
      <c r="X344" s="388"/>
      <c r="Y344" s="285">
        <v>0.96</v>
      </c>
      <c r="Z344" s="388" t="s">
        <v>37</v>
      </c>
      <c r="AA344" s="285"/>
      <c r="AB344" s="388"/>
      <c r="AC344" s="388"/>
      <c r="AD344" s="388"/>
      <c r="AE344" s="285"/>
      <c r="AF344" s="239">
        <f t="shared" si="132"/>
        <v>5.9914645471079817</v>
      </c>
      <c r="AG344" s="239">
        <f t="shared" si="133"/>
        <v>5.9994327167571591</v>
      </c>
      <c r="AH344" s="240"/>
      <c r="AI344" s="240"/>
      <c r="AK344" s="265">
        <f t="shared" si="134"/>
        <v>800</v>
      </c>
      <c r="AL344" s="265">
        <f t="shared" si="135"/>
        <v>803.2</v>
      </c>
      <c r="AM344" s="239">
        <f t="shared" si="136"/>
        <v>6.6846117276679271</v>
      </c>
      <c r="AN344" s="239">
        <f t="shared" si="137"/>
        <v>6.6886037489374646</v>
      </c>
      <c r="AO344" s="240"/>
      <c r="AP344" s="240"/>
      <c r="AR344" s="265">
        <f t="shared" si="138"/>
        <v>631.75613522941626</v>
      </c>
      <c r="AS344" s="265">
        <f t="shared" si="139"/>
        <v>634.2831597703339</v>
      </c>
      <c r="AT344" s="239">
        <f t="shared" si="140"/>
        <v>6.4485034577041969</v>
      </c>
      <c r="AU344" s="239">
        <f t="shared" si="141"/>
        <v>6.4524954789737343</v>
      </c>
      <c r="AX344" s="385"/>
      <c r="AY344" s="385"/>
      <c r="AZ344" s="385"/>
      <c r="BA344" s="385"/>
      <c r="BB344" s="239"/>
      <c r="BC344" s="239"/>
      <c r="BD344" s="240"/>
      <c r="BE344" s="240"/>
      <c r="BF344" s="136"/>
      <c r="BG344" s="136"/>
      <c r="BH344" s="136"/>
      <c r="BI344" s="136"/>
    </row>
    <row r="345" spans="1:61" x14ac:dyDescent="0.2">
      <c r="A345" s="232" t="s">
        <v>34</v>
      </c>
      <c r="B345" s="232" t="s">
        <v>49</v>
      </c>
      <c r="C345" s="389" t="s">
        <v>57</v>
      </c>
      <c r="D345" s="381" t="s">
        <v>36</v>
      </c>
      <c r="E345" s="387">
        <v>6</v>
      </c>
      <c r="F345" s="387">
        <v>10</v>
      </c>
      <c r="G345" s="296">
        <f t="shared" si="142"/>
        <v>5.8004640371229703</v>
      </c>
      <c r="H345" s="387">
        <v>20</v>
      </c>
      <c r="I345" s="300">
        <f t="shared" si="145"/>
        <v>14.366</v>
      </c>
      <c r="J345" s="387">
        <v>3.2</v>
      </c>
      <c r="K345" s="383">
        <v>2</v>
      </c>
      <c r="L345" s="383">
        <v>28</v>
      </c>
      <c r="M345" s="383" t="s">
        <v>93</v>
      </c>
      <c r="N345" s="382">
        <v>1000</v>
      </c>
      <c r="O345" s="313">
        <f t="shared" si="131"/>
        <v>1003.2</v>
      </c>
      <c r="P345" s="313"/>
      <c r="Q345" s="313"/>
      <c r="R345" s="387">
        <v>2</v>
      </c>
      <c r="S345" s="285">
        <v>0.96</v>
      </c>
      <c r="T345" s="388" t="s">
        <v>37</v>
      </c>
      <c r="U345" s="285"/>
      <c r="V345" s="388"/>
      <c r="W345" s="388"/>
      <c r="X345" s="388"/>
      <c r="Y345" s="285">
        <v>0.96</v>
      </c>
      <c r="Z345" s="388" t="s">
        <v>37</v>
      </c>
      <c r="AA345" s="285"/>
      <c r="AB345" s="388"/>
      <c r="AC345" s="388"/>
      <c r="AD345" s="388"/>
      <c r="AE345" s="285"/>
      <c r="AF345" s="239">
        <f t="shared" si="132"/>
        <v>6.9077552789821368</v>
      </c>
      <c r="AG345" s="239">
        <f t="shared" si="133"/>
        <v>6.9109501698786566</v>
      </c>
      <c r="AH345" s="240"/>
      <c r="AI345" s="240"/>
      <c r="AK345" s="265">
        <f t="shared" si="134"/>
        <v>2000</v>
      </c>
      <c r="AL345" s="265">
        <f t="shared" si="135"/>
        <v>2003.2</v>
      </c>
      <c r="AM345" s="239">
        <f t="shared" si="136"/>
        <v>7.6009024595420822</v>
      </c>
      <c r="AN345" s="239">
        <f t="shared" si="137"/>
        <v>7.6025011809057794</v>
      </c>
      <c r="AO345" s="240"/>
      <c r="AP345" s="240"/>
      <c r="AR345" s="265">
        <f t="shared" si="138"/>
        <v>1579.3903380735405</v>
      </c>
      <c r="AS345" s="265">
        <f t="shared" si="139"/>
        <v>1581.9173626144582</v>
      </c>
      <c r="AT345" s="239">
        <f t="shared" si="140"/>
        <v>7.364794189578352</v>
      </c>
      <c r="AU345" s="239">
        <f t="shared" si="141"/>
        <v>7.3663929109420483</v>
      </c>
      <c r="AX345" s="385">
        <f>GEOMEAN(AR345:AR347)</f>
        <v>581.72879439870644</v>
      </c>
      <c r="AY345" s="385">
        <f>GEOMEAN(AS345:AS347)</f>
        <v>590.01250725521038</v>
      </c>
      <c r="AZ345" s="385"/>
      <c r="BA345" s="385"/>
      <c r="BB345" s="239"/>
      <c r="BC345" s="239"/>
      <c r="BD345" s="240"/>
      <c r="BE345" s="240"/>
      <c r="BF345" s="136"/>
      <c r="BG345" s="136"/>
      <c r="BH345" s="136"/>
      <c r="BI345" s="136"/>
    </row>
    <row r="346" spans="1:61" x14ac:dyDescent="0.2">
      <c r="A346" s="232" t="s">
        <v>34</v>
      </c>
      <c r="B346" s="232" t="s">
        <v>49</v>
      </c>
      <c r="C346" s="389" t="s">
        <v>57</v>
      </c>
      <c r="D346" s="381" t="s">
        <v>36</v>
      </c>
      <c r="E346" s="387">
        <v>6</v>
      </c>
      <c r="F346" s="387">
        <v>10</v>
      </c>
      <c r="G346" s="296">
        <f t="shared" si="142"/>
        <v>5.8004640371229703</v>
      </c>
      <c r="H346" s="387">
        <v>20</v>
      </c>
      <c r="I346" s="300">
        <f t="shared" si="145"/>
        <v>14.366</v>
      </c>
      <c r="J346" s="387">
        <v>3.2</v>
      </c>
      <c r="K346" s="383">
        <v>2</v>
      </c>
      <c r="L346" s="383">
        <v>42</v>
      </c>
      <c r="M346" s="383" t="s">
        <v>93</v>
      </c>
      <c r="N346" s="382">
        <v>1000</v>
      </c>
      <c r="O346" s="313">
        <f t="shared" si="131"/>
        <v>1003.2</v>
      </c>
      <c r="P346" s="313"/>
      <c r="Q346" s="313"/>
      <c r="R346" s="387">
        <v>2</v>
      </c>
      <c r="S346" s="285">
        <v>0.96</v>
      </c>
      <c r="T346" s="388" t="s">
        <v>37</v>
      </c>
      <c r="U346" s="285"/>
      <c r="V346" s="388"/>
      <c r="W346" s="388"/>
      <c r="X346" s="388"/>
      <c r="Y346" s="285">
        <v>0.96</v>
      </c>
      <c r="Z346" s="388" t="s">
        <v>37</v>
      </c>
      <c r="AA346" s="285"/>
      <c r="AB346" s="388"/>
      <c r="AC346" s="388"/>
      <c r="AD346" s="388"/>
      <c r="AE346" s="285"/>
      <c r="AF346" s="239">
        <f t="shared" si="132"/>
        <v>6.9077552789821368</v>
      </c>
      <c r="AG346" s="239">
        <f t="shared" si="133"/>
        <v>6.9109501698786566</v>
      </c>
      <c r="AH346" s="240"/>
      <c r="AI346" s="240"/>
      <c r="AK346" s="265">
        <f t="shared" si="134"/>
        <v>2000</v>
      </c>
      <c r="AL346" s="265">
        <f t="shared" si="135"/>
        <v>2003.2</v>
      </c>
      <c r="AM346" s="239">
        <f t="shared" si="136"/>
        <v>7.6009024595420822</v>
      </c>
      <c r="AN346" s="239">
        <f t="shared" si="137"/>
        <v>7.6025011809057794</v>
      </c>
      <c r="AO346" s="240"/>
      <c r="AP346" s="240"/>
      <c r="AR346" s="265">
        <f t="shared" si="138"/>
        <v>1579.3903380735405</v>
      </c>
      <c r="AS346" s="265">
        <f t="shared" si="139"/>
        <v>1581.9173626144582</v>
      </c>
      <c r="AT346" s="239">
        <f t="shared" si="140"/>
        <v>7.364794189578352</v>
      </c>
      <c r="AU346" s="239">
        <f t="shared" si="141"/>
        <v>7.3663929109420483</v>
      </c>
      <c r="AX346" s="385"/>
      <c r="AY346" s="385"/>
      <c r="AZ346" s="385"/>
      <c r="BA346" s="385"/>
      <c r="BB346" s="239"/>
      <c r="BC346" s="239"/>
      <c r="BD346" s="240"/>
      <c r="BE346" s="240"/>
      <c r="BF346" s="136"/>
      <c r="BG346" s="136"/>
      <c r="BH346" s="136"/>
      <c r="BI346" s="136"/>
    </row>
    <row r="347" spans="1:61" x14ac:dyDescent="0.2">
      <c r="A347" s="232" t="s">
        <v>34</v>
      </c>
      <c r="B347" s="232" t="s">
        <v>49</v>
      </c>
      <c r="C347" s="389" t="s">
        <v>57</v>
      </c>
      <c r="D347" s="381" t="s">
        <v>36</v>
      </c>
      <c r="E347" s="387">
        <v>5</v>
      </c>
      <c r="F347" s="387">
        <v>10</v>
      </c>
      <c r="G347" s="296">
        <f t="shared" si="142"/>
        <v>5.8004640371229703</v>
      </c>
      <c r="H347" s="387">
        <v>20</v>
      </c>
      <c r="I347" s="300">
        <f t="shared" si="145"/>
        <v>11.394</v>
      </c>
      <c r="J347" s="387">
        <v>3.2</v>
      </c>
      <c r="K347" s="383">
        <v>2</v>
      </c>
      <c r="L347" s="383">
        <v>28</v>
      </c>
      <c r="M347" s="383" t="s">
        <v>93</v>
      </c>
      <c r="N347" s="382">
        <v>40</v>
      </c>
      <c r="O347" s="313">
        <f t="shared" si="131"/>
        <v>43.2</v>
      </c>
      <c r="P347" s="313"/>
      <c r="Q347" s="313"/>
      <c r="R347" s="387">
        <v>2</v>
      </c>
      <c r="S347" s="285">
        <v>0.96</v>
      </c>
      <c r="T347" s="388" t="s">
        <v>37</v>
      </c>
      <c r="U347" s="285"/>
      <c r="V347" s="388"/>
      <c r="W347" s="388"/>
      <c r="X347" s="388"/>
      <c r="Y347" s="285">
        <v>0.96</v>
      </c>
      <c r="Z347" s="388" t="s">
        <v>37</v>
      </c>
      <c r="AA347" s="285"/>
      <c r="AB347" s="388"/>
      <c r="AC347" s="388"/>
      <c r="AD347" s="388"/>
      <c r="AE347" s="285"/>
      <c r="AF347" s="239">
        <f t="shared" si="132"/>
        <v>3.6888794541139363</v>
      </c>
      <c r="AG347" s="239">
        <f t="shared" si="133"/>
        <v>3.7658404952500648</v>
      </c>
      <c r="AH347" s="240"/>
      <c r="AI347" s="240"/>
      <c r="AK347" s="265">
        <f t="shared" si="134"/>
        <v>80</v>
      </c>
      <c r="AL347" s="265">
        <f t="shared" si="135"/>
        <v>83.2</v>
      </c>
      <c r="AM347" s="239">
        <f t="shared" si="136"/>
        <v>4.3820266346738812</v>
      </c>
      <c r="AN347" s="239">
        <f t="shared" si="137"/>
        <v>4.4212473478271628</v>
      </c>
      <c r="AO347" s="240"/>
      <c r="AP347" s="240"/>
      <c r="AR347" s="265">
        <f t="shared" si="138"/>
        <v>78.919210018413054</v>
      </c>
      <c r="AS347" s="265">
        <f t="shared" si="139"/>
        <v>82.075978419149578</v>
      </c>
      <c r="AT347" s="239">
        <f t="shared" si="140"/>
        <v>4.3684246712007804</v>
      </c>
      <c r="AU347" s="239">
        <f t="shared" si="141"/>
        <v>4.4076453843540619</v>
      </c>
      <c r="AX347" s="385"/>
      <c r="AY347" s="385"/>
      <c r="AZ347" s="385"/>
      <c r="BA347" s="385"/>
      <c r="BB347" s="239"/>
      <c r="BC347" s="239"/>
      <c r="BD347" s="240"/>
      <c r="BE347" s="240"/>
      <c r="BF347" s="136"/>
      <c r="BG347" s="136"/>
      <c r="BH347" s="136"/>
      <c r="BI347" s="136"/>
    </row>
    <row r="348" spans="1:61" x14ac:dyDescent="0.2">
      <c r="A348" s="232" t="s">
        <v>34</v>
      </c>
      <c r="B348" s="232" t="s">
        <v>49</v>
      </c>
      <c r="C348" s="389" t="s">
        <v>57</v>
      </c>
      <c r="D348" s="381" t="s">
        <v>51</v>
      </c>
      <c r="E348" s="387">
        <v>6</v>
      </c>
      <c r="F348" s="387">
        <v>10</v>
      </c>
      <c r="G348" s="296">
        <f t="shared" si="142"/>
        <v>5.8004640371229703</v>
      </c>
      <c r="H348" s="387">
        <v>20</v>
      </c>
      <c r="I348" s="300">
        <f t="shared" si="145"/>
        <v>14.366</v>
      </c>
      <c r="J348" s="387">
        <v>3.2</v>
      </c>
      <c r="K348" s="383">
        <v>0</v>
      </c>
      <c r="L348" s="383">
        <v>56</v>
      </c>
      <c r="M348" s="383" t="s">
        <v>93</v>
      </c>
      <c r="N348" s="382">
        <v>800</v>
      </c>
      <c r="O348" s="313">
        <f t="shared" si="131"/>
        <v>803.2</v>
      </c>
      <c r="P348" s="313"/>
      <c r="Q348" s="313"/>
      <c r="R348" s="387">
        <v>2</v>
      </c>
      <c r="S348" s="285">
        <v>0.96</v>
      </c>
      <c r="T348" s="388" t="s">
        <v>37</v>
      </c>
      <c r="U348" s="285"/>
      <c r="V348" s="388"/>
      <c r="W348" s="388"/>
      <c r="X348" s="388"/>
      <c r="Y348" s="285">
        <v>0.96</v>
      </c>
      <c r="Z348" s="388" t="s">
        <v>37</v>
      </c>
      <c r="AA348" s="285"/>
      <c r="AB348" s="388"/>
      <c r="AC348" s="388"/>
      <c r="AD348" s="388"/>
      <c r="AE348" s="285"/>
      <c r="AF348" s="239">
        <f t="shared" si="132"/>
        <v>6.6846117276679271</v>
      </c>
      <c r="AG348" s="239">
        <f t="shared" si="133"/>
        <v>6.6886037489374646</v>
      </c>
      <c r="AH348" s="240"/>
      <c r="AI348" s="240"/>
      <c r="AK348" s="265">
        <f t="shared" si="134"/>
        <v>1600</v>
      </c>
      <c r="AL348" s="265">
        <f t="shared" si="135"/>
        <v>1603.2</v>
      </c>
      <c r="AM348" s="239">
        <f t="shared" si="136"/>
        <v>7.3777589082278725</v>
      </c>
      <c r="AN348" s="239">
        <f t="shared" si="137"/>
        <v>7.3797569108905456</v>
      </c>
      <c r="AO348" s="240"/>
      <c r="AP348" s="240"/>
      <c r="AR348" s="265">
        <f t="shared" si="138"/>
        <v>1263.5122704588325</v>
      </c>
      <c r="AS348" s="265">
        <f t="shared" si="139"/>
        <v>1266.0392949997502</v>
      </c>
      <c r="AT348" s="239">
        <f t="shared" si="140"/>
        <v>7.1416506382641423</v>
      </c>
      <c r="AU348" s="239">
        <f t="shared" si="141"/>
        <v>7.1436486409268145</v>
      </c>
      <c r="AX348" s="385">
        <f>GEOMEAN(AR348:AR349)</f>
        <v>826.75705671085404</v>
      </c>
      <c r="AY348" s="385">
        <f>GEOMEAN(AS348:AS349)</f>
        <v>832.94532293033103</v>
      </c>
      <c r="AZ348" s="385"/>
      <c r="BA348" s="385"/>
      <c r="BB348" s="239"/>
      <c r="BC348" s="239"/>
      <c r="BD348" s="240"/>
      <c r="BE348" s="240"/>
      <c r="BF348" s="136"/>
      <c r="BG348" s="136"/>
      <c r="BH348" s="136"/>
      <c r="BI348" s="136"/>
    </row>
    <row r="349" spans="1:61" s="165" customFormat="1" x14ac:dyDescent="0.2">
      <c r="A349" s="156" t="s">
        <v>34</v>
      </c>
      <c r="B349" s="156" t="s">
        <v>49</v>
      </c>
      <c r="C349" s="390" t="s">
        <v>57</v>
      </c>
      <c r="D349" s="391" t="s">
        <v>51</v>
      </c>
      <c r="E349" s="361">
        <v>5.8</v>
      </c>
      <c r="F349" s="361">
        <v>3.9</v>
      </c>
      <c r="G349" s="330">
        <f t="shared" si="142"/>
        <v>2.2621809744779582</v>
      </c>
      <c r="H349" s="361">
        <v>5.0999999999999996</v>
      </c>
      <c r="I349" s="393">
        <f t="shared" si="144"/>
        <v>8.2024439999999998</v>
      </c>
      <c r="J349" s="361">
        <v>5.2</v>
      </c>
      <c r="K349" s="394">
        <v>0</v>
      </c>
      <c r="L349" s="394">
        <v>21</v>
      </c>
      <c r="M349" s="394" t="s">
        <v>93</v>
      </c>
      <c r="N349" s="392">
        <v>200</v>
      </c>
      <c r="O349" s="317">
        <f t="shared" si="131"/>
        <v>205.2</v>
      </c>
      <c r="P349" s="317"/>
      <c r="Q349" s="317"/>
      <c r="R349" s="361">
        <v>2</v>
      </c>
      <c r="S349" s="163">
        <v>0.96</v>
      </c>
      <c r="T349" s="162" t="s">
        <v>37</v>
      </c>
      <c r="U349" s="163"/>
      <c r="V349" s="162"/>
      <c r="W349" s="162"/>
      <c r="X349" s="162"/>
      <c r="Y349" s="163">
        <v>0.96</v>
      </c>
      <c r="Z349" s="162" t="s">
        <v>37</v>
      </c>
      <c r="AA349" s="163"/>
      <c r="AB349" s="162"/>
      <c r="AC349" s="162"/>
      <c r="AD349" s="162"/>
      <c r="AE349" s="163"/>
      <c r="AF349" s="166">
        <f t="shared" si="132"/>
        <v>5.2983173665480363</v>
      </c>
      <c r="AG349" s="166">
        <f t="shared" si="133"/>
        <v>5.3239851132966143</v>
      </c>
      <c r="AH349" s="169"/>
      <c r="AI349" s="169"/>
      <c r="AK349" s="168">
        <f t="shared" si="134"/>
        <v>400</v>
      </c>
      <c r="AL349" s="168">
        <f t="shared" si="135"/>
        <v>405.2</v>
      </c>
      <c r="AM349" s="166">
        <f t="shared" si="136"/>
        <v>5.9914645471079817</v>
      </c>
      <c r="AN349" s="166">
        <f t="shared" si="137"/>
        <v>6.0043807723745282</v>
      </c>
      <c r="AO349" s="169"/>
      <c r="AP349" s="169"/>
      <c r="AR349" s="168">
        <f t="shared" si="138"/>
        <v>540.97395553822196</v>
      </c>
      <c r="AS349" s="168">
        <f t="shared" si="139"/>
        <v>548.00661696021882</v>
      </c>
      <c r="AT349" s="166">
        <f t="shared" si="140"/>
        <v>6.2933711363534952</v>
      </c>
      <c r="AU349" s="166">
        <f t="shared" si="141"/>
        <v>6.3062873616200417</v>
      </c>
      <c r="AV349" s="167"/>
      <c r="AW349" s="167"/>
      <c r="AX349" s="168"/>
      <c r="AY349" s="168"/>
      <c r="AZ349" s="168"/>
      <c r="BA349" s="168"/>
      <c r="BB349" s="166"/>
      <c r="BC349" s="166"/>
      <c r="BD349" s="169"/>
      <c r="BE349" s="169"/>
    </row>
    <row r="350" spans="1:61" x14ac:dyDescent="0.2">
      <c r="A350" s="232" t="s">
        <v>34</v>
      </c>
      <c r="B350" s="232" t="s">
        <v>49</v>
      </c>
      <c r="C350" s="389" t="s">
        <v>58</v>
      </c>
      <c r="D350" s="381" t="s">
        <v>332</v>
      </c>
      <c r="E350" s="387">
        <v>5.5</v>
      </c>
      <c r="F350" s="387">
        <v>3.91</v>
      </c>
      <c r="G350" s="296">
        <f t="shared" si="142"/>
        <v>2.2679814385150814</v>
      </c>
      <c r="H350" s="387">
        <v>5</v>
      </c>
      <c r="I350" s="300">
        <f t="shared" si="144"/>
        <v>7.746080000000001</v>
      </c>
      <c r="J350" s="387">
        <v>5.2</v>
      </c>
      <c r="K350" s="383">
        <v>1</v>
      </c>
      <c r="L350" s="383">
        <v>21</v>
      </c>
      <c r="M350" s="383" t="s">
        <v>93</v>
      </c>
      <c r="N350" s="382">
        <v>800</v>
      </c>
      <c r="O350" s="313">
        <f t="shared" si="131"/>
        <v>805.2</v>
      </c>
      <c r="P350" s="313"/>
      <c r="Q350" s="313"/>
      <c r="R350" s="387">
        <v>2</v>
      </c>
      <c r="S350" s="285">
        <v>0.96</v>
      </c>
      <c r="T350" s="388" t="s">
        <v>37</v>
      </c>
      <c r="U350" s="285"/>
      <c r="V350" s="388"/>
      <c r="W350" s="388"/>
      <c r="X350" s="388"/>
      <c r="Y350" s="285">
        <v>0.96</v>
      </c>
      <c r="Z350" s="388" t="s">
        <v>37</v>
      </c>
      <c r="AA350" s="285"/>
      <c r="AB350" s="388"/>
      <c r="AC350" s="388"/>
      <c r="AD350" s="388"/>
      <c r="AE350" s="285"/>
      <c r="AF350" s="239">
        <f t="shared" si="132"/>
        <v>6.6846117276679271</v>
      </c>
      <c r="AG350" s="239">
        <f t="shared" si="133"/>
        <v>6.691090693765636</v>
      </c>
      <c r="AH350" s="240"/>
      <c r="AI350" s="240"/>
      <c r="AK350" s="265">
        <f t="shared" si="134"/>
        <v>1600</v>
      </c>
      <c r="AL350" s="265">
        <f t="shared" si="135"/>
        <v>1605.2</v>
      </c>
      <c r="AM350" s="239">
        <f t="shared" si="136"/>
        <v>7.3777589082278725</v>
      </c>
      <c r="AN350" s="239">
        <f t="shared" si="137"/>
        <v>7.3810036383927615</v>
      </c>
      <c r="AO350" s="240"/>
      <c r="AP350" s="240"/>
      <c r="AR350" s="265">
        <f t="shared" si="138"/>
        <v>2286.1419486014688</v>
      </c>
      <c r="AS350" s="265">
        <f t="shared" si="139"/>
        <v>2293.5719099344237</v>
      </c>
      <c r="AT350" s="239">
        <f t="shared" si="140"/>
        <v>7.7346209371782555</v>
      </c>
      <c r="AU350" s="239">
        <f t="shared" si="141"/>
        <v>7.7378656673431445</v>
      </c>
      <c r="AX350" s="385">
        <f>GEOMEAN(AR350:AR353)</f>
        <v>1382.6307397389812</v>
      </c>
      <c r="AY350" s="385">
        <f>GEOMEAN(AS350:AS353)</f>
        <v>1393.2523546766263</v>
      </c>
      <c r="AZ350" s="385">
        <f>MIN(AX350:AX366)</f>
        <v>754.81953110169798</v>
      </c>
      <c r="BA350" s="385">
        <f>MIN(AY350:AY366)</f>
        <v>772.06802177093073</v>
      </c>
      <c r="BB350" s="239">
        <f>LN(AZ350)</f>
        <v>6.6264786890230258</v>
      </c>
      <c r="BC350" s="239">
        <f>LN(BA350)</f>
        <v>6.6490726572454628</v>
      </c>
      <c r="BD350" s="240"/>
      <c r="BE350" s="240"/>
      <c r="BF350" s="136"/>
      <c r="BG350" s="136"/>
      <c r="BH350" s="136"/>
      <c r="BI350" s="136"/>
    </row>
    <row r="351" spans="1:61" x14ac:dyDescent="0.2">
      <c r="A351" s="232" t="s">
        <v>34</v>
      </c>
      <c r="B351" s="232" t="s">
        <v>49</v>
      </c>
      <c r="C351" s="389" t="s">
        <v>58</v>
      </c>
      <c r="D351" s="381" t="s">
        <v>333</v>
      </c>
      <c r="E351" s="387">
        <v>6.75</v>
      </c>
      <c r="F351" s="387">
        <v>4.7</v>
      </c>
      <c r="G351" s="296">
        <f t="shared" si="142"/>
        <v>2.7262180974477959</v>
      </c>
      <c r="H351" s="387">
        <v>14.5</v>
      </c>
      <c r="I351" s="300">
        <f t="shared" si="144"/>
        <v>16.456150000000001</v>
      </c>
      <c r="J351" s="387">
        <v>15</v>
      </c>
      <c r="K351" s="383">
        <v>1</v>
      </c>
      <c r="L351" s="383">
        <v>21</v>
      </c>
      <c r="M351" s="383" t="s">
        <v>93</v>
      </c>
      <c r="N351" s="382">
        <v>1000</v>
      </c>
      <c r="O351" s="313">
        <f t="shared" si="131"/>
        <v>1015</v>
      </c>
      <c r="P351" s="313"/>
      <c r="Q351" s="313"/>
      <c r="R351" s="387">
        <v>2</v>
      </c>
      <c r="S351" s="285">
        <v>0.96</v>
      </c>
      <c r="T351" s="388" t="s">
        <v>37</v>
      </c>
      <c r="U351" s="285"/>
      <c r="V351" s="388"/>
      <c r="W351" s="388"/>
      <c r="X351" s="388"/>
      <c r="Y351" s="285">
        <v>0.96</v>
      </c>
      <c r="Z351" s="388" t="s">
        <v>37</v>
      </c>
      <c r="AA351" s="285"/>
      <c r="AB351" s="388"/>
      <c r="AC351" s="388"/>
      <c r="AD351" s="388"/>
      <c r="AE351" s="285"/>
      <c r="AF351" s="239">
        <f t="shared" si="132"/>
        <v>6.9077552789821368</v>
      </c>
      <c r="AG351" s="239">
        <f t="shared" si="133"/>
        <v>6.9226438914758877</v>
      </c>
      <c r="AH351" s="240"/>
      <c r="AI351" s="240"/>
      <c r="AK351" s="265">
        <f t="shared" si="134"/>
        <v>2000</v>
      </c>
      <c r="AL351" s="265">
        <f t="shared" si="135"/>
        <v>2015</v>
      </c>
      <c r="AM351" s="239">
        <f t="shared" si="136"/>
        <v>7.6009024595420822</v>
      </c>
      <c r="AN351" s="239">
        <f t="shared" si="137"/>
        <v>7.6083744743807831</v>
      </c>
      <c r="AO351" s="240"/>
      <c r="AP351" s="240"/>
      <c r="AR351" s="265">
        <f t="shared" si="138"/>
        <v>1386.2986382604945</v>
      </c>
      <c r="AS351" s="265">
        <f t="shared" si="139"/>
        <v>1396.6958780474481</v>
      </c>
      <c r="AT351" s="239">
        <f t="shared" si="140"/>
        <v>7.234392624260428</v>
      </c>
      <c r="AU351" s="239">
        <f t="shared" si="141"/>
        <v>7.2418646390991288</v>
      </c>
      <c r="AX351" s="385"/>
      <c r="AY351" s="385"/>
      <c r="AZ351" s="385"/>
      <c r="BA351" s="385"/>
      <c r="BB351" s="239"/>
      <c r="BC351" s="239"/>
      <c r="BD351" s="240"/>
      <c r="BE351" s="240"/>
      <c r="BF351" s="136"/>
      <c r="BG351" s="136"/>
      <c r="BH351" s="136"/>
      <c r="BI351" s="136"/>
    </row>
    <row r="352" spans="1:61" x14ac:dyDescent="0.2">
      <c r="A352" s="232" t="s">
        <v>34</v>
      </c>
      <c r="B352" s="232" t="s">
        <v>49</v>
      </c>
      <c r="C352" s="389" t="s">
        <v>58</v>
      </c>
      <c r="D352" s="381" t="s">
        <v>334</v>
      </c>
      <c r="E352" s="387">
        <v>6.75</v>
      </c>
      <c r="F352" s="387">
        <v>4.7</v>
      </c>
      <c r="G352" s="296">
        <f t="shared" si="142"/>
        <v>2.7262180974477959</v>
      </c>
      <c r="H352" s="387">
        <v>14.5</v>
      </c>
      <c r="I352" s="300">
        <f t="shared" si="144"/>
        <v>16.456150000000001</v>
      </c>
      <c r="J352" s="387">
        <v>15</v>
      </c>
      <c r="K352" s="383">
        <v>1</v>
      </c>
      <c r="L352" s="383">
        <v>21</v>
      </c>
      <c r="M352" s="383" t="s">
        <v>93</v>
      </c>
      <c r="N352" s="382">
        <v>600</v>
      </c>
      <c r="O352" s="313">
        <f t="shared" si="131"/>
        <v>615</v>
      </c>
      <c r="P352" s="313"/>
      <c r="Q352" s="313"/>
      <c r="R352" s="387">
        <v>2</v>
      </c>
      <c r="S352" s="285">
        <v>0.96</v>
      </c>
      <c r="T352" s="388" t="s">
        <v>37</v>
      </c>
      <c r="U352" s="285"/>
      <c r="V352" s="388"/>
      <c r="W352" s="388"/>
      <c r="X352" s="388"/>
      <c r="Y352" s="285">
        <v>0.96</v>
      </c>
      <c r="Z352" s="388" t="s">
        <v>37</v>
      </c>
      <c r="AA352" s="285"/>
      <c r="AB352" s="388"/>
      <c r="AC352" s="388"/>
      <c r="AD352" s="388"/>
      <c r="AE352" s="285"/>
      <c r="AF352" s="239">
        <f t="shared" si="132"/>
        <v>6.3969296552161463</v>
      </c>
      <c r="AG352" s="239">
        <f t="shared" si="133"/>
        <v>6.4216222678065176</v>
      </c>
      <c r="AH352" s="240"/>
      <c r="AI352" s="240"/>
      <c r="AK352" s="265">
        <f t="shared" si="134"/>
        <v>1200</v>
      </c>
      <c r="AL352" s="265">
        <f t="shared" si="135"/>
        <v>1215</v>
      </c>
      <c r="AM352" s="239">
        <f t="shared" si="136"/>
        <v>7.0900768357760917</v>
      </c>
      <c r="AN352" s="239">
        <f t="shared" si="137"/>
        <v>7.1024993557746487</v>
      </c>
      <c r="AO352" s="240"/>
      <c r="AP352" s="240"/>
      <c r="AR352" s="265">
        <f t="shared" si="138"/>
        <v>831.77918295629672</v>
      </c>
      <c r="AS352" s="265">
        <f t="shared" si="139"/>
        <v>842.17642274325044</v>
      </c>
      <c r="AT352" s="239">
        <f t="shared" si="140"/>
        <v>6.7235670004944375</v>
      </c>
      <c r="AU352" s="239">
        <f t="shared" si="141"/>
        <v>6.7359895204929945</v>
      </c>
      <c r="AX352" s="385"/>
      <c r="AY352" s="385"/>
      <c r="AZ352" s="385"/>
      <c r="BA352" s="385"/>
      <c r="BB352" s="239"/>
      <c r="BC352" s="239"/>
      <c r="BD352" s="240"/>
      <c r="BE352" s="240"/>
      <c r="BF352" s="136"/>
      <c r="BG352" s="136"/>
      <c r="BH352" s="136"/>
      <c r="BI352" s="136"/>
    </row>
    <row r="353" spans="1:61" x14ac:dyDescent="0.2">
      <c r="A353" s="232" t="s">
        <v>34</v>
      </c>
      <c r="B353" s="232" t="s">
        <v>49</v>
      </c>
      <c r="C353" s="389" t="s">
        <v>58</v>
      </c>
      <c r="D353" s="381" t="s">
        <v>335</v>
      </c>
      <c r="E353" s="387">
        <v>6.75</v>
      </c>
      <c r="F353" s="387">
        <v>4.7</v>
      </c>
      <c r="G353" s="296">
        <f t="shared" si="142"/>
        <v>2.7262180974477959</v>
      </c>
      <c r="H353" s="387">
        <v>14.5</v>
      </c>
      <c r="I353" s="300">
        <f t="shared" si="144"/>
        <v>16.456150000000001</v>
      </c>
      <c r="J353" s="387">
        <v>15</v>
      </c>
      <c r="K353" s="383">
        <v>1</v>
      </c>
      <c r="L353" s="383">
        <v>21</v>
      </c>
      <c r="M353" s="383" t="s">
        <v>93</v>
      </c>
      <c r="N353" s="382">
        <v>1000</v>
      </c>
      <c r="O353" s="313">
        <f t="shared" si="131"/>
        <v>1015</v>
      </c>
      <c r="P353" s="313"/>
      <c r="Q353" s="313"/>
      <c r="R353" s="387">
        <v>2</v>
      </c>
      <c r="S353" s="285">
        <v>0.96</v>
      </c>
      <c r="T353" s="388" t="s">
        <v>37</v>
      </c>
      <c r="U353" s="285"/>
      <c r="V353" s="388"/>
      <c r="W353" s="388"/>
      <c r="X353" s="388"/>
      <c r="Y353" s="285">
        <v>0.96</v>
      </c>
      <c r="Z353" s="388" t="s">
        <v>37</v>
      </c>
      <c r="AA353" s="285"/>
      <c r="AB353" s="388"/>
      <c r="AC353" s="388"/>
      <c r="AD353" s="388"/>
      <c r="AE353" s="285"/>
      <c r="AF353" s="239">
        <f t="shared" si="132"/>
        <v>6.9077552789821368</v>
      </c>
      <c r="AG353" s="239">
        <f t="shared" si="133"/>
        <v>6.9226438914758877</v>
      </c>
      <c r="AH353" s="240"/>
      <c r="AI353" s="240"/>
      <c r="AK353" s="265">
        <f t="shared" si="134"/>
        <v>2000</v>
      </c>
      <c r="AL353" s="265">
        <f t="shared" si="135"/>
        <v>2015</v>
      </c>
      <c r="AM353" s="239">
        <f t="shared" si="136"/>
        <v>7.6009024595420822</v>
      </c>
      <c r="AN353" s="239">
        <f t="shared" si="137"/>
        <v>7.6083744743807831</v>
      </c>
      <c r="AO353" s="240"/>
      <c r="AP353" s="240"/>
      <c r="AR353" s="265">
        <f t="shared" si="138"/>
        <v>1386.2986382604945</v>
      </c>
      <c r="AS353" s="265">
        <f t="shared" si="139"/>
        <v>1396.6958780474481</v>
      </c>
      <c r="AT353" s="239">
        <f t="shared" si="140"/>
        <v>7.234392624260428</v>
      </c>
      <c r="AU353" s="239">
        <f t="shared" si="141"/>
        <v>7.2418646390991288</v>
      </c>
      <c r="AX353" s="385"/>
      <c r="AY353" s="385"/>
      <c r="AZ353" s="385"/>
      <c r="BA353" s="385"/>
      <c r="BB353" s="239"/>
      <c r="BC353" s="239"/>
      <c r="BD353" s="240"/>
      <c r="BE353" s="240"/>
      <c r="BF353" s="136"/>
      <c r="BG353" s="136"/>
      <c r="BH353" s="136"/>
      <c r="BI353" s="136"/>
    </row>
    <row r="354" spans="1:61" x14ac:dyDescent="0.2">
      <c r="A354" s="232" t="s">
        <v>34</v>
      </c>
      <c r="B354" s="232" t="s">
        <v>49</v>
      </c>
      <c r="C354" s="389" t="s">
        <v>58</v>
      </c>
      <c r="D354" s="381" t="s">
        <v>336</v>
      </c>
      <c r="E354" s="387">
        <v>5.5</v>
      </c>
      <c r="F354" s="387">
        <v>3.91</v>
      </c>
      <c r="G354" s="296">
        <f t="shared" si="142"/>
        <v>2.2679814385150814</v>
      </c>
      <c r="H354" s="387">
        <v>5</v>
      </c>
      <c r="I354" s="300">
        <f t="shared" si="144"/>
        <v>7.746080000000001</v>
      </c>
      <c r="J354" s="387">
        <v>5.2</v>
      </c>
      <c r="K354" s="383">
        <v>1</v>
      </c>
      <c r="L354" s="383">
        <v>21</v>
      </c>
      <c r="M354" s="383" t="s">
        <v>104</v>
      </c>
      <c r="N354" s="382">
        <v>542</v>
      </c>
      <c r="O354" s="313">
        <f t="shared" si="131"/>
        <v>547.20000000000005</v>
      </c>
      <c r="P354" s="313"/>
      <c r="Q354" s="313"/>
      <c r="R354" s="387">
        <v>2</v>
      </c>
      <c r="S354" s="285">
        <v>0.96</v>
      </c>
      <c r="T354" s="388" t="s">
        <v>37</v>
      </c>
      <c r="U354" s="285"/>
      <c r="V354" s="388"/>
      <c r="W354" s="388"/>
      <c r="X354" s="388"/>
      <c r="Y354" s="285">
        <v>0.96</v>
      </c>
      <c r="Z354" s="388" t="s">
        <v>37</v>
      </c>
      <c r="AA354" s="285"/>
      <c r="AB354" s="388"/>
      <c r="AC354" s="388"/>
      <c r="AD354" s="388"/>
      <c r="AE354" s="285"/>
      <c r="AF354" s="239">
        <f t="shared" si="132"/>
        <v>6.2952660014396464</v>
      </c>
      <c r="AG354" s="239">
        <f t="shared" si="133"/>
        <v>6.3048143663083405</v>
      </c>
      <c r="AH354" s="240"/>
      <c r="AI354" s="240"/>
      <c r="AK354" s="265">
        <f t="shared" si="134"/>
        <v>1084</v>
      </c>
      <c r="AL354" s="265">
        <f t="shared" si="135"/>
        <v>1089.2</v>
      </c>
      <c r="AM354" s="239">
        <f t="shared" si="136"/>
        <v>6.9884131819995918</v>
      </c>
      <c r="AN354" s="239">
        <f t="shared" si="137"/>
        <v>6.9931987607996042</v>
      </c>
      <c r="AO354" s="240"/>
      <c r="AP354" s="240"/>
      <c r="AR354" s="265">
        <f t="shared" si="138"/>
        <v>1548.8611701774953</v>
      </c>
      <c r="AS354" s="265">
        <f t="shared" si="139"/>
        <v>1556.29113151045</v>
      </c>
      <c r="AT354" s="239">
        <f t="shared" si="140"/>
        <v>7.3452752109499748</v>
      </c>
      <c r="AU354" s="239">
        <f t="shared" si="141"/>
        <v>7.3500607897499872</v>
      </c>
      <c r="AX354" s="385">
        <f>GEOMEAN(AR354:AR359)</f>
        <v>1499.9875887201622</v>
      </c>
      <c r="AY354" s="385">
        <f>GEOMEAN(AS354:AS359)</f>
        <v>1509.2039081103878</v>
      </c>
      <c r="AZ354" s="385"/>
      <c r="BA354" s="385"/>
      <c r="BB354" s="239"/>
      <c r="BC354" s="239"/>
      <c r="BD354" s="240"/>
      <c r="BE354" s="240"/>
      <c r="BF354" s="136"/>
      <c r="BG354" s="136"/>
      <c r="BH354" s="136"/>
      <c r="BI354" s="136"/>
    </row>
    <row r="355" spans="1:61" x14ac:dyDescent="0.2">
      <c r="A355" s="232" t="s">
        <v>34</v>
      </c>
      <c r="B355" s="232" t="s">
        <v>49</v>
      </c>
      <c r="C355" s="389" t="s">
        <v>58</v>
      </c>
      <c r="D355" s="381" t="s">
        <v>337</v>
      </c>
      <c r="E355" s="387">
        <v>5.5</v>
      </c>
      <c r="F355" s="387">
        <v>3.91</v>
      </c>
      <c r="G355" s="296">
        <f t="shared" si="142"/>
        <v>2.2679814385150814</v>
      </c>
      <c r="H355" s="387">
        <v>5</v>
      </c>
      <c r="I355" s="300">
        <f t="shared" si="144"/>
        <v>7.746080000000001</v>
      </c>
      <c r="J355" s="387">
        <v>5.2</v>
      </c>
      <c r="K355" s="383">
        <v>1</v>
      </c>
      <c r="L355" s="383">
        <v>21</v>
      </c>
      <c r="M355" s="383" t="s">
        <v>104</v>
      </c>
      <c r="N355" s="382">
        <v>845</v>
      </c>
      <c r="O355" s="313">
        <f t="shared" si="131"/>
        <v>850.2</v>
      </c>
      <c r="P355" s="313"/>
      <c r="Q355" s="313"/>
      <c r="R355" s="387">
        <v>2</v>
      </c>
      <c r="S355" s="285">
        <v>0.96</v>
      </c>
      <c r="T355" s="388" t="s">
        <v>37</v>
      </c>
      <c r="U355" s="285"/>
      <c r="V355" s="388"/>
      <c r="W355" s="388"/>
      <c r="X355" s="388"/>
      <c r="Y355" s="285">
        <v>0.96</v>
      </c>
      <c r="Z355" s="388" t="s">
        <v>37</v>
      </c>
      <c r="AA355" s="285"/>
      <c r="AB355" s="388"/>
      <c r="AC355" s="388"/>
      <c r="AD355" s="388"/>
      <c r="AE355" s="285"/>
      <c r="AF355" s="239">
        <f t="shared" si="132"/>
        <v>6.739336627357174</v>
      </c>
      <c r="AG355" s="239">
        <f t="shared" si="133"/>
        <v>6.7454716159246901</v>
      </c>
      <c r="AH355" s="240"/>
      <c r="AI355" s="240"/>
      <c r="AK355" s="265">
        <f t="shared" si="134"/>
        <v>1690</v>
      </c>
      <c r="AL355" s="265">
        <f t="shared" si="135"/>
        <v>1695.2</v>
      </c>
      <c r="AM355" s="239">
        <f t="shared" si="136"/>
        <v>7.4324838079171194</v>
      </c>
      <c r="AN355" s="239">
        <f t="shared" si="137"/>
        <v>7.4355560069540889</v>
      </c>
      <c r="AO355" s="240"/>
      <c r="AP355" s="240"/>
      <c r="AR355" s="265">
        <f t="shared" si="138"/>
        <v>2414.7374332103018</v>
      </c>
      <c r="AS355" s="265">
        <f t="shared" si="139"/>
        <v>2422.1673945432563</v>
      </c>
      <c r="AT355" s="239">
        <f t="shared" si="140"/>
        <v>7.7893458368675024</v>
      </c>
      <c r="AU355" s="239">
        <f t="shared" si="141"/>
        <v>7.7924180359044719</v>
      </c>
      <c r="AX355" s="385"/>
      <c r="AY355" s="385"/>
      <c r="AZ355" s="385"/>
      <c r="BA355" s="385"/>
      <c r="BB355" s="239"/>
      <c r="BC355" s="239"/>
      <c r="BD355" s="240"/>
      <c r="BE355" s="240"/>
      <c r="BF355" s="136"/>
      <c r="BG355" s="136"/>
      <c r="BH355" s="136"/>
      <c r="BI355" s="136"/>
    </row>
    <row r="356" spans="1:61" x14ac:dyDescent="0.2">
      <c r="A356" s="232" t="s">
        <v>34</v>
      </c>
      <c r="B356" s="232" t="s">
        <v>49</v>
      </c>
      <c r="C356" s="389" t="s">
        <v>58</v>
      </c>
      <c r="D356" s="381" t="s">
        <v>338</v>
      </c>
      <c r="E356" s="387">
        <v>5.5</v>
      </c>
      <c r="F356" s="387">
        <v>3.91</v>
      </c>
      <c r="G356" s="296">
        <f t="shared" si="142"/>
        <v>2.2679814385150814</v>
      </c>
      <c r="H356" s="387">
        <v>5</v>
      </c>
      <c r="I356" s="300">
        <f t="shared" si="144"/>
        <v>7.746080000000001</v>
      </c>
      <c r="J356" s="387">
        <v>5.2</v>
      </c>
      <c r="K356" s="383">
        <v>1</v>
      </c>
      <c r="L356" s="383">
        <v>21</v>
      </c>
      <c r="M356" s="383" t="s">
        <v>93</v>
      </c>
      <c r="N356" s="382">
        <v>400</v>
      </c>
      <c r="O356" s="313">
        <f t="shared" si="131"/>
        <v>405.2</v>
      </c>
      <c r="P356" s="313"/>
      <c r="Q356" s="313"/>
      <c r="R356" s="387">
        <v>2</v>
      </c>
      <c r="S356" s="285">
        <v>0.96</v>
      </c>
      <c r="T356" s="388" t="s">
        <v>37</v>
      </c>
      <c r="U356" s="285"/>
      <c r="V356" s="388"/>
      <c r="W356" s="388"/>
      <c r="X356" s="388"/>
      <c r="Y356" s="285">
        <v>0.96</v>
      </c>
      <c r="Z356" s="388" t="s">
        <v>37</v>
      </c>
      <c r="AA356" s="285"/>
      <c r="AB356" s="388"/>
      <c r="AC356" s="388"/>
      <c r="AD356" s="388"/>
      <c r="AE356" s="285"/>
      <c r="AF356" s="239">
        <f t="shared" si="132"/>
        <v>5.9914645471079817</v>
      </c>
      <c r="AG356" s="239">
        <f t="shared" si="133"/>
        <v>6.0043807723745282</v>
      </c>
      <c r="AH356" s="240"/>
      <c r="AI356" s="240"/>
      <c r="AK356" s="265">
        <f t="shared" si="134"/>
        <v>800</v>
      </c>
      <c r="AL356" s="265">
        <f t="shared" si="135"/>
        <v>805.2</v>
      </c>
      <c r="AM356" s="239">
        <f t="shared" si="136"/>
        <v>6.6846117276679271</v>
      </c>
      <c r="AN356" s="239">
        <f t="shared" si="137"/>
        <v>6.691090693765636</v>
      </c>
      <c r="AO356" s="240"/>
      <c r="AP356" s="240"/>
      <c r="AR356" s="265">
        <f t="shared" si="138"/>
        <v>1143.0709743007344</v>
      </c>
      <c r="AS356" s="265">
        <f t="shared" si="139"/>
        <v>1150.5009356336893</v>
      </c>
      <c r="AT356" s="239">
        <f t="shared" si="140"/>
        <v>7.0414737566183101</v>
      </c>
      <c r="AU356" s="239">
        <f t="shared" si="141"/>
        <v>7.047952722716019</v>
      </c>
      <c r="AX356" s="385"/>
      <c r="AY356" s="385"/>
      <c r="AZ356" s="385"/>
      <c r="BA356" s="385"/>
      <c r="BB356" s="239"/>
      <c r="BC356" s="239"/>
      <c r="BD356" s="240"/>
      <c r="BE356" s="240"/>
      <c r="BF356" s="136"/>
      <c r="BG356" s="136"/>
      <c r="BH356" s="136"/>
      <c r="BI356" s="136"/>
    </row>
    <row r="357" spans="1:61" x14ac:dyDescent="0.2">
      <c r="A357" s="232" t="s">
        <v>34</v>
      </c>
      <c r="B357" s="232" t="s">
        <v>49</v>
      </c>
      <c r="C357" s="389" t="s">
        <v>58</v>
      </c>
      <c r="D357" s="381" t="s">
        <v>339</v>
      </c>
      <c r="E357" s="387">
        <v>6.75</v>
      </c>
      <c r="F357" s="387">
        <v>4.7</v>
      </c>
      <c r="G357" s="296">
        <f t="shared" si="142"/>
        <v>2.7262180974477959</v>
      </c>
      <c r="H357" s="387">
        <v>14.5</v>
      </c>
      <c r="I357" s="300">
        <f t="shared" si="144"/>
        <v>16.456150000000001</v>
      </c>
      <c r="J357" s="387">
        <v>15</v>
      </c>
      <c r="K357" s="383">
        <v>1</v>
      </c>
      <c r="L357" s="383">
        <v>21</v>
      </c>
      <c r="M357" s="383" t="s">
        <v>93</v>
      </c>
      <c r="N357" s="382">
        <v>1000</v>
      </c>
      <c r="O357" s="313">
        <f t="shared" si="131"/>
        <v>1015</v>
      </c>
      <c r="P357" s="313"/>
      <c r="Q357" s="313"/>
      <c r="R357" s="387">
        <v>2</v>
      </c>
      <c r="S357" s="285">
        <v>0.96</v>
      </c>
      <c r="T357" s="388" t="s">
        <v>37</v>
      </c>
      <c r="U357" s="285"/>
      <c r="V357" s="388"/>
      <c r="W357" s="388"/>
      <c r="X357" s="388"/>
      <c r="Y357" s="285">
        <v>0.96</v>
      </c>
      <c r="Z357" s="388" t="s">
        <v>37</v>
      </c>
      <c r="AA357" s="285"/>
      <c r="AB357" s="388"/>
      <c r="AC357" s="388"/>
      <c r="AD357" s="388"/>
      <c r="AE357" s="285"/>
      <c r="AF357" s="239">
        <f t="shared" si="132"/>
        <v>6.9077552789821368</v>
      </c>
      <c r="AG357" s="239">
        <f t="shared" si="133"/>
        <v>6.9226438914758877</v>
      </c>
      <c r="AH357" s="240"/>
      <c r="AI357" s="240"/>
      <c r="AK357" s="265">
        <f t="shared" si="134"/>
        <v>2000</v>
      </c>
      <c r="AL357" s="265">
        <f t="shared" si="135"/>
        <v>2015</v>
      </c>
      <c r="AM357" s="239">
        <f t="shared" si="136"/>
        <v>7.6009024595420822</v>
      </c>
      <c r="AN357" s="239">
        <f t="shared" si="137"/>
        <v>7.6083744743807831</v>
      </c>
      <c r="AO357" s="240"/>
      <c r="AP357" s="240"/>
      <c r="AR357" s="265">
        <f t="shared" si="138"/>
        <v>1386.2986382604945</v>
      </c>
      <c r="AS357" s="265">
        <f t="shared" si="139"/>
        <v>1396.6958780474481</v>
      </c>
      <c r="AT357" s="239">
        <f t="shared" si="140"/>
        <v>7.234392624260428</v>
      </c>
      <c r="AU357" s="239">
        <f t="shared" si="141"/>
        <v>7.2418646390991288</v>
      </c>
      <c r="AX357" s="385"/>
      <c r="AY357" s="385"/>
      <c r="AZ357" s="385"/>
      <c r="BA357" s="385"/>
      <c r="BB357" s="239"/>
      <c r="BC357" s="239"/>
      <c r="BD357" s="240"/>
      <c r="BE357" s="240"/>
      <c r="BF357" s="136"/>
      <c r="BG357" s="136"/>
      <c r="BH357" s="136"/>
      <c r="BI357" s="136"/>
    </row>
    <row r="358" spans="1:61" x14ac:dyDescent="0.2">
      <c r="A358" s="232" t="s">
        <v>34</v>
      </c>
      <c r="B358" s="232" t="s">
        <v>49</v>
      </c>
      <c r="C358" s="389" t="s">
        <v>58</v>
      </c>
      <c r="D358" s="381" t="s">
        <v>337</v>
      </c>
      <c r="E358" s="387">
        <v>6.75</v>
      </c>
      <c r="F358" s="387">
        <v>4.7</v>
      </c>
      <c r="G358" s="296">
        <f t="shared" si="142"/>
        <v>2.7262180974477959</v>
      </c>
      <c r="H358" s="387">
        <v>14.5</v>
      </c>
      <c r="I358" s="300">
        <f t="shared" si="144"/>
        <v>16.456150000000001</v>
      </c>
      <c r="J358" s="387">
        <v>15</v>
      </c>
      <c r="K358" s="383">
        <v>1</v>
      </c>
      <c r="L358" s="383">
        <v>21</v>
      </c>
      <c r="M358" s="383" t="s">
        <v>93</v>
      </c>
      <c r="N358" s="382">
        <v>1000</v>
      </c>
      <c r="O358" s="313">
        <f t="shared" ref="O358:O376" si="146">N358+J358</f>
        <v>1015</v>
      </c>
      <c r="P358" s="313"/>
      <c r="Q358" s="313"/>
      <c r="R358" s="387">
        <v>2</v>
      </c>
      <c r="S358" s="285">
        <v>0.96</v>
      </c>
      <c r="T358" s="388" t="s">
        <v>37</v>
      </c>
      <c r="U358" s="285"/>
      <c r="V358" s="388"/>
      <c r="W358" s="388"/>
      <c r="X358" s="388"/>
      <c r="Y358" s="285">
        <v>0.96</v>
      </c>
      <c r="Z358" s="388" t="s">
        <v>37</v>
      </c>
      <c r="AA358" s="285"/>
      <c r="AB358" s="388"/>
      <c r="AC358" s="388"/>
      <c r="AD358" s="388"/>
      <c r="AE358" s="285"/>
      <c r="AF358" s="239">
        <f t="shared" si="132"/>
        <v>6.9077552789821368</v>
      </c>
      <c r="AG358" s="239">
        <f t="shared" si="133"/>
        <v>6.9226438914758877</v>
      </c>
      <c r="AH358" s="240"/>
      <c r="AI358" s="240"/>
      <c r="AK358" s="265">
        <f t="shared" si="134"/>
        <v>2000</v>
      </c>
      <c r="AL358" s="265">
        <f t="shared" si="135"/>
        <v>2015</v>
      </c>
      <c r="AM358" s="239">
        <f t="shared" si="136"/>
        <v>7.6009024595420822</v>
      </c>
      <c r="AN358" s="239">
        <f t="shared" si="137"/>
        <v>7.6083744743807831</v>
      </c>
      <c r="AO358" s="240"/>
      <c r="AP358" s="240"/>
      <c r="AR358" s="265">
        <f t="shared" ref="AR358:AR372" si="147">AK358*(eCEC/$I358)^$S358</f>
        <v>1386.2986382604945</v>
      </c>
      <c r="AS358" s="265">
        <f t="shared" ref="AS358:AS372" si="148">AL358*(eCEC/$I358)^$Y358</f>
        <v>1396.6958780474481</v>
      </c>
      <c r="AT358" s="239">
        <f t="shared" si="140"/>
        <v>7.234392624260428</v>
      </c>
      <c r="AU358" s="239">
        <f t="shared" si="141"/>
        <v>7.2418646390991288</v>
      </c>
      <c r="AX358" s="385"/>
      <c r="AY358" s="385"/>
      <c r="AZ358" s="385"/>
      <c r="BA358" s="385"/>
      <c r="BB358" s="239"/>
      <c r="BC358" s="239"/>
      <c r="BD358" s="240"/>
      <c r="BE358" s="240"/>
      <c r="BF358" s="136"/>
      <c r="BG358" s="136"/>
      <c r="BH358" s="136"/>
      <c r="BI358" s="136"/>
    </row>
    <row r="359" spans="1:61" x14ac:dyDescent="0.2">
      <c r="A359" s="232" t="s">
        <v>34</v>
      </c>
      <c r="B359" s="232" t="s">
        <v>49</v>
      </c>
      <c r="C359" s="389" t="s">
        <v>58</v>
      </c>
      <c r="D359" s="381" t="s">
        <v>336</v>
      </c>
      <c r="E359" s="387">
        <v>6.75</v>
      </c>
      <c r="F359" s="387">
        <v>4.7</v>
      </c>
      <c r="G359" s="296">
        <f t="shared" si="142"/>
        <v>2.7262180974477959</v>
      </c>
      <c r="H359" s="387">
        <v>14.5</v>
      </c>
      <c r="I359" s="300">
        <f t="shared" si="144"/>
        <v>16.456150000000001</v>
      </c>
      <c r="J359" s="387">
        <v>15</v>
      </c>
      <c r="K359" s="383">
        <v>1</v>
      </c>
      <c r="L359" s="383">
        <v>21</v>
      </c>
      <c r="M359" s="383" t="s">
        <v>93</v>
      </c>
      <c r="N359" s="382">
        <v>1000</v>
      </c>
      <c r="O359" s="313">
        <f t="shared" si="146"/>
        <v>1015</v>
      </c>
      <c r="P359" s="313"/>
      <c r="Q359" s="313"/>
      <c r="R359" s="387">
        <v>2</v>
      </c>
      <c r="S359" s="285">
        <v>0.96</v>
      </c>
      <c r="T359" s="388" t="s">
        <v>37</v>
      </c>
      <c r="U359" s="285"/>
      <c r="V359" s="388"/>
      <c r="W359" s="388"/>
      <c r="X359" s="388"/>
      <c r="Y359" s="285">
        <v>0.96</v>
      </c>
      <c r="Z359" s="388" t="s">
        <v>37</v>
      </c>
      <c r="AA359" s="285"/>
      <c r="AB359" s="388"/>
      <c r="AC359" s="388"/>
      <c r="AD359" s="388"/>
      <c r="AE359" s="285"/>
      <c r="AF359" s="239">
        <f t="shared" si="132"/>
        <v>6.9077552789821368</v>
      </c>
      <c r="AG359" s="239">
        <f t="shared" si="133"/>
        <v>6.9226438914758877</v>
      </c>
      <c r="AH359" s="240"/>
      <c r="AI359" s="240"/>
      <c r="AK359" s="265">
        <f t="shared" si="134"/>
        <v>2000</v>
      </c>
      <c r="AL359" s="265">
        <f t="shared" si="135"/>
        <v>2015</v>
      </c>
      <c r="AM359" s="239">
        <f t="shared" si="136"/>
        <v>7.6009024595420822</v>
      </c>
      <c r="AN359" s="239">
        <f t="shared" si="137"/>
        <v>7.6083744743807831</v>
      </c>
      <c r="AO359" s="240"/>
      <c r="AP359" s="240"/>
      <c r="AR359" s="265">
        <f t="shared" si="147"/>
        <v>1386.2986382604945</v>
      </c>
      <c r="AS359" s="265">
        <f t="shared" si="148"/>
        <v>1396.6958780474481</v>
      </c>
      <c r="AT359" s="239">
        <f t="shared" si="140"/>
        <v>7.234392624260428</v>
      </c>
      <c r="AU359" s="239">
        <f t="shared" si="141"/>
        <v>7.2418646390991288</v>
      </c>
      <c r="AX359" s="385"/>
      <c r="AY359" s="385"/>
      <c r="AZ359" s="385"/>
      <c r="BA359" s="385"/>
      <c r="BB359" s="239"/>
      <c r="BC359" s="239"/>
      <c r="BD359" s="240"/>
      <c r="BE359" s="240"/>
      <c r="BF359" s="136"/>
      <c r="BG359" s="136"/>
      <c r="BH359" s="136"/>
      <c r="BI359" s="136"/>
    </row>
    <row r="360" spans="1:61" x14ac:dyDescent="0.2">
      <c r="A360" s="232" t="s">
        <v>34</v>
      </c>
      <c r="B360" s="232" t="s">
        <v>49</v>
      </c>
      <c r="C360" s="389" t="s">
        <v>58</v>
      </c>
      <c r="D360" s="381" t="s">
        <v>328</v>
      </c>
      <c r="E360" s="387">
        <v>6.75</v>
      </c>
      <c r="F360" s="387">
        <v>4.7</v>
      </c>
      <c r="G360" s="296">
        <f t="shared" si="142"/>
        <v>2.7262180974477959</v>
      </c>
      <c r="H360" s="387">
        <v>14.5</v>
      </c>
      <c r="I360" s="300">
        <f t="shared" si="144"/>
        <v>16.456150000000001</v>
      </c>
      <c r="J360" s="387">
        <v>15</v>
      </c>
      <c r="K360" s="383">
        <v>1</v>
      </c>
      <c r="L360" s="383">
        <v>21</v>
      </c>
      <c r="M360" s="383" t="s">
        <v>93</v>
      </c>
      <c r="N360" s="382">
        <v>400</v>
      </c>
      <c r="O360" s="313">
        <f t="shared" si="146"/>
        <v>415</v>
      </c>
      <c r="P360" s="313"/>
      <c r="Q360" s="313"/>
      <c r="R360" s="387">
        <v>2</v>
      </c>
      <c r="S360" s="285">
        <v>0.96</v>
      </c>
      <c r="T360" s="388" t="s">
        <v>37</v>
      </c>
      <c r="U360" s="285"/>
      <c r="V360" s="388"/>
      <c r="W360" s="388"/>
      <c r="X360" s="388"/>
      <c r="Y360" s="285">
        <v>0.96</v>
      </c>
      <c r="Z360" s="388" t="s">
        <v>37</v>
      </c>
      <c r="AA360" s="285"/>
      <c r="AB360" s="388"/>
      <c r="AC360" s="388"/>
      <c r="AD360" s="388"/>
      <c r="AE360" s="285"/>
      <c r="AF360" s="239">
        <f t="shared" si="132"/>
        <v>5.9914645471079817</v>
      </c>
      <c r="AG360" s="239">
        <f t="shared" si="133"/>
        <v>6.0282785202306979</v>
      </c>
      <c r="AH360" s="240"/>
      <c r="AI360" s="240"/>
      <c r="AK360" s="265">
        <f t="shared" si="134"/>
        <v>800</v>
      </c>
      <c r="AL360" s="265">
        <f t="shared" si="135"/>
        <v>815</v>
      </c>
      <c r="AM360" s="239">
        <f t="shared" si="136"/>
        <v>6.6846117276679271</v>
      </c>
      <c r="AN360" s="239">
        <f t="shared" si="137"/>
        <v>6.7031881132408628</v>
      </c>
      <c r="AO360" s="240"/>
      <c r="AP360" s="240"/>
      <c r="AR360" s="265">
        <f t="shared" si="147"/>
        <v>554.51945530419778</v>
      </c>
      <c r="AS360" s="265">
        <f t="shared" si="148"/>
        <v>564.9166950911515</v>
      </c>
      <c r="AT360" s="239">
        <f t="shared" si="140"/>
        <v>6.3181018923862728</v>
      </c>
      <c r="AU360" s="239">
        <f t="shared" si="141"/>
        <v>6.3366782779592077</v>
      </c>
      <c r="AX360" s="385">
        <f>GEOMEAN(AR360:AR366)</f>
        <v>754.81953110169798</v>
      </c>
      <c r="AY360" s="385">
        <f>GEOMEAN(AS360:AS366)</f>
        <v>772.06802177093073</v>
      </c>
      <c r="AZ360" s="385"/>
      <c r="BA360" s="385"/>
      <c r="BB360" s="239"/>
      <c r="BC360" s="239"/>
      <c r="BD360" s="240"/>
      <c r="BE360" s="240"/>
      <c r="BF360" s="136"/>
      <c r="BG360" s="136"/>
      <c r="BH360" s="136"/>
      <c r="BI360" s="136"/>
    </row>
    <row r="361" spans="1:61" x14ac:dyDescent="0.2">
      <c r="A361" s="232" t="s">
        <v>34</v>
      </c>
      <c r="B361" s="232" t="s">
        <v>49</v>
      </c>
      <c r="C361" s="389" t="s">
        <v>58</v>
      </c>
      <c r="D361" s="381" t="s">
        <v>328</v>
      </c>
      <c r="E361" s="387">
        <v>6.7</v>
      </c>
      <c r="F361" s="387">
        <v>4.5</v>
      </c>
      <c r="G361" s="296">
        <f t="shared" si="142"/>
        <v>2.6102088167053363</v>
      </c>
      <c r="H361" s="387">
        <v>13.8</v>
      </c>
      <c r="I361" s="300">
        <f t="shared" si="144"/>
        <v>15.609120000000001</v>
      </c>
      <c r="J361" s="387">
        <v>19</v>
      </c>
      <c r="K361" s="383">
        <v>0</v>
      </c>
      <c r="L361" s="383">
        <v>21</v>
      </c>
      <c r="M361" s="383" t="s">
        <v>104</v>
      </c>
      <c r="N361" s="382">
        <v>122</v>
      </c>
      <c r="O361" s="313">
        <f t="shared" si="146"/>
        <v>141</v>
      </c>
      <c r="P361" s="313"/>
      <c r="Q361" s="313"/>
      <c r="R361" s="387">
        <v>2</v>
      </c>
      <c r="S361" s="285">
        <v>0.96</v>
      </c>
      <c r="T361" s="388" t="s">
        <v>37</v>
      </c>
      <c r="U361" s="285"/>
      <c r="V361" s="388"/>
      <c r="W361" s="388"/>
      <c r="X361" s="388"/>
      <c r="Y361" s="285">
        <v>0.96</v>
      </c>
      <c r="Z361" s="388" t="s">
        <v>37</v>
      </c>
      <c r="AA361" s="285"/>
      <c r="AB361" s="388"/>
      <c r="AC361" s="388"/>
      <c r="AD361" s="388"/>
      <c r="AE361" s="285"/>
      <c r="AF361" s="239">
        <f t="shared" si="132"/>
        <v>4.8040210447332568</v>
      </c>
      <c r="AG361" s="239">
        <f t="shared" si="133"/>
        <v>4.9487598903781684</v>
      </c>
      <c r="AH361" s="240"/>
      <c r="AI361" s="240"/>
      <c r="AK361" s="265">
        <f t="shared" si="134"/>
        <v>244</v>
      </c>
      <c r="AL361" s="265">
        <f t="shared" si="135"/>
        <v>263</v>
      </c>
      <c r="AM361" s="239">
        <f t="shared" si="136"/>
        <v>5.4971682252932021</v>
      </c>
      <c r="AN361" s="239">
        <f t="shared" si="137"/>
        <v>5.5721540321777647</v>
      </c>
      <c r="AO361" s="240"/>
      <c r="AP361" s="240"/>
      <c r="AR361" s="265">
        <f t="shared" si="147"/>
        <v>177.92970247475762</v>
      </c>
      <c r="AS361" s="265">
        <f t="shared" si="148"/>
        <v>191.78488422484119</v>
      </c>
      <c r="AT361" s="239">
        <f t="shared" si="140"/>
        <v>5.1813885423696346</v>
      </c>
      <c r="AU361" s="239">
        <f t="shared" si="141"/>
        <v>5.2563743492541972</v>
      </c>
      <c r="AX361" s="385"/>
      <c r="AY361" s="385"/>
      <c r="AZ361" s="385"/>
      <c r="BA361" s="385"/>
      <c r="BB361" s="239"/>
      <c r="BC361" s="239"/>
      <c r="BD361" s="240"/>
      <c r="BE361" s="240"/>
      <c r="BF361" s="136"/>
      <c r="BG361" s="136"/>
      <c r="BH361" s="136"/>
      <c r="BI361" s="136"/>
    </row>
    <row r="362" spans="1:61" x14ac:dyDescent="0.2">
      <c r="A362" s="232" t="s">
        <v>34</v>
      </c>
      <c r="B362" s="232" t="s">
        <v>49</v>
      </c>
      <c r="C362" s="389" t="s">
        <v>58</v>
      </c>
      <c r="D362" s="381" t="s">
        <v>328</v>
      </c>
      <c r="E362" s="387">
        <v>6.7</v>
      </c>
      <c r="F362" s="387">
        <v>4.5</v>
      </c>
      <c r="G362" s="296">
        <f t="shared" si="142"/>
        <v>2.6102088167053363</v>
      </c>
      <c r="H362" s="387">
        <v>13.8</v>
      </c>
      <c r="I362" s="300">
        <f t="shared" si="144"/>
        <v>15.609120000000001</v>
      </c>
      <c r="J362" s="387">
        <v>19</v>
      </c>
      <c r="K362" s="383">
        <v>1</v>
      </c>
      <c r="L362" s="383">
        <v>21</v>
      </c>
      <c r="M362" s="383" t="s">
        <v>104</v>
      </c>
      <c r="N362" s="382">
        <v>698</v>
      </c>
      <c r="O362" s="313">
        <f t="shared" si="146"/>
        <v>717</v>
      </c>
      <c r="P362" s="313"/>
      <c r="Q362" s="313"/>
      <c r="R362" s="387">
        <v>2</v>
      </c>
      <c r="S362" s="285">
        <v>0.96</v>
      </c>
      <c r="T362" s="388" t="s">
        <v>37</v>
      </c>
      <c r="U362" s="285"/>
      <c r="V362" s="388"/>
      <c r="W362" s="388"/>
      <c r="X362" s="388"/>
      <c r="Y362" s="285">
        <v>0.96</v>
      </c>
      <c r="Z362" s="388" t="s">
        <v>37</v>
      </c>
      <c r="AA362" s="285"/>
      <c r="AB362" s="388"/>
      <c r="AC362" s="388"/>
      <c r="AD362" s="388"/>
      <c r="AE362" s="285"/>
      <c r="AF362" s="239">
        <f t="shared" si="132"/>
        <v>6.5482191027623724</v>
      </c>
      <c r="AG362" s="239">
        <f t="shared" si="133"/>
        <v>6.5750758405996201</v>
      </c>
      <c r="AH362" s="240"/>
      <c r="AI362" s="240"/>
      <c r="AK362" s="265">
        <f t="shared" si="134"/>
        <v>1396</v>
      </c>
      <c r="AL362" s="265">
        <f t="shared" si="135"/>
        <v>1415</v>
      </c>
      <c r="AM362" s="239">
        <f t="shared" si="136"/>
        <v>7.2413662833223178</v>
      </c>
      <c r="AN362" s="239">
        <f t="shared" si="137"/>
        <v>7.2548848100773382</v>
      </c>
      <c r="AO362" s="240"/>
      <c r="AP362" s="240"/>
      <c r="AR362" s="265">
        <f t="shared" si="147"/>
        <v>1017.9912485850886</v>
      </c>
      <c r="AS362" s="265">
        <f t="shared" si="148"/>
        <v>1031.8464303351723</v>
      </c>
      <c r="AT362" s="239">
        <f t="shared" si="140"/>
        <v>6.9255866003987512</v>
      </c>
      <c r="AU362" s="239">
        <f t="shared" si="141"/>
        <v>6.9391051271537707</v>
      </c>
      <c r="AX362" s="385"/>
      <c r="AY362" s="385"/>
      <c r="AZ362" s="385"/>
      <c r="BA362" s="385"/>
      <c r="BB362" s="239"/>
      <c r="BC362" s="239"/>
      <c r="BD362" s="240"/>
      <c r="BE362" s="240"/>
      <c r="BF362" s="136"/>
      <c r="BG362" s="136"/>
      <c r="BH362" s="136"/>
      <c r="BI362" s="136"/>
    </row>
    <row r="363" spans="1:61" x14ac:dyDescent="0.2">
      <c r="A363" s="232" t="s">
        <v>34</v>
      </c>
      <c r="B363" s="232" t="s">
        <v>49</v>
      </c>
      <c r="C363" s="389" t="s">
        <v>58</v>
      </c>
      <c r="D363" s="381" t="s">
        <v>328</v>
      </c>
      <c r="E363" s="387">
        <v>6.7</v>
      </c>
      <c r="F363" s="387">
        <v>4.5</v>
      </c>
      <c r="G363" s="296">
        <f t="shared" si="142"/>
        <v>2.6102088167053363</v>
      </c>
      <c r="H363" s="387">
        <v>13.8</v>
      </c>
      <c r="I363" s="300">
        <f t="shared" si="144"/>
        <v>15.609120000000001</v>
      </c>
      <c r="J363" s="387">
        <v>19</v>
      </c>
      <c r="K363" s="383">
        <v>7</v>
      </c>
      <c r="L363" s="383">
        <v>21</v>
      </c>
      <c r="M363" s="383" t="s">
        <v>104</v>
      </c>
      <c r="N363" s="382">
        <v>776</v>
      </c>
      <c r="O363" s="313">
        <f t="shared" si="146"/>
        <v>795</v>
      </c>
      <c r="P363" s="313"/>
      <c r="Q363" s="313"/>
      <c r="R363" s="387">
        <v>2</v>
      </c>
      <c r="S363" s="285">
        <v>0.96</v>
      </c>
      <c r="T363" s="388" t="s">
        <v>37</v>
      </c>
      <c r="U363" s="285"/>
      <c r="V363" s="388"/>
      <c r="W363" s="388"/>
      <c r="X363" s="388"/>
      <c r="Y363" s="285">
        <v>0.96</v>
      </c>
      <c r="Z363" s="388" t="s">
        <v>37</v>
      </c>
      <c r="AA363" s="285"/>
      <c r="AB363" s="388"/>
      <c r="AC363" s="388"/>
      <c r="AD363" s="388"/>
      <c r="AE363" s="285"/>
      <c r="AF363" s="239">
        <f t="shared" si="132"/>
        <v>6.654152520183219</v>
      </c>
      <c r="AG363" s="239">
        <f t="shared" si="133"/>
        <v>6.678342114654332</v>
      </c>
      <c r="AH363" s="240"/>
      <c r="AI363" s="240"/>
      <c r="AK363" s="265">
        <f t="shared" si="134"/>
        <v>1552</v>
      </c>
      <c r="AL363" s="265">
        <f t="shared" si="135"/>
        <v>1571</v>
      </c>
      <c r="AM363" s="239">
        <f t="shared" si="136"/>
        <v>7.3472997007431644</v>
      </c>
      <c r="AN363" s="239">
        <f t="shared" si="137"/>
        <v>7.3594676382556212</v>
      </c>
      <c r="AO363" s="240"/>
      <c r="AP363" s="240"/>
      <c r="AR363" s="265">
        <f t="shared" si="147"/>
        <v>1131.7495829541958</v>
      </c>
      <c r="AS363" s="265">
        <f t="shared" si="148"/>
        <v>1145.6047647042794</v>
      </c>
      <c r="AT363" s="239">
        <f t="shared" si="140"/>
        <v>7.0315200178195969</v>
      </c>
      <c r="AU363" s="239">
        <f t="shared" si="141"/>
        <v>7.0436879553320537</v>
      </c>
      <c r="AX363" s="385"/>
      <c r="AY363" s="385"/>
      <c r="AZ363" s="385"/>
      <c r="BA363" s="385"/>
      <c r="BB363" s="239"/>
      <c r="BC363" s="239"/>
      <c r="BD363" s="240"/>
      <c r="BE363" s="240"/>
      <c r="BF363" s="136"/>
      <c r="BG363" s="136"/>
      <c r="BH363" s="136"/>
      <c r="BI363" s="136"/>
    </row>
    <row r="364" spans="1:61" x14ac:dyDescent="0.2">
      <c r="A364" s="232" t="s">
        <v>34</v>
      </c>
      <c r="B364" s="232" t="s">
        <v>49</v>
      </c>
      <c r="C364" s="389" t="s">
        <v>58</v>
      </c>
      <c r="D364" s="381" t="s">
        <v>328</v>
      </c>
      <c r="E364" s="387">
        <v>6.7</v>
      </c>
      <c r="F364" s="387">
        <v>4.5</v>
      </c>
      <c r="G364" s="296">
        <f t="shared" si="142"/>
        <v>2.6102088167053363</v>
      </c>
      <c r="H364" s="387">
        <v>13.8</v>
      </c>
      <c r="I364" s="300">
        <f t="shared" si="144"/>
        <v>15.609120000000001</v>
      </c>
      <c r="J364" s="387">
        <v>19</v>
      </c>
      <c r="K364" s="383">
        <v>35</v>
      </c>
      <c r="L364" s="383">
        <v>21</v>
      </c>
      <c r="M364" s="383" t="s">
        <v>104</v>
      </c>
      <c r="N364" s="382">
        <v>888</v>
      </c>
      <c r="O364" s="313">
        <f t="shared" si="146"/>
        <v>907</v>
      </c>
      <c r="P364" s="313"/>
      <c r="Q364" s="313"/>
      <c r="R364" s="387">
        <v>2</v>
      </c>
      <c r="S364" s="285">
        <v>0.96</v>
      </c>
      <c r="T364" s="388" t="s">
        <v>37</v>
      </c>
      <c r="U364" s="285"/>
      <c r="V364" s="388"/>
      <c r="W364" s="388"/>
      <c r="X364" s="388"/>
      <c r="Y364" s="285">
        <v>0.96</v>
      </c>
      <c r="Z364" s="388" t="s">
        <v>37</v>
      </c>
      <c r="AA364" s="285"/>
      <c r="AB364" s="388"/>
      <c r="AC364" s="388"/>
      <c r="AD364" s="388"/>
      <c r="AE364" s="285"/>
      <c r="AF364" s="239">
        <f t="shared" si="132"/>
        <v>6.7889717429921701</v>
      </c>
      <c r="AG364" s="239">
        <f t="shared" si="133"/>
        <v>6.8101424501151362</v>
      </c>
      <c r="AH364" s="240"/>
      <c r="AI364" s="240"/>
      <c r="AK364" s="265">
        <f t="shared" si="134"/>
        <v>1776</v>
      </c>
      <c r="AL364" s="265">
        <f t="shared" si="135"/>
        <v>1795</v>
      </c>
      <c r="AM364" s="239">
        <f t="shared" si="136"/>
        <v>7.4821189235521155</v>
      </c>
      <c r="AN364" s="239">
        <f t="shared" si="137"/>
        <v>7.4927603009223791</v>
      </c>
      <c r="AO364" s="240"/>
      <c r="AP364" s="240"/>
      <c r="AR364" s="265">
        <f t="shared" si="147"/>
        <v>1295.0948835867603</v>
      </c>
      <c r="AS364" s="265">
        <f t="shared" si="148"/>
        <v>1308.9500653368439</v>
      </c>
      <c r="AT364" s="239">
        <f t="shared" si="140"/>
        <v>7.166339240628548</v>
      </c>
      <c r="AU364" s="239">
        <f t="shared" si="141"/>
        <v>7.1769806179988125</v>
      </c>
      <c r="AX364" s="385"/>
      <c r="AY364" s="385"/>
      <c r="AZ364" s="385"/>
      <c r="BA364" s="385"/>
      <c r="BB364" s="239"/>
      <c r="BC364" s="239"/>
      <c r="BD364" s="240"/>
      <c r="BE364" s="240"/>
      <c r="BF364" s="136"/>
      <c r="BG364" s="136"/>
      <c r="BH364" s="136"/>
      <c r="BI364" s="136"/>
    </row>
    <row r="365" spans="1:61" x14ac:dyDescent="0.2">
      <c r="A365" s="232" t="s">
        <v>34</v>
      </c>
      <c r="B365" s="232" t="s">
        <v>49</v>
      </c>
      <c r="C365" s="389" t="s">
        <v>58</v>
      </c>
      <c r="D365" s="381" t="s">
        <v>328</v>
      </c>
      <c r="E365" s="387">
        <v>6.7</v>
      </c>
      <c r="F365" s="387">
        <v>4.5</v>
      </c>
      <c r="G365" s="296">
        <f t="shared" si="142"/>
        <v>2.6102088167053363</v>
      </c>
      <c r="H365" s="387">
        <v>13.8</v>
      </c>
      <c r="I365" s="300">
        <f t="shared" si="144"/>
        <v>15.609120000000001</v>
      </c>
      <c r="J365" s="387">
        <v>19</v>
      </c>
      <c r="K365" s="383">
        <v>84</v>
      </c>
      <c r="L365" s="383">
        <v>21</v>
      </c>
      <c r="M365" s="383" t="s">
        <v>104</v>
      </c>
      <c r="N365" s="382">
        <v>648</v>
      </c>
      <c r="O365" s="313">
        <f t="shared" si="146"/>
        <v>667</v>
      </c>
      <c r="P365" s="313"/>
      <c r="Q365" s="313"/>
      <c r="R365" s="387">
        <v>2</v>
      </c>
      <c r="S365" s="285">
        <v>0.96</v>
      </c>
      <c r="T365" s="388" t="s">
        <v>37</v>
      </c>
      <c r="U365" s="285"/>
      <c r="V365" s="388"/>
      <c r="W365" s="388"/>
      <c r="X365" s="388"/>
      <c r="Y365" s="285">
        <v>0.96</v>
      </c>
      <c r="Z365" s="388" t="s">
        <v>37</v>
      </c>
      <c r="AA365" s="285"/>
      <c r="AB365" s="388"/>
      <c r="AC365" s="388"/>
      <c r="AD365" s="388"/>
      <c r="AE365" s="285"/>
      <c r="AF365" s="239">
        <f t="shared" si="132"/>
        <v>6.4738906963522744</v>
      </c>
      <c r="AG365" s="239">
        <f t="shared" si="133"/>
        <v>6.5027900459156234</v>
      </c>
      <c r="AH365" s="240"/>
      <c r="AI365" s="240"/>
      <c r="AK365" s="265">
        <f t="shared" si="134"/>
        <v>1296</v>
      </c>
      <c r="AL365" s="265">
        <f t="shared" si="135"/>
        <v>1315</v>
      </c>
      <c r="AM365" s="239">
        <f t="shared" si="136"/>
        <v>7.1670378769122198</v>
      </c>
      <c r="AN365" s="239">
        <f t="shared" si="137"/>
        <v>7.1815919446118652</v>
      </c>
      <c r="AO365" s="240"/>
      <c r="AP365" s="240"/>
      <c r="AR365" s="265">
        <f t="shared" si="147"/>
        <v>945.06923937412239</v>
      </c>
      <c r="AS365" s="265">
        <f t="shared" si="148"/>
        <v>958.92442112420599</v>
      </c>
      <c r="AT365" s="239">
        <f t="shared" si="140"/>
        <v>6.8512581939886532</v>
      </c>
      <c r="AU365" s="239">
        <f t="shared" si="141"/>
        <v>6.8658122616882977</v>
      </c>
      <c r="AX365" s="385"/>
      <c r="AY365" s="385"/>
      <c r="AZ365" s="385"/>
      <c r="BA365" s="385"/>
      <c r="BB365" s="239"/>
      <c r="BC365" s="239"/>
      <c r="BD365" s="240"/>
      <c r="BE365" s="240"/>
      <c r="BF365" s="136"/>
      <c r="BG365" s="136"/>
      <c r="BH365" s="136"/>
      <c r="BI365" s="136"/>
    </row>
    <row r="366" spans="1:61" s="165" customFormat="1" x14ac:dyDescent="0.2">
      <c r="A366" s="156" t="s">
        <v>34</v>
      </c>
      <c r="B366" s="156" t="s">
        <v>49</v>
      </c>
      <c r="C366" s="390" t="s">
        <v>58</v>
      </c>
      <c r="D366" s="391" t="s">
        <v>328</v>
      </c>
      <c r="E366" s="361">
        <v>6.7</v>
      </c>
      <c r="F366" s="361">
        <v>4.5</v>
      </c>
      <c r="G366" s="330">
        <f t="shared" si="142"/>
        <v>2.6102088167053363</v>
      </c>
      <c r="H366" s="361">
        <v>13.8</v>
      </c>
      <c r="I366" s="393">
        <f t="shared" si="144"/>
        <v>15.609120000000001</v>
      </c>
      <c r="J366" s="361">
        <v>19</v>
      </c>
      <c r="K366" s="394" t="s">
        <v>340</v>
      </c>
      <c r="L366" s="394">
        <v>21</v>
      </c>
      <c r="M366" s="383" t="s">
        <v>104</v>
      </c>
      <c r="N366" s="392">
        <v>688</v>
      </c>
      <c r="O366" s="317">
        <f t="shared" si="146"/>
        <v>707</v>
      </c>
      <c r="P366" s="317"/>
      <c r="Q366" s="317"/>
      <c r="R366" s="361">
        <v>2</v>
      </c>
      <c r="S366" s="163">
        <v>0.96</v>
      </c>
      <c r="T366" s="162" t="s">
        <v>37</v>
      </c>
      <c r="U366" s="163"/>
      <c r="V366" s="162"/>
      <c r="W366" s="162"/>
      <c r="X366" s="162"/>
      <c r="Y366" s="163">
        <v>0.96</v>
      </c>
      <c r="Z366" s="162" t="s">
        <v>37</v>
      </c>
      <c r="AA366" s="163"/>
      <c r="AB366" s="162"/>
      <c r="AC366" s="162"/>
      <c r="AD366" s="162"/>
      <c r="AE366" s="163"/>
      <c r="AF366" s="166">
        <f t="shared" si="132"/>
        <v>6.5337888379333435</v>
      </c>
      <c r="AG366" s="166">
        <f t="shared" si="133"/>
        <v>6.5610306658965731</v>
      </c>
      <c r="AH366" s="169"/>
      <c r="AI366" s="169"/>
      <c r="AK366" s="168">
        <f t="shared" si="134"/>
        <v>1376</v>
      </c>
      <c r="AL366" s="168">
        <f t="shared" si="135"/>
        <v>1395</v>
      </c>
      <c r="AM366" s="166">
        <f t="shared" si="136"/>
        <v>7.2269360184932889</v>
      </c>
      <c r="AN366" s="166">
        <f t="shared" si="137"/>
        <v>7.2406496942554659</v>
      </c>
      <c r="AO366" s="169"/>
      <c r="AP366" s="169"/>
      <c r="AR366" s="168">
        <f t="shared" si="147"/>
        <v>1003.4068467428954</v>
      </c>
      <c r="AS366" s="168">
        <f t="shared" si="148"/>
        <v>1017.262028492979</v>
      </c>
      <c r="AT366" s="166">
        <f t="shared" si="140"/>
        <v>6.9111563355697223</v>
      </c>
      <c r="AU366" s="166">
        <f t="shared" si="141"/>
        <v>6.9248700113318993</v>
      </c>
      <c r="AV366" s="167"/>
      <c r="AW366" s="167"/>
      <c r="AX366" s="168"/>
      <c r="AY366" s="168"/>
      <c r="AZ366" s="168"/>
      <c r="BA366" s="168"/>
      <c r="BB366" s="166"/>
      <c r="BC366" s="166"/>
      <c r="BD366" s="169"/>
      <c r="BE366" s="169"/>
    </row>
    <row r="367" spans="1:61" s="165" customFormat="1" x14ac:dyDescent="0.2">
      <c r="A367" s="156" t="s">
        <v>34</v>
      </c>
      <c r="B367" s="156" t="s">
        <v>49</v>
      </c>
      <c r="C367" s="390" t="s">
        <v>59</v>
      </c>
      <c r="D367" s="431" t="s">
        <v>328</v>
      </c>
      <c r="E367" s="361">
        <v>5.8</v>
      </c>
      <c r="F367" s="361">
        <v>3.9</v>
      </c>
      <c r="G367" s="330">
        <f t="shared" si="142"/>
        <v>2.2621809744779582</v>
      </c>
      <c r="H367" s="361">
        <v>5.0999999999999996</v>
      </c>
      <c r="I367" s="393">
        <f t="shared" si="144"/>
        <v>8.2024439999999998</v>
      </c>
      <c r="J367" s="361">
        <v>5.2</v>
      </c>
      <c r="K367" s="434">
        <v>0</v>
      </c>
      <c r="L367" s="434">
        <v>21</v>
      </c>
      <c r="M367" s="434" t="s">
        <v>104</v>
      </c>
      <c r="N367" s="392">
        <v>174</v>
      </c>
      <c r="O367" s="317">
        <f t="shared" si="146"/>
        <v>179.2</v>
      </c>
      <c r="P367" s="317"/>
      <c r="Q367" s="317"/>
      <c r="R367" s="361">
        <v>2</v>
      </c>
      <c r="S367" s="163">
        <v>0.96</v>
      </c>
      <c r="T367" s="162" t="s">
        <v>37</v>
      </c>
      <c r="U367" s="163"/>
      <c r="V367" s="162"/>
      <c r="W367" s="162"/>
      <c r="X367" s="162"/>
      <c r="Y367" s="163">
        <v>0.96</v>
      </c>
      <c r="Z367" s="162" t="s">
        <v>37</v>
      </c>
      <c r="AA367" s="163"/>
      <c r="AB367" s="162"/>
      <c r="AC367" s="162"/>
      <c r="AD367" s="162"/>
      <c r="AE367" s="163"/>
      <c r="AF367" s="166">
        <f t="shared" si="132"/>
        <v>5.1590552992145291</v>
      </c>
      <c r="AG367" s="166">
        <f t="shared" si="133"/>
        <v>5.1885025005408298</v>
      </c>
      <c r="AH367" s="169"/>
      <c r="AI367" s="169"/>
      <c r="AK367" s="168">
        <f t="shared" si="134"/>
        <v>348</v>
      </c>
      <c r="AL367" s="168">
        <f t="shared" si="135"/>
        <v>353.2</v>
      </c>
      <c r="AM367" s="166">
        <f t="shared" si="136"/>
        <v>5.8522024797744745</v>
      </c>
      <c r="AN367" s="166">
        <f t="shared" si="137"/>
        <v>5.8670344687298046</v>
      </c>
      <c r="AO367" s="169"/>
      <c r="AP367" s="169"/>
      <c r="AR367" s="168">
        <f t="shared" si="147"/>
        <v>470.6473413182531</v>
      </c>
      <c r="AS367" s="168">
        <f t="shared" si="148"/>
        <v>477.68000274024996</v>
      </c>
      <c r="AT367" s="166">
        <f t="shared" si="140"/>
        <v>6.1541090690199871</v>
      </c>
      <c r="AU367" s="166">
        <f t="shared" si="141"/>
        <v>6.1689410579753181</v>
      </c>
      <c r="AV367" s="167"/>
      <c r="AW367" s="167"/>
      <c r="AX367" s="168">
        <f>GEOMEAN(AR367)</f>
        <v>470.6473413182531</v>
      </c>
      <c r="AY367" s="168">
        <f>GEOMEAN(AS367)</f>
        <v>477.68000274024996</v>
      </c>
      <c r="AZ367" s="168">
        <f>MIN(AX367)</f>
        <v>470.6473413182531</v>
      </c>
      <c r="BA367" s="168">
        <f>MIN(AY367)</f>
        <v>477.68000274024996</v>
      </c>
      <c r="BB367" s="166">
        <f>LN(AZ367)</f>
        <v>6.1541090690199871</v>
      </c>
      <c r="BC367" s="166">
        <f>LN(BA367)</f>
        <v>6.1689410579753181</v>
      </c>
      <c r="BD367" s="169"/>
      <c r="BE367" s="169"/>
    </row>
    <row r="368" spans="1:61" x14ac:dyDescent="0.2">
      <c r="A368" s="232" t="s">
        <v>34</v>
      </c>
      <c r="B368" s="232" t="s">
        <v>49</v>
      </c>
      <c r="C368" s="389" t="s">
        <v>60</v>
      </c>
      <c r="D368" s="381" t="s">
        <v>51</v>
      </c>
      <c r="E368" s="387">
        <v>5.8</v>
      </c>
      <c r="F368" s="387">
        <v>3.9</v>
      </c>
      <c r="G368" s="296">
        <f t="shared" si="142"/>
        <v>2.2621809744779582</v>
      </c>
      <c r="H368" s="387">
        <v>5.0999999999999996</v>
      </c>
      <c r="I368" s="300">
        <f t="shared" si="144"/>
        <v>8.2024439999999998</v>
      </c>
      <c r="J368" s="387">
        <v>5.2</v>
      </c>
      <c r="K368" s="383">
        <v>0</v>
      </c>
      <c r="L368" s="383">
        <v>56</v>
      </c>
      <c r="M368" s="383" t="s">
        <v>93</v>
      </c>
      <c r="N368" s="382">
        <v>50</v>
      </c>
      <c r="O368" s="313">
        <f t="shared" si="146"/>
        <v>55.2</v>
      </c>
      <c r="P368" s="313"/>
      <c r="Q368" s="313"/>
      <c r="R368" s="387">
        <v>2</v>
      </c>
      <c r="S368" s="285">
        <v>0.96</v>
      </c>
      <c r="T368" s="388" t="s">
        <v>37</v>
      </c>
      <c r="U368" s="285"/>
      <c r="V368" s="388"/>
      <c r="W368" s="388"/>
      <c r="X368" s="388"/>
      <c r="Y368" s="285">
        <v>0.96</v>
      </c>
      <c r="Z368" s="388" t="s">
        <v>37</v>
      </c>
      <c r="AA368" s="285"/>
      <c r="AB368" s="388"/>
      <c r="AC368" s="388"/>
      <c r="AD368" s="388"/>
      <c r="AE368" s="285"/>
      <c r="AF368" s="239">
        <f t="shared" si="132"/>
        <v>3.912023005428146</v>
      </c>
      <c r="AG368" s="239">
        <f t="shared" si="133"/>
        <v>4.01096295328305</v>
      </c>
      <c r="AH368" s="240"/>
      <c r="AI368" s="240"/>
      <c r="AK368" s="265">
        <f t="shared" si="134"/>
        <v>100</v>
      </c>
      <c r="AL368" s="265">
        <f t="shared" si="135"/>
        <v>105.2</v>
      </c>
      <c r="AM368" s="239">
        <f t="shared" si="136"/>
        <v>4.6051701859880918</v>
      </c>
      <c r="AN368" s="239">
        <f t="shared" si="137"/>
        <v>4.6558633003036096</v>
      </c>
      <c r="AO368" s="240"/>
      <c r="AP368" s="240"/>
      <c r="AR368" s="265">
        <f t="shared" si="147"/>
        <v>135.24348888455549</v>
      </c>
      <c r="AS368" s="265">
        <f t="shared" si="148"/>
        <v>142.27615030655238</v>
      </c>
      <c r="AT368" s="239">
        <f t="shared" si="140"/>
        <v>4.9070767752336044</v>
      </c>
      <c r="AU368" s="239">
        <f t="shared" si="141"/>
        <v>4.9577698895491222</v>
      </c>
      <c r="AX368" s="385">
        <f>GEOMEAN(AR368:AR369)</f>
        <v>292.302760597038</v>
      </c>
      <c r="AY368" s="385">
        <f>GEOMEAN(AS368:AS369)</f>
        <v>300.40533646458249</v>
      </c>
      <c r="AZ368" s="385">
        <f>MIN(AX368:AX369)</f>
        <v>292.302760597038</v>
      </c>
      <c r="BA368" s="385">
        <f>MIN(AY368:AY369)</f>
        <v>300.40533646458249</v>
      </c>
      <c r="BB368" s="239">
        <f>LN(AZ368)</f>
        <v>5.6777901164689002</v>
      </c>
      <c r="BC368" s="239">
        <f>LN(BA368)</f>
        <v>5.7051326842614287</v>
      </c>
      <c r="BD368" s="240"/>
      <c r="BE368" s="240"/>
      <c r="BF368" s="136"/>
      <c r="BG368" s="136"/>
      <c r="BH368" s="136"/>
      <c r="BI368" s="136"/>
    </row>
    <row r="369" spans="1:61" s="165" customFormat="1" x14ac:dyDescent="0.2">
      <c r="A369" s="156" t="s">
        <v>34</v>
      </c>
      <c r="B369" s="156" t="s">
        <v>49</v>
      </c>
      <c r="C369" s="390" t="s">
        <v>60</v>
      </c>
      <c r="D369" s="391" t="s">
        <v>51</v>
      </c>
      <c r="E369" s="361">
        <v>6</v>
      </c>
      <c r="F369" s="361">
        <v>10</v>
      </c>
      <c r="G369" s="330">
        <f t="shared" si="142"/>
        <v>5.8004640371229703</v>
      </c>
      <c r="H369" s="361">
        <v>20</v>
      </c>
      <c r="I369" s="393">
        <f t="shared" ref="I369" si="149">(30+4.4*E369)*(0/100)+(-34.66+29.72*E369)*(F369/100)</f>
        <v>14.366</v>
      </c>
      <c r="J369" s="361">
        <v>3.2</v>
      </c>
      <c r="K369" s="394">
        <v>0</v>
      </c>
      <c r="L369" s="394">
        <v>56</v>
      </c>
      <c r="M369" s="394" t="s">
        <v>93</v>
      </c>
      <c r="N369" s="392">
        <v>400</v>
      </c>
      <c r="O369" s="317">
        <f t="shared" si="146"/>
        <v>403.2</v>
      </c>
      <c r="P369" s="317"/>
      <c r="Q369" s="317"/>
      <c r="R369" s="361">
        <v>2</v>
      </c>
      <c r="S369" s="163">
        <v>0.96</v>
      </c>
      <c r="T369" s="162" t="s">
        <v>37</v>
      </c>
      <c r="U369" s="163"/>
      <c r="V369" s="162"/>
      <c r="W369" s="162"/>
      <c r="X369" s="162"/>
      <c r="Y369" s="163">
        <v>0.96</v>
      </c>
      <c r="Z369" s="162" t="s">
        <v>37</v>
      </c>
      <c r="AA369" s="163"/>
      <c r="AB369" s="162"/>
      <c r="AC369" s="162"/>
      <c r="AD369" s="162"/>
      <c r="AE369" s="163"/>
      <c r="AF369" s="166">
        <f t="shared" si="132"/>
        <v>5.9914645471079817</v>
      </c>
      <c r="AG369" s="166">
        <f t="shared" si="133"/>
        <v>5.9994327167571591</v>
      </c>
      <c r="AH369" s="169"/>
      <c r="AI369" s="169"/>
      <c r="AK369" s="168">
        <f t="shared" si="134"/>
        <v>800</v>
      </c>
      <c r="AL369" s="168">
        <f t="shared" si="135"/>
        <v>803.2</v>
      </c>
      <c r="AM369" s="166">
        <f t="shared" si="136"/>
        <v>6.6846117276679271</v>
      </c>
      <c r="AN369" s="166">
        <f t="shared" si="137"/>
        <v>6.6886037489374646</v>
      </c>
      <c r="AO369" s="169"/>
      <c r="AP369" s="169"/>
      <c r="AR369" s="168">
        <f t="shared" si="147"/>
        <v>631.75613522941626</v>
      </c>
      <c r="AS369" s="168">
        <f t="shared" si="148"/>
        <v>634.2831597703339</v>
      </c>
      <c r="AT369" s="166">
        <f t="shared" si="140"/>
        <v>6.4485034577041969</v>
      </c>
      <c r="AU369" s="166">
        <f t="shared" si="141"/>
        <v>6.4524954789737343</v>
      </c>
      <c r="AV369" s="167"/>
      <c r="AW369" s="167"/>
      <c r="AX369" s="168"/>
      <c r="AY369" s="168"/>
      <c r="AZ369" s="168"/>
      <c r="BA369" s="168"/>
      <c r="BB369" s="166"/>
      <c r="BC369" s="166"/>
      <c r="BD369" s="169"/>
      <c r="BE369" s="169"/>
    </row>
    <row r="370" spans="1:61" x14ac:dyDescent="0.2">
      <c r="A370" s="232" t="s">
        <v>34</v>
      </c>
      <c r="B370" s="232" t="s">
        <v>49</v>
      </c>
      <c r="C370" s="389" t="s">
        <v>61</v>
      </c>
      <c r="D370" s="381" t="s">
        <v>328</v>
      </c>
      <c r="E370" s="387">
        <v>5.8</v>
      </c>
      <c r="F370" s="387">
        <v>3.9</v>
      </c>
      <c r="G370" s="296">
        <f t="shared" si="142"/>
        <v>2.2621809744779582</v>
      </c>
      <c r="H370" s="387">
        <v>5.0999999999999996</v>
      </c>
      <c r="I370" s="300">
        <f t="shared" si="144"/>
        <v>8.2024439999999998</v>
      </c>
      <c r="J370" s="387">
        <v>5.2</v>
      </c>
      <c r="K370" s="383">
        <v>0</v>
      </c>
      <c r="L370" s="383">
        <v>70</v>
      </c>
      <c r="M370" s="383" t="s">
        <v>93</v>
      </c>
      <c r="N370" s="382">
        <v>63</v>
      </c>
      <c r="O370" s="313">
        <f t="shared" si="146"/>
        <v>68.2</v>
      </c>
      <c r="P370" s="313"/>
      <c r="Q370" s="313"/>
      <c r="R370" s="387">
        <v>2</v>
      </c>
      <c r="S370" s="285">
        <v>0.96</v>
      </c>
      <c r="T370" s="388" t="s">
        <v>37</v>
      </c>
      <c r="U370" s="285"/>
      <c r="V370" s="388"/>
      <c r="W370" s="388"/>
      <c r="X370" s="388"/>
      <c r="Y370" s="285">
        <v>0.96</v>
      </c>
      <c r="Z370" s="388" t="s">
        <v>37</v>
      </c>
      <c r="AA370" s="285"/>
      <c r="AB370" s="388"/>
      <c r="AC370" s="388"/>
      <c r="AD370" s="388"/>
      <c r="AE370" s="285"/>
      <c r="AF370" s="239">
        <f t="shared" si="132"/>
        <v>4.1431347263915326</v>
      </c>
      <c r="AG370" s="239">
        <f t="shared" si="133"/>
        <v>4.2224445648494164</v>
      </c>
      <c r="AH370" s="240"/>
      <c r="AI370" s="240"/>
      <c r="AK370" s="265">
        <f t="shared" si="134"/>
        <v>126</v>
      </c>
      <c r="AL370" s="265">
        <f t="shared" si="135"/>
        <v>131.19999999999999</v>
      </c>
      <c r="AM370" s="239">
        <f t="shared" si="136"/>
        <v>4.836281906951478</v>
      </c>
      <c r="AN370" s="239">
        <f t="shared" si="137"/>
        <v>4.8767228765099881</v>
      </c>
      <c r="AO370" s="240"/>
      <c r="AP370" s="240"/>
      <c r="AR370" s="265">
        <f t="shared" si="147"/>
        <v>170.40679599453992</v>
      </c>
      <c r="AS370" s="265">
        <f t="shared" si="148"/>
        <v>177.43945741653678</v>
      </c>
      <c r="AT370" s="239">
        <f t="shared" si="140"/>
        <v>5.1381884961969906</v>
      </c>
      <c r="AU370" s="239">
        <f t="shared" si="141"/>
        <v>5.1786294657555016</v>
      </c>
      <c r="AX370" s="385">
        <f>GEOMEAN(AR370:AR372)</f>
        <v>170.40679599453992</v>
      </c>
      <c r="AY370" s="385">
        <f>GEOMEAN(AS370:AS372)</f>
        <v>177.43945741653678</v>
      </c>
      <c r="AZ370" s="385">
        <f>MIN(AX370:AX372)</f>
        <v>170.40679599453992</v>
      </c>
      <c r="BA370" s="385">
        <f>MIN(AY370:AY372)</f>
        <v>177.43945741653678</v>
      </c>
      <c r="BB370" s="239">
        <f>LN(AZ370)</f>
        <v>5.1381884961969906</v>
      </c>
      <c r="BC370" s="239">
        <f>LN(BA370)</f>
        <v>5.1786294657555016</v>
      </c>
      <c r="BD370" s="240"/>
      <c r="BE370" s="240"/>
      <c r="BF370" s="136"/>
      <c r="BG370" s="136"/>
      <c r="BH370" s="136"/>
      <c r="BI370" s="136"/>
    </row>
    <row r="371" spans="1:61" s="238" customFormat="1" x14ac:dyDescent="0.2">
      <c r="A371" s="275" t="s">
        <v>34</v>
      </c>
      <c r="B371" s="275" t="s">
        <v>49</v>
      </c>
      <c r="C371" s="389" t="s">
        <v>61</v>
      </c>
      <c r="D371" s="381" t="s">
        <v>328</v>
      </c>
      <c r="E371" s="387">
        <v>5.8</v>
      </c>
      <c r="F371" s="387">
        <v>3.9</v>
      </c>
      <c r="G371" s="296">
        <f t="shared" si="142"/>
        <v>2.2621809744779582</v>
      </c>
      <c r="H371" s="387">
        <v>5.0999999999999996</v>
      </c>
      <c r="I371" s="300">
        <f t="shared" si="144"/>
        <v>8.2024439999999998</v>
      </c>
      <c r="J371" s="387">
        <v>5.2</v>
      </c>
      <c r="K371" s="383">
        <v>0</v>
      </c>
      <c r="L371" s="383">
        <v>70</v>
      </c>
      <c r="M371" s="383" t="s">
        <v>93</v>
      </c>
      <c r="N371" s="382">
        <v>63</v>
      </c>
      <c r="O371" s="313">
        <f t="shared" si="146"/>
        <v>68.2</v>
      </c>
      <c r="P371" s="313"/>
      <c r="Q371" s="313"/>
      <c r="R371" s="387">
        <v>2</v>
      </c>
      <c r="S371" s="285">
        <v>0.96</v>
      </c>
      <c r="T371" s="388" t="s">
        <v>37</v>
      </c>
      <c r="U371" s="285"/>
      <c r="V371" s="388"/>
      <c r="W371" s="388"/>
      <c r="X371" s="388"/>
      <c r="Y371" s="285">
        <v>0.96</v>
      </c>
      <c r="Z371" s="388" t="s">
        <v>37</v>
      </c>
      <c r="AA371" s="285"/>
      <c r="AB371" s="388"/>
      <c r="AC371" s="388"/>
      <c r="AD371" s="388"/>
      <c r="AE371" s="285"/>
      <c r="AF371" s="239">
        <f t="shared" si="132"/>
        <v>4.1431347263915326</v>
      </c>
      <c r="AG371" s="239">
        <f t="shared" si="133"/>
        <v>4.2224445648494164</v>
      </c>
      <c r="AH371" s="240"/>
      <c r="AI371" s="240"/>
      <c r="AK371" s="265">
        <f t="shared" si="134"/>
        <v>126</v>
      </c>
      <c r="AL371" s="265">
        <f t="shared" si="135"/>
        <v>131.19999999999999</v>
      </c>
      <c r="AM371" s="239">
        <f t="shared" si="136"/>
        <v>4.836281906951478</v>
      </c>
      <c r="AN371" s="239">
        <f t="shared" si="137"/>
        <v>4.8767228765099881</v>
      </c>
      <c r="AO371" s="240"/>
      <c r="AP371" s="240"/>
      <c r="AR371" s="265">
        <f t="shared" si="147"/>
        <v>170.40679599453992</v>
      </c>
      <c r="AS371" s="265">
        <f t="shared" si="148"/>
        <v>177.43945741653678</v>
      </c>
      <c r="AT371" s="239">
        <f t="shared" si="140"/>
        <v>5.1381884961969906</v>
      </c>
      <c r="AU371" s="239">
        <f t="shared" si="141"/>
        <v>5.1786294657555016</v>
      </c>
      <c r="AV371" s="125"/>
      <c r="AW371" s="125"/>
      <c r="AX371" s="265"/>
      <c r="AY371" s="265"/>
      <c r="AZ371" s="265"/>
      <c r="BA371" s="265"/>
      <c r="BB371" s="239"/>
      <c r="BC371" s="239"/>
      <c r="BD371" s="240"/>
      <c r="BE371" s="240"/>
    </row>
    <row r="372" spans="1:61" s="422" customFormat="1" ht="13.5" thickBot="1" x14ac:dyDescent="0.25">
      <c r="A372" s="412" t="s">
        <v>34</v>
      </c>
      <c r="B372" s="412" t="s">
        <v>49</v>
      </c>
      <c r="C372" s="436" t="s">
        <v>61</v>
      </c>
      <c r="D372" s="413" t="s">
        <v>328</v>
      </c>
      <c r="E372" s="418">
        <v>5.8</v>
      </c>
      <c r="F372" s="418">
        <v>3.9</v>
      </c>
      <c r="G372" s="343">
        <f t="shared" si="142"/>
        <v>2.2621809744779582</v>
      </c>
      <c r="H372" s="418">
        <v>5.0999999999999996</v>
      </c>
      <c r="I372" s="414">
        <f t="shared" si="144"/>
        <v>8.2024439999999998</v>
      </c>
      <c r="J372" s="418">
        <v>5.2</v>
      </c>
      <c r="K372" s="437">
        <v>0</v>
      </c>
      <c r="L372" s="437">
        <v>70</v>
      </c>
      <c r="M372" s="437" t="s">
        <v>93</v>
      </c>
      <c r="N372" s="438">
        <v>63</v>
      </c>
      <c r="O372" s="439">
        <f t="shared" si="146"/>
        <v>68.2</v>
      </c>
      <c r="P372" s="439"/>
      <c r="Q372" s="439"/>
      <c r="R372" s="418">
        <v>2</v>
      </c>
      <c r="S372" s="350">
        <v>0.96</v>
      </c>
      <c r="T372" s="419" t="s">
        <v>37</v>
      </c>
      <c r="U372" s="350"/>
      <c r="V372" s="419"/>
      <c r="W372" s="419"/>
      <c r="X372" s="419"/>
      <c r="Y372" s="350">
        <v>0.96</v>
      </c>
      <c r="Z372" s="419" t="s">
        <v>37</v>
      </c>
      <c r="AA372" s="350"/>
      <c r="AB372" s="419"/>
      <c r="AC372" s="419"/>
      <c r="AD372" s="419"/>
      <c r="AE372" s="350"/>
      <c r="AF372" s="420">
        <f t="shared" si="132"/>
        <v>4.1431347263915326</v>
      </c>
      <c r="AG372" s="420">
        <f t="shared" si="133"/>
        <v>4.2224445648494164</v>
      </c>
      <c r="AH372" s="421"/>
      <c r="AI372" s="421"/>
      <c r="AK372" s="423">
        <f t="shared" si="134"/>
        <v>126</v>
      </c>
      <c r="AL372" s="423">
        <f t="shared" si="135"/>
        <v>131.19999999999999</v>
      </c>
      <c r="AM372" s="420">
        <f t="shared" si="136"/>
        <v>4.836281906951478</v>
      </c>
      <c r="AN372" s="420">
        <f t="shared" si="137"/>
        <v>4.8767228765099881</v>
      </c>
      <c r="AO372" s="421"/>
      <c r="AP372" s="421"/>
      <c r="AR372" s="423">
        <f t="shared" si="147"/>
        <v>170.40679599453992</v>
      </c>
      <c r="AS372" s="423">
        <f t="shared" si="148"/>
        <v>177.43945741653678</v>
      </c>
      <c r="AT372" s="420">
        <f t="shared" si="140"/>
        <v>5.1381884961969906</v>
      </c>
      <c r="AU372" s="420">
        <f t="shared" si="141"/>
        <v>5.1786294657555016</v>
      </c>
      <c r="AV372" s="424"/>
      <c r="AW372" s="424"/>
      <c r="AX372" s="423"/>
      <c r="AY372" s="423"/>
      <c r="AZ372" s="423"/>
      <c r="BA372" s="423"/>
      <c r="BB372" s="420"/>
      <c r="BC372" s="420"/>
      <c r="BD372" s="421"/>
      <c r="BE372" s="421"/>
    </row>
    <row r="373" spans="1:61" ht="13.5" thickTop="1" x14ac:dyDescent="0.2">
      <c r="A373" s="232" t="s">
        <v>34</v>
      </c>
      <c r="B373" s="232" t="s">
        <v>260</v>
      </c>
      <c r="C373" s="264" t="s">
        <v>341</v>
      </c>
      <c r="D373" s="381" t="s">
        <v>63</v>
      </c>
      <c r="E373" s="382">
        <v>6.3</v>
      </c>
      <c r="F373" s="382">
        <v>10.1</v>
      </c>
      <c r="G373" s="280">
        <f>F373/1.724</f>
        <v>5.8584686774941996</v>
      </c>
      <c r="H373" s="382">
        <v>29.8</v>
      </c>
      <c r="I373" s="382">
        <v>61.4</v>
      </c>
      <c r="J373" s="382">
        <v>32</v>
      </c>
      <c r="K373" s="383">
        <v>14</v>
      </c>
      <c r="L373" s="383">
        <v>49</v>
      </c>
      <c r="M373" s="383" t="s">
        <v>93</v>
      </c>
      <c r="N373" s="382">
        <v>118</v>
      </c>
      <c r="O373" s="386">
        <f t="shared" si="146"/>
        <v>150</v>
      </c>
      <c r="P373" s="386"/>
      <c r="Q373" s="386"/>
      <c r="R373" s="387">
        <v>2</v>
      </c>
      <c r="S373" s="295">
        <v>0.74</v>
      </c>
      <c r="T373" s="290" t="s">
        <v>64</v>
      </c>
      <c r="U373" s="292">
        <v>0.6</v>
      </c>
      <c r="V373" s="301" t="s">
        <v>65</v>
      </c>
      <c r="W373" s="301"/>
      <c r="X373" s="301"/>
      <c r="Y373" s="235">
        <v>0.73</v>
      </c>
      <c r="Z373" s="290" t="s">
        <v>64</v>
      </c>
      <c r="AA373" s="440">
        <v>0.6</v>
      </c>
      <c r="AB373" s="301" t="s">
        <v>65</v>
      </c>
      <c r="AC373" s="301"/>
      <c r="AD373" s="301"/>
      <c r="AE373" s="441"/>
      <c r="AF373" s="239">
        <f t="shared" si="132"/>
        <v>4.7706846244656651</v>
      </c>
      <c r="AG373" s="239">
        <f t="shared" si="133"/>
        <v>5.0106352940962555</v>
      </c>
      <c r="AH373" s="240"/>
      <c r="AI373" s="240"/>
      <c r="AK373" s="265">
        <f t="shared" si="134"/>
        <v>236</v>
      </c>
      <c r="AL373" s="265">
        <f t="shared" si="135"/>
        <v>268</v>
      </c>
      <c r="AM373" s="239">
        <f t="shared" si="136"/>
        <v>5.4638318050256105</v>
      </c>
      <c r="AN373" s="239">
        <f t="shared" si="137"/>
        <v>5.5909869805108565</v>
      </c>
      <c r="AO373" s="240"/>
      <c r="AP373" s="240"/>
      <c r="AR373" s="265">
        <f t="shared" ref="AR373:AR403" si="150">AK373*((OC/G373)^S373)*((clay/H373)^U373)</f>
        <v>54.758698243244822</v>
      </c>
      <c r="AS373" s="265">
        <f t="shared" ref="AS373:AS403" si="151">AL373*((OC/G373)^Y373)*((clay/H373)^AA373)</f>
        <v>62.864386031653687</v>
      </c>
      <c r="AT373" s="239">
        <f t="shared" si="140"/>
        <v>4.0029362281005234</v>
      </c>
      <c r="AU373" s="239">
        <f t="shared" si="141"/>
        <v>4.1409798035400227</v>
      </c>
      <c r="AX373" s="385">
        <f>GEOMEAN(AR373:AR374)</f>
        <v>109.05235236242798</v>
      </c>
      <c r="AY373" s="385">
        <f>GEOMEAN(AS373:AS374)</f>
        <v>119.47442800986774</v>
      </c>
      <c r="AZ373" s="385">
        <f>MIN(AX373:AX374)</f>
        <v>109.05235236242798</v>
      </c>
      <c r="BA373" s="385">
        <f>MIN(AY373:AY374)</f>
        <v>119.47442800986774</v>
      </c>
      <c r="BB373" s="239">
        <f>LN(AZ373)</f>
        <v>4.691828063826514</v>
      </c>
      <c r="BC373" s="239">
        <f>LN(BA373)</f>
        <v>4.7831023569228828</v>
      </c>
      <c r="BD373" s="240"/>
      <c r="BE373" s="240"/>
      <c r="BF373" s="136"/>
      <c r="BG373" s="136"/>
      <c r="BH373" s="136"/>
      <c r="BI373" s="136"/>
    </row>
    <row r="374" spans="1:61" s="165" customFormat="1" x14ac:dyDescent="0.2">
      <c r="A374" s="156" t="s">
        <v>34</v>
      </c>
      <c r="B374" s="156" t="s">
        <v>260</v>
      </c>
      <c r="C374" s="442" t="s">
        <v>341</v>
      </c>
      <c r="D374" s="391" t="s">
        <v>66</v>
      </c>
      <c r="E374" s="392">
        <v>6.3</v>
      </c>
      <c r="F374" s="392">
        <v>10.1</v>
      </c>
      <c r="G374" s="367">
        <f>F374/1.724</f>
        <v>5.8584686774941996</v>
      </c>
      <c r="H374" s="392">
        <v>29.8</v>
      </c>
      <c r="I374" s="392">
        <v>61.4</v>
      </c>
      <c r="J374" s="392">
        <v>32</v>
      </c>
      <c r="K374" s="394">
        <v>14</v>
      </c>
      <c r="L374" s="394">
        <v>49</v>
      </c>
      <c r="M374" s="394" t="s">
        <v>93</v>
      </c>
      <c r="N374" s="392">
        <v>468</v>
      </c>
      <c r="O374" s="396">
        <f t="shared" si="146"/>
        <v>500</v>
      </c>
      <c r="P374" s="396"/>
      <c r="Q374" s="396"/>
      <c r="R374" s="361">
        <v>2</v>
      </c>
      <c r="S374" s="231">
        <v>0.74</v>
      </c>
      <c r="T374" s="326" t="s">
        <v>64</v>
      </c>
      <c r="U374" s="328">
        <v>0.6</v>
      </c>
      <c r="V374" s="314" t="s">
        <v>65</v>
      </c>
      <c r="W374" s="314"/>
      <c r="X374" s="314"/>
      <c r="Y374" s="231">
        <v>0.73</v>
      </c>
      <c r="Z374" s="326" t="s">
        <v>64</v>
      </c>
      <c r="AA374" s="328">
        <v>0.6</v>
      </c>
      <c r="AB374" s="314" t="s">
        <v>65</v>
      </c>
      <c r="AC374" s="314"/>
      <c r="AD374" s="314"/>
      <c r="AE374" s="443"/>
      <c r="AF374" s="166">
        <f t="shared" si="132"/>
        <v>6.1484682959176471</v>
      </c>
      <c r="AG374" s="166">
        <f t="shared" si="133"/>
        <v>6.2146080984221914</v>
      </c>
      <c r="AH374" s="169"/>
      <c r="AI374" s="169"/>
      <c r="AK374" s="168">
        <f t="shared" si="134"/>
        <v>936</v>
      </c>
      <c r="AL374" s="168">
        <f t="shared" si="135"/>
        <v>968</v>
      </c>
      <c r="AM374" s="166">
        <f t="shared" si="136"/>
        <v>6.8416154764775916</v>
      </c>
      <c r="AN374" s="166">
        <f t="shared" si="137"/>
        <v>6.8752320872765766</v>
      </c>
      <c r="AO374" s="169"/>
      <c r="AP374" s="169"/>
      <c r="AR374" s="168">
        <f t="shared" si="150"/>
        <v>217.17856591388625</v>
      </c>
      <c r="AS374" s="168">
        <f t="shared" si="151"/>
        <v>227.06240924865958</v>
      </c>
      <c r="AT374" s="166">
        <f t="shared" si="140"/>
        <v>5.3807198995525054</v>
      </c>
      <c r="AU374" s="166">
        <f t="shared" si="141"/>
        <v>5.4252249103057428</v>
      </c>
      <c r="AV374" s="167"/>
      <c r="AW374" s="167"/>
      <c r="AX374" s="168"/>
      <c r="AY374" s="168"/>
      <c r="AZ374" s="168"/>
      <c r="BA374" s="168"/>
      <c r="BB374" s="166"/>
      <c r="BC374" s="166"/>
      <c r="BD374" s="169"/>
      <c r="BE374" s="169"/>
    </row>
    <row r="375" spans="1:61" x14ac:dyDescent="0.2">
      <c r="A375" s="232" t="s">
        <v>34</v>
      </c>
      <c r="B375" s="232" t="s">
        <v>260</v>
      </c>
      <c r="C375" s="264" t="s">
        <v>341</v>
      </c>
      <c r="D375" s="381" t="s">
        <v>67</v>
      </c>
      <c r="E375" s="382">
        <v>6.1</v>
      </c>
      <c r="F375" s="382">
        <v>20.399999999999999</v>
      </c>
      <c r="G375" s="280">
        <f>F375/1.724</f>
        <v>11.832946635730858</v>
      </c>
      <c r="H375" s="382">
        <v>32</v>
      </c>
      <c r="I375" s="300">
        <f>(30+4.4*E375)*(H375/100)+(-34.66+29.72*E375)*(F375/100)</f>
        <v>48.101727999999994</v>
      </c>
      <c r="J375" s="444">
        <v>10.7</v>
      </c>
      <c r="K375" s="383">
        <v>0</v>
      </c>
      <c r="L375" s="383">
        <v>7</v>
      </c>
      <c r="M375" s="383" t="s">
        <v>93</v>
      </c>
      <c r="N375" s="382">
        <v>635</v>
      </c>
      <c r="O375" s="382">
        <f t="shared" si="146"/>
        <v>645.70000000000005</v>
      </c>
      <c r="P375" s="382"/>
      <c r="Q375" s="382"/>
      <c r="R375" s="387">
        <v>2</v>
      </c>
      <c r="S375" s="295">
        <v>0.74</v>
      </c>
      <c r="T375" s="290" t="s">
        <v>64</v>
      </c>
      <c r="U375" s="292">
        <v>0.6</v>
      </c>
      <c r="V375" s="301" t="s">
        <v>65</v>
      </c>
      <c r="W375" s="301"/>
      <c r="X375" s="301"/>
      <c r="Y375" s="235">
        <v>0.73</v>
      </c>
      <c r="Z375" s="445" t="s">
        <v>64</v>
      </c>
      <c r="AA375" s="440">
        <v>0.6</v>
      </c>
      <c r="AB375" s="446" t="s">
        <v>65</v>
      </c>
      <c r="AC375" s="446"/>
      <c r="AD375" s="446"/>
      <c r="AE375" s="441"/>
      <c r="AF375" s="239">
        <f t="shared" si="132"/>
        <v>6.4536249988926917</v>
      </c>
      <c r="AG375" s="239">
        <f t="shared" si="133"/>
        <v>6.4703349996324215</v>
      </c>
      <c r="AH375" s="240"/>
      <c r="AI375" s="240"/>
      <c r="AK375" s="265">
        <f t="shared" si="134"/>
        <v>1270</v>
      </c>
      <c r="AL375" s="265">
        <f t="shared" si="135"/>
        <v>1280.7</v>
      </c>
      <c r="AM375" s="239">
        <f t="shared" si="136"/>
        <v>7.1467721794526371</v>
      </c>
      <c r="AN375" s="239">
        <f t="shared" si="137"/>
        <v>7.1551620824320263</v>
      </c>
      <c r="AO375" s="240"/>
      <c r="AP375" s="240"/>
      <c r="AR375" s="265">
        <f t="shared" si="150"/>
        <v>167.82478420194732</v>
      </c>
      <c r="AS375" s="265">
        <f t="shared" si="151"/>
        <v>172.29855925791242</v>
      </c>
      <c r="AT375" s="239">
        <f t="shared" si="140"/>
        <v>5.122920483972341</v>
      </c>
      <c r="AU375" s="239">
        <f t="shared" si="141"/>
        <v>5.1492287816760127</v>
      </c>
      <c r="AX375" s="385">
        <f>GEOMEAN(AR375:AR400)</f>
        <v>164.76270922771403</v>
      </c>
      <c r="AY375" s="385">
        <f>GEOMEAN(AS375:AS400)</f>
        <v>188.74528101405343</v>
      </c>
      <c r="AZ375" s="385">
        <f>MIN(AX375:AX400)</f>
        <v>164.76270922771403</v>
      </c>
      <c r="BA375" s="385">
        <f>MIN(AY375:AY400)</f>
        <v>188.74528101405343</v>
      </c>
      <c r="BB375" s="239">
        <f>LN(AZ375)</f>
        <v>5.1045063129123793</v>
      </c>
      <c r="BC375" s="239">
        <f>LN(BA375)</f>
        <v>5.2403983865665493</v>
      </c>
      <c r="BD375" s="240"/>
      <c r="BE375" s="240"/>
      <c r="BF375" s="136"/>
      <c r="BG375" s="136"/>
      <c r="BH375" s="136"/>
      <c r="BI375" s="136"/>
    </row>
    <row r="376" spans="1:61" x14ac:dyDescent="0.2">
      <c r="A376" s="275" t="s">
        <v>34</v>
      </c>
      <c r="B376" s="275" t="s">
        <v>260</v>
      </c>
      <c r="C376" s="447" t="s">
        <v>341</v>
      </c>
      <c r="D376" s="381" t="s">
        <v>67</v>
      </c>
      <c r="E376" s="382">
        <v>6.3</v>
      </c>
      <c r="F376" s="382">
        <v>13.8</v>
      </c>
      <c r="G376" s="280">
        <f t="shared" ref="G376:G439" si="152">F376/1.724</f>
        <v>8.0046403712296996</v>
      </c>
      <c r="H376" s="382">
        <v>2.5</v>
      </c>
      <c r="I376" s="300">
        <f>(30+4.4*E376)*(H376/100)+(-34.66+29.72*E376)*(F376/100)</f>
        <v>22.498488000000002</v>
      </c>
      <c r="J376" s="444">
        <v>10.7</v>
      </c>
      <c r="K376" s="383">
        <v>0</v>
      </c>
      <c r="L376" s="383">
        <v>7</v>
      </c>
      <c r="M376" s="383" t="s">
        <v>93</v>
      </c>
      <c r="N376" s="382">
        <v>635</v>
      </c>
      <c r="O376" s="382">
        <f t="shared" si="146"/>
        <v>645.70000000000005</v>
      </c>
      <c r="P376" s="382"/>
      <c r="Q376" s="382"/>
      <c r="R376" s="387">
        <v>2</v>
      </c>
      <c r="S376" s="295">
        <v>0.74</v>
      </c>
      <c r="T376" s="290" t="s">
        <v>64</v>
      </c>
      <c r="U376" s="292">
        <v>0.6</v>
      </c>
      <c r="V376" s="301" t="s">
        <v>65</v>
      </c>
      <c r="W376" s="301"/>
      <c r="X376" s="301"/>
      <c r="Y376" s="295">
        <v>0.73</v>
      </c>
      <c r="Z376" s="290" t="s">
        <v>64</v>
      </c>
      <c r="AA376" s="292">
        <v>0.6</v>
      </c>
      <c r="AB376" s="301" t="s">
        <v>65</v>
      </c>
      <c r="AC376" s="301"/>
      <c r="AD376" s="301"/>
      <c r="AE376" s="448"/>
      <c r="AF376" s="239">
        <f t="shared" si="132"/>
        <v>6.4536249988926917</v>
      </c>
      <c r="AG376" s="239">
        <f t="shared" si="133"/>
        <v>6.4703349996324215</v>
      </c>
      <c r="AH376" s="240"/>
      <c r="AI376" s="240"/>
      <c r="AK376" s="265">
        <f t="shared" si="134"/>
        <v>1270</v>
      </c>
      <c r="AL376" s="265">
        <f t="shared" si="135"/>
        <v>1280.7</v>
      </c>
      <c r="AM376" s="239">
        <f t="shared" si="136"/>
        <v>7.1467721794526371</v>
      </c>
      <c r="AN376" s="239">
        <f t="shared" si="137"/>
        <v>7.1551620824320263</v>
      </c>
      <c r="AO376" s="240"/>
      <c r="AP376" s="240"/>
      <c r="AR376" s="265">
        <f t="shared" si="150"/>
        <v>1034.6605231664428</v>
      </c>
      <c r="AS376" s="265">
        <f t="shared" si="151"/>
        <v>1058.0980569733485</v>
      </c>
      <c r="AT376" s="239">
        <f t="shared" si="140"/>
        <v>6.9418286549560726</v>
      </c>
      <c r="AU376" s="239">
        <f t="shared" si="141"/>
        <v>6.9642282895728744</v>
      </c>
      <c r="AX376" s="265"/>
      <c r="AY376" s="265"/>
      <c r="AZ376" s="265"/>
      <c r="BA376" s="265"/>
      <c r="BB376" s="239"/>
      <c r="BC376" s="239"/>
      <c r="BD376" s="240"/>
      <c r="BE376" s="240"/>
      <c r="BF376" s="136"/>
      <c r="BG376" s="136"/>
      <c r="BH376" s="136"/>
      <c r="BI376" s="136"/>
    </row>
    <row r="377" spans="1:61" x14ac:dyDescent="0.2">
      <c r="A377" s="232" t="s">
        <v>34</v>
      </c>
      <c r="B377" s="232" t="s">
        <v>260</v>
      </c>
      <c r="C377" s="264" t="s">
        <v>341</v>
      </c>
      <c r="D377" s="381" t="s">
        <v>304</v>
      </c>
      <c r="E377" s="278">
        <v>2.9750000000000001</v>
      </c>
      <c r="F377" s="278">
        <v>8.1964840000000017</v>
      </c>
      <c r="G377" s="280">
        <f t="shared" si="152"/>
        <v>4.7543410672853836</v>
      </c>
      <c r="H377" s="278">
        <v>7</v>
      </c>
      <c r="I377" s="235">
        <v>5.8</v>
      </c>
      <c r="J377" s="279">
        <v>1.68867238431225</v>
      </c>
      <c r="K377" s="399">
        <v>7</v>
      </c>
      <c r="L377" s="399">
        <v>1</v>
      </c>
      <c r="M377" s="399" t="s">
        <v>93</v>
      </c>
      <c r="N377" s="233">
        <v>1200</v>
      </c>
      <c r="O377" s="279">
        <f t="shared" ref="O377:O400" si="153">J377+N377</f>
        <v>1201.6886723843122</v>
      </c>
      <c r="P377" s="279"/>
      <c r="Q377" s="279"/>
      <c r="R377" s="387">
        <v>2</v>
      </c>
      <c r="S377" s="295">
        <v>0.74</v>
      </c>
      <c r="T377" s="290" t="s">
        <v>64</v>
      </c>
      <c r="U377" s="292">
        <v>0.6</v>
      </c>
      <c r="V377" s="301" t="s">
        <v>65</v>
      </c>
      <c r="W377" s="301"/>
      <c r="X377" s="301"/>
      <c r="Y377" s="235">
        <v>0.73</v>
      </c>
      <c r="Z377" s="445" t="s">
        <v>64</v>
      </c>
      <c r="AA377" s="440">
        <v>0.6</v>
      </c>
      <c r="AB377" s="446" t="s">
        <v>65</v>
      </c>
      <c r="AC377" s="446"/>
      <c r="AD377" s="446"/>
      <c r="AE377" s="441"/>
      <c r="AF377" s="239">
        <f t="shared" si="132"/>
        <v>7.0900768357760917</v>
      </c>
      <c r="AG377" s="239">
        <f t="shared" si="133"/>
        <v>7.0914830735470478</v>
      </c>
      <c r="AH377" s="240"/>
      <c r="AI377" s="240"/>
      <c r="AK377" s="265">
        <f t="shared" si="134"/>
        <v>2400</v>
      </c>
      <c r="AL377" s="265">
        <f t="shared" si="135"/>
        <v>2401.6886723843122</v>
      </c>
      <c r="AM377" s="239">
        <f t="shared" si="136"/>
        <v>7.7832240163360371</v>
      </c>
      <c r="AN377" s="239">
        <f t="shared" si="137"/>
        <v>7.783927382409578</v>
      </c>
      <c r="AO377" s="240"/>
      <c r="AP377" s="240"/>
      <c r="AR377" s="265">
        <f t="shared" si="150"/>
        <v>1550.0177960616682</v>
      </c>
      <c r="AS377" s="265">
        <f t="shared" si="151"/>
        <v>1564.8185531683191</v>
      </c>
      <c r="AT377" s="239">
        <f t="shared" si="140"/>
        <v>7.3460216911774907</v>
      </c>
      <c r="AU377" s="239">
        <f t="shared" si="141"/>
        <v>7.3555251557851102</v>
      </c>
      <c r="AX377" s="385"/>
      <c r="AY377" s="385"/>
      <c r="AZ377" s="385"/>
      <c r="BA377" s="385"/>
      <c r="BB377" s="239"/>
      <c r="BC377" s="239"/>
      <c r="BD377" s="240"/>
      <c r="BE377" s="240"/>
      <c r="BF377" s="136"/>
      <c r="BG377" s="136"/>
      <c r="BH377" s="136"/>
      <c r="BI377" s="136"/>
    </row>
    <row r="378" spans="1:61" x14ac:dyDescent="0.2">
      <c r="A378" s="232" t="s">
        <v>34</v>
      </c>
      <c r="B378" s="232" t="s">
        <v>260</v>
      </c>
      <c r="C378" s="264" t="s">
        <v>341</v>
      </c>
      <c r="D378" s="381" t="s">
        <v>304</v>
      </c>
      <c r="E378" s="278">
        <v>3.36</v>
      </c>
      <c r="F378" s="278">
        <v>8.3137760000000025</v>
      </c>
      <c r="G378" s="280">
        <f t="shared" si="152"/>
        <v>4.8223758700696067</v>
      </c>
      <c r="H378" s="278">
        <v>13</v>
      </c>
      <c r="I378" s="235">
        <v>6.7</v>
      </c>
      <c r="J378" s="279">
        <v>17.263011488299419</v>
      </c>
      <c r="K378" s="399">
        <v>7</v>
      </c>
      <c r="L378" s="399">
        <v>1</v>
      </c>
      <c r="M378" s="399" t="s">
        <v>93</v>
      </c>
      <c r="N378" s="233">
        <v>150</v>
      </c>
      <c r="O378" s="279">
        <f t="shared" si="153"/>
        <v>167.26301148829941</v>
      </c>
      <c r="P378" s="279"/>
      <c r="Q378" s="279"/>
      <c r="R378" s="387">
        <v>2</v>
      </c>
      <c r="S378" s="295">
        <v>0.74</v>
      </c>
      <c r="T378" s="290" t="s">
        <v>64</v>
      </c>
      <c r="U378" s="292">
        <v>0.6</v>
      </c>
      <c r="V378" s="301" t="s">
        <v>65</v>
      </c>
      <c r="W378" s="301"/>
      <c r="X378" s="301"/>
      <c r="Y378" s="235">
        <v>0.73</v>
      </c>
      <c r="Z378" s="445" t="s">
        <v>64</v>
      </c>
      <c r="AA378" s="440">
        <v>0.6</v>
      </c>
      <c r="AB378" s="446" t="s">
        <v>65</v>
      </c>
      <c r="AC378" s="446"/>
      <c r="AD378" s="446"/>
      <c r="AE378" s="441"/>
      <c r="AF378" s="239">
        <f t="shared" si="132"/>
        <v>5.0106352940962555</v>
      </c>
      <c r="AG378" s="239">
        <f t="shared" si="133"/>
        <v>5.1195674926238874</v>
      </c>
      <c r="AH378" s="240"/>
      <c r="AI378" s="240"/>
      <c r="AK378" s="265">
        <f t="shared" si="134"/>
        <v>300</v>
      </c>
      <c r="AL378" s="265">
        <f t="shared" si="135"/>
        <v>317.26301148829941</v>
      </c>
      <c r="AM378" s="239">
        <f t="shared" si="136"/>
        <v>5.7037824746562009</v>
      </c>
      <c r="AN378" s="239">
        <f t="shared" si="137"/>
        <v>5.7597311191129661</v>
      </c>
      <c r="AO378" s="240"/>
      <c r="AP378" s="240"/>
      <c r="AR378" s="265">
        <f t="shared" si="150"/>
        <v>132.2431466887837</v>
      </c>
      <c r="AS378" s="265">
        <f t="shared" si="151"/>
        <v>141.10906156508949</v>
      </c>
      <c r="AT378" s="239">
        <f t="shared" si="140"/>
        <v>4.8846422485168981</v>
      </c>
      <c r="AU378" s="239">
        <f t="shared" si="141"/>
        <v>4.9495330776690531</v>
      </c>
      <c r="AX378" s="385"/>
      <c r="AY378" s="385"/>
      <c r="AZ378" s="385"/>
      <c r="BA378" s="385"/>
      <c r="BB378" s="239"/>
      <c r="BC378" s="239"/>
      <c r="BD378" s="240"/>
      <c r="BE378" s="240"/>
      <c r="BF378" s="136"/>
      <c r="BG378" s="136"/>
      <c r="BH378" s="136"/>
      <c r="BI378" s="136"/>
    </row>
    <row r="379" spans="1:61" x14ac:dyDescent="0.2">
      <c r="A379" s="232" t="s">
        <v>34</v>
      </c>
      <c r="B379" s="232" t="s">
        <v>260</v>
      </c>
      <c r="C379" s="264" t="s">
        <v>341</v>
      </c>
      <c r="D379" s="381" t="s">
        <v>304</v>
      </c>
      <c r="E379" s="278">
        <v>3.375</v>
      </c>
      <c r="F379" s="278">
        <v>2.9831456000000003</v>
      </c>
      <c r="G379" s="280">
        <f t="shared" si="152"/>
        <v>1.7303628770301627</v>
      </c>
      <c r="H379" s="278">
        <v>5</v>
      </c>
      <c r="I379" s="235">
        <v>1.9</v>
      </c>
      <c r="J379" s="279">
        <v>2.4087150626686804</v>
      </c>
      <c r="K379" s="399">
        <v>7</v>
      </c>
      <c r="L379" s="399">
        <v>1</v>
      </c>
      <c r="M379" s="399" t="s">
        <v>93</v>
      </c>
      <c r="N379" s="233">
        <v>50</v>
      </c>
      <c r="O379" s="279">
        <f t="shared" si="153"/>
        <v>52.408715062668684</v>
      </c>
      <c r="P379" s="279"/>
      <c r="Q379" s="279"/>
      <c r="R379" s="387">
        <v>2</v>
      </c>
      <c r="S379" s="295">
        <v>0.74</v>
      </c>
      <c r="T379" s="290" t="s">
        <v>64</v>
      </c>
      <c r="U379" s="292">
        <v>0.6</v>
      </c>
      <c r="V379" s="301" t="s">
        <v>65</v>
      </c>
      <c r="W379" s="301"/>
      <c r="X379" s="301"/>
      <c r="Y379" s="235">
        <v>0.73</v>
      </c>
      <c r="Z379" s="445" t="s">
        <v>64</v>
      </c>
      <c r="AA379" s="440">
        <v>0.6</v>
      </c>
      <c r="AB379" s="446" t="s">
        <v>65</v>
      </c>
      <c r="AC379" s="446"/>
      <c r="AD379" s="446"/>
      <c r="AE379" s="441"/>
      <c r="AF379" s="239">
        <f t="shared" si="132"/>
        <v>3.912023005428146</v>
      </c>
      <c r="AG379" s="239">
        <f t="shared" si="133"/>
        <v>3.9590728954875534</v>
      </c>
      <c r="AH379" s="240"/>
      <c r="AI379" s="240"/>
      <c r="AK379" s="265">
        <f t="shared" si="134"/>
        <v>100</v>
      </c>
      <c r="AL379" s="265">
        <f t="shared" si="135"/>
        <v>102.40871506266868</v>
      </c>
      <c r="AM379" s="239">
        <f t="shared" si="136"/>
        <v>4.6051701859880918</v>
      </c>
      <c r="AN379" s="239">
        <f t="shared" si="137"/>
        <v>4.6289718170177983</v>
      </c>
      <c r="AO379" s="240"/>
      <c r="AP379" s="240"/>
      <c r="AR379" s="265">
        <f t="shared" si="150"/>
        <v>166.96582634311665</v>
      </c>
      <c r="AS379" s="265">
        <f t="shared" si="151"/>
        <v>170.76419337049407</v>
      </c>
      <c r="AT379" s="239">
        <f t="shared" si="140"/>
        <v>5.1177891588006839</v>
      </c>
      <c r="AU379" s="239">
        <f t="shared" si="141"/>
        <v>5.140283618688815</v>
      </c>
      <c r="AX379" s="385"/>
      <c r="AY379" s="385"/>
      <c r="AZ379" s="385"/>
      <c r="BA379" s="385"/>
      <c r="BB379" s="239"/>
      <c r="BC379" s="239"/>
      <c r="BD379" s="240"/>
      <c r="BE379" s="240"/>
      <c r="BF379" s="136"/>
      <c r="BG379" s="136"/>
      <c r="BH379" s="136"/>
      <c r="BI379" s="136"/>
    </row>
    <row r="380" spans="1:61" x14ac:dyDescent="0.2">
      <c r="A380" s="232" t="s">
        <v>34</v>
      </c>
      <c r="B380" s="232" t="s">
        <v>260</v>
      </c>
      <c r="C380" s="264" t="s">
        <v>341</v>
      </c>
      <c r="D380" s="381" t="s">
        <v>304</v>
      </c>
      <c r="E380" s="278">
        <v>4.2</v>
      </c>
      <c r="F380" s="278">
        <v>20.711168000000004</v>
      </c>
      <c r="G380" s="280">
        <f t="shared" si="152"/>
        <v>12.013438515081209</v>
      </c>
      <c r="H380" s="278">
        <v>13</v>
      </c>
      <c r="I380" s="235">
        <v>15.2</v>
      </c>
      <c r="J380" s="279">
        <v>13.776181638478517</v>
      </c>
      <c r="K380" s="399">
        <v>7</v>
      </c>
      <c r="L380" s="399">
        <v>1</v>
      </c>
      <c r="M380" s="399" t="s">
        <v>93</v>
      </c>
      <c r="N380" s="233">
        <v>600</v>
      </c>
      <c r="O380" s="279">
        <f t="shared" si="153"/>
        <v>613.77618163847853</v>
      </c>
      <c r="P380" s="279"/>
      <c r="Q380" s="279"/>
      <c r="R380" s="387">
        <v>2</v>
      </c>
      <c r="S380" s="295">
        <v>0.74</v>
      </c>
      <c r="T380" s="290" t="s">
        <v>64</v>
      </c>
      <c r="U380" s="292">
        <v>0.6</v>
      </c>
      <c r="V380" s="301" t="s">
        <v>65</v>
      </c>
      <c r="W380" s="301"/>
      <c r="X380" s="301"/>
      <c r="Y380" s="235">
        <v>0.73</v>
      </c>
      <c r="Z380" s="445" t="s">
        <v>64</v>
      </c>
      <c r="AA380" s="440">
        <v>0.6</v>
      </c>
      <c r="AB380" s="446" t="s">
        <v>65</v>
      </c>
      <c r="AC380" s="446"/>
      <c r="AD380" s="446"/>
      <c r="AE380" s="441"/>
      <c r="AF380" s="239">
        <f t="shared" si="132"/>
        <v>6.3969296552161463</v>
      </c>
      <c r="AG380" s="239">
        <f t="shared" si="133"/>
        <v>6.4196303366729826</v>
      </c>
      <c r="AH380" s="240"/>
      <c r="AI380" s="240"/>
      <c r="AK380" s="265">
        <f t="shared" si="134"/>
        <v>1200</v>
      </c>
      <c r="AL380" s="265">
        <f t="shared" si="135"/>
        <v>1213.7761816384784</v>
      </c>
      <c r="AM380" s="239">
        <f t="shared" si="136"/>
        <v>7.0900768357760917</v>
      </c>
      <c r="AN380" s="239">
        <f t="shared" si="137"/>
        <v>7.1014915902387807</v>
      </c>
      <c r="AO380" s="240"/>
      <c r="AP380" s="240"/>
      <c r="AR380" s="265">
        <f t="shared" si="150"/>
        <v>269.21082833140707</v>
      </c>
      <c r="AS380" s="265">
        <f t="shared" si="151"/>
        <v>277.26655945598407</v>
      </c>
      <c r="AT380" s="239">
        <f t="shared" si="140"/>
        <v>5.5954948210753015</v>
      </c>
      <c r="AU380" s="239">
        <f t="shared" si="141"/>
        <v>5.6249793519706968</v>
      </c>
      <c r="AX380" s="385"/>
      <c r="AY380" s="385"/>
      <c r="AZ380" s="385"/>
      <c r="BA380" s="385"/>
      <c r="BB380" s="239"/>
      <c r="BC380" s="239"/>
      <c r="BD380" s="240"/>
      <c r="BE380" s="240"/>
      <c r="BF380" s="136"/>
      <c r="BG380" s="136"/>
      <c r="BH380" s="136"/>
      <c r="BI380" s="136"/>
    </row>
    <row r="381" spans="1:61" x14ac:dyDescent="0.2">
      <c r="A381" s="232" t="s">
        <v>34</v>
      </c>
      <c r="B381" s="232" t="s">
        <v>260</v>
      </c>
      <c r="C381" s="264" t="s">
        <v>341</v>
      </c>
      <c r="D381" s="381" t="s">
        <v>304</v>
      </c>
      <c r="E381" s="278">
        <v>4.7450000000000001</v>
      </c>
      <c r="F381" s="278">
        <v>37.316435200000001</v>
      </c>
      <c r="G381" s="280">
        <f t="shared" si="152"/>
        <v>21.645264037122971</v>
      </c>
      <c r="H381" s="278">
        <v>24</v>
      </c>
      <c r="I381" s="235">
        <v>35.299999999999997</v>
      </c>
      <c r="J381" s="279">
        <v>69.686668003909702</v>
      </c>
      <c r="K381" s="399">
        <v>7</v>
      </c>
      <c r="L381" s="399">
        <v>1</v>
      </c>
      <c r="M381" s="399" t="s">
        <v>93</v>
      </c>
      <c r="N381" s="233">
        <v>100</v>
      </c>
      <c r="O381" s="279">
        <f t="shared" si="153"/>
        <v>169.68666800390969</v>
      </c>
      <c r="P381" s="279"/>
      <c r="Q381" s="279"/>
      <c r="R381" s="387">
        <v>2</v>
      </c>
      <c r="S381" s="295">
        <v>0.74</v>
      </c>
      <c r="T381" s="290" t="s">
        <v>64</v>
      </c>
      <c r="U381" s="292">
        <v>0.6</v>
      </c>
      <c r="V381" s="301" t="s">
        <v>65</v>
      </c>
      <c r="W381" s="301"/>
      <c r="X381" s="301"/>
      <c r="Y381" s="235">
        <v>0.73</v>
      </c>
      <c r="Z381" s="445" t="s">
        <v>64</v>
      </c>
      <c r="AA381" s="440">
        <v>0.6</v>
      </c>
      <c r="AB381" s="446" t="s">
        <v>65</v>
      </c>
      <c r="AC381" s="446"/>
      <c r="AD381" s="446"/>
      <c r="AE381" s="441"/>
      <c r="AF381" s="239">
        <f t="shared" si="132"/>
        <v>4.6051701859880918</v>
      </c>
      <c r="AG381" s="239">
        <f t="shared" si="133"/>
        <v>5.1339536070085199</v>
      </c>
      <c r="AH381" s="240"/>
      <c r="AI381" s="240"/>
      <c r="AK381" s="265">
        <f t="shared" si="134"/>
        <v>200</v>
      </c>
      <c r="AL381" s="265">
        <f t="shared" si="135"/>
        <v>269.68666800390969</v>
      </c>
      <c r="AM381" s="239">
        <f t="shared" si="136"/>
        <v>5.2983173665480363</v>
      </c>
      <c r="AN381" s="239">
        <f t="shared" si="137"/>
        <v>5.597260796235342</v>
      </c>
      <c r="AO381" s="240"/>
      <c r="AP381" s="240"/>
      <c r="AR381" s="265">
        <f t="shared" si="150"/>
        <v>20.089347330011567</v>
      </c>
      <c r="AS381" s="265">
        <f t="shared" si="151"/>
        <v>27.74596723901341</v>
      </c>
      <c r="AT381" s="239">
        <f t="shared" si="140"/>
        <v>3.0001896909925767</v>
      </c>
      <c r="AU381" s="239">
        <f t="shared" si="141"/>
        <v>3.3230905049115456</v>
      </c>
      <c r="AX381" s="385"/>
      <c r="AY381" s="385"/>
      <c r="AZ381" s="385"/>
      <c r="BA381" s="385"/>
      <c r="BB381" s="239"/>
      <c r="BC381" s="239"/>
      <c r="BD381" s="240"/>
      <c r="BE381" s="240"/>
      <c r="BF381" s="136"/>
      <c r="BG381" s="136"/>
      <c r="BH381" s="136"/>
      <c r="BI381" s="136"/>
    </row>
    <row r="382" spans="1:61" x14ac:dyDescent="0.2">
      <c r="A382" s="232" t="s">
        <v>34</v>
      </c>
      <c r="B382" s="232" t="s">
        <v>260</v>
      </c>
      <c r="C382" s="264" t="s">
        <v>341</v>
      </c>
      <c r="D382" s="381" t="s">
        <v>304</v>
      </c>
      <c r="E382" s="278">
        <v>4.7549999999999999</v>
      </c>
      <c r="F382" s="278">
        <v>2.6084792000000001</v>
      </c>
      <c r="G382" s="280">
        <f t="shared" si="152"/>
        <v>1.5130389791183296</v>
      </c>
      <c r="H382" s="278">
        <v>7</v>
      </c>
      <c r="I382" s="235">
        <v>2.4</v>
      </c>
      <c r="J382" s="279">
        <v>6.19288957375585</v>
      </c>
      <c r="K382" s="399">
        <v>7</v>
      </c>
      <c r="L382" s="399">
        <v>1</v>
      </c>
      <c r="M382" s="399" t="s">
        <v>93</v>
      </c>
      <c r="N382" s="233">
        <v>25</v>
      </c>
      <c r="O382" s="279">
        <f t="shared" si="153"/>
        <v>31.192889573755849</v>
      </c>
      <c r="P382" s="279"/>
      <c r="Q382" s="279"/>
      <c r="R382" s="387">
        <v>2</v>
      </c>
      <c r="S382" s="295">
        <v>0.74</v>
      </c>
      <c r="T382" s="290" t="s">
        <v>64</v>
      </c>
      <c r="U382" s="292">
        <v>0.6</v>
      </c>
      <c r="V382" s="301" t="s">
        <v>65</v>
      </c>
      <c r="W382" s="301"/>
      <c r="X382" s="301"/>
      <c r="Y382" s="235">
        <v>0.73</v>
      </c>
      <c r="Z382" s="445" t="s">
        <v>64</v>
      </c>
      <c r="AA382" s="440">
        <v>0.6</v>
      </c>
      <c r="AB382" s="446" t="s">
        <v>65</v>
      </c>
      <c r="AC382" s="446"/>
      <c r="AD382" s="446"/>
      <c r="AE382" s="441"/>
      <c r="AF382" s="239">
        <f t="shared" si="132"/>
        <v>3.2188758248682006</v>
      </c>
      <c r="AG382" s="239">
        <f t="shared" si="133"/>
        <v>3.4401901705656219</v>
      </c>
      <c r="AH382" s="240"/>
      <c r="AI382" s="240"/>
      <c r="AK382" s="265">
        <f t="shared" si="134"/>
        <v>50</v>
      </c>
      <c r="AL382" s="265">
        <f t="shared" si="135"/>
        <v>56.192889573755849</v>
      </c>
      <c r="AM382" s="239">
        <f t="shared" si="136"/>
        <v>3.912023005428146</v>
      </c>
      <c r="AN382" s="239">
        <f t="shared" si="137"/>
        <v>4.0287902288553781</v>
      </c>
      <c r="AO382" s="240"/>
      <c r="AP382" s="240"/>
      <c r="AR382" s="265">
        <f t="shared" si="150"/>
        <v>75.344786737094793</v>
      </c>
      <c r="AS382" s="265">
        <f t="shared" si="151"/>
        <v>84.452789848901972</v>
      </c>
      <c r="AT382" s="239">
        <f t="shared" si="140"/>
        <v>4.3220747353809408</v>
      </c>
      <c r="AU382" s="239">
        <f t="shared" si="141"/>
        <v>4.4361926782191254</v>
      </c>
      <c r="AX382" s="385"/>
      <c r="AY382" s="385"/>
      <c r="AZ382" s="385"/>
      <c r="BA382" s="385"/>
      <c r="BB382" s="239"/>
      <c r="BC382" s="239"/>
      <c r="BD382" s="240"/>
      <c r="BE382" s="240"/>
      <c r="BF382" s="136"/>
      <c r="BG382" s="136"/>
      <c r="BH382" s="136"/>
      <c r="BI382" s="136"/>
    </row>
    <row r="383" spans="1:61" x14ac:dyDescent="0.2">
      <c r="A383" s="232" t="s">
        <v>34</v>
      </c>
      <c r="B383" s="232" t="s">
        <v>260</v>
      </c>
      <c r="C383" s="264" t="s">
        <v>341</v>
      </c>
      <c r="D383" s="381" t="s">
        <v>304</v>
      </c>
      <c r="E383" s="278">
        <v>4.8</v>
      </c>
      <c r="F383" s="278">
        <v>0.65026320000000004</v>
      </c>
      <c r="G383" s="280">
        <f t="shared" si="152"/>
        <v>0.37718283062645014</v>
      </c>
      <c r="H383" s="278">
        <v>38</v>
      </c>
      <c r="I383" s="235">
        <v>11.2</v>
      </c>
      <c r="J383" s="279">
        <v>31.015303901596727</v>
      </c>
      <c r="K383" s="399">
        <v>7</v>
      </c>
      <c r="L383" s="399">
        <v>1</v>
      </c>
      <c r="M383" s="399" t="s">
        <v>93</v>
      </c>
      <c r="N383" s="233">
        <v>100</v>
      </c>
      <c r="O383" s="279">
        <f t="shared" si="153"/>
        <v>131.01530390159672</v>
      </c>
      <c r="P383" s="279"/>
      <c r="Q383" s="279"/>
      <c r="R383" s="387">
        <v>2</v>
      </c>
      <c r="S383" s="295">
        <v>0.74</v>
      </c>
      <c r="T383" s="290" t="s">
        <v>64</v>
      </c>
      <c r="U383" s="292">
        <v>0.6</v>
      </c>
      <c r="V383" s="301" t="s">
        <v>65</v>
      </c>
      <c r="W383" s="301"/>
      <c r="X383" s="301"/>
      <c r="Y383" s="235">
        <v>0.73</v>
      </c>
      <c r="Z383" s="445" t="s">
        <v>64</v>
      </c>
      <c r="AA383" s="440">
        <v>0.6</v>
      </c>
      <c r="AB383" s="446" t="s">
        <v>65</v>
      </c>
      <c r="AC383" s="446"/>
      <c r="AD383" s="446"/>
      <c r="AE383" s="441"/>
      <c r="AF383" s="239">
        <f t="shared" si="132"/>
        <v>4.6051701859880918</v>
      </c>
      <c r="AG383" s="239">
        <f t="shared" si="133"/>
        <v>4.8753141400541082</v>
      </c>
      <c r="AH383" s="240"/>
      <c r="AI383" s="240"/>
      <c r="AK383" s="265">
        <f t="shared" si="134"/>
        <v>200</v>
      </c>
      <c r="AL383" s="265">
        <f t="shared" si="135"/>
        <v>231.01530390159672</v>
      </c>
      <c r="AM383" s="239">
        <f t="shared" si="136"/>
        <v>5.2983173665480363</v>
      </c>
      <c r="AN383" s="239">
        <f t="shared" si="137"/>
        <v>5.442483958983579</v>
      </c>
      <c r="AO383" s="240"/>
      <c r="AP383" s="240"/>
      <c r="AR383" s="265">
        <f t="shared" si="150"/>
        <v>305.31105794685317</v>
      </c>
      <c r="AS383" s="265">
        <f t="shared" si="151"/>
        <v>346.87239564559081</v>
      </c>
      <c r="AT383" s="239">
        <f t="shared" si="140"/>
        <v>5.7213311190221914</v>
      </c>
      <c r="AU383" s="239">
        <f t="shared" si="141"/>
        <v>5.8489569764237661</v>
      </c>
      <c r="AX383" s="385"/>
      <c r="AY383" s="385"/>
      <c r="AZ383" s="385"/>
      <c r="BA383" s="385"/>
      <c r="BB383" s="239"/>
      <c r="BC383" s="239"/>
      <c r="BD383" s="240"/>
      <c r="BE383" s="240"/>
      <c r="BF383" s="136"/>
      <c r="BG383" s="136"/>
      <c r="BH383" s="136"/>
      <c r="BI383" s="136"/>
    </row>
    <row r="384" spans="1:61" x14ac:dyDescent="0.2">
      <c r="A384" s="232" t="s">
        <v>34</v>
      </c>
      <c r="B384" s="232" t="s">
        <v>260</v>
      </c>
      <c r="C384" s="264" t="s">
        <v>341</v>
      </c>
      <c r="D384" s="381" t="s">
        <v>304</v>
      </c>
      <c r="E384" s="278">
        <v>5.0549999999999997</v>
      </c>
      <c r="F384" s="278">
        <v>3.75284</v>
      </c>
      <c r="G384" s="280">
        <f t="shared" si="152"/>
        <v>2.1768213457076566</v>
      </c>
      <c r="H384" s="278">
        <v>9</v>
      </c>
      <c r="I384" s="235">
        <v>4.7</v>
      </c>
      <c r="J384" s="279">
        <v>8.4849975914563824</v>
      </c>
      <c r="K384" s="399">
        <v>7</v>
      </c>
      <c r="L384" s="399">
        <v>1</v>
      </c>
      <c r="M384" s="399" t="s">
        <v>93</v>
      </c>
      <c r="N384" s="233">
        <v>50</v>
      </c>
      <c r="O384" s="279">
        <f t="shared" si="153"/>
        <v>58.484997591456384</v>
      </c>
      <c r="P384" s="279"/>
      <c r="Q384" s="279"/>
      <c r="R384" s="387">
        <v>2</v>
      </c>
      <c r="S384" s="295">
        <v>0.74</v>
      </c>
      <c r="T384" s="290" t="s">
        <v>64</v>
      </c>
      <c r="U384" s="292">
        <v>0.6</v>
      </c>
      <c r="V384" s="301" t="s">
        <v>65</v>
      </c>
      <c r="W384" s="301"/>
      <c r="X384" s="301"/>
      <c r="Y384" s="235">
        <v>0.73</v>
      </c>
      <c r="Z384" s="445" t="s">
        <v>64</v>
      </c>
      <c r="AA384" s="440">
        <v>0.6</v>
      </c>
      <c r="AB384" s="446" t="s">
        <v>65</v>
      </c>
      <c r="AC384" s="446"/>
      <c r="AD384" s="446"/>
      <c r="AE384" s="441"/>
      <c r="AF384" s="239">
        <f t="shared" si="132"/>
        <v>3.912023005428146</v>
      </c>
      <c r="AG384" s="239">
        <f t="shared" si="133"/>
        <v>4.0687702699204245</v>
      </c>
      <c r="AH384" s="240"/>
      <c r="AI384" s="240"/>
      <c r="AK384" s="265">
        <f t="shared" si="134"/>
        <v>100</v>
      </c>
      <c r="AL384" s="265">
        <f t="shared" si="135"/>
        <v>108.48499759145638</v>
      </c>
      <c r="AM384" s="239">
        <f t="shared" si="136"/>
        <v>4.6051701859880918</v>
      </c>
      <c r="AN384" s="239">
        <f t="shared" si="137"/>
        <v>4.6866118923737066</v>
      </c>
      <c r="AO384" s="240"/>
      <c r="AP384" s="240"/>
      <c r="AR384" s="265">
        <f t="shared" si="150"/>
        <v>99.014031881650737</v>
      </c>
      <c r="AS384" s="265">
        <f t="shared" si="151"/>
        <v>107.52156770277284</v>
      </c>
      <c r="AT384" s="239">
        <f t="shared" si="140"/>
        <v>4.595261576269257</v>
      </c>
      <c r="AU384" s="239">
        <f t="shared" si="141"/>
        <v>4.6776914572374881</v>
      </c>
      <c r="AX384" s="385"/>
      <c r="AY384" s="385"/>
      <c r="AZ384" s="385"/>
      <c r="BA384" s="385"/>
      <c r="BB384" s="239"/>
      <c r="BC384" s="239"/>
      <c r="BD384" s="240"/>
      <c r="BE384" s="240"/>
      <c r="BF384" s="136"/>
      <c r="BG384" s="136"/>
      <c r="BH384" s="136"/>
      <c r="BI384" s="136"/>
    </row>
    <row r="385" spans="1:61" x14ac:dyDescent="0.2">
      <c r="A385" s="232" t="s">
        <v>34</v>
      </c>
      <c r="B385" s="232" t="s">
        <v>260</v>
      </c>
      <c r="C385" s="264" t="s">
        <v>341</v>
      </c>
      <c r="D385" s="381" t="s">
        <v>304</v>
      </c>
      <c r="E385" s="278">
        <v>5.18</v>
      </c>
      <c r="F385" s="278">
        <v>1.2091624000000001</v>
      </c>
      <c r="G385" s="280">
        <f t="shared" si="152"/>
        <v>0.70137030162412994</v>
      </c>
      <c r="H385" s="278">
        <v>9</v>
      </c>
      <c r="I385" s="235">
        <v>2.5</v>
      </c>
      <c r="J385" s="279">
        <v>4.5938169731159029</v>
      </c>
      <c r="K385" s="399">
        <v>7</v>
      </c>
      <c r="L385" s="399">
        <v>1</v>
      </c>
      <c r="M385" s="399" t="s">
        <v>93</v>
      </c>
      <c r="N385" s="233">
        <v>25</v>
      </c>
      <c r="O385" s="279">
        <f t="shared" si="153"/>
        <v>29.593816973115903</v>
      </c>
      <c r="P385" s="279"/>
      <c r="Q385" s="279"/>
      <c r="R385" s="387">
        <v>2</v>
      </c>
      <c r="S385" s="295">
        <v>0.74</v>
      </c>
      <c r="T385" s="290" t="s">
        <v>64</v>
      </c>
      <c r="U385" s="292">
        <v>0.6</v>
      </c>
      <c r="V385" s="301" t="s">
        <v>65</v>
      </c>
      <c r="W385" s="301"/>
      <c r="X385" s="301"/>
      <c r="Y385" s="235">
        <v>0.73</v>
      </c>
      <c r="Z385" s="445" t="s">
        <v>64</v>
      </c>
      <c r="AA385" s="440">
        <v>0.6</v>
      </c>
      <c r="AB385" s="446" t="s">
        <v>65</v>
      </c>
      <c r="AC385" s="446"/>
      <c r="AD385" s="446"/>
      <c r="AE385" s="441"/>
      <c r="AF385" s="239">
        <f t="shared" si="132"/>
        <v>3.2188758248682006</v>
      </c>
      <c r="AG385" s="239">
        <f t="shared" si="133"/>
        <v>3.3875654534669049</v>
      </c>
      <c r="AH385" s="240"/>
      <c r="AI385" s="240"/>
      <c r="AK385" s="265">
        <f t="shared" si="134"/>
        <v>50</v>
      </c>
      <c r="AL385" s="265">
        <f t="shared" si="135"/>
        <v>54.593816973115906</v>
      </c>
      <c r="AM385" s="239">
        <f t="shared" si="136"/>
        <v>3.912023005428146</v>
      </c>
      <c r="AN385" s="239">
        <f t="shared" si="137"/>
        <v>3.999920634087847</v>
      </c>
      <c r="AO385" s="240"/>
      <c r="AP385" s="240"/>
      <c r="AR385" s="265">
        <f t="shared" si="150"/>
        <v>114.46021488551193</v>
      </c>
      <c r="AS385" s="265">
        <f t="shared" si="151"/>
        <v>123.69108999051878</v>
      </c>
      <c r="AT385" s="239">
        <f t="shared" si="140"/>
        <v>4.740227294364411</v>
      </c>
      <c r="AU385" s="239">
        <f t="shared" si="141"/>
        <v>4.817787247624902</v>
      </c>
      <c r="AX385" s="385"/>
      <c r="AY385" s="385"/>
      <c r="AZ385" s="385"/>
      <c r="BA385" s="385"/>
      <c r="BB385" s="239"/>
      <c r="BC385" s="239"/>
      <c r="BD385" s="240"/>
      <c r="BE385" s="240"/>
      <c r="BF385" s="136"/>
      <c r="BG385" s="136"/>
      <c r="BH385" s="136"/>
      <c r="BI385" s="136"/>
    </row>
    <row r="386" spans="1:61" x14ac:dyDescent="0.2">
      <c r="A386" s="232" t="s">
        <v>34</v>
      </c>
      <c r="B386" s="232" t="s">
        <v>260</v>
      </c>
      <c r="C386" s="264" t="s">
        <v>341</v>
      </c>
      <c r="D386" s="381" t="s">
        <v>304</v>
      </c>
      <c r="E386" s="278">
        <v>5.4349999999999996</v>
      </c>
      <c r="F386" s="278">
        <v>1.39886</v>
      </c>
      <c r="G386" s="280">
        <f t="shared" si="152"/>
        <v>0.81140371229698371</v>
      </c>
      <c r="H386" s="278">
        <v>51</v>
      </c>
      <c r="I386" s="235">
        <v>22.6</v>
      </c>
      <c r="J386" s="279">
        <v>21.113151960209731</v>
      </c>
      <c r="K386" s="399">
        <v>7</v>
      </c>
      <c r="L386" s="399">
        <v>1</v>
      </c>
      <c r="M386" s="399" t="s">
        <v>93</v>
      </c>
      <c r="N386" s="233">
        <v>400</v>
      </c>
      <c r="O386" s="279">
        <f t="shared" si="153"/>
        <v>421.11315196020973</v>
      </c>
      <c r="P386" s="279"/>
      <c r="Q386" s="279"/>
      <c r="R386" s="387">
        <v>2</v>
      </c>
      <c r="S386" s="295">
        <v>0.74</v>
      </c>
      <c r="T386" s="290" t="s">
        <v>64</v>
      </c>
      <c r="U386" s="292">
        <v>0.6</v>
      </c>
      <c r="V386" s="301" t="s">
        <v>65</v>
      </c>
      <c r="W386" s="301"/>
      <c r="X386" s="301"/>
      <c r="Y386" s="235">
        <v>0.73</v>
      </c>
      <c r="Z386" s="445" t="s">
        <v>64</v>
      </c>
      <c r="AA386" s="440">
        <v>0.6</v>
      </c>
      <c r="AB386" s="446" t="s">
        <v>65</v>
      </c>
      <c r="AC386" s="446"/>
      <c r="AD386" s="446"/>
      <c r="AE386" s="441"/>
      <c r="AF386" s="239">
        <f t="shared" si="132"/>
        <v>5.9914645471079817</v>
      </c>
      <c r="AG386" s="239">
        <f t="shared" si="133"/>
        <v>6.0429015670720148</v>
      </c>
      <c r="AH386" s="240"/>
      <c r="AI386" s="240"/>
      <c r="AK386" s="265">
        <f t="shared" si="134"/>
        <v>800</v>
      </c>
      <c r="AL386" s="265">
        <f t="shared" si="135"/>
        <v>821.11315196020973</v>
      </c>
      <c r="AM386" s="239">
        <f t="shared" si="136"/>
        <v>6.6846117276679271</v>
      </c>
      <c r="AN386" s="239">
        <f t="shared" si="137"/>
        <v>6.7106609220754549</v>
      </c>
      <c r="AO386" s="240"/>
      <c r="AP386" s="240"/>
      <c r="AR386" s="265">
        <f t="shared" si="150"/>
        <v>580.68903084249189</v>
      </c>
      <c r="AS386" s="265">
        <f t="shared" si="151"/>
        <v>590.74485039859735</v>
      </c>
      <c r="AT386" s="239">
        <f t="shared" si="140"/>
        <v>6.3642153826567878</v>
      </c>
      <c r="AU386" s="239">
        <f t="shared" si="141"/>
        <v>6.3813841989720572</v>
      </c>
      <c r="AX386" s="385"/>
      <c r="AY386" s="385"/>
      <c r="AZ386" s="385"/>
      <c r="BA386" s="385"/>
      <c r="BB386" s="239"/>
      <c r="BC386" s="239"/>
      <c r="BD386" s="240"/>
      <c r="BE386" s="240"/>
      <c r="BF386" s="136"/>
      <c r="BG386" s="136"/>
      <c r="BH386" s="136"/>
      <c r="BI386" s="136"/>
    </row>
    <row r="387" spans="1:61" x14ac:dyDescent="0.2">
      <c r="A387" s="232" t="s">
        <v>34</v>
      </c>
      <c r="B387" s="232" t="s">
        <v>260</v>
      </c>
      <c r="C387" s="264" t="s">
        <v>341</v>
      </c>
      <c r="D387" s="381" t="s">
        <v>304</v>
      </c>
      <c r="E387" s="278">
        <v>6.3550000000000004</v>
      </c>
      <c r="F387" s="278">
        <v>7.0438112000000004</v>
      </c>
      <c r="G387" s="280">
        <f t="shared" si="152"/>
        <v>4.0857373549883995</v>
      </c>
      <c r="H387" s="278">
        <v>21</v>
      </c>
      <c r="I387" s="235">
        <v>23.4</v>
      </c>
      <c r="J387" s="279">
        <v>21.783966122059201</v>
      </c>
      <c r="K387" s="399">
        <v>7</v>
      </c>
      <c r="L387" s="399">
        <v>1</v>
      </c>
      <c r="M387" s="399" t="s">
        <v>93</v>
      </c>
      <c r="N387" s="233">
        <v>300</v>
      </c>
      <c r="O387" s="279">
        <f t="shared" si="153"/>
        <v>321.78396612205921</v>
      </c>
      <c r="P387" s="279"/>
      <c r="Q387" s="279"/>
      <c r="R387" s="387">
        <v>2</v>
      </c>
      <c r="S387" s="295">
        <v>0.74</v>
      </c>
      <c r="T387" s="290" t="s">
        <v>64</v>
      </c>
      <c r="U387" s="292">
        <v>0.6</v>
      </c>
      <c r="V387" s="301" t="s">
        <v>65</v>
      </c>
      <c r="W387" s="301"/>
      <c r="X387" s="301"/>
      <c r="Y387" s="235">
        <v>0.73</v>
      </c>
      <c r="Z387" s="445" t="s">
        <v>64</v>
      </c>
      <c r="AA387" s="440">
        <v>0.6</v>
      </c>
      <c r="AB387" s="446" t="s">
        <v>65</v>
      </c>
      <c r="AC387" s="446"/>
      <c r="AD387" s="446"/>
      <c r="AE387" s="441"/>
      <c r="AF387" s="239">
        <f t="shared" si="132"/>
        <v>5.7037824746562009</v>
      </c>
      <c r="AG387" s="239">
        <f t="shared" si="133"/>
        <v>5.7738804077173791</v>
      </c>
      <c r="AH387" s="240"/>
      <c r="AI387" s="240"/>
      <c r="AK387" s="265">
        <f t="shared" si="134"/>
        <v>600</v>
      </c>
      <c r="AL387" s="265">
        <f t="shared" si="135"/>
        <v>621.78396612205916</v>
      </c>
      <c r="AM387" s="239">
        <f t="shared" si="136"/>
        <v>6.3969296552161463</v>
      </c>
      <c r="AN387" s="239">
        <f t="shared" si="137"/>
        <v>6.4325927110619787</v>
      </c>
      <c r="AO387" s="240"/>
      <c r="AP387" s="240"/>
      <c r="AR387" s="265">
        <f t="shared" si="150"/>
        <v>224.23874693603653</v>
      </c>
      <c r="AS387" s="265">
        <f t="shared" si="151"/>
        <v>234.07905828765669</v>
      </c>
      <c r="AT387" s="239">
        <f t="shared" si="140"/>
        <v>5.4127113187925628</v>
      </c>
      <c r="AU387" s="239">
        <f t="shared" si="141"/>
        <v>5.4556589142273957</v>
      </c>
      <c r="AX387" s="385"/>
      <c r="AY387" s="385"/>
      <c r="AZ387" s="385"/>
      <c r="BA387" s="385"/>
      <c r="BB387" s="239"/>
      <c r="BC387" s="239"/>
      <c r="BD387" s="240"/>
      <c r="BE387" s="240"/>
      <c r="BF387" s="136"/>
      <c r="BG387" s="136"/>
      <c r="BH387" s="136"/>
      <c r="BI387" s="136"/>
    </row>
    <row r="388" spans="1:61" x14ac:dyDescent="0.2">
      <c r="A388" s="232" t="s">
        <v>34</v>
      </c>
      <c r="B388" s="232" t="s">
        <v>260</v>
      </c>
      <c r="C388" s="264" t="s">
        <v>341</v>
      </c>
      <c r="D388" s="381" t="s">
        <v>304</v>
      </c>
      <c r="E388" s="278">
        <v>6.8</v>
      </c>
      <c r="F388" s="278">
        <v>1.5718104000000002</v>
      </c>
      <c r="G388" s="280">
        <f t="shared" si="152"/>
        <v>0.91172296983758716</v>
      </c>
      <c r="H388" s="278">
        <v>15</v>
      </c>
      <c r="I388" s="235">
        <v>8.9</v>
      </c>
      <c r="J388" s="279">
        <v>21.67</v>
      </c>
      <c r="K388" s="399">
        <v>7</v>
      </c>
      <c r="L388" s="399">
        <v>1</v>
      </c>
      <c r="M388" s="399" t="s">
        <v>93</v>
      </c>
      <c r="N388" s="397">
        <v>50</v>
      </c>
      <c r="O388" s="279">
        <f t="shared" si="153"/>
        <v>71.67</v>
      </c>
      <c r="P388" s="279"/>
      <c r="Q388" s="279"/>
      <c r="R388" s="387">
        <v>2</v>
      </c>
      <c r="S388" s="295">
        <v>0.74</v>
      </c>
      <c r="T388" s="290" t="s">
        <v>64</v>
      </c>
      <c r="U388" s="292">
        <v>0.6</v>
      </c>
      <c r="V388" s="301" t="s">
        <v>65</v>
      </c>
      <c r="W388" s="301"/>
      <c r="X388" s="301"/>
      <c r="Y388" s="235">
        <v>0.73</v>
      </c>
      <c r="Z388" s="445" t="s">
        <v>64</v>
      </c>
      <c r="AA388" s="440">
        <v>0.6</v>
      </c>
      <c r="AB388" s="446" t="s">
        <v>65</v>
      </c>
      <c r="AC388" s="446"/>
      <c r="AD388" s="446"/>
      <c r="AE388" s="441"/>
      <c r="AF388" s="239">
        <f t="shared" si="132"/>
        <v>3.912023005428146</v>
      </c>
      <c r="AG388" s="239">
        <f t="shared" si="133"/>
        <v>4.2720722500058281</v>
      </c>
      <c r="AH388" s="240"/>
      <c r="AI388" s="240"/>
      <c r="AK388" s="265">
        <f t="shared" si="134"/>
        <v>100</v>
      </c>
      <c r="AL388" s="265">
        <f t="shared" si="135"/>
        <v>121.67</v>
      </c>
      <c r="AM388" s="239">
        <f t="shared" si="136"/>
        <v>4.6051701859880918</v>
      </c>
      <c r="AN388" s="239">
        <f t="shared" si="137"/>
        <v>4.8013124617993581</v>
      </c>
      <c r="AO388" s="240"/>
      <c r="AP388" s="240"/>
      <c r="AR388" s="265">
        <f t="shared" si="150"/>
        <v>138.76432102313487</v>
      </c>
      <c r="AS388" s="265">
        <f t="shared" si="151"/>
        <v>167.53705726001124</v>
      </c>
      <c r="AT388" s="239">
        <f t="shared" si="140"/>
        <v>4.9327769618814381</v>
      </c>
      <c r="AU388" s="239">
        <f t="shared" si="141"/>
        <v>5.1212045641689441</v>
      </c>
      <c r="AX388" s="385"/>
      <c r="AY388" s="385"/>
      <c r="AZ388" s="385"/>
      <c r="BA388" s="385"/>
      <c r="BB388" s="239"/>
      <c r="BC388" s="239"/>
      <c r="BD388" s="240"/>
      <c r="BE388" s="240"/>
      <c r="BF388" s="136"/>
      <c r="BG388" s="136"/>
      <c r="BH388" s="136"/>
      <c r="BI388" s="136"/>
    </row>
    <row r="389" spans="1:61" x14ac:dyDescent="0.2">
      <c r="A389" s="232" t="s">
        <v>34</v>
      </c>
      <c r="B389" s="232" t="s">
        <v>260</v>
      </c>
      <c r="C389" s="264" t="s">
        <v>341</v>
      </c>
      <c r="D389" s="381" t="s">
        <v>304</v>
      </c>
      <c r="E389" s="278">
        <v>7.2850000000000001</v>
      </c>
      <c r="F389" s="278">
        <v>2.3442543309421522</v>
      </c>
      <c r="G389" s="280">
        <f t="shared" si="152"/>
        <v>1.3597762940499722</v>
      </c>
      <c r="H389" s="278">
        <v>38</v>
      </c>
      <c r="I389" s="235">
        <v>26.2</v>
      </c>
      <c r="J389" s="279">
        <v>21.090912443436086</v>
      </c>
      <c r="K389" s="399">
        <v>7</v>
      </c>
      <c r="L389" s="399">
        <v>1</v>
      </c>
      <c r="M389" s="399" t="s">
        <v>104</v>
      </c>
      <c r="N389" s="397">
        <v>102</v>
      </c>
      <c r="O389" s="279">
        <f t="shared" si="153"/>
        <v>123.09091244343608</v>
      </c>
      <c r="P389" s="279"/>
      <c r="Q389" s="279"/>
      <c r="R389" s="387">
        <v>2</v>
      </c>
      <c r="S389" s="295">
        <v>0.74</v>
      </c>
      <c r="T389" s="290" t="s">
        <v>64</v>
      </c>
      <c r="U389" s="292">
        <v>0.6</v>
      </c>
      <c r="V389" s="301" t="s">
        <v>65</v>
      </c>
      <c r="W389" s="301"/>
      <c r="X389" s="301"/>
      <c r="Y389" s="235">
        <v>0.73</v>
      </c>
      <c r="Z389" s="445" t="s">
        <v>64</v>
      </c>
      <c r="AA389" s="440">
        <v>0.6</v>
      </c>
      <c r="AB389" s="446" t="s">
        <v>65</v>
      </c>
      <c r="AC389" s="446"/>
      <c r="AD389" s="446"/>
      <c r="AE389" s="441"/>
      <c r="AF389" s="239">
        <f t="shared" si="132"/>
        <v>4.6249728132842707</v>
      </c>
      <c r="AG389" s="239">
        <f t="shared" si="133"/>
        <v>4.8129232079100364</v>
      </c>
      <c r="AH389" s="240"/>
      <c r="AI389" s="240"/>
      <c r="AK389" s="265">
        <f t="shared" si="134"/>
        <v>204</v>
      </c>
      <c r="AL389" s="265">
        <f t="shared" si="135"/>
        <v>225.09091244343608</v>
      </c>
      <c r="AM389" s="239">
        <f t="shared" si="136"/>
        <v>5.3181199938442161</v>
      </c>
      <c r="AN389" s="239">
        <f t="shared" si="137"/>
        <v>5.4165043759002183</v>
      </c>
      <c r="AO389" s="240"/>
      <c r="AP389" s="240"/>
      <c r="AR389" s="265">
        <f t="shared" si="150"/>
        <v>120.56609610341158</v>
      </c>
      <c r="AS389" s="265">
        <f t="shared" si="151"/>
        <v>132.53744634086729</v>
      </c>
      <c r="AT389" s="239">
        <f t="shared" si="140"/>
        <v>4.7921981179321449</v>
      </c>
      <c r="AU389" s="239">
        <f t="shared" si="141"/>
        <v>4.8868652193918312</v>
      </c>
      <c r="AX389" s="385"/>
      <c r="AY389" s="385"/>
      <c r="AZ389" s="385"/>
      <c r="BA389" s="385"/>
      <c r="BB389" s="239"/>
      <c r="BC389" s="239"/>
      <c r="BD389" s="240"/>
      <c r="BE389" s="240"/>
      <c r="BF389" s="136"/>
      <c r="BG389" s="136"/>
      <c r="BH389" s="136"/>
      <c r="BI389" s="136"/>
    </row>
    <row r="390" spans="1:61" x14ac:dyDescent="0.2">
      <c r="A390" s="232" t="s">
        <v>34</v>
      </c>
      <c r="B390" s="232" t="s">
        <v>260</v>
      </c>
      <c r="C390" s="264" t="s">
        <v>341</v>
      </c>
      <c r="D390" s="381" t="s">
        <v>304</v>
      </c>
      <c r="E390" s="278">
        <v>7.375</v>
      </c>
      <c r="F390" s="278">
        <v>2.0096692831802643</v>
      </c>
      <c r="G390" s="280">
        <f t="shared" si="152"/>
        <v>1.1657014403597821</v>
      </c>
      <c r="H390" s="278">
        <v>27</v>
      </c>
      <c r="I390" s="235">
        <v>20</v>
      </c>
      <c r="J390" s="279">
        <v>13.975427379945295</v>
      </c>
      <c r="K390" s="399">
        <v>7</v>
      </c>
      <c r="L390" s="399">
        <v>1</v>
      </c>
      <c r="M390" s="399" t="s">
        <v>93</v>
      </c>
      <c r="N390" s="397">
        <v>200</v>
      </c>
      <c r="O390" s="279">
        <f t="shared" si="153"/>
        <v>213.9754273799453</v>
      </c>
      <c r="P390" s="279"/>
      <c r="Q390" s="279"/>
      <c r="R390" s="387">
        <v>2</v>
      </c>
      <c r="S390" s="295">
        <v>0.74</v>
      </c>
      <c r="T390" s="290" t="s">
        <v>64</v>
      </c>
      <c r="U390" s="292">
        <v>0.6</v>
      </c>
      <c r="V390" s="301" t="s">
        <v>65</v>
      </c>
      <c r="W390" s="301"/>
      <c r="X390" s="301"/>
      <c r="Y390" s="235">
        <v>0.73</v>
      </c>
      <c r="Z390" s="445" t="s">
        <v>64</v>
      </c>
      <c r="AA390" s="440">
        <v>0.6</v>
      </c>
      <c r="AB390" s="446" t="s">
        <v>65</v>
      </c>
      <c r="AC390" s="446"/>
      <c r="AD390" s="446"/>
      <c r="AE390" s="441"/>
      <c r="AF390" s="239">
        <f t="shared" ref="AF390:AF449" si="154">LN(N390)</f>
        <v>5.2983173665480363</v>
      </c>
      <c r="AG390" s="239">
        <f t="shared" ref="AG390:AG449" si="155">LN(O390)</f>
        <v>5.3658611831015603</v>
      </c>
      <c r="AH390" s="240"/>
      <c r="AI390" s="240"/>
      <c r="AK390" s="265">
        <f t="shared" ref="AK390:AK449" si="156">N390*R390</f>
        <v>400</v>
      </c>
      <c r="AL390" s="265">
        <f t="shared" ref="AL390:AL449" si="157">AK390+J390</f>
        <v>413.9754273799453</v>
      </c>
      <c r="AM390" s="239">
        <f t="shared" ref="AM390:AM449" si="158">LN(AK390)</f>
        <v>5.9914645471079817</v>
      </c>
      <c r="AN390" s="239">
        <f t="shared" ref="AN390:AN449" si="159">LN(AL390)</f>
        <v>6.0258066179090655</v>
      </c>
      <c r="AO390" s="240"/>
      <c r="AP390" s="240"/>
      <c r="AR390" s="265">
        <f t="shared" si="150"/>
        <v>325.2357072248343</v>
      </c>
      <c r="AS390" s="265">
        <f t="shared" si="151"/>
        <v>334.83403484953521</v>
      </c>
      <c r="AT390" s="239">
        <f t="shared" ref="AT390:AT449" si="160">LN(AR390)</f>
        <v>5.784550172460361</v>
      </c>
      <c r="AU390" s="239">
        <f t="shared" ref="AU390:AU449" si="161">LN(AS390)</f>
        <v>5.813634990705248</v>
      </c>
      <c r="AX390" s="385"/>
      <c r="AY390" s="385"/>
      <c r="AZ390" s="385"/>
      <c r="BA390" s="385"/>
      <c r="BB390" s="239"/>
      <c r="BC390" s="239"/>
      <c r="BD390" s="240"/>
      <c r="BE390" s="240"/>
      <c r="BF390" s="136"/>
      <c r="BG390" s="136"/>
      <c r="BH390" s="136"/>
      <c r="BI390" s="136"/>
    </row>
    <row r="391" spans="1:61" x14ac:dyDescent="0.2">
      <c r="A391" s="232" t="s">
        <v>34</v>
      </c>
      <c r="B391" s="232" t="s">
        <v>260</v>
      </c>
      <c r="C391" s="264" t="s">
        <v>341</v>
      </c>
      <c r="D391" s="381" t="s">
        <v>304</v>
      </c>
      <c r="E391" s="278">
        <v>7.375</v>
      </c>
      <c r="F391" s="278">
        <v>4.1752105820553416</v>
      </c>
      <c r="G391" s="280">
        <f t="shared" si="152"/>
        <v>2.421815882862727</v>
      </c>
      <c r="H391" s="278">
        <v>46</v>
      </c>
      <c r="I391" s="235">
        <v>36.299999999999997</v>
      </c>
      <c r="J391" s="279">
        <v>33.636674889237447</v>
      </c>
      <c r="K391" s="399">
        <v>7</v>
      </c>
      <c r="L391" s="399">
        <v>1</v>
      </c>
      <c r="M391" s="399" t="s">
        <v>104</v>
      </c>
      <c r="N391" s="397">
        <v>89</v>
      </c>
      <c r="O391" s="279">
        <f t="shared" si="153"/>
        <v>122.63667488923744</v>
      </c>
      <c r="P391" s="279"/>
      <c r="Q391" s="279"/>
      <c r="R391" s="387">
        <v>2</v>
      </c>
      <c r="S391" s="295">
        <v>0.74</v>
      </c>
      <c r="T391" s="290" t="s">
        <v>64</v>
      </c>
      <c r="U391" s="292">
        <v>0.6</v>
      </c>
      <c r="V391" s="301" t="s">
        <v>65</v>
      </c>
      <c r="W391" s="301"/>
      <c r="X391" s="301"/>
      <c r="Y391" s="235">
        <v>0.73</v>
      </c>
      <c r="Z391" s="445" t="s">
        <v>64</v>
      </c>
      <c r="AA391" s="440">
        <v>0.6</v>
      </c>
      <c r="AB391" s="446" t="s">
        <v>65</v>
      </c>
      <c r="AC391" s="446"/>
      <c r="AD391" s="446"/>
      <c r="AE391" s="441"/>
      <c r="AF391" s="239">
        <f t="shared" si="154"/>
        <v>4.4886363697321396</v>
      </c>
      <c r="AG391" s="239">
        <f t="shared" si="155"/>
        <v>4.8092261214207026</v>
      </c>
      <c r="AH391" s="240"/>
      <c r="AI391" s="240"/>
      <c r="AK391" s="265">
        <f t="shared" si="156"/>
        <v>178</v>
      </c>
      <c r="AL391" s="265">
        <f t="shared" si="157"/>
        <v>211.63667488923744</v>
      </c>
      <c r="AM391" s="239">
        <f t="shared" si="158"/>
        <v>5.181783550292085</v>
      </c>
      <c r="AN391" s="239">
        <f t="shared" si="159"/>
        <v>5.3548710067484455</v>
      </c>
      <c r="AO391" s="240"/>
      <c r="AP391" s="240"/>
      <c r="AR391" s="265">
        <f t="shared" si="150"/>
        <v>61.19726116438283</v>
      </c>
      <c r="AS391" s="265">
        <f t="shared" si="151"/>
        <v>72.911369453187092</v>
      </c>
      <c r="AT391" s="239">
        <f t="shared" si="160"/>
        <v>4.1141024363009029</v>
      </c>
      <c r="AU391" s="239">
        <f t="shared" si="161"/>
        <v>4.2892445864315079</v>
      </c>
      <c r="AX391" s="385"/>
      <c r="AY391" s="385"/>
      <c r="AZ391" s="385"/>
      <c r="BA391" s="385"/>
      <c r="BB391" s="239"/>
      <c r="BC391" s="239"/>
      <c r="BD391" s="240"/>
      <c r="BE391" s="240"/>
      <c r="BF391" s="136"/>
      <c r="BG391" s="136"/>
      <c r="BH391" s="136"/>
      <c r="BI391" s="136"/>
    </row>
    <row r="392" spans="1:61" x14ac:dyDescent="0.2">
      <c r="A392" s="232" t="s">
        <v>34</v>
      </c>
      <c r="B392" s="232" t="s">
        <v>260</v>
      </c>
      <c r="C392" s="264" t="s">
        <v>341</v>
      </c>
      <c r="D392" s="381" t="s">
        <v>304</v>
      </c>
      <c r="E392" s="278">
        <v>7.52</v>
      </c>
      <c r="F392" s="278">
        <v>2.0393672214266942</v>
      </c>
      <c r="G392" s="280">
        <f t="shared" si="152"/>
        <v>1.1829276226372936</v>
      </c>
      <c r="H392" s="278">
        <v>26</v>
      </c>
      <c r="I392" s="235">
        <v>20.100000000000001</v>
      </c>
      <c r="J392" s="279">
        <v>17.600093656180341</v>
      </c>
      <c r="K392" s="399">
        <v>7</v>
      </c>
      <c r="L392" s="399">
        <v>1</v>
      </c>
      <c r="M392" s="399" t="s">
        <v>104</v>
      </c>
      <c r="N392" s="397">
        <v>23</v>
      </c>
      <c r="O392" s="279">
        <f t="shared" si="153"/>
        <v>40.600093656180341</v>
      </c>
      <c r="P392" s="279"/>
      <c r="Q392" s="279"/>
      <c r="R392" s="387">
        <v>2</v>
      </c>
      <c r="S392" s="295">
        <v>0.74</v>
      </c>
      <c r="T392" s="290" t="s">
        <v>64</v>
      </c>
      <c r="U392" s="292">
        <v>0.6</v>
      </c>
      <c r="V392" s="301" t="s">
        <v>65</v>
      </c>
      <c r="W392" s="301"/>
      <c r="X392" s="301"/>
      <c r="Y392" s="235">
        <v>0.73</v>
      </c>
      <c r="Z392" s="445" t="s">
        <v>64</v>
      </c>
      <c r="AA392" s="440">
        <v>0.6</v>
      </c>
      <c r="AB392" s="446" t="s">
        <v>65</v>
      </c>
      <c r="AC392" s="446"/>
      <c r="AD392" s="446"/>
      <c r="AE392" s="441"/>
      <c r="AF392" s="239">
        <f t="shared" si="154"/>
        <v>3.1354942159291497</v>
      </c>
      <c r="AG392" s="239">
        <f t="shared" si="155"/>
        <v>3.7037703734074978</v>
      </c>
      <c r="AH392" s="240"/>
      <c r="AI392" s="240"/>
      <c r="AK392" s="265">
        <f t="shared" si="156"/>
        <v>46</v>
      </c>
      <c r="AL392" s="265">
        <f t="shared" si="157"/>
        <v>63.600093656180341</v>
      </c>
      <c r="AM392" s="239">
        <f t="shared" si="158"/>
        <v>3.8286413964890951</v>
      </c>
      <c r="AN392" s="239">
        <f t="shared" si="159"/>
        <v>4.1526149429264443</v>
      </c>
      <c r="AO392" s="240"/>
      <c r="AP392" s="240"/>
      <c r="AR392" s="265">
        <f t="shared" si="150"/>
        <v>37.845643024664184</v>
      </c>
      <c r="AS392" s="265">
        <f t="shared" si="151"/>
        <v>52.059060322994398</v>
      </c>
      <c r="AT392" s="239">
        <f t="shared" si="160"/>
        <v>3.6335158616238981</v>
      </c>
      <c r="AU392" s="239">
        <f t="shared" si="161"/>
        <v>3.952378849518662</v>
      </c>
      <c r="AX392" s="385"/>
      <c r="AY392" s="385"/>
      <c r="AZ392" s="385"/>
      <c r="BA392" s="385"/>
      <c r="BB392" s="239"/>
      <c r="BC392" s="239"/>
      <c r="BD392" s="240"/>
      <c r="BE392" s="240"/>
      <c r="BF392" s="136"/>
      <c r="BG392" s="136"/>
      <c r="BH392" s="136"/>
      <c r="BI392" s="136"/>
    </row>
    <row r="393" spans="1:61" x14ac:dyDescent="0.2">
      <c r="A393" s="232" t="s">
        <v>34</v>
      </c>
      <c r="B393" s="232" t="s">
        <v>260</v>
      </c>
      <c r="C393" s="264" t="s">
        <v>341</v>
      </c>
      <c r="D393" s="381" t="s">
        <v>304</v>
      </c>
      <c r="E393" s="278">
        <v>7.4850000000000003</v>
      </c>
      <c r="F393" s="278">
        <v>2.3622472771305825</v>
      </c>
      <c r="G393" s="280">
        <f t="shared" si="152"/>
        <v>1.3702130377787602</v>
      </c>
      <c r="H393" s="278">
        <v>21</v>
      </c>
      <c r="I393" s="235">
        <v>14.3</v>
      </c>
      <c r="J393" s="279">
        <v>88.00050037516084</v>
      </c>
      <c r="K393" s="399">
        <v>7</v>
      </c>
      <c r="L393" s="399">
        <v>1</v>
      </c>
      <c r="M393" s="399" t="s">
        <v>93</v>
      </c>
      <c r="N393" s="397">
        <v>300</v>
      </c>
      <c r="O393" s="279">
        <f t="shared" si="153"/>
        <v>388.00050037516087</v>
      </c>
      <c r="P393" s="279"/>
      <c r="Q393" s="279"/>
      <c r="R393" s="387">
        <v>2</v>
      </c>
      <c r="S393" s="295">
        <v>0.74</v>
      </c>
      <c r="T393" s="290" t="s">
        <v>64</v>
      </c>
      <c r="U393" s="292">
        <v>0.6</v>
      </c>
      <c r="V393" s="301" t="s">
        <v>65</v>
      </c>
      <c r="W393" s="301"/>
      <c r="X393" s="301"/>
      <c r="Y393" s="235">
        <v>0.73</v>
      </c>
      <c r="Z393" s="445" t="s">
        <v>64</v>
      </c>
      <c r="AA393" s="440">
        <v>0.6</v>
      </c>
      <c r="AB393" s="446" t="s">
        <v>65</v>
      </c>
      <c r="AC393" s="446"/>
      <c r="AD393" s="446"/>
      <c r="AE393" s="441"/>
      <c r="AF393" s="239">
        <f t="shared" si="154"/>
        <v>5.7037824746562009</v>
      </c>
      <c r="AG393" s="239">
        <f t="shared" si="155"/>
        <v>5.9610066292491455</v>
      </c>
      <c r="AH393" s="240"/>
      <c r="AI393" s="240"/>
      <c r="AK393" s="265">
        <f t="shared" si="156"/>
        <v>600</v>
      </c>
      <c r="AL393" s="265">
        <f t="shared" si="157"/>
        <v>688.00050037516087</v>
      </c>
      <c r="AM393" s="239">
        <f t="shared" si="158"/>
        <v>6.3969296552161463</v>
      </c>
      <c r="AN393" s="239">
        <f t="shared" si="159"/>
        <v>6.5337895652225573</v>
      </c>
      <c r="AO393" s="240"/>
      <c r="AP393" s="240"/>
      <c r="AR393" s="265">
        <f t="shared" si="150"/>
        <v>503.30077212981752</v>
      </c>
      <c r="AS393" s="265">
        <f t="shared" si="151"/>
        <v>575.02127358833206</v>
      </c>
      <c r="AT393" s="239">
        <f t="shared" si="160"/>
        <v>6.2211879479154861</v>
      </c>
      <c r="AU393" s="239">
        <f t="shared" si="161"/>
        <v>6.3544070376578832</v>
      </c>
      <c r="AX393" s="385"/>
      <c r="AY393" s="385"/>
      <c r="AZ393" s="385"/>
      <c r="BA393" s="385"/>
      <c r="BB393" s="239"/>
      <c r="BC393" s="239"/>
      <c r="BD393" s="240"/>
      <c r="BE393" s="240"/>
      <c r="BF393" s="136"/>
      <c r="BG393" s="136"/>
      <c r="BH393" s="136"/>
      <c r="BI393" s="136"/>
    </row>
    <row r="394" spans="1:61" x14ac:dyDescent="0.2">
      <c r="A394" s="232" t="s">
        <v>34</v>
      </c>
      <c r="B394" s="232" t="s">
        <v>260</v>
      </c>
      <c r="C394" s="264" t="s">
        <v>341</v>
      </c>
      <c r="D394" s="381" t="s">
        <v>304</v>
      </c>
      <c r="E394" s="278">
        <v>7.5049999999999999</v>
      </c>
      <c r="F394" s="278">
        <v>2.4210378774303138</v>
      </c>
      <c r="G394" s="280">
        <f t="shared" si="152"/>
        <v>1.4043143140547065</v>
      </c>
      <c r="H394" s="278">
        <v>50</v>
      </c>
      <c r="I394" s="235">
        <v>23.5</v>
      </c>
      <c r="J394" s="279">
        <v>30.97727391992974</v>
      </c>
      <c r="K394" s="399">
        <v>7</v>
      </c>
      <c r="L394" s="399">
        <v>1</v>
      </c>
      <c r="M394" s="399" t="s">
        <v>93</v>
      </c>
      <c r="N394" s="397">
        <v>200</v>
      </c>
      <c r="O394" s="279">
        <f t="shared" si="153"/>
        <v>230.97727391992973</v>
      </c>
      <c r="P394" s="279"/>
      <c r="Q394" s="279"/>
      <c r="R394" s="387">
        <v>2</v>
      </c>
      <c r="S394" s="295">
        <v>0.74</v>
      </c>
      <c r="T394" s="290" t="s">
        <v>64</v>
      </c>
      <c r="U394" s="292">
        <v>0.6</v>
      </c>
      <c r="V394" s="301" t="s">
        <v>65</v>
      </c>
      <c r="W394" s="301"/>
      <c r="X394" s="301"/>
      <c r="Y394" s="235">
        <v>0.73</v>
      </c>
      <c r="Z394" s="445" t="s">
        <v>64</v>
      </c>
      <c r="AA394" s="440">
        <v>0.6</v>
      </c>
      <c r="AB394" s="446" t="s">
        <v>65</v>
      </c>
      <c r="AC394" s="446"/>
      <c r="AD394" s="446"/>
      <c r="AE394" s="441"/>
      <c r="AF394" s="239">
        <f t="shared" si="154"/>
        <v>5.2983173665480363</v>
      </c>
      <c r="AG394" s="239">
        <f t="shared" si="155"/>
        <v>5.442319324383031</v>
      </c>
      <c r="AH394" s="240"/>
      <c r="AI394" s="240"/>
      <c r="AK394" s="265">
        <f t="shared" si="156"/>
        <v>400</v>
      </c>
      <c r="AL394" s="265">
        <f t="shared" si="157"/>
        <v>430.97727391992976</v>
      </c>
      <c r="AM394" s="239">
        <f t="shared" si="158"/>
        <v>5.9914645471079817</v>
      </c>
      <c r="AN394" s="239">
        <f t="shared" si="159"/>
        <v>6.0660553599894786</v>
      </c>
      <c r="AO394" s="240"/>
      <c r="AP394" s="240"/>
      <c r="AR394" s="265">
        <f t="shared" si="150"/>
        <v>195.7877447555872</v>
      </c>
      <c r="AS394" s="265">
        <f t="shared" si="151"/>
        <v>210.23521163782769</v>
      </c>
      <c r="AT394" s="239">
        <f t="shared" si="160"/>
        <v>5.277031137512342</v>
      </c>
      <c r="AU394" s="239">
        <f t="shared" si="161"/>
        <v>5.3482269593416119</v>
      </c>
      <c r="AX394" s="385"/>
      <c r="AY394" s="385"/>
      <c r="AZ394" s="385"/>
      <c r="BA394" s="385"/>
      <c r="BB394" s="239"/>
      <c r="BC394" s="239"/>
      <c r="BD394" s="240"/>
      <c r="BE394" s="240"/>
      <c r="BF394" s="136"/>
      <c r="BG394" s="136"/>
      <c r="BH394" s="136"/>
      <c r="BI394" s="136"/>
    </row>
    <row r="395" spans="1:61" x14ac:dyDescent="0.2">
      <c r="A395" s="232" t="s">
        <v>34</v>
      </c>
      <c r="B395" s="232" t="s">
        <v>260</v>
      </c>
      <c r="C395" s="264" t="s">
        <v>341</v>
      </c>
      <c r="D395" s="381" t="s">
        <v>304</v>
      </c>
      <c r="E395" s="278">
        <v>7.52</v>
      </c>
      <c r="F395" s="278">
        <v>0.61333838670211449</v>
      </c>
      <c r="G395" s="280">
        <f t="shared" si="152"/>
        <v>0.35576472546526361</v>
      </c>
      <c r="H395" s="278">
        <v>25</v>
      </c>
      <c r="I395" s="235">
        <v>16.899999999999999</v>
      </c>
      <c r="J395" s="279">
        <v>7.3217397162852489</v>
      </c>
      <c r="K395" s="399">
        <v>7</v>
      </c>
      <c r="L395" s="399">
        <v>1</v>
      </c>
      <c r="M395" s="399" t="s">
        <v>93</v>
      </c>
      <c r="N395" s="233">
        <v>50</v>
      </c>
      <c r="O395" s="279">
        <f t="shared" si="153"/>
        <v>57.321739716285251</v>
      </c>
      <c r="P395" s="279"/>
      <c r="Q395" s="279"/>
      <c r="R395" s="387">
        <v>2</v>
      </c>
      <c r="S395" s="295">
        <v>0.74</v>
      </c>
      <c r="T395" s="290" t="s">
        <v>64</v>
      </c>
      <c r="U395" s="292">
        <v>0.6</v>
      </c>
      <c r="V395" s="301" t="s">
        <v>65</v>
      </c>
      <c r="W395" s="301"/>
      <c r="X395" s="301"/>
      <c r="Y395" s="235">
        <v>0.73</v>
      </c>
      <c r="Z395" s="445" t="s">
        <v>64</v>
      </c>
      <c r="AA395" s="440">
        <v>0.6</v>
      </c>
      <c r="AB395" s="446" t="s">
        <v>65</v>
      </c>
      <c r="AC395" s="446"/>
      <c r="AD395" s="446"/>
      <c r="AE395" s="441"/>
      <c r="AF395" s="239">
        <f t="shared" si="154"/>
        <v>3.912023005428146</v>
      </c>
      <c r="AG395" s="239">
        <f t="shared" si="155"/>
        <v>4.0486799534464462</v>
      </c>
      <c r="AH395" s="240"/>
      <c r="AI395" s="240"/>
      <c r="AK395" s="265">
        <f t="shared" si="156"/>
        <v>100</v>
      </c>
      <c r="AL395" s="265">
        <f t="shared" si="157"/>
        <v>107.32173971628525</v>
      </c>
      <c r="AM395" s="239">
        <f t="shared" si="158"/>
        <v>4.6051701859880918</v>
      </c>
      <c r="AN395" s="239">
        <f t="shared" si="159"/>
        <v>4.6758312359765863</v>
      </c>
      <c r="AO395" s="240"/>
      <c r="AP395" s="240"/>
      <c r="AR395" s="265">
        <f t="shared" si="150"/>
        <v>204.93048775954261</v>
      </c>
      <c r="AS395" s="265">
        <f t="shared" si="151"/>
        <v>216.20057147288443</v>
      </c>
      <c r="AT395" s="239">
        <f t="shared" si="160"/>
        <v>5.3226708375366041</v>
      </c>
      <c r="AU395" s="239">
        <f t="shared" si="161"/>
        <v>5.3762065484619495</v>
      </c>
      <c r="AX395" s="385"/>
      <c r="AY395" s="385"/>
      <c r="AZ395" s="385"/>
      <c r="BA395" s="385"/>
      <c r="BB395" s="239"/>
      <c r="BC395" s="239"/>
      <c r="BD395" s="240"/>
      <c r="BE395" s="240"/>
      <c r="BF395" s="136"/>
      <c r="BG395" s="136"/>
      <c r="BH395" s="136"/>
      <c r="BI395" s="136"/>
    </row>
    <row r="396" spans="1:61" x14ac:dyDescent="0.2">
      <c r="A396" s="232" t="s">
        <v>34</v>
      </c>
      <c r="B396" s="232" t="s">
        <v>260</v>
      </c>
      <c r="C396" s="264" t="s">
        <v>341</v>
      </c>
      <c r="D396" s="381" t="s">
        <v>304</v>
      </c>
      <c r="E396" s="293">
        <v>5.4</v>
      </c>
      <c r="F396" s="293">
        <v>3.3</v>
      </c>
      <c r="G396" s="280">
        <f t="shared" si="152"/>
        <v>1.91415313225058</v>
      </c>
      <c r="H396" s="293">
        <v>23</v>
      </c>
      <c r="I396" s="235">
        <v>6.7</v>
      </c>
      <c r="J396" s="294">
        <v>21</v>
      </c>
      <c r="K396" s="399">
        <v>7</v>
      </c>
      <c r="L396" s="399">
        <v>1</v>
      </c>
      <c r="M396" s="399" t="s">
        <v>93</v>
      </c>
      <c r="N396" s="233">
        <v>170</v>
      </c>
      <c r="O396" s="279">
        <f t="shared" si="153"/>
        <v>191</v>
      </c>
      <c r="P396" s="279"/>
      <c r="Q396" s="279"/>
      <c r="R396" s="387">
        <v>2</v>
      </c>
      <c r="S396" s="295">
        <v>0.74</v>
      </c>
      <c r="T396" s="290" t="s">
        <v>64</v>
      </c>
      <c r="U396" s="292">
        <v>0.6</v>
      </c>
      <c r="V396" s="301" t="s">
        <v>65</v>
      </c>
      <c r="W396" s="301"/>
      <c r="X396" s="301"/>
      <c r="Y396" s="235">
        <v>0.73</v>
      </c>
      <c r="Z396" s="445" t="s">
        <v>64</v>
      </c>
      <c r="AA396" s="440">
        <v>0.6</v>
      </c>
      <c r="AB396" s="446" t="s">
        <v>65</v>
      </c>
      <c r="AC396" s="446"/>
      <c r="AD396" s="446"/>
      <c r="AE396" s="441"/>
      <c r="AF396" s="239">
        <f t="shared" si="154"/>
        <v>5.1357984370502621</v>
      </c>
      <c r="AG396" s="239">
        <f t="shared" si="155"/>
        <v>5.2522734280466299</v>
      </c>
      <c r="AH396" s="240"/>
      <c r="AI396" s="240"/>
      <c r="AK396" s="265">
        <f t="shared" si="156"/>
        <v>340</v>
      </c>
      <c r="AL396" s="265">
        <f t="shared" si="157"/>
        <v>361</v>
      </c>
      <c r="AM396" s="239">
        <f t="shared" si="158"/>
        <v>5.8289456176102075</v>
      </c>
      <c r="AN396" s="239">
        <f t="shared" si="159"/>
        <v>5.8888779583328805</v>
      </c>
      <c r="AO396" s="240"/>
      <c r="AP396" s="240"/>
      <c r="AR396" s="265">
        <f t="shared" si="150"/>
        <v>210.86795548943135</v>
      </c>
      <c r="AS396" s="265">
        <f t="shared" si="151"/>
        <v>223.82550334152546</v>
      </c>
      <c r="AT396" s="239">
        <f t="shared" si="160"/>
        <v>5.3512321342117826</v>
      </c>
      <c r="AU396" s="239">
        <f t="shared" si="161"/>
        <v>5.4108667453349613</v>
      </c>
      <c r="AX396" s="385"/>
      <c r="AY396" s="385"/>
      <c r="AZ396" s="385"/>
      <c r="BA396" s="385"/>
      <c r="BB396" s="239"/>
      <c r="BC396" s="239"/>
      <c r="BD396" s="240"/>
      <c r="BE396" s="240"/>
      <c r="BF396" s="136"/>
      <c r="BG396" s="136"/>
      <c r="BH396" s="136"/>
      <c r="BI396" s="136"/>
    </row>
    <row r="397" spans="1:61" x14ac:dyDescent="0.2">
      <c r="A397" s="232" t="s">
        <v>34</v>
      </c>
      <c r="B397" s="232" t="s">
        <v>260</v>
      </c>
      <c r="C397" s="264" t="s">
        <v>341</v>
      </c>
      <c r="D397" s="381" t="s">
        <v>304</v>
      </c>
      <c r="E397" s="293">
        <v>4.3</v>
      </c>
      <c r="F397" s="293">
        <v>2.2000000000000002</v>
      </c>
      <c r="G397" s="280">
        <f t="shared" si="152"/>
        <v>1.2761020881670535</v>
      </c>
      <c r="H397" s="293">
        <v>9</v>
      </c>
      <c r="I397" s="235">
        <v>1.2</v>
      </c>
      <c r="J397" s="294">
        <v>19</v>
      </c>
      <c r="K397" s="399">
        <v>7</v>
      </c>
      <c r="L397" s="399">
        <v>1</v>
      </c>
      <c r="M397" s="399" t="s">
        <v>93</v>
      </c>
      <c r="N397" s="233">
        <v>12</v>
      </c>
      <c r="O397" s="279">
        <f t="shared" si="153"/>
        <v>31</v>
      </c>
      <c r="P397" s="279"/>
      <c r="Q397" s="279"/>
      <c r="R397" s="387">
        <v>2</v>
      </c>
      <c r="S397" s="295">
        <v>0.74</v>
      </c>
      <c r="T397" s="290" t="s">
        <v>64</v>
      </c>
      <c r="U397" s="292">
        <v>0.6</v>
      </c>
      <c r="V397" s="301" t="s">
        <v>65</v>
      </c>
      <c r="W397" s="301"/>
      <c r="X397" s="301"/>
      <c r="Y397" s="235">
        <v>0.73</v>
      </c>
      <c r="Z397" s="445" t="s">
        <v>64</v>
      </c>
      <c r="AA397" s="440">
        <v>0.6</v>
      </c>
      <c r="AB397" s="446" t="s">
        <v>65</v>
      </c>
      <c r="AC397" s="446"/>
      <c r="AD397" s="446"/>
      <c r="AE397" s="441"/>
      <c r="AF397" s="239">
        <f t="shared" si="154"/>
        <v>2.4849066497880004</v>
      </c>
      <c r="AG397" s="239">
        <f t="shared" si="155"/>
        <v>3.4339872044851463</v>
      </c>
      <c r="AH397" s="240"/>
      <c r="AI397" s="240"/>
      <c r="AK397" s="265">
        <f t="shared" si="156"/>
        <v>24</v>
      </c>
      <c r="AL397" s="265">
        <f t="shared" si="157"/>
        <v>43</v>
      </c>
      <c r="AM397" s="239">
        <f t="shared" si="158"/>
        <v>3.1780538303479458</v>
      </c>
      <c r="AN397" s="239">
        <f t="shared" si="159"/>
        <v>3.7612001156935624</v>
      </c>
      <c r="AO397" s="240"/>
      <c r="AP397" s="240"/>
      <c r="AR397" s="265">
        <f t="shared" si="150"/>
        <v>35.281061201906084</v>
      </c>
      <c r="AS397" s="265">
        <f t="shared" si="151"/>
        <v>62.937376912721653</v>
      </c>
      <c r="AT397" s="239">
        <f t="shared" si="160"/>
        <v>3.5633463101053207</v>
      </c>
      <c r="AU397" s="239">
        <f t="shared" si="161"/>
        <v>4.142140214770361</v>
      </c>
      <c r="AX397" s="385"/>
      <c r="AY397" s="385"/>
      <c r="AZ397" s="385"/>
      <c r="BA397" s="385"/>
      <c r="BB397" s="239"/>
      <c r="BC397" s="239"/>
      <c r="BD397" s="240"/>
      <c r="BE397" s="240"/>
      <c r="BF397" s="136"/>
      <c r="BG397" s="136"/>
      <c r="BH397" s="136"/>
      <c r="BI397" s="136"/>
    </row>
    <row r="398" spans="1:61" x14ac:dyDescent="0.2">
      <c r="A398" s="232" t="s">
        <v>34</v>
      </c>
      <c r="B398" s="232" t="s">
        <v>260</v>
      </c>
      <c r="C398" s="264" t="s">
        <v>341</v>
      </c>
      <c r="D398" s="381" t="s">
        <v>304</v>
      </c>
      <c r="E398" s="293">
        <v>5</v>
      </c>
      <c r="F398" s="293">
        <v>2.2999999999999998</v>
      </c>
      <c r="G398" s="280">
        <f t="shared" si="152"/>
        <v>1.334106728538283</v>
      </c>
      <c r="H398" s="293">
        <v>9</v>
      </c>
      <c r="I398" s="235">
        <v>1.9</v>
      </c>
      <c r="J398" s="294">
        <v>19</v>
      </c>
      <c r="K398" s="399">
        <v>7</v>
      </c>
      <c r="L398" s="399">
        <v>1</v>
      </c>
      <c r="M398" s="399" t="s">
        <v>104</v>
      </c>
      <c r="N398" s="233">
        <v>25</v>
      </c>
      <c r="O398" s="279">
        <f t="shared" si="153"/>
        <v>44</v>
      </c>
      <c r="P398" s="279"/>
      <c r="Q398" s="279"/>
      <c r="R398" s="387">
        <v>2</v>
      </c>
      <c r="S398" s="295">
        <v>0.74</v>
      </c>
      <c r="T398" s="290" t="s">
        <v>64</v>
      </c>
      <c r="U398" s="292">
        <v>0.6</v>
      </c>
      <c r="V398" s="301" t="s">
        <v>65</v>
      </c>
      <c r="W398" s="301"/>
      <c r="X398" s="301"/>
      <c r="Y398" s="235">
        <v>0.73</v>
      </c>
      <c r="Z398" s="445" t="s">
        <v>64</v>
      </c>
      <c r="AA398" s="440">
        <v>0.6</v>
      </c>
      <c r="AB398" s="446" t="s">
        <v>65</v>
      </c>
      <c r="AC398" s="446"/>
      <c r="AD398" s="446"/>
      <c r="AE398" s="441"/>
      <c r="AF398" s="239">
        <f t="shared" si="154"/>
        <v>3.2188758248682006</v>
      </c>
      <c r="AG398" s="239">
        <f t="shared" si="155"/>
        <v>3.784189633918261</v>
      </c>
      <c r="AH398" s="240"/>
      <c r="AI398" s="240"/>
      <c r="AK398" s="265">
        <f t="shared" si="156"/>
        <v>50</v>
      </c>
      <c r="AL398" s="265">
        <f t="shared" si="157"/>
        <v>69</v>
      </c>
      <c r="AM398" s="239">
        <f t="shared" si="158"/>
        <v>3.912023005428146</v>
      </c>
      <c r="AN398" s="239">
        <f t="shared" si="159"/>
        <v>4.2341065045972597</v>
      </c>
      <c r="AO398" s="240"/>
      <c r="AP398" s="240"/>
      <c r="AR398" s="265">
        <f t="shared" si="150"/>
        <v>71.123740276209702</v>
      </c>
      <c r="AS398" s="265">
        <f t="shared" si="151"/>
        <v>97.767950320342393</v>
      </c>
      <c r="AT398" s="239">
        <f t="shared" si="160"/>
        <v>4.2644211808831045</v>
      </c>
      <c r="AU398" s="239">
        <f t="shared" si="161"/>
        <v>4.5825968169973494</v>
      </c>
      <c r="AX398" s="385"/>
      <c r="AY398" s="385"/>
      <c r="AZ398" s="385"/>
      <c r="BA398" s="385"/>
      <c r="BB398" s="239"/>
      <c r="BC398" s="239"/>
      <c r="BD398" s="240"/>
      <c r="BE398" s="240"/>
      <c r="BF398" s="136"/>
      <c r="BG398" s="136"/>
      <c r="BH398" s="136"/>
      <c r="BI398" s="136"/>
    </row>
    <row r="399" spans="1:61" x14ac:dyDescent="0.2">
      <c r="A399" s="232" t="s">
        <v>34</v>
      </c>
      <c r="B399" s="232" t="s">
        <v>260</v>
      </c>
      <c r="C399" s="264" t="s">
        <v>341</v>
      </c>
      <c r="D399" s="381" t="s">
        <v>304</v>
      </c>
      <c r="E399" s="293">
        <v>6.5</v>
      </c>
      <c r="F399" s="293">
        <v>1.7</v>
      </c>
      <c r="G399" s="280">
        <f t="shared" si="152"/>
        <v>0.9860788863109049</v>
      </c>
      <c r="H399" s="293">
        <v>8</v>
      </c>
      <c r="I399" s="235">
        <v>8.4</v>
      </c>
      <c r="J399" s="294">
        <v>13</v>
      </c>
      <c r="K399" s="399">
        <v>7</v>
      </c>
      <c r="L399" s="399">
        <v>1</v>
      </c>
      <c r="M399" s="399" t="s">
        <v>93</v>
      </c>
      <c r="N399" s="233">
        <v>100</v>
      </c>
      <c r="O399" s="279">
        <f t="shared" si="153"/>
        <v>113</v>
      </c>
      <c r="P399" s="279"/>
      <c r="Q399" s="279"/>
      <c r="R399" s="387">
        <v>2</v>
      </c>
      <c r="S399" s="295">
        <v>0.74</v>
      </c>
      <c r="T399" s="290" t="s">
        <v>64</v>
      </c>
      <c r="U399" s="292">
        <v>0.6</v>
      </c>
      <c r="V399" s="301" t="s">
        <v>65</v>
      </c>
      <c r="W399" s="301"/>
      <c r="X399" s="301"/>
      <c r="Y399" s="235">
        <v>0.73</v>
      </c>
      <c r="Z399" s="445" t="s">
        <v>64</v>
      </c>
      <c r="AA399" s="440">
        <v>0.6</v>
      </c>
      <c r="AB399" s="446" t="s">
        <v>65</v>
      </c>
      <c r="AC399" s="446"/>
      <c r="AD399" s="446"/>
      <c r="AE399" s="441"/>
      <c r="AF399" s="239">
        <f t="shared" si="154"/>
        <v>4.6051701859880918</v>
      </c>
      <c r="AG399" s="239">
        <f t="shared" si="155"/>
        <v>4.7273878187123408</v>
      </c>
      <c r="AH399" s="240"/>
      <c r="AI399" s="240"/>
      <c r="AK399" s="265">
        <f t="shared" si="156"/>
        <v>200</v>
      </c>
      <c r="AL399" s="265">
        <f t="shared" si="157"/>
        <v>213</v>
      </c>
      <c r="AM399" s="239">
        <f t="shared" si="158"/>
        <v>5.2983173665480363</v>
      </c>
      <c r="AN399" s="239">
        <f t="shared" si="159"/>
        <v>5.3612921657094255</v>
      </c>
      <c r="AO399" s="240"/>
      <c r="AP399" s="240"/>
      <c r="AR399" s="265">
        <f t="shared" si="150"/>
        <v>381.86731623942137</v>
      </c>
      <c r="AS399" s="265">
        <f t="shared" si="151"/>
        <v>403.87981091734838</v>
      </c>
      <c r="AT399" s="239">
        <f t="shared" si="160"/>
        <v>5.9450732085827953</v>
      </c>
      <c r="AU399" s="239">
        <f t="shared" si="161"/>
        <v>6.0011173359705863</v>
      </c>
      <c r="AX399" s="385"/>
      <c r="AY399" s="385"/>
      <c r="AZ399" s="385"/>
      <c r="BA399" s="385"/>
      <c r="BB399" s="239"/>
      <c r="BC399" s="239"/>
      <c r="BD399" s="240"/>
      <c r="BE399" s="240"/>
      <c r="BF399" s="136"/>
      <c r="BG399" s="136"/>
      <c r="BH399" s="136"/>
      <c r="BI399" s="136"/>
    </row>
    <row r="400" spans="1:61" s="165" customFormat="1" x14ac:dyDescent="0.2">
      <c r="A400" s="156" t="s">
        <v>34</v>
      </c>
      <c r="B400" s="156" t="s">
        <v>260</v>
      </c>
      <c r="C400" s="442" t="s">
        <v>341</v>
      </c>
      <c r="D400" s="391" t="s">
        <v>304</v>
      </c>
      <c r="E400" s="318">
        <v>6.5</v>
      </c>
      <c r="F400" s="318">
        <v>2.5</v>
      </c>
      <c r="G400" s="367">
        <f t="shared" si="152"/>
        <v>1.4501160092807426</v>
      </c>
      <c r="H400" s="318">
        <v>8</v>
      </c>
      <c r="I400" s="231">
        <v>11.6</v>
      </c>
      <c r="J400" s="329">
        <v>35</v>
      </c>
      <c r="K400" s="400">
        <v>7</v>
      </c>
      <c r="L400" s="400">
        <v>1</v>
      </c>
      <c r="M400" s="400" t="s">
        <v>104</v>
      </c>
      <c r="N400" s="160">
        <v>27</v>
      </c>
      <c r="O400" s="366">
        <f t="shared" si="153"/>
        <v>62</v>
      </c>
      <c r="P400" s="366"/>
      <c r="Q400" s="366"/>
      <c r="R400" s="361">
        <v>2</v>
      </c>
      <c r="S400" s="231">
        <v>0.74</v>
      </c>
      <c r="T400" s="326" t="s">
        <v>64</v>
      </c>
      <c r="U400" s="328">
        <v>0.6</v>
      </c>
      <c r="V400" s="314" t="s">
        <v>65</v>
      </c>
      <c r="W400" s="314"/>
      <c r="X400" s="314"/>
      <c r="Y400" s="231">
        <v>0.73</v>
      </c>
      <c r="Z400" s="326" t="s">
        <v>64</v>
      </c>
      <c r="AA400" s="328">
        <v>0.6</v>
      </c>
      <c r="AB400" s="314" t="s">
        <v>65</v>
      </c>
      <c r="AC400" s="314"/>
      <c r="AD400" s="314"/>
      <c r="AE400" s="443"/>
      <c r="AF400" s="166">
        <f t="shared" si="154"/>
        <v>3.2958368660043291</v>
      </c>
      <c r="AG400" s="166">
        <f t="shared" si="155"/>
        <v>4.1271343850450917</v>
      </c>
      <c r="AH400" s="169"/>
      <c r="AI400" s="169"/>
      <c r="AK400" s="168">
        <f t="shared" si="156"/>
        <v>54</v>
      </c>
      <c r="AL400" s="168">
        <f t="shared" si="157"/>
        <v>89</v>
      </c>
      <c r="AM400" s="166">
        <f t="shared" si="158"/>
        <v>3.9889840465642745</v>
      </c>
      <c r="AN400" s="166">
        <f t="shared" si="159"/>
        <v>4.4886363697321396</v>
      </c>
      <c r="AO400" s="169"/>
      <c r="AP400" s="169"/>
      <c r="AR400" s="168">
        <f t="shared" si="150"/>
        <v>77.505558223317522</v>
      </c>
      <c r="AS400" s="168">
        <f t="shared" si="151"/>
        <v>127.34856446477824</v>
      </c>
      <c r="AT400" s="166">
        <f t="shared" si="160"/>
        <v>4.3503496527981644</v>
      </c>
      <c r="AU400" s="166">
        <f t="shared" si="161"/>
        <v>4.846927929000552</v>
      </c>
      <c r="AV400" s="167"/>
      <c r="AW400" s="167"/>
      <c r="AX400" s="168"/>
      <c r="AY400" s="168"/>
      <c r="AZ400" s="168"/>
      <c r="BA400" s="168"/>
      <c r="BB400" s="166"/>
      <c r="BC400" s="166"/>
      <c r="BD400" s="169"/>
      <c r="BE400" s="169"/>
    </row>
    <row r="401" spans="1:61" x14ac:dyDescent="0.2">
      <c r="A401" s="232" t="s">
        <v>34</v>
      </c>
      <c r="B401" s="232" t="s">
        <v>260</v>
      </c>
      <c r="C401" s="264" t="s">
        <v>341</v>
      </c>
      <c r="D401" s="381" t="s">
        <v>342</v>
      </c>
      <c r="E401" s="382">
        <v>7.4</v>
      </c>
      <c r="F401" s="382">
        <v>2.4</v>
      </c>
      <c r="G401" s="280">
        <f t="shared" si="152"/>
        <v>1.3921113689095128</v>
      </c>
      <c r="H401" s="382">
        <v>19</v>
      </c>
      <c r="I401" s="300">
        <f>(30+4.4*E401)*(H401/100)+(-34.66+29.72*E401)*(F401/100)</f>
        <v>16.332832</v>
      </c>
      <c r="J401" s="382">
        <v>22</v>
      </c>
      <c r="K401" s="383">
        <v>540</v>
      </c>
      <c r="L401" s="383">
        <v>5</v>
      </c>
      <c r="M401" s="383" t="s">
        <v>93</v>
      </c>
      <c r="N401" s="382">
        <v>55</v>
      </c>
      <c r="O401" s="386">
        <f>N401+J401</f>
        <v>77</v>
      </c>
      <c r="P401" s="386"/>
      <c r="Q401" s="386"/>
      <c r="R401" s="449">
        <v>1</v>
      </c>
      <c r="S401" s="295">
        <v>0.74</v>
      </c>
      <c r="T401" s="290" t="s">
        <v>64</v>
      </c>
      <c r="U401" s="292">
        <v>0.6</v>
      </c>
      <c r="V401" s="301" t="s">
        <v>65</v>
      </c>
      <c r="W401" s="301"/>
      <c r="X401" s="301"/>
      <c r="Y401" s="235">
        <v>0.73</v>
      </c>
      <c r="Z401" s="445" t="s">
        <v>64</v>
      </c>
      <c r="AA401" s="440">
        <v>0.6</v>
      </c>
      <c r="AB401" s="446" t="s">
        <v>65</v>
      </c>
      <c r="AC401" s="446"/>
      <c r="AD401" s="446"/>
      <c r="AE401" s="441"/>
      <c r="AF401" s="239">
        <f t="shared" si="154"/>
        <v>4.0073331852324712</v>
      </c>
      <c r="AG401" s="239">
        <f t="shared" si="155"/>
        <v>4.3438054218536841</v>
      </c>
      <c r="AH401" s="240"/>
      <c r="AI401" s="240"/>
      <c r="AK401" s="265">
        <f t="shared" si="156"/>
        <v>55</v>
      </c>
      <c r="AL401" s="265">
        <f t="shared" si="157"/>
        <v>77</v>
      </c>
      <c r="AM401" s="239">
        <f t="shared" si="158"/>
        <v>4.0073331852324712</v>
      </c>
      <c r="AN401" s="239">
        <f t="shared" si="159"/>
        <v>4.3438054218536841</v>
      </c>
      <c r="AO401" s="240"/>
      <c r="AP401" s="240"/>
      <c r="AR401" s="265">
        <f t="shared" si="150"/>
        <v>48.419789538544165</v>
      </c>
      <c r="AS401" s="265">
        <f t="shared" si="151"/>
        <v>67.552060997052322</v>
      </c>
      <c r="AT401" s="239">
        <f t="shared" si="160"/>
        <v>3.8799086049193874</v>
      </c>
      <c r="AU401" s="239">
        <f t="shared" si="161"/>
        <v>4.2128985746299197</v>
      </c>
      <c r="AX401" s="385">
        <f>GEOMEAN(AR401:AR403)</f>
        <v>60.005069928509876</v>
      </c>
      <c r="AY401" s="385">
        <f>GEOMEAN(AS401:AS403)</f>
        <v>84.438803777062162</v>
      </c>
      <c r="AZ401" s="385">
        <f>MIN(AX401:AX403)</f>
        <v>60.005069928509876</v>
      </c>
      <c r="BA401" s="385">
        <f>MIN(AY401:AY403)</f>
        <v>84.438803777062162</v>
      </c>
      <c r="BB401" s="239">
        <f>LN(AZ401)</f>
        <v>4.0944290574607756</v>
      </c>
      <c r="BC401" s="239">
        <f>LN(BA401)</f>
        <v>4.4360270563362176</v>
      </c>
      <c r="BD401" s="240"/>
      <c r="BE401" s="240"/>
      <c r="BF401" s="136"/>
      <c r="BG401" s="136"/>
      <c r="BH401" s="136"/>
      <c r="BI401" s="136"/>
    </row>
    <row r="402" spans="1:61" x14ac:dyDescent="0.2">
      <c r="A402" s="232" t="s">
        <v>34</v>
      </c>
      <c r="B402" s="232" t="s">
        <v>260</v>
      </c>
      <c r="C402" s="264" t="s">
        <v>341</v>
      </c>
      <c r="D402" s="381" t="s">
        <v>342</v>
      </c>
      <c r="E402" s="382">
        <v>6.8</v>
      </c>
      <c r="F402" s="382">
        <v>3.2</v>
      </c>
      <c r="G402" s="280">
        <f t="shared" si="152"/>
        <v>1.8561484918793505</v>
      </c>
      <c r="H402" s="382">
        <v>60</v>
      </c>
      <c r="I402" s="300">
        <f>(30+4.4*E402)*(H402/100)+(-34.66+29.72*E402)*(F402/100)</f>
        <v>41.309951999999996</v>
      </c>
      <c r="J402" s="382">
        <v>52</v>
      </c>
      <c r="K402" s="383">
        <v>540</v>
      </c>
      <c r="L402" s="383">
        <v>5</v>
      </c>
      <c r="M402" s="383" t="s">
        <v>93</v>
      </c>
      <c r="N402" s="382">
        <v>55</v>
      </c>
      <c r="O402" s="386">
        <f>N402+J402</f>
        <v>107</v>
      </c>
      <c r="P402" s="386"/>
      <c r="Q402" s="386"/>
      <c r="R402" s="449">
        <v>1</v>
      </c>
      <c r="S402" s="295">
        <v>0.74</v>
      </c>
      <c r="T402" s="290" t="s">
        <v>64</v>
      </c>
      <c r="U402" s="292">
        <v>0.6</v>
      </c>
      <c r="V402" s="301" t="s">
        <v>65</v>
      </c>
      <c r="W402" s="301"/>
      <c r="X402" s="301"/>
      <c r="Y402" s="235">
        <v>0.73</v>
      </c>
      <c r="Z402" s="445" t="s">
        <v>64</v>
      </c>
      <c r="AA402" s="440">
        <v>0.6</v>
      </c>
      <c r="AB402" s="446" t="s">
        <v>65</v>
      </c>
      <c r="AC402" s="446"/>
      <c r="AD402" s="446"/>
      <c r="AE402" s="441"/>
      <c r="AF402" s="239">
        <f t="shared" si="154"/>
        <v>4.0073331852324712</v>
      </c>
      <c r="AG402" s="239">
        <f t="shared" si="155"/>
        <v>4.6728288344619058</v>
      </c>
      <c r="AH402" s="240"/>
      <c r="AI402" s="240"/>
      <c r="AK402" s="265">
        <f t="shared" si="156"/>
        <v>55</v>
      </c>
      <c r="AL402" s="265">
        <f t="shared" si="157"/>
        <v>107</v>
      </c>
      <c r="AM402" s="239">
        <f t="shared" si="158"/>
        <v>4.0073331852324712</v>
      </c>
      <c r="AN402" s="239">
        <f t="shared" si="159"/>
        <v>4.6728288344619058</v>
      </c>
      <c r="AO402" s="240"/>
      <c r="AP402" s="240"/>
      <c r="AR402" s="265">
        <f t="shared" si="150"/>
        <v>19.630422308330836</v>
      </c>
      <c r="AS402" s="265">
        <f t="shared" si="151"/>
        <v>38.166979260151159</v>
      </c>
      <c r="AT402" s="239">
        <f t="shared" si="160"/>
        <v>2.9770805214716733</v>
      </c>
      <c r="AU402" s="239">
        <f t="shared" si="161"/>
        <v>3.641970724514946</v>
      </c>
      <c r="AX402" s="385"/>
      <c r="AY402" s="385"/>
      <c r="AZ402" s="385"/>
      <c r="BA402" s="385"/>
      <c r="BB402" s="239"/>
      <c r="BC402" s="239"/>
      <c r="BD402" s="240"/>
      <c r="BE402" s="240"/>
      <c r="BF402" s="136"/>
      <c r="BG402" s="136"/>
      <c r="BH402" s="136"/>
      <c r="BI402" s="136"/>
    </row>
    <row r="403" spans="1:61" s="165" customFormat="1" x14ac:dyDescent="0.2">
      <c r="A403" s="156" t="s">
        <v>34</v>
      </c>
      <c r="B403" s="156" t="s">
        <v>260</v>
      </c>
      <c r="C403" s="442" t="s">
        <v>341</v>
      </c>
      <c r="D403" s="391" t="s">
        <v>342</v>
      </c>
      <c r="E403" s="392">
        <v>4.3</v>
      </c>
      <c r="F403" s="392">
        <v>12.8</v>
      </c>
      <c r="G403" s="367">
        <f t="shared" si="152"/>
        <v>7.424593967517402</v>
      </c>
      <c r="H403" s="392">
        <v>5</v>
      </c>
      <c r="I403" s="393">
        <f>(30+4.4*E403)*(H403/100)+(-34.66+29.72*E403)*(F403/100)</f>
        <v>14.367407999999999</v>
      </c>
      <c r="J403" s="392">
        <v>5.5</v>
      </c>
      <c r="K403" s="394">
        <v>540</v>
      </c>
      <c r="L403" s="394">
        <v>5</v>
      </c>
      <c r="M403" s="394" t="s">
        <v>93</v>
      </c>
      <c r="N403" s="392">
        <v>400</v>
      </c>
      <c r="O403" s="396">
        <f>N403+J403</f>
        <v>405.5</v>
      </c>
      <c r="P403" s="396"/>
      <c r="Q403" s="396"/>
      <c r="R403" s="450">
        <v>1</v>
      </c>
      <c r="S403" s="231">
        <v>0.74</v>
      </c>
      <c r="T403" s="326" t="s">
        <v>64</v>
      </c>
      <c r="U403" s="328">
        <v>0.6</v>
      </c>
      <c r="V403" s="314" t="s">
        <v>65</v>
      </c>
      <c r="W403" s="314"/>
      <c r="X403" s="314"/>
      <c r="Y403" s="231">
        <v>0.73</v>
      </c>
      <c r="Z403" s="326" t="s">
        <v>64</v>
      </c>
      <c r="AA403" s="328">
        <v>0.6</v>
      </c>
      <c r="AB403" s="314" t="s">
        <v>65</v>
      </c>
      <c r="AC403" s="314"/>
      <c r="AD403" s="314"/>
      <c r="AE403" s="443"/>
      <c r="AF403" s="166">
        <f t="shared" si="154"/>
        <v>5.9914645471079817</v>
      </c>
      <c r="AG403" s="166">
        <f t="shared" si="155"/>
        <v>6.0051208735554678</v>
      </c>
      <c r="AH403" s="169"/>
      <c r="AI403" s="169"/>
      <c r="AK403" s="168">
        <f t="shared" si="156"/>
        <v>400</v>
      </c>
      <c r="AL403" s="168">
        <f t="shared" si="157"/>
        <v>405.5</v>
      </c>
      <c r="AM403" s="166">
        <f t="shared" si="158"/>
        <v>5.9914645471079817</v>
      </c>
      <c r="AN403" s="166">
        <f t="shared" si="159"/>
        <v>6.0051208735554678</v>
      </c>
      <c r="AO403" s="169"/>
      <c r="AP403" s="169"/>
      <c r="AR403" s="168">
        <f t="shared" si="150"/>
        <v>227.30620881447504</v>
      </c>
      <c r="AS403" s="168">
        <f t="shared" si="151"/>
        <v>233.50695671188333</v>
      </c>
      <c r="AT403" s="166">
        <f t="shared" si="160"/>
        <v>5.4262980459912651</v>
      </c>
      <c r="AU403" s="166">
        <f t="shared" si="161"/>
        <v>5.4532118698637877</v>
      </c>
      <c r="AV403" s="167"/>
      <c r="AW403" s="167"/>
      <c r="AX403" s="168"/>
      <c r="AY403" s="168"/>
      <c r="AZ403" s="168"/>
      <c r="BA403" s="168"/>
      <c r="BB403" s="166"/>
      <c r="BC403" s="166"/>
      <c r="BD403" s="169"/>
      <c r="BE403" s="169"/>
    </row>
    <row r="404" spans="1:61" x14ac:dyDescent="0.2">
      <c r="A404" s="232" t="s">
        <v>34</v>
      </c>
      <c r="B404" s="232" t="s">
        <v>260</v>
      </c>
      <c r="C404" s="264" t="s">
        <v>341</v>
      </c>
      <c r="D404" s="381" t="s">
        <v>172</v>
      </c>
      <c r="E404" s="278">
        <v>3</v>
      </c>
      <c r="F404" s="278">
        <v>8.1964840000000017</v>
      </c>
      <c r="G404" s="278">
        <f t="shared" si="152"/>
        <v>4.7543410672853836</v>
      </c>
      <c r="H404" s="278">
        <v>7</v>
      </c>
      <c r="I404" s="235">
        <v>5.8</v>
      </c>
      <c r="J404" s="279">
        <v>1.68867238431225</v>
      </c>
      <c r="K404" s="399">
        <v>7</v>
      </c>
      <c r="L404" s="399">
        <v>28</v>
      </c>
      <c r="M404" s="399" t="s">
        <v>93</v>
      </c>
      <c r="N404" s="233">
        <v>2400</v>
      </c>
      <c r="O404" s="279">
        <f t="shared" ref="O404:O421" si="162">J404+N404</f>
        <v>2401.6886723843122</v>
      </c>
      <c r="P404" s="279"/>
      <c r="Q404" s="279"/>
      <c r="R404" s="387">
        <v>2</v>
      </c>
      <c r="S404" s="295">
        <v>-0.36</v>
      </c>
      <c r="T404" s="290" t="s">
        <v>5</v>
      </c>
      <c r="U404" s="295">
        <v>0.73</v>
      </c>
      <c r="V404" s="290" t="s">
        <v>37</v>
      </c>
      <c r="W404" s="290"/>
      <c r="X404" s="290"/>
      <c r="Y404" s="235">
        <v>-0.34</v>
      </c>
      <c r="Z404" s="445" t="s">
        <v>5</v>
      </c>
      <c r="AA404" s="235">
        <v>0.72</v>
      </c>
      <c r="AB404" s="445" t="s">
        <v>37</v>
      </c>
      <c r="AC404" s="445"/>
      <c r="AD404" s="445"/>
      <c r="AE404" s="451"/>
      <c r="AF404" s="239">
        <f t="shared" si="154"/>
        <v>7.7832240163360371</v>
      </c>
      <c r="AG404" s="239">
        <f t="shared" si="155"/>
        <v>7.783927382409578</v>
      </c>
      <c r="AH404" s="240"/>
      <c r="AI404" s="240"/>
      <c r="AK404" s="265">
        <f t="shared" si="156"/>
        <v>4800</v>
      </c>
      <c r="AL404" s="265">
        <f t="shared" si="157"/>
        <v>4801.6886723843127</v>
      </c>
      <c r="AM404" s="239">
        <f t="shared" si="158"/>
        <v>8.4763711968959825</v>
      </c>
      <c r="AN404" s="239">
        <f t="shared" si="159"/>
        <v>8.4767229417732306</v>
      </c>
      <c r="AO404" s="240"/>
      <c r="AP404" s="240"/>
      <c r="AR404" s="265">
        <f t="shared" ref="AR404:AR423" si="163">AK404*(((10^-pH)/(10^-E404))^-S404)*((eCEC/I404)^U404)</f>
        <v>427.38616745419796</v>
      </c>
      <c r="AS404" s="265">
        <f t="shared" ref="AS404:AS423" si="164">AL404*(((10^-pH)/(10^-E404))^-Y404)*((eCEC/I404)^AA404)</f>
        <v>499.00198646216012</v>
      </c>
      <c r="AT404" s="239">
        <f t="shared" si="160"/>
        <v>6.0576879779584027</v>
      </c>
      <c r="AU404" s="239">
        <f t="shared" si="161"/>
        <v>6.2126100766296872</v>
      </c>
      <c r="AX404" s="385">
        <f>GEOMEAN(AR404:AR421)</f>
        <v>207.3167817689064</v>
      </c>
      <c r="AY404" s="385">
        <f>GEOMEAN(AS404:AS421)</f>
        <v>234.64444866560984</v>
      </c>
      <c r="AZ404" s="385">
        <f>MIN(AX404:AX421)</f>
        <v>207.3167817689064</v>
      </c>
      <c r="BA404" s="385">
        <f>MIN(AY404:AY421)</f>
        <v>234.64444866560984</v>
      </c>
      <c r="BB404" s="239">
        <f>LN(AZ404)</f>
        <v>5.3342479701878371</v>
      </c>
      <c r="BC404" s="239">
        <f>LN(BA404)</f>
        <v>5.4580713840258186</v>
      </c>
      <c r="BD404" s="240"/>
      <c r="BE404" s="240"/>
      <c r="BF404" s="136"/>
      <c r="BG404" s="136"/>
      <c r="BH404" s="136"/>
      <c r="BI404" s="136"/>
    </row>
    <row r="405" spans="1:61" x14ac:dyDescent="0.2">
      <c r="A405" s="232" t="s">
        <v>34</v>
      </c>
      <c r="B405" s="232" t="s">
        <v>260</v>
      </c>
      <c r="C405" s="264" t="s">
        <v>341</v>
      </c>
      <c r="D405" s="381" t="s">
        <v>172</v>
      </c>
      <c r="E405" s="278">
        <v>3.4</v>
      </c>
      <c r="F405" s="278">
        <v>8.3137760000000025</v>
      </c>
      <c r="G405" s="278">
        <f t="shared" si="152"/>
        <v>4.8223758700696067</v>
      </c>
      <c r="H405" s="278">
        <v>13</v>
      </c>
      <c r="I405" s="235">
        <v>6.7</v>
      </c>
      <c r="J405" s="279">
        <v>17.263011488299419</v>
      </c>
      <c r="K405" s="399">
        <v>7</v>
      </c>
      <c r="L405" s="399">
        <v>28</v>
      </c>
      <c r="M405" s="399" t="s">
        <v>93</v>
      </c>
      <c r="N405" s="233">
        <v>1200</v>
      </c>
      <c r="O405" s="279">
        <f t="shared" si="162"/>
        <v>1217.2630114882995</v>
      </c>
      <c r="P405" s="279"/>
      <c r="Q405" s="279"/>
      <c r="R405" s="387">
        <v>2</v>
      </c>
      <c r="S405" s="295">
        <v>-0.36</v>
      </c>
      <c r="T405" s="290" t="s">
        <v>5</v>
      </c>
      <c r="U405" s="295">
        <v>0.73</v>
      </c>
      <c r="V405" s="290" t="s">
        <v>37</v>
      </c>
      <c r="W405" s="290"/>
      <c r="X405" s="290"/>
      <c r="Y405" s="235">
        <v>-0.34</v>
      </c>
      <c r="Z405" s="445" t="s">
        <v>5</v>
      </c>
      <c r="AA405" s="235">
        <v>0.72</v>
      </c>
      <c r="AB405" s="445" t="s">
        <v>37</v>
      </c>
      <c r="AC405" s="445"/>
      <c r="AD405" s="445"/>
      <c r="AE405" s="451"/>
      <c r="AF405" s="239">
        <f t="shared" si="154"/>
        <v>7.0900768357760917</v>
      </c>
      <c r="AG405" s="239">
        <f t="shared" si="155"/>
        <v>7.1043601842546433</v>
      </c>
      <c r="AH405" s="240"/>
      <c r="AI405" s="240"/>
      <c r="AK405" s="265">
        <f t="shared" si="156"/>
        <v>2400</v>
      </c>
      <c r="AL405" s="265">
        <f t="shared" si="157"/>
        <v>2417.2630114882995</v>
      </c>
      <c r="AM405" s="239">
        <f t="shared" si="158"/>
        <v>7.7832240163360371</v>
      </c>
      <c r="AN405" s="239">
        <f t="shared" si="159"/>
        <v>7.7903911921140061</v>
      </c>
      <c r="AO405" s="240"/>
      <c r="AP405" s="240"/>
      <c r="AR405" s="265">
        <f t="shared" si="163"/>
        <v>267.95279751769954</v>
      </c>
      <c r="AS405" s="265">
        <f t="shared" si="164"/>
        <v>309.68949957356301</v>
      </c>
      <c r="AT405" s="239">
        <f t="shared" si="160"/>
        <v>5.5908108363330813</v>
      </c>
      <c r="AU405" s="239">
        <f t="shared" si="161"/>
        <v>5.735570181249579</v>
      </c>
      <c r="AX405" s="385"/>
      <c r="AY405" s="385"/>
      <c r="AZ405" s="385"/>
      <c r="BA405" s="385"/>
      <c r="BB405" s="239"/>
      <c r="BC405" s="239"/>
      <c r="BD405" s="240"/>
      <c r="BE405" s="240"/>
      <c r="BF405" s="136"/>
      <c r="BG405" s="136"/>
      <c r="BH405" s="136"/>
      <c r="BI405" s="136"/>
    </row>
    <row r="406" spans="1:61" x14ac:dyDescent="0.2">
      <c r="A406" s="232" t="s">
        <v>34</v>
      </c>
      <c r="B406" s="232" t="s">
        <v>260</v>
      </c>
      <c r="C406" s="264" t="s">
        <v>341</v>
      </c>
      <c r="D406" s="381" t="s">
        <v>172</v>
      </c>
      <c r="E406" s="278">
        <v>4.2</v>
      </c>
      <c r="F406" s="278">
        <v>20.711168000000004</v>
      </c>
      <c r="G406" s="278">
        <f t="shared" si="152"/>
        <v>12.013438515081209</v>
      </c>
      <c r="H406" s="278">
        <v>13</v>
      </c>
      <c r="I406" s="235">
        <v>15.2</v>
      </c>
      <c r="J406" s="279">
        <v>13.776181638478517</v>
      </c>
      <c r="K406" s="399">
        <v>7</v>
      </c>
      <c r="L406" s="399">
        <v>28</v>
      </c>
      <c r="M406" s="399" t="s">
        <v>93</v>
      </c>
      <c r="N406" s="233">
        <v>1200</v>
      </c>
      <c r="O406" s="279">
        <f t="shared" si="162"/>
        <v>1213.7761816384784</v>
      </c>
      <c r="P406" s="279"/>
      <c r="Q406" s="279"/>
      <c r="R406" s="387">
        <v>2</v>
      </c>
      <c r="S406" s="295">
        <v>-0.36</v>
      </c>
      <c r="T406" s="290" t="s">
        <v>5</v>
      </c>
      <c r="U406" s="295">
        <v>0.73</v>
      </c>
      <c r="V406" s="290" t="s">
        <v>37</v>
      </c>
      <c r="W406" s="290"/>
      <c r="X406" s="290"/>
      <c r="Y406" s="235">
        <v>-0.34</v>
      </c>
      <c r="Z406" s="445" t="s">
        <v>5</v>
      </c>
      <c r="AA406" s="235">
        <v>0.72</v>
      </c>
      <c r="AB406" s="445" t="s">
        <v>37</v>
      </c>
      <c r="AC406" s="445"/>
      <c r="AD406" s="445"/>
      <c r="AE406" s="451"/>
      <c r="AF406" s="239">
        <f t="shared" si="154"/>
        <v>7.0900768357760917</v>
      </c>
      <c r="AG406" s="239">
        <f t="shared" si="155"/>
        <v>7.1014915902387807</v>
      </c>
      <c r="AH406" s="240"/>
      <c r="AI406" s="240"/>
      <c r="AK406" s="265">
        <f t="shared" si="156"/>
        <v>2400</v>
      </c>
      <c r="AL406" s="265">
        <f t="shared" si="157"/>
        <v>2413.7761816384786</v>
      </c>
      <c r="AM406" s="239">
        <f t="shared" si="158"/>
        <v>7.7832240163360371</v>
      </c>
      <c r="AN406" s="239">
        <f t="shared" si="159"/>
        <v>7.7889476805563893</v>
      </c>
      <c r="AO406" s="240"/>
      <c r="AP406" s="240"/>
      <c r="AR406" s="265">
        <f t="shared" si="163"/>
        <v>285.98752044295674</v>
      </c>
      <c r="AS406" s="265">
        <f t="shared" si="164"/>
        <v>320.73477193501844</v>
      </c>
      <c r="AT406" s="239">
        <f t="shared" si="160"/>
        <v>5.6559481750529894</v>
      </c>
      <c r="AU406" s="239">
        <f t="shared" si="161"/>
        <v>5.7706145259385204</v>
      </c>
      <c r="AX406" s="385"/>
      <c r="AY406" s="385"/>
      <c r="AZ406" s="385"/>
      <c r="BA406" s="385"/>
      <c r="BB406" s="239"/>
      <c r="BC406" s="239"/>
      <c r="BD406" s="240"/>
      <c r="BE406" s="240"/>
      <c r="BF406" s="136"/>
      <c r="BG406" s="136"/>
      <c r="BH406" s="136"/>
      <c r="BI406" s="136"/>
    </row>
    <row r="407" spans="1:61" x14ac:dyDescent="0.2">
      <c r="A407" s="232" t="s">
        <v>34</v>
      </c>
      <c r="B407" s="232" t="s">
        <v>260</v>
      </c>
      <c r="C407" s="264" t="s">
        <v>341</v>
      </c>
      <c r="D407" s="381" t="s">
        <v>172</v>
      </c>
      <c r="E407" s="278">
        <v>4.7</v>
      </c>
      <c r="F407" s="278">
        <v>37.316435200000001</v>
      </c>
      <c r="G407" s="278">
        <f t="shared" si="152"/>
        <v>21.645264037122971</v>
      </c>
      <c r="H407" s="278">
        <v>24</v>
      </c>
      <c r="I407" s="235">
        <v>35.299999999999997</v>
      </c>
      <c r="J407" s="279">
        <v>69.686668003909702</v>
      </c>
      <c r="K407" s="399">
        <v>7</v>
      </c>
      <c r="L407" s="399">
        <v>28</v>
      </c>
      <c r="M407" s="399" t="s">
        <v>93</v>
      </c>
      <c r="N407" s="233">
        <v>300</v>
      </c>
      <c r="O407" s="279">
        <f t="shared" si="162"/>
        <v>369.68666800390969</v>
      </c>
      <c r="P407" s="279"/>
      <c r="Q407" s="279"/>
      <c r="R407" s="387">
        <v>2</v>
      </c>
      <c r="S407" s="295">
        <v>-0.36</v>
      </c>
      <c r="T407" s="290" t="s">
        <v>5</v>
      </c>
      <c r="U407" s="295">
        <v>0.73</v>
      </c>
      <c r="V407" s="290" t="s">
        <v>37</v>
      </c>
      <c r="W407" s="290"/>
      <c r="X407" s="290"/>
      <c r="Y407" s="235">
        <v>-0.34</v>
      </c>
      <c r="Z407" s="445" t="s">
        <v>5</v>
      </c>
      <c r="AA407" s="235">
        <v>0.72</v>
      </c>
      <c r="AB407" s="445" t="s">
        <v>37</v>
      </c>
      <c r="AC407" s="445"/>
      <c r="AD407" s="445"/>
      <c r="AE407" s="451"/>
      <c r="AF407" s="239">
        <f t="shared" si="154"/>
        <v>5.7037824746562009</v>
      </c>
      <c r="AG407" s="239">
        <f t="shared" si="155"/>
        <v>5.9126558036312984</v>
      </c>
      <c r="AH407" s="240"/>
      <c r="AI407" s="240"/>
      <c r="AK407" s="265">
        <f t="shared" si="156"/>
        <v>600</v>
      </c>
      <c r="AL407" s="265">
        <f t="shared" si="157"/>
        <v>669.68666800390974</v>
      </c>
      <c r="AM407" s="239">
        <f t="shared" si="158"/>
        <v>6.3969296552161463</v>
      </c>
      <c r="AN407" s="239">
        <f t="shared" si="159"/>
        <v>6.5068099433024535</v>
      </c>
      <c r="AO407" s="240"/>
      <c r="AP407" s="240"/>
      <c r="AR407" s="265">
        <f t="shared" si="163"/>
        <v>58.500203293158727</v>
      </c>
      <c r="AS407" s="265">
        <f t="shared" si="164"/>
        <v>71.754690728581579</v>
      </c>
      <c r="AT407" s="239">
        <f t="shared" si="160"/>
        <v>4.0690302293285034</v>
      </c>
      <c r="AU407" s="239">
        <f t="shared" si="161"/>
        <v>4.2732532285109182</v>
      </c>
      <c r="AX407" s="385"/>
      <c r="AY407" s="385"/>
      <c r="AZ407" s="385"/>
      <c r="BA407" s="385"/>
      <c r="BB407" s="239"/>
      <c r="BC407" s="239"/>
      <c r="BD407" s="240"/>
      <c r="BE407" s="240"/>
      <c r="BF407" s="136"/>
      <c r="BG407" s="136"/>
      <c r="BH407" s="136"/>
      <c r="BI407" s="136"/>
    </row>
    <row r="408" spans="1:61" x14ac:dyDescent="0.2">
      <c r="A408" s="232" t="s">
        <v>34</v>
      </c>
      <c r="B408" s="232" t="s">
        <v>260</v>
      </c>
      <c r="C408" s="264" t="s">
        <v>341</v>
      </c>
      <c r="D408" s="381" t="s">
        <v>172</v>
      </c>
      <c r="E408" s="278">
        <v>4.7</v>
      </c>
      <c r="F408" s="278">
        <v>2.6084792000000001</v>
      </c>
      <c r="G408" s="278">
        <f t="shared" si="152"/>
        <v>1.5130389791183296</v>
      </c>
      <c r="H408" s="278">
        <v>7</v>
      </c>
      <c r="I408" s="235">
        <v>2.4</v>
      </c>
      <c r="J408" s="279">
        <v>6.19288957375585</v>
      </c>
      <c r="K408" s="399">
        <v>7</v>
      </c>
      <c r="L408" s="399">
        <v>28</v>
      </c>
      <c r="M408" s="399" t="s">
        <v>93</v>
      </c>
      <c r="N408" s="233">
        <v>50</v>
      </c>
      <c r="O408" s="279">
        <f t="shared" si="162"/>
        <v>56.192889573755849</v>
      </c>
      <c r="P408" s="279"/>
      <c r="Q408" s="279"/>
      <c r="R408" s="387">
        <v>2</v>
      </c>
      <c r="S408" s="295">
        <v>-0.36</v>
      </c>
      <c r="T408" s="290" t="s">
        <v>5</v>
      </c>
      <c r="U408" s="295">
        <v>0.73</v>
      </c>
      <c r="V408" s="290" t="s">
        <v>37</v>
      </c>
      <c r="W408" s="290"/>
      <c r="X408" s="290"/>
      <c r="Y408" s="235">
        <v>-0.34</v>
      </c>
      <c r="Z408" s="445" t="s">
        <v>5</v>
      </c>
      <c r="AA408" s="235">
        <v>0.72</v>
      </c>
      <c r="AB408" s="445" t="s">
        <v>37</v>
      </c>
      <c r="AC408" s="445"/>
      <c r="AD408" s="445"/>
      <c r="AE408" s="451"/>
      <c r="AF408" s="239">
        <f t="shared" si="154"/>
        <v>3.912023005428146</v>
      </c>
      <c r="AG408" s="239">
        <f t="shared" si="155"/>
        <v>4.0287902288553781</v>
      </c>
      <c r="AH408" s="240"/>
      <c r="AI408" s="240"/>
      <c r="AK408" s="265">
        <f t="shared" si="156"/>
        <v>100</v>
      </c>
      <c r="AL408" s="265">
        <f t="shared" si="157"/>
        <v>106.19288957375585</v>
      </c>
      <c r="AM408" s="239">
        <f t="shared" si="158"/>
        <v>4.6051701859880918</v>
      </c>
      <c r="AN408" s="239">
        <f t="shared" si="159"/>
        <v>4.6652571534002343</v>
      </c>
      <c r="AO408" s="240"/>
      <c r="AP408" s="240"/>
      <c r="AR408" s="265">
        <f t="shared" si="163"/>
        <v>69.394883881440279</v>
      </c>
      <c r="AS408" s="265">
        <f t="shared" si="164"/>
        <v>78.835127796424359</v>
      </c>
      <c r="AT408" s="239">
        <f t="shared" si="160"/>
        <v>4.2398131455077541</v>
      </c>
      <c r="AU408" s="239">
        <f t="shared" si="161"/>
        <v>4.3673586817501517</v>
      </c>
      <c r="AX408" s="385"/>
      <c r="AY408" s="385"/>
      <c r="AZ408" s="385"/>
      <c r="BA408" s="385"/>
      <c r="BB408" s="239"/>
      <c r="BC408" s="239"/>
      <c r="BD408" s="240"/>
      <c r="BE408" s="240"/>
      <c r="BF408" s="136"/>
      <c r="BG408" s="136"/>
      <c r="BH408" s="136"/>
      <c r="BI408" s="136"/>
    </row>
    <row r="409" spans="1:61" x14ac:dyDescent="0.2">
      <c r="A409" s="232" t="s">
        <v>34</v>
      </c>
      <c r="B409" s="232" t="s">
        <v>260</v>
      </c>
      <c r="C409" s="264" t="s">
        <v>341</v>
      </c>
      <c r="D409" s="381" t="s">
        <v>172</v>
      </c>
      <c r="E409" s="278">
        <v>4.8</v>
      </c>
      <c r="F409" s="278">
        <v>0.65026320000000004</v>
      </c>
      <c r="G409" s="278">
        <f t="shared" si="152"/>
        <v>0.37718283062645014</v>
      </c>
      <c r="H409" s="278">
        <v>38</v>
      </c>
      <c r="I409" s="235">
        <v>11.2</v>
      </c>
      <c r="J409" s="279">
        <v>31.015303901596727</v>
      </c>
      <c r="K409" s="399">
        <v>7</v>
      </c>
      <c r="L409" s="399">
        <v>28</v>
      </c>
      <c r="M409" s="399" t="s">
        <v>93</v>
      </c>
      <c r="N409" s="233">
        <v>200</v>
      </c>
      <c r="O409" s="279">
        <f t="shared" si="162"/>
        <v>231.01530390159672</v>
      </c>
      <c r="P409" s="279"/>
      <c r="Q409" s="279"/>
      <c r="R409" s="387">
        <v>2</v>
      </c>
      <c r="S409" s="295">
        <v>-0.36</v>
      </c>
      <c r="T409" s="290" t="s">
        <v>5</v>
      </c>
      <c r="U409" s="295">
        <v>0.73</v>
      </c>
      <c r="V409" s="290" t="s">
        <v>37</v>
      </c>
      <c r="W409" s="290"/>
      <c r="X409" s="290"/>
      <c r="Y409" s="235">
        <v>-0.34</v>
      </c>
      <c r="Z409" s="445" t="s">
        <v>5</v>
      </c>
      <c r="AA409" s="235">
        <v>0.72</v>
      </c>
      <c r="AB409" s="445" t="s">
        <v>37</v>
      </c>
      <c r="AC409" s="445"/>
      <c r="AD409" s="445"/>
      <c r="AE409" s="451"/>
      <c r="AF409" s="239">
        <f t="shared" si="154"/>
        <v>5.2983173665480363</v>
      </c>
      <c r="AG409" s="239">
        <f t="shared" si="155"/>
        <v>5.442483958983579</v>
      </c>
      <c r="AH409" s="240"/>
      <c r="AI409" s="240"/>
      <c r="AK409" s="265">
        <f t="shared" si="156"/>
        <v>400</v>
      </c>
      <c r="AL409" s="265">
        <f t="shared" si="157"/>
        <v>431.01530390159672</v>
      </c>
      <c r="AM409" s="239">
        <f t="shared" si="158"/>
        <v>5.9914645471079817</v>
      </c>
      <c r="AN409" s="239">
        <f t="shared" si="159"/>
        <v>6.0661435973656932</v>
      </c>
      <c r="AO409" s="240"/>
      <c r="AP409" s="240"/>
      <c r="AR409" s="265">
        <f t="shared" si="163"/>
        <v>97.951816567519273</v>
      </c>
      <c r="AS409" s="265">
        <f t="shared" si="164"/>
        <v>114.13849613401383</v>
      </c>
      <c r="AT409" s="239">
        <f t="shared" si="160"/>
        <v>4.5844756900840116</v>
      </c>
      <c r="AU409" s="239">
        <f t="shared" si="161"/>
        <v>4.7374125893954604</v>
      </c>
      <c r="AX409" s="385"/>
      <c r="AY409" s="385"/>
      <c r="AZ409" s="385"/>
      <c r="BA409" s="385"/>
      <c r="BB409" s="239"/>
      <c r="BC409" s="239"/>
      <c r="BD409" s="240"/>
      <c r="BE409" s="240"/>
      <c r="BF409" s="136"/>
      <c r="BG409" s="136"/>
      <c r="BH409" s="136"/>
      <c r="BI409" s="136"/>
    </row>
    <row r="410" spans="1:61" x14ac:dyDescent="0.2">
      <c r="A410" s="232" t="s">
        <v>34</v>
      </c>
      <c r="B410" s="232" t="s">
        <v>260</v>
      </c>
      <c r="C410" s="264" t="s">
        <v>341</v>
      </c>
      <c r="D410" s="381" t="s">
        <v>172</v>
      </c>
      <c r="E410" s="278">
        <v>5.0999999999999996</v>
      </c>
      <c r="F410" s="278">
        <v>3.75284</v>
      </c>
      <c r="G410" s="278">
        <f t="shared" si="152"/>
        <v>2.1768213457076566</v>
      </c>
      <c r="H410" s="278">
        <v>9</v>
      </c>
      <c r="I410" s="235">
        <v>4.7</v>
      </c>
      <c r="J410" s="279">
        <v>8.4849975914563824</v>
      </c>
      <c r="K410" s="399">
        <v>7</v>
      </c>
      <c r="L410" s="399">
        <v>28</v>
      </c>
      <c r="M410" s="399" t="s">
        <v>93</v>
      </c>
      <c r="N410" s="233">
        <v>100</v>
      </c>
      <c r="O410" s="279">
        <f t="shared" si="162"/>
        <v>108.48499759145638</v>
      </c>
      <c r="P410" s="279"/>
      <c r="Q410" s="279"/>
      <c r="R410" s="387">
        <v>2</v>
      </c>
      <c r="S410" s="295">
        <v>-0.36</v>
      </c>
      <c r="T410" s="290" t="s">
        <v>5</v>
      </c>
      <c r="U410" s="295">
        <v>0.73</v>
      </c>
      <c r="V410" s="290" t="s">
        <v>37</v>
      </c>
      <c r="W410" s="290"/>
      <c r="X410" s="290"/>
      <c r="Y410" s="235">
        <v>-0.34</v>
      </c>
      <c r="Z410" s="445" t="s">
        <v>5</v>
      </c>
      <c r="AA410" s="235">
        <v>0.72</v>
      </c>
      <c r="AB410" s="445" t="s">
        <v>37</v>
      </c>
      <c r="AC410" s="445"/>
      <c r="AD410" s="445"/>
      <c r="AE410" s="451"/>
      <c r="AF410" s="239">
        <f t="shared" si="154"/>
        <v>4.6051701859880918</v>
      </c>
      <c r="AG410" s="239">
        <f t="shared" si="155"/>
        <v>4.6866118923737066</v>
      </c>
      <c r="AH410" s="240"/>
      <c r="AI410" s="240"/>
      <c r="AK410" s="265">
        <f t="shared" si="156"/>
        <v>200</v>
      </c>
      <c r="AL410" s="265">
        <f t="shared" si="157"/>
        <v>208.48499759145639</v>
      </c>
      <c r="AM410" s="239">
        <f t="shared" si="158"/>
        <v>5.2983173665480363</v>
      </c>
      <c r="AN410" s="239">
        <f t="shared" si="159"/>
        <v>5.3398670846522318</v>
      </c>
      <c r="AO410" s="240"/>
      <c r="AP410" s="240"/>
      <c r="AR410" s="265">
        <f t="shared" si="163"/>
        <v>118.38051342723875</v>
      </c>
      <c r="AS410" s="265">
        <f t="shared" si="164"/>
        <v>130.47904905946572</v>
      </c>
      <c r="AT410" s="239">
        <f t="shared" si="160"/>
        <v>4.7739041263644992</v>
      </c>
      <c r="AU410" s="239">
        <f t="shared" si="161"/>
        <v>4.8712126702686174</v>
      </c>
      <c r="AX410" s="385"/>
      <c r="AY410" s="385"/>
      <c r="AZ410" s="385"/>
      <c r="BA410" s="385"/>
      <c r="BB410" s="239"/>
      <c r="BC410" s="239"/>
      <c r="BD410" s="240"/>
      <c r="BE410" s="240"/>
      <c r="BF410" s="136"/>
      <c r="BG410" s="136"/>
      <c r="BH410" s="136"/>
      <c r="BI410" s="136"/>
    </row>
    <row r="411" spans="1:61" x14ac:dyDescent="0.2">
      <c r="A411" s="232" t="s">
        <v>34</v>
      </c>
      <c r="B411" s="232" t="s">
        <v>260</v>
      </c>
      <c r="C411" s="264" t="s">
        <v>341</v>
      </c>
      <c r="D411" s="381" t="s">
        <v>172</v>
      </c>
      <c r="E411" s="278">
        <v>5.2</v>
      </c>
      <c r="F411" s="278">
        <v>1.2091624000000001</v>
      </c>
      <c r="G411" s="278">
        <f t="shared" si="152"/>
        <v>0.70137030162412994</v>
      </c>
      <c r="H411" s="278">
        <v>9</v>
      </c>
      <c r="I411" s="235">
        <v>2.5</v>
      </c>
      <c r="J411" s="279">
        <v>4.5938169731159029</v>
      </c>
      <c r="K411" s="399">
        <v>7</v>
      </c>
      <c r="L411" s="399">
        <v>28</v>
      </c>
      <c r="M411" s="399" t="s">
        <v>93</v>
      </c>
      <c r="N411" s="233">
        <v>50</v>
      </c>
      <c r="O411" s="279">
        <f t="shared" si="162"/>
        <v>54.593816973115906</v>
      </c>
      <c r="P411" s="279"/>
      <c r="Q411" s="279"/>
      <c r="R411" s="387">
        <v>2</v>
      </c>
      <c r="S411" s="295">
        <v>-0.36</v>
      </c>
      <c r="T411" s="290" t="s">
        <v>5</v>
      </c>
      <c r="U411" s="295">
        <v>0.73</v>
      </c>
      <c r="V411" s="290" t="s">
        <v>37</v>
      </c>
      <c r="W411" s="290"/>
      <c r="X411" s="290"/>
      <c r="Y411" s="235">
        <v>-0.34</v>
      </c>
      <c r="Z411" s="445" t="s">
        <v>5</v>
      </c>
      <c r="AA411" s="235">
        <v>0.72</v>
      </c>
      <c r="AB411" s="445" t="s">
        <v>37</v>
      </c>
      <c r="AC411" s="445"/>
      <c r="AD411" s="445"/>
      <c r="AE411" s="451"/>
      <c r="AF411" s="239">
        <f t="shared" si="154"/>
        <v>3.912023005428146</v>
      </c>
      <c r="AG411" s="239">
        <f t="shared" si="155"/>
        <v>3.999920634087847</v>
      </c>
      <c r="AH411" s="240"/>
      <c r="AI411" s="240"/>
      <c r="AK411" s="265">
        <f t="shared" si="156"/>
        <v>100</v>
      </c>
      <c r="AL411" s="265">
        <f t="shared" si="157"/>
        <v>104.59381697311591</v>
      </c>
      <c r="AM411" s="239">
        <f t="shared" si="158"/>
        <v>4.6051701859880918</v>
      </c>
      <c r="AN411" s="239">
        <f t="shared" si="159"/>
        <v>4.65008443872801</v>
      </c>
      <c r="AO411" s="240"/>
      <c r="AP411" s="240"/>
      <c r="AR411" s="265">
        <f t="shared" si="163"/>
        <v>101.94958294648782</v>
      </c>
      <c r="AS411" s="265">
        <f t="shared" si="164"/>
        <v>111.5233065969592</v>
      </c>
      <c r="AT411" s="239">
        <f t="shared" si="160"/>
        <v>4.6244784062468964</v>
      </c>
      <c r="AU411" s="239">
        <f t="shared" si="161"/>
        <v>4.7142335968323303</v>
      </c>
      <c r="AX411" s="385"/>
      <c r="AY411" s="385"/>
      <c r="AZ411" s="385"/>
      <c r="BA411" s="385"/>
      <c r="BB411" s="239"/>
      <c r="BC411" s="239"/>
      <c r="BD411" s="240"/>
      <c r="BE411" s="240"/>
      <c r="BF411" s="136"/>
      <c r="BG411" s="136"/>
      <c r="BH411" s="136"/>
      <c r="BI411" s="136"/>
    </row>
    <row r="412" spans="1:61" x14ac:dyDescent="0.2">
      <c r="A412" s="232" t="s">
        <v>34</v>
      </c>
      <c r="B412" s="232" t="s">
        <v>260</v>
      </c>
      <c r="C412" s="264" t="s">
        <v>341</v>
      </c>
      <c r="D412" s="381" t="s">
        <v>172</v>
      </c>
      <c r="E412" s="278">
        <v>5.4</v>
      </c>
      <c r="F412" s="278">
        <v>1.39886</v>
      </c>
      <c r="G412" s="278">
        <f t="shared" si="152"/>
        <v>0.81140371229698371</v>
      </c>
      <c r="H412" s="278">
        <v>51</v>
      </c>
      <c r="I412" s="235">
        <v>22.6</v>
      </c>
      <c r="J412" s="279">
        <v>21.113151960209731</v>
      </c>
      <c r="K412" s="399">
        <v>7</v>
      </c>
      <c r="L412" s="399">
        <v>28</v>
      </c>
      <c r="M412" s="399" t="s">
        <v>93</v>
      </c>
      <c r="N412" s="233">
        <v>400</v>
      </c>
      <c r="O412" s="279">
        <f t="shared" si="162"/>
        <v>421.11315196020973</v>
      </c>
      <c r="P412" s="279"/>
      <c r="Q412" s="279"/>
      <c r="R412" s="387">
        <v>2</v>
      </c>
      <c r="S412" s="295">
        <v>-0.36</v>
      </c>
      <c r="T412" s="290" t="s">
        <v>5</v>
      </c>
      <c r="U412" s="295">
        <v>0.73</v>
      </c>
      <c r="V412" s="290" t="s">
        <v>37</v>
      </c>
      <c r="W412" s="290"/>
      <c r="X412" s="290"/>
      <c r="Y412" s="235">
        <v>-0.34</v>
      </c>
      <c r="Z412" s="445" t="s">
        <v>5</v>
      </c>
      <c r="AA412" s="235">
        <v>0.72</v>
      </c>
      <c r="AB412" s="445" t="s">
        <v>37</v>
      </c>
      <c r="AC412" s="445"/>
      <c r="AD412" s="445"/>
      <c r="AE412" s="451"/>
      <c r="AF412" s="239">
        <f t="shared" si="154"/>
        <v>5.9914645471079817</v>
      </c>
      <c r="AG412" s="239">
        <f t="shared" si="155"/>
        <v>6.0429015670720148</v>
      </c>
      <c r="AH412" s="240"/>
      <c r="AI412" s="240"/>
      <c r="AK412" s="265">
        <f t="shared" si="156"/>
        <v>800</v>
      </c>
      <c r="AL412" s="265">
        <f t="shared" si="157"/>
        <v>821.11315196020973</v>
      </c>
      <c r="AM412" s="239">
        <f t="shared" si="158"/>
        <v>6.6846117276679271</v>
      </c>
      <c r="AN412" s="239">
        <f t="shared" si="159"/>
        <v>6.7106609220754549</v>
      </c>
      <c r="AO412" s="240"/>
      <c r="AP412" s="240"/>
      <c r="AR412" s="265">
        <f t="shared" si="163"/>
        <v>192.96230854257931</v>
      </c>
      <c r="AS412" s="265">
        <f t="shared" si="164"/>
        <v>209.80767147100752</v>
      </c>
      <c r="AT412" s="239">
        <f t="shared" si="160"/>
        <v>5.2624948773073212</v>
      </c>
      <c r="AU412" s="239">
        <f t="shared" si="161"/>
        <v>5.3461912609324296</v>
      </c>
      <c r="AX412" s="385"/>
      <c r="AY412" s="385"/>
      <c r="AZ412" s="385"/>
      <c r="BA412" s="385"/>
      <c r="BB412" s="239"/>
      <c r="BC412" s="239"/>
      <c r="BD412" s="240"/>
      <c r="BE412" s="240"/>
      <c r="BF412" s="136"/>
      <c r="BG412" s="136"/>
      <c r="BH412" s="136"/>
      <c r="BI412" s="136"/>
    </row>
    <row r="413" spans="1:61" x14ac:dyDescent="0.2">
      <c r="A413" s="232" t="s">
        <v>34</v>
      </c>
      <c r="B413" s="232" t="s">
        <v>260</v>
      </c>
      <c r="C413" s="264" t="s">
        <v>341</v>
      </c>
      <c r="D413" s="381" t="s">
        <v>172</v>
      </c>
      <c r="E413" s="278">
        <v>6.4</v>
      </c>
      <c r="F413" s="278">
        <v>7.0438112000000004</v>
      </c>
      <c r="G413" s="278">
        <f t="shared" si="152"/>
        <v>4.0857373549883995</v>
      </c>
      <c r="H413" s="278">
        <v>21</v>
      </c>
      <c r="I413" s="235">
        <v>23.4</v>
      </c>
      <c r="J413" s="279">
        <v>21.783966122059201</v>
      </c>
      <c r="K413" s="399">
        <v>7</v>
      </c>
      <c r="L413" s="399">
        <v>28</v>
      </c>
      <c r="M413" s="399" t="s">
        <v>93</v>
      </c>
      <c r="N413" s="233">
        <v>150</v>
      </c>
      <c r="O413" s="279">
        <f t="shared" si="162"/>
        <v>171.78396612205921</v>
      </c>
      <c r="P413" s="279"/>
      <c r="Q413" s="279"/>
      <c r="R413" s="387">
        <v>2</v>
      </c>
      <c r="S413" s="295">
        <v>-0.36</v>
      </c>
      <c r="T413" s="290" t="s">
        <v>5</v>
      </c>
      <c r="U413" s="295">
        <v>0.73</v>
      </c>
      <c r="V413" s="290" t="s">
        <v>37</v>
      </c>
      <c r="W413" s="290"/>
      <c r="X413" s="290"/>
      <c r="Y413" s="235">
        <v>-0.34</v>
      </c>
      <c r="Z413" s="445" t="s">
        <v>5</v>
      </c>
      <c r="AA413" s="235">
        <v>0.72</v>
      </c>
      <c r="AB413" s="445" t="s">
        <v>37</v>
      </c>
      <c r="AC413" s="445"/>
      <c r="AD413" s="445"/>
      <c r="AE413" s="451"/>
      <c r="AF413" s="239">
        <f t="shared" si="154"/>
        <v>5.0106352940962555</v>
      </c>
      <c r="AG413" s="239">
        <f t="shared" si="155"/>
        <v>5.1462376764523778</v>
      </c>
      <c r="AH413" s="240"/>
      <c r="AI413" s="240"/>
      <c r="AK413" s="265">
        <f t="shared" si="156"/>
        <v>300</v>
      </c>
      <c r="AL413" s="265">
        <f t="shared" si="157"/>
        <v>321.78396612205921</v>
      </c>
      <c r="AM413" s="239">
        <f t="shared" si="158"/>
        <v>5.7037824746562009</v>
      </c>
      <c r="AN413" s="239">
        <f t="shared" si="159"/>
        <v>5.7738804077173791</v>
      </c>
      <c r="AO413" s="240"/>
      <c r="AP413" s="240"/>
      <c r="AR413" s="265">
        <f t="shared" si="163"/>
        <v>161.61264520088483</v>
      </c>
      <c r="AS413" s="265">
        <f t="shared" si="164"/>
        <v>175.43062657914101</v>
      </c>
      <c r="AT413" s="239">
        <f t="shared" si="160"/>
        <v>5.0852023930310981</v>
      </c>
      <c r="AU413" s="239">
        <f t="shared" si="161"/>
        <v>5.1672436746108312</v>
      </c>
      <c r="AX413" s="385"/>
      <c r="AY413" s="385"/>
      <c r="AZ413" s="385"/>
      <c r="BA413" s="385"/>
      <c r="BB413" s="239"/>
      <c r="BC413" s="239"/>
      <c r="BD413" s="240"/>
      <c r="BE413" s="240"/>
      <c r="BF413" s="136"/>
      <c r="BG413" s="136"/>
      <c r="BH413" s="136"/>
      <c r="BI413" s="136"/>
    </row>
    <row r="414" spans="1:61" x14ac:dyDescent="0.2">
      <c r="A414" s="232" t="s">
        <v>34</v>
      </c>
      <c r="B414" s="232" t="s">
        <v>260</v>
      </c>
      <c r="C414" s="264" t="s">
        <v>341</v>
      </c>
      <c r="D414" s="381" t="s">
        <v>172</v>
      </c>
      <c r="E414" s="278">
        <v>6.8</v>
      </c>
      <c r="F414" s="278">
        <v>1.5718104000000002</v>
      </c>
      <c r="G414" s="278">
        <f t="shared" si="152"/>
        <v>0.91172296983758716</v>
      </c>
      <c r="H414" s="278">
        <v>15</v>
      </c>
      <c r="I414" s="235">
        <v>8.9</v>
      </c>
      <c r="J414" s="279">
        <v>21.67</v>
      </c>
      <c r="K414" s="399">
        <v>7</v>
      </c>
      <c r="L414" s="399">
        <v>28</v>
      </c>
      <c r="M414" s="399" t="s">
        <v>93</v>
      </c>
      <c r="N414" s="397">
        <v>50</v>
      </c>
      <c r="O414" s="279">
        <f t="shared" si="162"/>
        <v>71.67</v>
      </c>
      <c r="P414" s="279"/>
      <c r="Q414" s="279"/>
      <c r="R414" s="387">
        <v>2</v>
      </c>
      <c r="S414" s="295">
        <v>-0.36</v>
      </c>
      <c r="T414" s="290" t="s">
        <v>5</v>
      </c>
      <c r="U414" s="295">
        <v>0.73</v>
      </c>
      <c r="V414" s="290" t="s">
        <v>37</v>
      </c>
      <c r="W414" s="290"/>
      <c r="X414" s="290"/>
      <c r="Y414" s="235">
        <v>-0.34</v>
      </c>
      <c r="Z414" s="445" t="s">
        <v>5</v>
      </c>
      <c r="AA414" s="235">
        <v>0.72</v>
      </c>
      <c r="AB414" s="445" t="s">
        <v>37</v>
      </c>
      <c r="AC414" s="445"/>
      <c r="AD414" s="445"/>
      <c r="AE414" s="451"/>
      <c r="AF414" s="239">
        <f t="shared" si="154"/>
        <v>3.912023005428146</v>
      </c>
      <c r="AG414" s="239">
        <f t="shared" si="155"/>
        <v>4.2720722500058281</v>
      </c>
      <c r="AH414" s="240"/>
      <c r="AI414" s="240"/>
      <c r="AK414" s="265">
        <f t="shared" si="156"/>
        <v>100</v>
      </c>
      <c r="AL414" s="265">
        <f t="shared" si="157"/>
        <v>121.67</v>
      </c>
      <c r="AM414" s="239">
        <f t="shared" si="158"/>
        <v>4.6051701859880918</v>
      </c>
      <c r="AN414" s="239">
        <f t="shared" si="159"/>
        <v>4.8013124617993581</v>
      </c>
      <c r="AO414" s="240"/>
      <c r="AP414" s="240"/>
      <c r="AR414" s="265">
        <f t="shared" si="163"/>
        <v>151.99417869608132</v>
      </c>
      <c r="AS414" s="265">
        <f t="shared" si="164"/>
        <v>181.96972338129009</v>
      </c>
      <c r="AT414" s="239">
        <f t="shared" si="160"/>
        <v>5.0238422220607903</v>
      </c>
      <c r="AU414" s="239">
        <f t="shared" si="161"/>
        <v>5.2038403181904034</v>
      </c>
      <c r="AX414" s="385"/>
      <c r="AY414" s="385"/>
      <c r="AZ414" s="385"/>
      <c r="BA414" s="385"/>
      <c r="BB414" s="239"/>
      <c r="BC414" s="239"/>
      <c r="BD414" s="240"/>
      <c r="BE414" s="240"/>
      <c r="BF414" s="136"/>
      <c r="BG414" s="136"/>
      <c r="BH414" s="136"/>
      <c r="BI414" s="136"/>
    </row>
    <row r="415" spans="1:61" x14ac:dyDescent="0.2">
      <c r="A415" s="232" t="s">
        <v>34</v>
      </c>
      <c r="B415" s="232" t="s">
        <v>260</v>
      </c>
      <c r="C415" s="264" t="s">
        <v>341</v>
      </c>
      <c r="D415" s="381" t="s">
        <v>172</v>
      </c>
      <c r="E415" s="278">
        <v>7.3</v>
      </c>
      <c r="F415" s="278">
        <v>2.3442543309421522</v>
      </c>
      <c r="G415" s="278">
        <f t="shared" si="152"/>
        <v>1.3597762940499722</v>
      </c>
      <c r="H415" s="278">
        <v>38</v>
      </c>
      <c r="I415" s="235">
        <v>26.2</v>
      </c>
      <c r="J415" s="279">
        <v>21.090912443436086</v>
      </c>
      <c r="K415" s="399">
        <v>7</v>
      </c>
      <c r="L415" s="399">
        <v>28</v>
      </c>
      <c r="M415" s="399" t="s">
        <v>93</v>
      </c>
      <c r="N415" s="397">
        <v>400</v>
      </c>
      <c r="O415" s="279">
        <f t="shared" si="162"/>
        <v>421.09091244343608</v>
      </c>
      <c r="P415" s="279"/>
      <c r="Q415" s="279"/>
      <c r="R415" s="387">
        <v>2</v>
      </c>
      <c r="S415" s="295">
        <v>-0.36</v>
      </c>
      <c r="T415" s="290" t="s">
        <v>5</v>
      </c>
      <c r="U415" s="295">
        <v>0.73</v>
      </c>
      <c r="V415" s="290" t="s">
        <v>37</v>
      </c>
      <c r="W415" s="290"/>
      <c r="X415" s="290"/>
      <c r="Y415" s="235">
        <v>-0.34</v>
      </c>
      <c r="Z415" s="445" t="s">
        <v>5</v>
      </c>
      <c r="AA415" s="235">
        <v>0.72</v>
      </c>
      <c r="AB415" s="445" t="s">
        <v>37</v>
      </c>
      <c r="AC415" s="445"/>
      <c r="AD415" s="445"/>
      <c r="AE415" s="451"/>
      <c r="AF415" s="239">
        <f t="shared" si="154"/>
        <v>5.9914645471079817</v>
      </c>
      <c r="AG415" s="239">
        <f t="shared" si="155"/>
        <v>6.0428487544159886</v>
      </c>
      <c r="AH415" s="240"/>
      <c r="AI415" s="240"/>
      <c r="AK415" s="265">
        <f t="shared" si="156"/>
        <v>800</v>
      </c>
      <c r="AL415" s="265">
        <f t="shared" si="157"/>
        <v>821.09091244343608</v>
      </c>
      <c r="AM415" s="239">
        <f t="shared" si="158"/>
        <v>6.6846117276679271</v>
      </c>
      <c r="AN415" s="239">
        <f t="shared" si="159"/>
        <v>6.710633837114143</v>
      </c>
      <c r="AO415" s="240"/>
      <c r="AP415" s="240"/>
      <c r="AR415" s="265">
        <f t="shared" si="163"/>
        <v>836.78079509785141</v>
      </c>
      <c r="AS415" s="265">
        <f t="shared" si="164"/>
        <v>834.81596788177637</v>
      </c>
      <c r="AT415" s="239">
        <f t="shared" si="160"/>
        <v>6.7295621426384162</v>
      </c>
      <c r="AU415" s="239">
        <f t="shared" si="161"/>
        <v>6.7272113028133278</v>
      </c>
      <c r="AX415" s="385"/>
      <c r="AY415" s="385"/>
      <c r="AZ415" s="385"/>
      <c r="BA415" s="385"/>
      <c r="BB415" s="239"/>
      <c r="BC415" s="239"/>
      <c r="BD415" s="240"/>
      <c r="BE415" s="240"/>
      <c r="BF415" s="136"/>
      <c r="BG415" s="136"/>
      <c r="BH415" s="136"/>
      <c r="BI415" s="136"/>
    </row>
    <row r="416" spans="1:61" x14ac:dyDescent="0.2">
      <c r="A416" s="232" t="s">
        <v>34</v>
      </c>
      <c r="B416" s="232" t="s">
        <v>260</v>
      </c>
      <c r="C416" s="264" t="s">
        <v>341</v>
      </c>
      <c r="D416" s="381" t="s">
        <v>172</v>
      </c>
      <c r="E416" s="278">
        <v>7.4</v>
      </c>
      <c r="F416" s="278">
        <v>4.1752105820553416</v>
      </c>
      <c r="G416" s="278">
        <f t="shared" si="152"/>
        <v>2.421815882862727</v>
      </c>
      <c r="H416" s="278">
        <v>46</v>
      </c>
      <c r="I416" s="235">
        <v>36.299999999999997</v>
      </c>
      <c r="J416" s="279">
        <v>33.636674889237447</v>
      </c>
      <c r="K416" s="399">
        <v>7</v>
      </c>
      <c r="L416" s="399">
        <v>28</v>
      </c>
      <c r="M416" s="399" t="s">
        <v>93</v>
      </c>
      <c r="N416" s="397">
        <v>600</v>
      </c>
      <c r="O416" s="279">
        <f t="shared" si="162"/>
        <v>633.6366748892375</v>
      </c>
      <c r="P416" s="279"/>
      <c r="Q416" s="279"/>
      <c r="R416" s="387">
        <v>2</v>
      </c>
      <c r="S416" s="295">
        <v>-0.36</v>
      </c>
      <c r="T416" s="290" t="s">
        <v>5</v>
      </c>
      <c r="U416" s="295">
        <v>0.73</v>
      </c>
      <c r="V416" s="290" t="s">
        <v>37</v>
      </c>
      <c r="W416" s="290"/>
      <c r="X416" s="290"/>
      <c r="Y416" s="235">
        <v>-0.34</v>
      </c>
      <c r="Z416" s="445" t="s">
        <v>5</v>
      </c>
      <c r="AA416" s="235">
        <v>0.72</v>
      </c>
      <c r="AB416" s="445" t="s">
        <v>37</v>
      </c>
      <c r="AC416" s="445"/>
      <c r="AD416" s="445"/>
      <c r="AE416" s="451"/>
      <c r="AF416" s="239">
        <f t="shared" si="154"/>
        <v>6.3969296552161463</v>
      </c>
      <c r="AG416" s="239">
        <f t="shared" si="155"/>
        <v>6.4514757221729528</v>
      </c>
      <c r="AH416" s="240"/>
      <c r="AI416" s="240"/>
      <c r="AK416" s="265">
        <f t="shared" si="156"/>
        <v>1200</v>
      </c>
      <c r="AL416" s="265">
        <f t="shared" si="157"/>
        <v>1233.6366748892374</v>
      </c>
      <c r="AM416" s="239">
        <f t="shared" si="158"/>
        <v>7.0900768357760917</v>
      </c>
      <c r="AN416" s="239">
        <f t="shared" si="159"/>
        <v>7.117721732335716</v>
      </c>
      <c r="AO416" s="240"/>
      <c r="AP416" s="240"/>
      <c r="AR416" s="265">
        <f t="shared" si="163"/>
        <v>1074.8084437536384</v>
      </c>
      <c r="AS416" s="265">
        <f t="shared" si="164"/>
        <v>1072.5830602242827</v>
      </c>
      <c r="AT416" s="239">
        <f t="shared" si="160"/>
        <v>6.9798977328266272</v>
      </c>
      <c r="AU416" s="239">
        <f t="shared" si="161"/>
        <v>6.9778250932339958</v>
      </c>
      <c r="AX416" s="385"/>
      <c r="AY416" s="385"/>
      <c r="AZ416" s="385"/>
      <c r="BA416" s="385"/>
      <c r="BB416" s="239"/>
      <c r="BC416" s="239"/>
      <c r="BD416" s="240"/>
      <c r="BE416" s="240"/>
      <c r="BF416" s="136"/>
      <c r="BG416" s="136"/>
      <c r="BH416" s="136"/>
      <c r="BI416" s="136"/>
    </row>
    <row r="417" spans="1:61" x14ac:dyDescent="0.2">
      <c r="A417" s="232" t="s">
        <v>34</v>
      </c>
      <c r="B417" s="232" t="s">
        <v>260</v>
      </c>
      <c r="C417" s="264" t="s">
        <v>341</v>
      </c>
      <c r="D417" s="381" t="s">
        <v>172</v>
      </c>
      <c r="E417" s="278">
        <v>7.5</v>
      </c>
      <c r="F417" s="278">
        <v>2.0393672214266942</v>
      </c>
      <c r="G417" s="278">
        <f t="shared" si="152"/>
        <v>1.1829276226372936</v>
      </c>
      <c r="H417" s="278">
        <v>26</v>
      </c>
      <c r="I417" s="235">
        <v>20.100000000000001</v>
      </c>
      <c r="J417" s="279">
        <v>17.600093656180341</v>
      </c>
      <c r="K417" s="399">
        <v>7</v>
      </c>
      <c r="L417" s="399">
        <v>28</v>
      </c>
      <c r="M417" s="399" t="s">
        <v>93</v>
      </c>
      <c r="N417" s="397">
        <v>150</v>
      </c>
      <c r="O417" s="279">
        <f t="shared" si="162"/>
        <v>167.60009365618035</v>
      </c>
      <c r="P417" s="279"/>
      <c r="Q417" s="279"/>
      <c r="R417" s="387">
        <v>2</v>
      </c>
      <c r="S417" s="295">
        <v>-0.36</v>
      </c>
      <c r="T417" s="290" t="s">
        <v>5</v>
      </c>
      <c r="U417" s="295">
        <v>0.73</v>
      </c>
      <c r="V417" s="290" t="s">
        <v>37</v>
      </c>
      <c r="W417" s="290"/>
      <c r="X417" s="290"/>
      <c r="Y417" s="235">
        <v>-0.34</v>
      </c>
      <c r="Z417" s="445" t="s">
        <v>5</v>
      </c>
      <c r="AA417" s="235">
        <v>0.72</v>
      </c>
      <c r="AB417" s="445" t="s">
        <v>37</v>
      </c>
      <c r="AC417" s="445"/>
      <c r="AD417" s="445"/>
      <c r="AE417" s="451"/>
      <c r="AF417" s="239">
        <f t="shared" si="154"/>
        <v>5.0106352940962555</v>
      </c>
      <c r="AG417" s="239">
        <f t="shared" si="155"/>
        <v>5.1215807468555852</v>
      </c>
      <c r="AH417" s="240"/>
      <c r="AI417" s="240"/>
      <c r="AK417" s="265">
        <f t="shared" si="156"/>
        <v>300</v>
      </c>
      <c r="AL417" s="265">
        <f t="shared" si="157"/>
        <v>317.60009365618032</v>
      </c>
      <c r="AM417" s="239">
        <f t="shared" si="158"/>
        <v>5.7037824746562009</v>
      </c>
      <c r="AN417" s="239">
        <f t="shared" si="159"/>
        <v>5.7607930242601544</v>
      </c>
      <c r="AO417" s="240"/>
      <c r="AP417" s="240"/>
      <c r="AR417" s="265">
        <f t="shared" si="163"/>
        <v>449.43800351501199</v>
      </c>
      <c r="AS417" s="265">
        <f t="shared" si="164"/>
        <v>457.04176910114234</v>
      </c>
      <c r="AT417" s="239">
        <f t="shared" si="160"/>
        <v>6.1079979211847375</v>
      </c>
      <c r="AU417" s="239">
        <f t="shared" si="161"/>
        <v>6.1247747851883902</v>
      </c>
      <c r="AX417" s="385"/>
      <c r="AY417" s="385"/>
      <c r="AZ417" s="385"/>
      <c r="BA417" s="385"/>
      <c r="BB417" s="239"/>
      <c r="BC417" s="239"/>
      <c r="BD417" s="240"/>
      <c r="BE417" s="240"/>
      <c r="BF417" s="136"/>
      <c r="BG417" s="136"/>
      <c r="BH417" s="136"/>
      <c r="BI417" s="136"/>
    </row>
    <row r="418" spans="1:61" x14ac:dyDescent="0.2">
      <c r="A418" s="232" t="s">
        <v>34</v>
      </c>
      <c r="B418" s="232" t="s">
        <v>260</v>
      </c>
      <c r="C418" s="264" t="s">
        <v>341</v>
      </c>
      <c r="D418" s="381" t="s">
        <v>172</v>
      </c>
      <c r="E418" s="278">
        <v>7.5</v>
      </c>
      <c r="F418" s="278">
        <v>2.3622472771305825</v>
      </c>
      <c r="G418" s="278">
        <f t="shared" si="152"/>
        <v>1.3702130377787602</v>
      </c>
      <c r="H418" s="278">
        <v>21</v>
      </c>
      <c r="I418" s="235">
        <v>14.3</v>
      </c>
      <c r="J418" s="279">
        <v>88.00050037516084</v>
      </c>
      <c r="K418" s="399">
        <v>7</v>
      </c>
      <c r="L418" s="399">
        <v>28</v>
      </c>
      <c r="M418" s="399" t="s">
        <v>93</v>
      </c>
      <c r="N418" s="435">
        <v>150</v>
      </c>
      <c r="O418" s="279">
        <f t="shared" si="162"/>
        <v>238.00050037516084</v>
      </c>
      <c r="P418" s="279"/>
      <c r="Q418" s="279"/>
      <c r="R418" s="387">
        <v>2</v>
      </c>
      <c r="S418" s="295">
        <v>-0.36</v>
      </c>
      <c r="T418" s="290" t="s">
        <v>5</v>
      </c>
      <c r="U418" s="295">
        <v>0.73</v>
      </c>
      <c r="V418" s="290" t="s">
        <v>37</v>
      </c>
      <c r="W418" s="290"/>
      <c r="X418" s="290"/>
      <c r="Y418" s="235">
        <v>-0.34</v>
      </c>
      <c r="Z418" s="445" t="s">
        <v>5</v>
      </c>
      <c r="AA418" s="235">
        <v>0.72</v>
      </c>
      <c r="AB418" s="445" t="s">
        <v>37</v>
      </c>
      <c r="AC418" s="445"/>
      <c r="AD418" s="445"/>
      <c r="AE418" s="451"/>
      <c r="AF418" s="239">
        <f t="shared" si="154"/>
        <v>5.0106352940962555</v>
      </c>
      <c r="AG418" s="239">
        <f t="shared" si="155"/>
        <v>5.4722727760859069</v>
      </c>
      <c r="AH418" s="240"/>
      <c r="AI418" s="240"/>
      <c r="AK418" s="265">
        <f t="shared" si="156"/>
        <v>300</v>
      </c>
      <c r="AL418" s="265">
        <f t="shared" si="157"/>
        <v>388.00050037516087</v>
      </c>
      <c r="AM418" s="239">
        <f t="shared" si="158"/>
        <v>5.7037824746562009</v>
      </c>
      <c r="AN418" s="239">
        <f t="shared" si="159"/>
        <v>5.9610066292491455</v>
      </c>
      <c r="AO418" s="240"/>
      <c r="AP418" s="240"/>
      <c r="AR418" s="265">
        <f t="shared" si="163"/>
        <v>576.24557998771695</v>
      </c>
      <c r="AS418" s="265">
        <f t="shared" si="164"/>
        <v>713.45530296242407</v>
      </c>
      <c r="AT418" s="239">
        <f t="shared" si="160"/>
        <v>6.3565339239781302</v>
      </c>
      <c r="AU418" s="239">
        <f t="shared" si="161"/>
        <v>6.5701197901927815</v>
      </c>
      <c r="AX418" s="385"/>
      <c r="AY418" s="385"/>
      <c r="AZ418" s="385"/>
      <c r="BA418" s="385"/>
      <c r="BB418" s="239"/>
      <c r="BC418" s="239"/>
      <c r="BD418" s="240"/>
      <c r="BE418" s="240"/>
      <c r="BF418" s="136"/>
      <c r="BG418" s="136"/>
      <c r="BH418" s="136"/>
      <c r="BI418" s="136"/>
    </row>
    <row r="419" spans="1:61" x14ac:dyDescent="0.2">
      <c r="A419" s="232" t="s">
        <v>34</v>
      </c>
      <c r="B419" s="232" t="s">
        <v>260</v>
      </c>
      <c r="C419" s="264" t="s">
        <v>341</v>
      </c>
      <c r="D419" s="381" t="s">
        <v>172</v>
      </c>
      <c r="E419" s="278">
        <v>4.3</v>
      </c>
      <c r="F419" s="278">
        <v>2.2000000000000002</v>
      </c>
      <c r="G419" s="278">
        <f t="shared" si="152"/>
        <v>1.2761020881670535</v>
      </c>
      <c r="H419" s="278">
        <v>9</v>
      </c>
      <c r="I419" s="235">
        <v>1.2</v>
      </c>
      <c r="J419" s="279">
        <v>19</v>
      </c>
      <c r="K419" s="399">
        <v>7</v>
      </c>
      <c r="L419" s="399">
        <v>28</v>
      </c>
      <c r="M419" s="399" t="s">
        <v>93</v>
      </c>
      <c r="N419" s="233">
        <v>51</v>
      </c>
      <c r="O419" s="279">
        <f t="shared" si="162"/>
        <v>70</v>
      </c>
      <c r="P419" s="279"/>
      <c r="Q419" s="279"/>
      <c r="R419" s="387">
        <v>2</v>
      </c>
      <c r="S419" s="295">
        <v>-0.36</v>
      </c>
      <c r="T419" s="290" t="s">
        <v>5</v>
      </c>
      <c r="U419" s="295">
        <v>0.73</v>
      </c>
      <c r="V419" s="290" t="s">
        <v>37</v>
      </c>
      <c r="W419" s="290"/>
      <c r="X419" s="290"/>
      <c r="Y419" s="235">
        <v>-0.34</v>
      </c>
      <c r="Z419" s="445" t="s">
        <v>5</v>
      </c>
      <c r="AA419" s="235">
        <v>0.72</v>
      </c>
      <c r="AB419" s="445" t="s">
        <v>37</v>
      </c>
      <c r="AC419" s="445"/>
      <c r="AD419" s="445"/>
      <c r="AE419" s="451"/>
      <c r="AF419" s="239">
        <f t="shared" si="154"/>
        <v>3.9318256327243257</v>
      </c>
      <c r="AG419" s="239">
        <f t="shared" si="155"/>
        <v>4.2484952420493594</v>
      </c>
      <c r="AH419" s="240"/>
      <c r="AI419" s="240"/>
      <c r="AK419" s="265">
        <f t="shared" si="156"/>
        <v>102</v>
      </c>
      <c r="AL419" s="265">
        <f t="shared" si="157"/>
        <v>121</v>
      </c>
      <c r="AM419" s="239">
        <f t="shared" si="158"/>
        <v>4.6249728132842707</v>
      </c>
      <c r="AN419" s="239">
        <f t="shared" si="159"/>
        <v>4.7957905455967413</v>
      </c>
      <c r="AO419" s="240"/>
      <c r="AP419" s="240"/>
      <c r="AR419" s="265">
        <f t="shared" si="163"/>
        <v>84.271266708740541</v>
      </c>
      <c r="AS419" s="265">
        <f t="shared" si="164"/>
        <v>108.18107800385519</v>
      </c>
      <c r="AT419" s="239">
        <f t="shared" si="160"/>
        <v>4.4340409612215508</v>
      </c>
      <c r="AU419" s="239">
        <f t="shared" si="161"/>
        <v>4.6838064713026277</v>
      </c>
      <c r="AX419" s="385"/>
      <c r="AY419" s="385"/>
      <c r="AZ419" s="385"/>
      <c r="BA419" s="385"/>
      <c r="BB419" s="239"/>
      <c r="BC419" s="239"/>
      <c r="BD419" s="240"/>
      <c r="BE419" s="240"/>
      <c r="BF419" s="136"/>
      <c r="BG419" s="136"/>
      <c r="BH419" s="136"/>
      <c r="BI419" s="136"/>
    </row>
    <row r="420" spans="1:61" x14ac:dyDescent="0.2">
      <c r="A420" s="232" t="s">
        <v>34</v>
      </c>
      <c r="B420" s="232" t="s">
        <v>260</v>
      </c>
      <c r="C420" s="264" t="s">
        <v>341</v>
      </c>
      <c r="D420" s="381" t="s">
        <v>172</v>
      </c>
      <c r="E420" s="278">
        <v>5</v>
      </c>
      <c r="F420" s="278">
        <v>2.2999999999999998</v>
      </c>
      <c r="G420" s="278">
        <f t="shared" si="152"/>
        <v>1.334106728538283</v>
      </c>
      <c r="H420" s="278">
        <v>9</v>
      </c>
      <c r="I420" s="235">
        <v>1.9</v>
      </c>
      <c r="J420" s="279">
        <v>19</v>
      </c>
      <c r="K420" s="399">
        <v>7</v>
      </c>
      <c r="L420" s="399">
        <v>28</v>
      </c>
      <c r="M420" s="399" t="s">
        <v>93</v>
      </c>
      <c r="N420" s="233">
        <v>83</v>
      </c>
      <c r="O420" s="279">
        <f t="shared" si="162"/>
        <v>102</v>
      </c>
      <c r="P420" s="279"/>
      <c r="Q420" s="279"/>
      <c r="R420" s="387">
        <v>2</v>
      </c>
      <c r="S420" s="295">
        <v>-0.36</v>
      </c>
      <c r="T420" s="290" t="s">
        <v>5</v>
      </c>
      <c r="U420" s="295">
        <v>0.73</v>
      </c>
      <c r="V420" s="290" t="s">
        <v>37</v>
      </c>
      <c r="W420" s="290"/>
      <c r="X420" s="290"/>
      <c r="Y420" s="235">
        <v>-0.34</v>
      </c>
      <c r="Z420" s="445" t="s">
        <v>5</v>
      </c>
      <c r="AA420" s="235">
        <v>0.72</v>
      </c>
      <c r="AB420" s="445" t="s">
        <v>37</v>
      </c>
      <c r="AC420" s="445"/>
      <c r="AD420" s="445"/>
      <c r="AE420" s="451"/>
      <c r="AF420" s="239">
        <f t="shared" si="154"/>
        <v>4.4188406077965983</v>
      </c>
      <c r="AG420" s="239">
        <f t="shared" si="155"/>
        <v>4.6249728132842707</v>
      </c>
      <c r="AH420" s="240"/>
      <c r="AI420" s="240"/>
      <c r="AK420" s="265">
        <f t="shared" si="156"/>
        <v>166</v>
      </c>
      <c r="AL420" s="265">
        <f t="shared" si="157"/>
        <v>185</v>
      </c>
      <c r="AM420" s="239">
        <f t="shared" si="158"/>
        <v>5.1119877883565437</v>
      </c>
      <c r="AN420" s="239">
        <f t="shared" si="159"/>
        <v>5.2203558250783244</v>
      </c>
      <c r="AO420" s="240"/>
      <c r="AP420" s="240"/>
      <c r="AR420" s="265">
        <f t="shared" si="163"/>
        <v>175.18608980885222</v>
      </c>
      <c r="AS420" s="265">
        <f t="shared" si="164"/>
        <v>205.51596629087689</v>
      </c>
      <c r="AT420" s="239">
        <f t="shared" si="160"/>
        <v>5.1658487792820615</v>
      </c>
      <c r="AU420" s="239">
        <f t="shared" si="161"/>
        <v>5.3255237257643175</v>
      </c>
      <c r="AX420" s="385"/>
      <c r="AY420" s="385"/>
      <c r="AZ420" s="385"/>
      <c r="BA420" s="385"/>
      <c r="BB420" s="239"/>
      <c r="BC420" s="239"/>
      <c r="BD420" s="240"/>
      <c r="BE420" s="240"/>
      <c r="BF420" s="136"/>
      <c r="BG420" s="136"/>
      <c r="BH420" s="136"/>
      <c r="BI420" s="136"/>
    </row>
    <row r="421" spans="1:61" s="165" customFormat="1" x14ac:dyDescent="0.2">
      <c r="A421" s="156" t="s">
        <v>34</v>
      </c>
      <c r="B421" s="156" t="s">
        <v>260</v>
      </c>
      <c r="C421" s="442" t="s">
        <v>341</v>
      </c>
      <c r="D421" s="391" t="s">
        <v>172</v>
      </c>
      <c r="E421" s="159">
        <v>6.5</v>
      </c>
      <c r="F421" s="159">
        <v>2.5</v>
      </c>
      <c r="G421" s="159">
        <f t="shared" si="152"/>
        <v>1.4501160092807426</v>
      </c>
      <c r="H421" s="159">
        <v>8</v>
      </c>
      <c r="I421" s="231">
        <v>11.6</v>
      </c>
      <c r="J421" s="366">
        <v>35</v>
      </c>
      <c r="K421" s="400">
        <v>7</v>
      </c>
      <c r="L421" s="400">
        <v>28</v>
      </c>
      <c r="M421" s="400" t="s">
        <v>93</v>
      </c>
      <c r="N421" s="160">
        <v>100</v>
      </c>
      <c r="O421" s="366">
        <f t="shared" si="162"/>
        <v>135</v>
      </c>
      <c r="P421" s="366"/>
      <c r="Q421" s="366"/>
      <c r="R421" s="361">
        <v>2</v>
      </c>
      <c r="S421" s="231">
        <v>-0.36</v>
      </c>
      <c r="T421" s="326" t="s">
        <v>5</v>
      </c>
      <c r="U421" s="231">
        <v>0.73</v>
      </c>
      <c r="V421" s="326" t="s">
        <v>37</v>
      </c>
      <c r="W421" s="326"/>
      <c r="X421" s="326"/>
      <c r="Y421" s="231">
        <v>-0.34</v>
      </c>
      <c r="Z421" s="326" t="s">
        <v>5</v>
      </c>
      <c r="AA421" s="231">
        <v>0.72</v>
      </c>
      <c r="AB421" s="326" t="s">
        <v>37</v>
      </c>
      <c r="AC421" s="326"/>
      <c r="AD421" s="326"/>
      <c r="AE421" s="336"/>
      <c r="AF421" s="166">
        <f t="shared" si="154"/>
        <v>4.6051701859880918</v>
      </c>
      <c r="AG421" s="166">
        <f t="shared" si="155"/>
        <v>4.9052747784384296</v>
      </c>
      <c r="AH421" s="169"/>
      <c r="AI421" s="169"/>
      <c r="AK421" s="168">
        <f t="shared" si="156"/>
        <v>200</v>
      </c>
      <c r="AL421" s="168">
        <f t="shared" si="157"/>
        <v>235</v>
      </c>
      <c r="AM421" s="166">
        <f t="shared" si="158"/>
        <v>5.2983173665480363</v>
      </c>
      <c r="AN421" s="166">
        <f t="shared" si="159"/>
        <v>5.4595855141441589</v>
      </c>
      <c r="AO421" s="169"/>
      <c r="AP421" s="169"/>
      <c r="AR421" s="168">
        <f t="shared" si="163"/>
        <v>195.3697511711926</v>
      </c>
      <c r="AS421" s="168">
        <f t="shared" si="164"/>
        <v>229.63312797907028</v>
      </c>
      <c r="AT421" s="166">
        <f t="shared" si="160"/>
        <v>5.2748939229741953</v>
      </c>
      <c r="AU421" s="166">
        <f t="shared" si="161"/>
        <v>5.4364829396603707</v>
      </c>
      <c r="AV421" s="167"/>
      <c r="AW421" s="167"/>
      <c r="AX421" s="168"/>
      <c r="AY421" s="168"/>
      <c r="AZ421" s="168"/>
      <c r="BA421" s="168"/>
      <c r="BB421" s="166"/>
      <c r="BC421" s="166"/>
      <c r="BD421" s="169"/>
      <c r="BE421" s="169"/>
    </row>
    <row r="422" spans="1:61" x14ac:dyDescent="0.2">
      <c r="A422" s="232" t="s">
        <v>34</v>
      </c>
      <c r="B422" s="232" t="s">
        <v>260</v>
      </c>
      <c r="C422" s="264" t="s">
        <v>341</v>
      </c>
      <c r="D422" s="381" t="s">
        <v>171</v>
      </c>
      <c r="E422" s="382">
        <v>7.7</v>
      </c>
      <c r="F422" s="382">
        <v>1.6</v>
      </c>
      <c r="G422" s="280">
        <f t="shared" si="152"/>
        <v>0.92807424593967525</v>
      </c>
      <c r="H422" s="382">
        <v>2</v>
      </c>
      <c r="I422" s="300">
        <f>(30+4.4*E422)*(H422/100)+(-34.66+29.72*E422)*(F422/100)</f>
        <v>4.384544</v>
      </c>
      <c r="J422" s="382">
        <v>4</v>
      </c>
      <c r="K422" s="381" t="s">
        <v>343</v>
      </c>
      <c r="L422" s="383" t="s">
        <v>344</v>
      </c>
      <c r="M422" s="383" t="s">
        <v>93</v>
      </c>
      <c r="N422" s="382">
        <v>150</v>
      </c>
      <c r="O422" s="386">
        <f>N422+J422</f>
        <v>154</v>
      </c>
      <c r="P422" s="386"/>
      <c r="Q422" s="386"/>
      <c r="R422" s="449">
        <v>1</v>
      </c>
      <c r="S422" s="295">
        <v>-0.36</v>
      </c>
      <c r="T422" s="290" t="s">
        <v>5</v>
      </c>
      <c r="U422" s="295">
        <v>0.73</v>
      </c>
      <c r="V422" s="290" t="s">
        <v>37</v>
      </c>
      <c r="W422" s="290"/>
      <c r="X422" s="290"/>
      <c r="Y422" s="235">
        <v>-0.34</v>
      </c>
      <c r="Z422" s="445" t="s">
        <v>5</v>
      </c>
      <c r="AA422" s="235">
        <v>0.72</v>
      </c>
      <c r="AB422" s="445" t="s">
        <v>37</v>
      </c>
      <c r="AC422" s="445"/>
      <c r="AD422" s="445"/>
      <c r="AE422" s="451"/>
      <c r="AF422" s="239">
        <f t="shared" si="154"/>
        <v>5.0106352940962555</v>
      </c>
      <c r="AG422" s="239">
        <f t="shared" si="155"/>
        <v>5.0369526024136295</v>
      </c>
      <c r="AH422" s="240"/>
      <c r="AI422" s="240"/>
      <c r="AK422" s="265">
        <f t="shared" si="156"/>
        <v>150</v>
      </c>
      <c r="AL422" s="265">
        <f t="shared" si="157"/>
        <v>154</v>
      </c>
      <c r="AM422" s="239">
        <f t="shared" si="158"/>
        <v>5.0106352940962555</v>
      </c>
      <c r="AN422" s="239">
        <f t="shared" si="159"/>
        <v>5.0369526024136295</v>
      </c>
      <c r="AO422" s="240"/>
      <c r="AP422" s="240"/>
      <c r="AR422" s="265">
        <f t="shared" si="163"/>
        <v>806.06132301254161</v>
      </c>
      <c r="AS422" s="265">
        <f t="shared" si="164"/>
        <v>775.73173899469907</v>
      </c>
      <c r="AT422" s="239">
        <f t="shared" si="160"/>
        <v>6.6921598227545642</v>
      </c>
      <c r="AU422" s="239">
        <f t="shared" si="161"/>
        <v>6.6538067632443969</v>
      </c>
      <c r="AX422" s="385">
        <f>GEOMEAN(AR422:AR423)</f>
        <v>208.55074328452383</v>
      </c>
      <c r="AY422" s="385">
        <f>GEOMEAN(AS422:AS423)</f>
        <v>216.96175869635445</v>
      </c>
      <c r="AZ422" s="385">
        <f>MIN(AX422:AX423)</f>
        <v>208.55074328452383</v>
      </c>
      <c r="BA422" s="385">
        <f>MIN(AY422:AY423)</f>
        <v>216.96175869635445</v>
      </c>
      <c r="BB422" s="239">
        <f>LN(AZ422)</f>
        <v>5.3401823846956962</v>
      </c>
      <c r="BC422" s="239">
        <f>LN(BA422)</f>
        <v>5.3797211108048808</v>
      </c>
      <c r="BD422" s="240"/>
      <c r="BE422" s="240"/>
      <c r="BF422" s="136"/>
      <c r="BG422" s="136"/>
      <c r="BH422" s="136"/>
      <c r="BI422" s="136"/>
    </row>
    <row r="423" spans="1:61" s="165" customFormat="1" x14ac:dyDescent="0.2">
      <c r="A423" s="156" t="s">
        <v>34</v>
      </c>
      <c r="B423" s="156" t="s">
        <v>260</v>
      </c>
      <c r="C423" s="442" t="s">
        <v>341</v>
      </c>
      <c r="D423" s="391" t="s">
        <v>171</v>
      </c>
      <c r="E423" s="392">
        <v>4.3</v>
      </c>
      <c r="F423" s="392">
        <v>12.8</v>
      </c>
      <c r="G423" s="367">
        <f t="shared" si="152"/>
        <v>7.424593967517402</v>
      </c>
      <c r="H423" s="392">
        <v>5</v>
      </c>
      <c r="I423" s="393">
        <f>(30+4.4*E423)*(H423/100)+(-34.66+29.72*E423)*(F423/100)</f>
        <v>14.367407999999999</v>
      </c>
      <c r="J423" s="392">
        <v>5.5</v>
      </c>
      <c r="K423" s="391" t="s">
        <v>346</v>
      </c>
      <c r="L423" s="394" t="s">
        <v>344</v>
      </c>
      <c r="M423" s="394" t="s">
        <v>93</v>
      </c>
      <c r="N423" s="392">
        <v>400</v>
      </c>
      <c r="O423" s="396">
        <f>N423+J423</f>
        <v>405.5</v>
      </c>
      <c r="P423" s="396"/>
      <c r="Q423" s="396"/>
      <c r="R423" s="450">
        <v>1</v>
      </c>
      <c r="S423" s="231">
        <v>-0.36</v>
      </c>
      <c r="T423" s="326" t="s">
        <v>5</v>
      </c>
      <c r="U423" s="231">
        <v>0.73</v>
      </c>
      <c r="V423" s="326" t="s">
        <v>37</v>
      </c>
      <c r="W423" s="326"/>
      <c r="X423" s="326"/>
      <c r="Y423" s="231">
        <v>-0.34</v>
      </c>
      <c r="Z423" s="326" t="s">
        <v>5</v>
      </c>
      <c r="AA423" s="231">
        <v>0.72</v>
      </c>
      <c r="AB423" s="326" t="s">
        <v>37</v>
      </c>
      <c r="AC423" s="326"/>
      <c r="AD423" s="326"/>
      <c r="AE423" s="336"/>
      <c r="AF423" s="166">
        <f t="shared" si="154"/>
        <v>5.9914645471079817</v>
      </c>
      <c r="AG423" s="166">
        <f t="shared" si="155"/>
        <v>6.0051208735554678</v>
      </c>
      <c r="AH423" s="169"/>
      <c r="AI423" s="169"/>
      <c r="AK423" s="168">
        <f t="shared" si="156"/>
        <v>400</v>
      </c>
      <c r="AL423" s="168">
        <f t="shared" si="157"/>
        <v>405.5</v>
      </c>
      <c r="AM423" s="166">
        <f t="shared" si="158"/>
        <v>5.9914645471079817</v>
      </c>
      <c r="AN423" s="166">
        <f t="shared" si="159"/>
        <v>6.0051208735554678</v>
      </c>
      <c r="AO423" s="169"/>
      <c r="AP423" s="169"/>
      <c r="AR423" s="168">
        <f t="shared" si="163"/>
        <v>53.957944988573338</v>
      </c>
      <c r="AS423" s="168">
        <f t="shared" si="164"/>
        <v>60.681292733513892</v>
      </c>
      <c r="AT423" s="166">
        <f t="shared" si="160"/>
        <v>3.9882049466368281</v>
      </c>
      <c r="AU423" s="166">
        <f t="shared" si="161"/>
        <v>4.1056354583653647</v>
      </c>
      <c r="AV423" s="167"/>
      <c r="AW423" s="167"/>
      <c r="AX423" s="168"/>
      <c r="AY423" s="168"/>
      <c r="AZ423" s="168"/>
      <c r="BA423" s="168"/>
      <c r="BB423" s="166"/>
      <c r="BC423" s="166"/>
      <c r="BD423" s="169"/>
      <c r="BE423" s="169"/>
    </row>
    <row r="424" spans="1:61" x14ac:dyDescent="0.2">
      <c r="A424" s="232" t="s">
        <v>34</v>
      </c>
      <c r="B424" s="232" t="s">
        <v>260</v>
      </c>
      <c r="C424" s="264" t="s">
        <v>341</v>
      </c>
      <c r="D424" s="381" t="s">
        <v>303</v>
      </c>
      <c r="E424" s="278">
        <v>3.36</v>
      </c>
      <c r="F424" s="278">
        <v>8.3137760000000025</v>
      </c>
      <c r="G424" s="278">
        <f t="shared" si="152"/>
        <v>4.8223758700696067</v>
      </c>
      <c r="H424" s="278">
        <v>13</v>
      </c>
      <c r="I424" s="235">
        <v>6.7</v>
      </c>
      <c r="J424" s="279">
        <v>17.263011488299419</v>
      </c>
      <c r="K424" s="399">
        <v>7</v>
      </c>
      <c r="L424" s="399">
        <v>28</v>
      </c>
      <c r="M424" s="399" t="s">
        <v>93</v>
      </c>
      <c r="N424" s="233">
        <v>200</v>
      </c>
      <c r="O424" s="279">
        <f t="shared" ref="O424:O442" si="165">J424+N424</f>
        <v>217.26301148829941</v>
      </c>
      <c r="P424" s="279"/>
      <c r="Q424" s="279"/>
      <c r="R424" s="387">
        <v>2</v>
      </c>
      <c r="S424" s="295">
        <v>1.0900000000000001</v>
      </c>
      <c r="T424" s="290" t="s">
        <v>37</v>
      </c>
      <c r="U424" s="295"/>
      <c r="V424" s="290"/>
      <c r="W424" s="290"/>
      <c r="X424" s="290"/>
      <c r="Y424" s="236">
        <v>1.06</v>
      </c>
      <c r="Z424" s="237" t="s">
        <v>37</v>
      </c>
      <c r="AF424" s="239">
        <f t="shared" si="154"/>
        <v>5.2983173665480363</v>
      </c>
      <c r="AG424" s="239">
        <f t="shared" si="155"/>
        <v>5.3811086541278925</v>
      </c>
      <c r="AH424" s="240"/>
      <c r="AI424" s="240"/>
      <c r="AK424" s="265">
        <f t="shared" si="156"/>
        <v>400</v>
      </c>
      <c r="AL424" s="265">
        <f t="shared" si="157"/>
        <v>417.26301148829941</v>
      </c>
      <c r="AM424" s="239">
        <f t="shared" si="158"/>
        <v>5.9914645471079817</v>
      </c>
      <c r="AN424" s="239">
        <f t="shared" si="159"/>
        <v>6.0337167459701746</v>
      </c>
      <c r="AO424" s="240"/>
      <c r="AP424" s="240"/>
      <c r="AR424" s="265">
        <f t="shared" ref="AR424:AR449" si="166">AK424*(eCEC/$I424)^$S424</f>
        <v>702.60030185831658</v>
      </c>
      <c r="AS424" s="265">
        <f t="shared" ref="AS424:AS449" si="167">AL424*(eCEC/$I424)^$Y424</f>
        <v>721.64696303570872</v>
      </c>
      <c r="AT424" s="239">
        <f t="shared" si="160"/>
        <v>6.5547881694620305</v>
      </c>
      <c r="AU424" s="239">
        <f t="shared" si="161"/>
        <v>6.5815360484429197</v>
      </c>
      <c r="AX424" s="385">
        <f>GEOMEAN(AR424:AR445)</f>
        <v>308.15831118368999</v>
      </c>
      <c r="AY424" s="452">
        <f>GEOMEAN(AS424:AS445)</f>
        <v>340.94060778510374</v>
      </c>
      <c r="AZ424" s="385">
        <f>MIN(AX424:AX445)</f>
        <v>308.15831118368999</v>
      </c>
      <c r="BA424" s="385">
        <f>MIN(AY424:AY445)</f>
        <v>340.94060778510374</v>
      </c>
      <c r="BB424" s="239">
        <f>LN(AZ424)</f>
        <v>5.7306136482718273</v>
      </c>
      <c r="BC424" s="239">
        <f>LN(BA424)</f>
        <v>5.8317082913958647</v>
      </c>
      <c r="BD424" s="240"/>
      <c r="BE424" s="240"/>
      <c r="BF424" s="136"/>
      <c r="BG424" s="136"/>
      <c r="BH424" s="136"/>
      <c r="BI424" s="136"/>
    </row>
    <row r="425" spans="1:61" x14ac:dyDescent="0.2">
      <c r="A425" s="232" t="s">
        <v>34</v>
      </c>
      <c r="B425" s="232" t="s">
        <v>260</v>
      </c>
      <c r="C425" s="264" t="s">
        <v>341</v>
      </c>
      <c r="D425" s="381" t="s">
        <v>303</v>
      </c>
      <c r="E425" s="278">
        <v>4.7450000000000001</v>
      </c>
      <c r="F425" s="278">
        <v>37.316435200000001</v>
      </c>
      <c r="G425" s="278">
        <f t="shared" si="152"/>
        <v>21.645264037122971</v>
      </c>
      <c r="H425" s="278">
        <v>24</v>
      </c>
      <c r="I425" s="235">
        <v>35.299999999999997</v>
      </c>
      <c r="J425" s="279">
        <v>69.686668003909702</v>
      </c>
      <c r="K425" s="399">
        <v>7</v>
      </c>
      <c r="L425" s="399">
        <v>4</v>
      </c>
      <c r="M425" s="399" t="s">
        <v>93</v>
      </c>
      <c r="N425" s="233">
        <v>1200</v>
      </c>
      <c r="O425" s="279">
        <f t="shared" si="165"/>
        <v>1269.6866680039097</v>
      </c>
      <c r="P425" s="279"/>
      <c r="Q425" s="279"/>
      <c r="R425" s="387">
        <v>2</v>
      </c>
      <c r="S425" s="295">
        <v>1.0900000000000001</v>
      </c>
      <c r="T425" s="290" t="s">
        <v>37</v>
      </c>
      <c r="Y425" s="236">
        <v>1.06</v>
      </c>
      <c r="Z425" s="237" t="s">
        <v>37</v>
      </c>
      <c r="AA425" s="235"/>
      <c r="AB425" s="445"/>
      <c r="AC425" s="445"/>
      <c r="AD425" s="445"/>
      <c r="AE425" s="451"/>
      <c r="AF425" s="239">
        <f t="shared" si="154"/>
        <v>7.0900768357760917</v>
      </c>
      <c r="AG425" s="239">
        <f t="shared" si="155"/>
        <v>7.1465254309055606</v>
      </c>
      <c r="AH425" s="240"/>
      <c r="AI425" s="240"/>
      <c r="AK425" s="265">
        <f t="shared" si="156"/>
        <v>2400</v>
      </c>
      <c r="AL425" s="265">
        <f t="shared" si="157"/>
        <v>2469.6866680039097</v>
      </c>
      <c r="AM425" s="239">
        <f t="shared" si="158"/>
        <v>7.7832240163360371</v>
      </c>
      <c r="AN425" s="239">
        <f t="shared" si="159"/>
        <v>7.8118465665160937</v>
      </c>
      <c r="AO425" s="240"/>
      <c r="AP425" s="240"/>
      <c r="AR425" s="265">
        <f t="shared" si="166"/>
        <v>688.98011626730863</v>
      </c>
      <c r="AS425" s="265">
        <f t="shared" si="167"/>
        <v>733.76139819893649</v>
      </c>
      <c r="AT425" s="239">
        <f t="shared" si="160"/>
        <v>6.5352124117689456</v>
      </c>
      <c r="AU425" s="239">
        <f t="shared" si="161"/>
        <v>6.5981839051939675</v>
      </c>
      <c r="AX425" s="385"/>
      <c r="AY425" s="385"/>
      <c r="AZ425" s="385"/>
      <c r="BA425" s="385"/>
      <c r="BB425" s="239"/>
      <c r="BC425" s="239"/>
      <c r="BD425" s="240"/>
      <c r="BE425" s="240"/>
      <c r="BF425" s="136"/>
      <c r="BG425" s="136"/>
      <c r="BH425" s="136"/>
      <c r="BI425" s="136"/>
    </row>
    <row r="426" spans="1:61" x14ac:dyDescent="0.2">
      <c r="A426" s="232" t="s">
        <v>34</v>
      </c>
      <c r="B426" s="232" t="s">
        <v>260</v>
      </c>
      <c r="C426" s="264" t="s">
        <v>341</v>
      </c>
      <c r="D426" s="381" t="s">
        <v>303</v>
      </c>
      <c r="E426" s="278">
        <v>4.7549999999999999</v>
      </c>
      <c r="F426" s="278">
        <v>2.6084792000000001</v>
      </c>
      <c r="G426" s="278">
        <f t="shared" si="152"/>
        <v>1.5130389791183296</v>
      </c>
      <c r="H426" s="278">
        <v>7</v>
      </c>
      <c r="I426" s="235">
        <v>2.4</v>
      </c>
      <c r="J426" s="279">
        <v>6.19288957375585</v>
      </c>
      <c r="K426" s="399">
        <v>7</v>
      </c>
      <c r="L426" s="399">
        <v>28</v>
      </c>
      <c r="M426" s="399" t="s">
        <v>93</v>
      </c>
      <c r="N426" s="233">
        <v>25</v>
      </c>
      <c r="O426" s="279">
        <f t="shared" si="165"/>
        <v>31.192889573755849</v>
      </c>
      <c r="P426" s="279"/>
      <c r="Q426" s="279"/>
      <c r="R426" s="387">
        <v>2</v>
      </c>
      <c r="S426" s="295">
        <v>1.0900000000000001</v>
      </c>
      <c r="T426" s="290" t="s">
        <v>37</v>
      </c>
      <c r="Y426" s="236">
        <v>1.06</v>
      </c>
      <c r="Z426" s="237" t="s">
        <v>37</v>
      </c>
      <c r="AA426" s="235"/>
      <c r="AB426" s="445"/>
      <c r="AC426" s="445"/>
      <c r="AD426" s="445"/>
      <c r="AE426" s="451"/>
      <c r="AF426" s="239">
        <f t="shared" si="154"/>
        <v>3.2188758248682006</v>
      </c>
      <c r="AG426" s="239">
        <f t="shared" si="155"/>
        <v>3.4401901705656219</v>
      </c>
      <c r="AH426" s="240"/>
      <c r="AI426" s="240"/>
      <c r="AK426" s="265">
        <f t="shared" si="156"/>
        <v>50</v>
      </c>
      <c r="AL426" s="265">
        <f t="shared" si="157"/>
        <v>56.192889573755849</v>
      </c>
      <c r="AM426" s="239">
        <f t="shared" si="158"/>
        <v>3.912023005428146</v>
      </c>
      <c r="AN426" s="239">
        <f t="shared" si="159"/>
        <v>4.0287902288553781</v>
      </c>
      <c r="AO426" s="240"/>
      <c r="AP426" s="240"/>
      <c r="AR426" s="265">
        <f t="shared" si="166"/>
        <v>268.91165560593356</v>
      </c>
      <c r="AS426" s="265">
        <f t="shared" si="167"/>
        <v>288.54372888309683</v>
      </c>
      <c r="AT426" s="239">
        <f t="shared" si="160"/>
        <v>5.5943829078390879</v>
      </c>
      <c r="AU426" s="239">
        <f t="shared" si="161"/>
        <v>5.6648466477137251</v>
      </c>
      <c r="AX426" s="385"/>
      <c r="AY426" s="385"/>
      <c r="AZ426" s="385"/>
      <c r="BA426" s="385"/>
      <c r="BB426" s="239"/>
      <c r="BC426" s="239"/>
      <c r="BD426" s="240"/>
      <c r="BE426" s="240"/>
      <c r="BF426" s="136"/>
      <c r="BG426" s="136"/>
      <c r="BH426" s="136"/>
      <c r="BI426" s="136"/>
    </row>
    <row r="427" spans="1:61" x14ac:dyDescent="0.2">
      <c r="A427" s="232" t="s">
        <v>34</v>
      </c>
      <c r="B427" s="232" t="s">
        <v>260</v>
      </c>
      <c r="C427" s="264" t="s">
        <v>341</v>
      </c>
      <c r="D427" s="381" t="s">
        <v>303</v>
      </c>
      <c r="E427" s="278">
        <v>4.8</v>
      </c>
      <c r="F427" s="278">
        <v>0.65026320000000004</v>
      </c>
      <c r="G427" s="278">
        <f t="shared" si="152"/>
        <v>0.37718283062645014</v>
      </c>
      <c r="H427" s="278">
        <v>38</v>
      </c>
      <c r="I427" s="235">
        <v>11.2</v>
      </c>
      <c r="J427" s="279">
        <v>31.015303901596727</v>
      </c>
      <c r="K427" s="399">
        <v>7</v>
      </c>
      <c r="L427" s="399">
        <v>28</v>
      </c>
      <c r="M427" s="399" t="s">
        <v>93</v>
      </c>
      <c r="N427" s="233">
        <v>25</v>
      </c>
      <c r="O427" s="279">
        <f t="shared" si="165"/>
        <v>56.015303901596724</v>
      </c>
      <c r="P427" s="279"/>
      <c r="Q427" s="279"/>
      <c r="R427" s="387">
        <v>2</v>
      </c>
      <c r="S427" s="295">
        <v>1.0900000000000001</v>
      </c>
      <c r="T427" s="290" t="s">
        <v>37</v>
      </c>
      <c r="Y427" s="236">
        <v>1.06</v>
      </c>
      <c r="Z427" s="237" t="s">
        <v>37</v>
      </c>
      <c r="AA427" s="235"/>
      <c r="AB427" s="445"/>
      <c r="AC427" s="445"/>
      <c r="AD427" s="445"/>
      <c r="AE427" s="451"/>
      <c r="AF427" s="239">
        <f t="shared" si="154"/>
        <v>3.2188758248682006</v>
      </c>
      <c r="AG427" s="239">
        <f t="shared" si="155"/>
        <v>4.0256249373569748</v>
      </c>
      <c r="AH427" s="240"/>
      <c r="AI427" s="240"/>
      <c r="AK427" s="265">
        <f t="shared" si="156"/>
        <v>50</v>
      </c>
      <c r="AL427" s="265">
        <f t="shared" si="157"/>
        <v>81.015303901596724</v>
      </c>
      <c r="AM427" s="239">
        <f t="shared" si="158"/>
        <v>3.912023005428146</v>
      </c>
      <c r="AN427" s="239">
        <f t="shared" si="159"/>
        <v>4.394638073882831</v>
      </c>
      <c r="AO427" s="240"/>
      <c r="AP427" s="240"/>
      <c r="AR427" s="265">
        <f t="shared" si="166"/>
        <v>50.164008790985513</v>
      </c>
      <c r="AS427" s="265">
        <f t="shared" si="167"/>
        <v>81.273722622829339</v>
      </c>
      <c r="AT427" s="239">
        <f t="shared" si="160"/>
        <v>3.9152978132066951</v>
      </c>
      <c r="AU427" s="239">
        <f t="shared" si="161"/>
        <v>4.3978227493371991</v>
      </c>
      <c r="AX427" s="385"/>
      <c r="AY427" s="385"/>
      <c r="AZ427" s="385"/>
      <c r="BA427" s="385"/>
      <c r="BB427" s="239"/>
      <c r="BC427" s="239"/>
      <c r="BD427" s="240"/>
      <c r="BE427" s="240"/>
      <c r="BF427" s="136"/>
      <c r="BG427" s="136"/>
      <c r="BH427" s="136"/>
      <c r="BI427" s="136"/>
    </row>
    <row r="428" spans="1:61" x14ac:dyDescent="0.2">
      <c r="A428" s="232" t="s">
        <v>34</v>
      </c>
      <c r="B428" s="232" t="s">
        <v>260</v>
      </c>
      <c r="C428" s="264" t="s">
        <v>341</v>
      </c>
      <c r="D428" s="381" t="s">
        <v>303</v>
      </c>
      <c r="E428" s="278">
        <v>5.0549999999999997</v>
      </c>
      <c r="F428" s="278">
        <v>3.75284</v>
      </c>
      <c r="G428" s="278">
        <f t="shared" si="152"/>
        <v>2.1768213457076566</v>
      </c>
      <c r="H428" s="278">
        <v>9</v>
      </c>
      <c r="I428" s="235">
        <v>4.7</v>
      </c>
      <c r="J428" s="279">
        <v>8.4849975914563824</v>
      </c>
      <c r="K428" s="399">
        <v>7</v>
      </c>
      <c r="L428" s="399">
        <v>14</v>
      </c>
      <c r="M428" s="399" t="s">
        <v>93</v>
      </c>
      <c r="N428" s="233">
        <v>50</v>
      </c>
      <c r="O428" s="279">
        <f t="shared" si="165"/>
        <v>58.484997591456384</v>
      </c>
      <c r="P428" s="279"/>
      <c r="Q428" s="279"/>
      <c r="R428" s="387">
        <v>2</v>
      </c>
      <c r="S428" s="295">
        <v>1.0900000000000001</v>
      </c>
      <c r="T428" s="290" t="s">
        <v>37</v>
      </c>
      <c r="Y428" s="236">
        <v>1.06</v>
      </c>
      <c r="Z428" s="237" t="s">
        <v>37</v>
      </c>
      <c r="AA428" s="235"/>
      <c r="AB428" s="445"/>
      <c r="AC428" s="445"/>
      <c r="AD428" s="445"/>
      <c r="AE428" s="451"/>
      <c r="AF428" s="239">
        <f t="shared" si="154"/>
        <v>3.912023005428146</v>
      </c>
      <c r="AG428" s="239">
        <f t="shared" si="155"/>
        <v>4.0687702699204245</v>
      </c>
      <c r="AH428" s="240"/>
      <c r="AI428" s="240"/>
      <c r="AK428" s="265">
        <f t="shared" si="156"/>
        <v>100</v>
      </c>
      <c r="AL428" s="265">
        <f t="shared" si="157"/>
        <v>108.48499759145638</v>
      </c>
      <c r="AM428" s="239">
        <f t="shared" si="158"/>
        <v>4.6051701859880918</v>
      </c>
      <c r="AN428" s="239">
        <f t="shared" si="159"/>
        <v>4.6866118923737066</v>
      </c>
      <c r="AO428" s="240"/>
      <c r="AP428" s="240"/>
      <c r="AR428" s="265">
        <f t="shared" si="166"/>
        <v>258.5134898295924</v>
      </c>
      <c r="AS428" s="265">
        <f t="shared" si="167"/>
        <v>273.21223577957232</v>
      </c>
      <c r="AT428" s="239">
        <f t="shared" si="160"/>
        <v>5.5549478776143291</v>
      </c>
      <c r="AU428" s="239">
        <f t="shared" si="161"/>
        <v>5.6102489135882134</v>
      </c>
      <c r="AX428" s="385"/>
      <c r="AY428" s="385"/>
      <c r="AZ428" s="385"/>
      <c r="BA428" s="385"/>
      <c r="BB428" s="239"/>
      <c r="BC428" s="239"/>
      <c r="BD428" s="240"/>
      <c r="BE428" s="240"/>
      <c r="BF428" s="136"/>
      <c r="BG428" s="136"/>
      <c r="BH428" s="136"/>
      <c r="BI428" s="136"/>
    </row>
    <row r="429" spans="1:61" x14ac:dyDescent="0.2">
      <c r="A429" s="232" t="s">
        <v>34</v>
      </c>
      <c r="B429" s="232" t="s">
        <v>260</v>
      </c>
      <c r="C429" s="264" t="s">
        <v>341</v>
      </c>
      <c r="D429" s="381" t="s">
        <v>303</v>
      </c>
      <c r="E429" s="278">
        <v>5.4349999999999996</v>
      </c>
      <c r="F429" s="278">
        <v>1.39886</v>
      </c>
      <c r="G429" s="278">
        <f t="shared" si="152"/>
        <v>0.81140371229698371</v>
      </c>
      <c r="H429" s="278">
        <v>51</v>
      </c>
      <c r="I429" s="235">
        <v>22.6</v>
      </c>
      <c r="J429" s="279">
        <v>21.113151960209731</v>
      </c>
      <c r="K429" s="399">
        <v>7</v>
      </c>
      <c r="L429" s="399">
        <v>28</v>
      </c>
      <c r="M429" s="399" t="s">
        <v>93</v>
      </c>
      <c r="N429" s="233">
        <v>100</v>
      </c>
      <c r="O429" s="279">
        <f t="shared" si="165"/>
        <v>121.11315196020973</v>
      </c>
      <c r="P429" s="279"/>
      <c r="Q429" s="279"/>
      <c r="R429" s="387">
        <v>2</v>
      </c>
      <c r="S429" s="295">
        <v>1.0900000000000001</v>
      </c>
      <c r="T429" s="290" t="s">
        <v>37</v>
      </c>
      <c r="Y429" s="236">
        <v>1.06</v>
      </c>
      <c r="Z429" s="237" t="s">
        <v>37</v>
      </c>
      <c r="AA429" s="235"/>
      <c r="AB429" s="445"/>
      <c r="AC429" s="445"/>
      <c r="AD429" s="445"/>
      <c r="AE429" s="451"/>
      <c r="AF429" s="239">
        <f t="shared" si="154"/>
        <v>4.6051701859880918</v>
      </c>
      <c r="AG429" s="239">
        <f t="shared" si="155"/>
        <v>4.7967252487925958</v>
      </c>
      <c r="AH429" s="240"/>
      <c r="AI429" s="240"/>
      <c r="AK429" s="265">
        <f t="shared" si="156"/>
        <v>200</v>
      </c>
      <c r="AL429" s="265">
        <f t="shared" si="157"/>
        <v>221.11315196020973</v>
      </c>
      <c r="AM429" s="239">
        <f t="shared" si="158"/>
        <v>5.2983173665480363</v>
      </c>
      <c r="AN429" s="239">
        <f t="shared" si="159"/>
        <v>5.3986745703105203</v>
      </c>
      <c r="AO429" s="240"/>
      <c r="AP429" s="240"/>
      <c r="AR429" s="265">
        <f t="shared" si="166"/>
        <v>93.351579947530965</v>
      </c>
      <c r="AS429" s="265">
        <f t="shared" si="167"/>
        <v>105.39349849631812</v>
      </c>
      <c r="AT429" s="239">
        <f t="shared" si="160"/>
        <v>4.536372794831447</v>
      </c>
      <c r="AU429" s="239">
        <f t="shared" si="161"/>
        <v>4.6577009501090663</v>
      </c>
      <c r="AX429" s="385"/>
      <c r="AY429" s="385"/>
      <c r="AZ429" s="385"/>
      <c r="BA429" s="385"/>
      <c r="BB429" s="239"/>
      <c r="BC429" s="239"/>
      <c r="BD429" s="240"/>
      <c r="BE429" s="240"/>
      <c r="BF429" s="136"/>
      <c r="BG429" s="136"/>
      <c r="BH429" s="136"/>
      <c r="BI429" s="136"/>
    </row>
    <row r="430" spans="1:61" x14ac:dyDescent="0.2">
      <c r="A430" s="232" t="s">
        <v>34</v>
      </c>
      <c r="B430" s="232" t="s">
        <v>260</v>
      </c>
      <c r="C430" s="264" t="s">
        <v>341</v>
      </c>
      <c r="D430" s="381" t="s">
        <v>303</v>
      </c>
      <c r="E430" s="278">
        <v>6.3550000000000004</v>
      </c>
      <c r="F430" s="278">
        <v>7.0438112000000004</v>
      </c>
      <c r="G430" s="278">
        <f t="shared" si="152"/>
        <v>4.0857373549883995</v>
      </c>
      <c r="H430" s="278">
        <v>21</v>
      </c>
      <c r="I430" s="235">
        <v>23.4</v>
      </c>
      <c r="J430" s="279">
        <v>21.783966122059201</v>
      </c>
      <c r="K430" s="399">
        <v>7</v>
      </c>
      <c r="L430" s="399">
        <v>4</v>
      </c>
      <c r="M430" s="399" t="s">
        <v>93</v>
      </c>
      <c r="N430" s="233">
        <v>300</v>
      </c>
      <c r="O430" s="279">
        <f t="shared" si="165"/>
        <v>321.78396612205921</v>
      </c>
      <c r="P430" s="279"/>
      <c r="Q430" s="279"/>
      <c r="R430" s="387">
        <v>2</v>
      </c>
      <c r="S430" s="295">
        <v>1.0900000000000001</v>
      </c>
      <c r="T430" s="290" t="s">
        <v>37</v>
      </c>
      <c r="Y430" s="236">
        <v>1.06</v>
      </c>
      <c r="Z430" s="237" t="s">
        <v>37</v>
      </c>
      <c r="AA430" s="235"/>
      <c r="AB430" s="445"/>
      <c r="AC430" s="445"/>
      <c r="AD430" s="445"/>
      <c r="AE430" s="451"/>
      <c r="AF430" s="239">
        <f t="shared" si="154"/>
        <v>5.7037824746562009</v>
      </c>
      <c r="AG430" s="239">
        <f t="shared" si="155"/>
        <v>5.7738804077173791</v>
      </c>
      <c r="AH430" s="240"/>
      <c r="AI430" s="240"/>
      <c r="AK430" s="265">
        <f t="shared" si="156"/>
        <v>600</v>
      </c>
      <c r="AL430" s="265">
        <f t="shared" si="157"/>
        <v>621.78396612205916</v>
      </c>
      <c r="AM430" s="239">
        <f t="shared" si="158"/>
        <v>6.3969296552161463</v>
      </c>
      <c r="AN430" s="239">
        <f t="shared" si="159"/>
        <v>6.4325927110619787</v>
      </c>
      <c r="AO430" s="240"/>
      <c r="AP430" s="240"/>
      <c r="AR430" s="265">
        <f t="shared" si="166"/>
        <v>269.63473694314001</v>
      </c>
      <c r="AS430" s="265">
        <f t="shared" si="167"/>
        <v>285.64386505785819</v>
      </c>
      <c r="AT430" s="239">
        <f t="shared" si="160"/>
        <v>5.5970682169664538</v>
      </c>
      <c r="AU430" s="239">
        <f t="shared" si="161"/>
        <v>5.6547458078099844</v>
      </c>
      <c r="AX430" s="385"/>
      <c r="AY430" s="385"/>
      <c r="AZ430" s="385"/>
      <c r="BA430" s="385"/>
      <c r="BB430" s="239"/>
      <c r="BC430" s="239"/>
      <c r="BD430" s="240"/>
      <c r="BE430" s="240"/>
      <c r="BF430" s="136"/>
      <c r="BG430" s="136"/>
      <c r="BH430" s="136"/>
      <c r="BI430" s="136"/>
    </row>
    <row r="431" spans="1:61" x14ac:dyDescent="0.2">
      <c r="A431" s="232" t="s">
        <v>34</v>
      </c>
      <c r="B431" s="232" t="s">
        <v>260</v>
      </c>
      <c r="C431" s="264" t="s">
        <v>341</v>
      </c>
      <c r="D431" s="381" t="s">
        <v>303</v>
      </c>
      <c r="E431" s="278">
        <v>6.8</v>
      </c>
      <c r="F431" s="278">
        <v>1.5718104000000002</v>
      </c>
      <c r="G431" s="278">
        <f t="shared" si="152"/>
        <v>0.91172296983758716</v>
      </c>
      <c r="H431" s="278">
        <v>15</v>
      </c>
      <c r="I431" s="235">
        <v>8.9</v>
      </c>
      <c r="J431" s="279">
        <v>21.67</v>
      </c>
      <c r="K431" s="399">
        <v>7</v>
      </c>
      <c r="L431" s="399">
        <v>7</v>
      </c>
      <c r="M431" s="399" t="s">
        <v>93</v>
      </c>
      <c r="N431" s="233">
        <v>200</v>
      </c>
      <c r="O431" s="279">
        <f t="shared" si="165"/>
        <v>221.67000000000002</v>
      </c>
      <c r="P431" s="279"/>
      <c r="Q431" s="279"/>
      <c r="R431" s="387">
        <v>2</v>
      </c>
      <c r="S431" s="295">
        <v>1.0900000000000001</v>
      </c>
      <c r="T431" s="290" t="s">
        <v>37</v>
      </c>
      <c r="Y431" s="236">
        <v>1.06</v>
      </c>
      <c r="Z431" s="237" t="s">
        <v>37</v>
      </c>
      <c r="AA431" s="235"/>
      <c r="AB431" s="445"/>
      <c r="AC431" s="445"/>
      <c r="AD431" s="445"/>
      <c r="AE431" s="451"/>
      <c r="AF431" s="239">
        <f t="shared" si="154"/>
        <v>5.2983173665480363</v>
      </c>
      <c r="AG431" s="239">
        <f t="shared" si="155"/>
        <v>5.401189789468666</v>
      </c>
      <c r="AH431" s="240"/>
      <c r="AI431" s="240"/>
      <c r="AK431" s="265">
        <f t="shared" si="156"/>
        <v>400</v>
      </c>
      <c r="AL431" s="265">
        <f t="shared" si="157"/>
        <v>421.67</v>
      </c>
      <c r="AM431" s="239">
        <f t="shared" si="158"/>
        <v>5.9914645471079817</v>
      </c>
      <c r="AN431" s="239">
        <f t="shared" si="159"/>
        <v>6.0442230176006051</v>
      </c>
      <c r="AO431" s="240"/>
      <c r="AP431" s="240"/>
      <c r="AR431" s="265">
        <f t="shared" si="166"/>
        <v>515.57845379695675</v>
      </c>
      <c r="AS431" s="265">
        <f t="shared" si="167"/>
        <v>539.72618422767255</v>
      </c>
      <c r="AT431" s="239">
        <f t="shared" si="160"/>
        <v>6.2452894815901514</v>
      </c>
      <c r="AU431" s="239">
        <f t="shared" si="161"/>
        <v>6.2910619447117062</v>
      </c>
      <c r="AX431" s="385"/>
      <c r="AY431" s="385"/>
      <c r="AZ431" s="385"/>
      <c r="BA431" s="385"/>
      <c r="BB431" s="239"/>
      <c r="BC431" s="239"/>
      <c r="BD431" s="240"/>
      <c r="BE431" s="240"/>
      <c r="BF431" s="136"/>
      <c r="BG431" s="136"/>
      <c r="BH431" s="136"/>
      <c r="BI431" s="136"/>
    </row>
    <row r="432" spans="1:61" x14ac:dyDescent="0.2">
      <c r="A432" s="232" t="s">
        <v>34</v>
      </c>
      <c r="B432" s="232" t="s">
        <v>260</v>
      </c>
      <c r="C432" s="264" t="s">
        <v>341</v>
      </c>
      <c r="D432" s="381" t="s">
        <v>303</v>
      </c>
      <c r="E432" s="278">
        <v>7.2850000000000001</v>
      </c>
      <c r="F432" s="278">
        <v>2.3442543309421522</v>
      </c>
      <c r="G432" s="278">
        <f t="shared" si="152"/>
        <v>1.3597762940499722</v>
      </c>
      <c r="H432" s="278">
        <v>38</v>
      </c>
      <c r="I432" s="235">
        <v>26.2</v>
      </c>
      <c r="J432" s="279">
        <v>21.090912443436086</v>
      </c>
      <c r="K432" s="399">
        <v>7</v>
      </c>
      <c r="L432" s="399">
        <v>4</v>
      </c>
      <c r="M432" s="399" t="s">
        <v>93</v>
      </c>
      <c r="N432" s="233">
        <v>800</v>
      </c>
      <c r="O432" s="279">
        <f t="shared" si="165"/>
        <v>821.09091244343608</v>
      </c>
      <c r="P432" s="279"/>
      <c r="Q432" s="279"/>
      <c r="R432" s="387">
        <v>2</v>
      </c>
      <c r="S432" s="295">
        <v>1.0900000000000001</v>
      </c>
      <c r="T432" s="290" t="s">
        <v>37</v>
      </c>
      <c r="Y432" s="236">
        <v>1.06</v>
      </c>
      <c r="Z432" s="237" t="s">
        <v>37</v>
      </c>
      <c r="AA432" s="235"/>
      <c r="AB432" s="445"/>
      <c r="AC432" s="445"/>
      <c r="AD432" s="445"/>
      <c r="AE432" s="451"/>
      <c r="AF432" s="239">
        <f t="shared" si="154"/>
        <v>6.6846117276679271</v>
      </c>
      <c r="AG432" s="239">
        <f t="shared" si="155"/>
        <v>6.710633837114143</v>
      </c>
      <c r="AH432" s="240"/>
      <c r="AI432" s="240"/>
      <c r="AK432" s="265">
        <f t="shared" si="156"/>
        <v>1600</v>
      </c>
      <c r="AL432" s="265">
        <f t="shared" si="157"/>
        <v>1621.0909124434361</v>
      </c>
      <c r="AM432" s="239">
        <f t="shared" si="158"/>
        <v>7.3777589082278725</v>
      </c>
      <c r="AN432" s="239">
        <f t="shared" si="159"/>
        <v>7.3908546043354031</v>
      </c>
      <c r="AO432" s="240"/>
      <c r="AP432" s="240"/>
      <c r="AR432" s="265">
        <f t="shared" si="166"/>
        <v>635.68424925033833</v>
      </c>
      <c r="AS432" s="265">
        <f t="shared" si="167"/>
        <v>660.63593525183603</v>
      </c>
      <c r="AT432" s="239">
        <f t="shared" si="160"/>
        <v>6.4547019766184786</v>
      </c>
      <c r="AU432" s="239">
        <f t="shared" si="161"/>
        <v>6.4932029093758086</v>
      </c>
      <c r="AX432" s="385"/>
      <c r="AY432" s="385"/>
      <c r="AZ432" s="385"/>
      <c r="BA432" s="385"/>
      <c r="BB432" s="239"/>
      <c r="BC432" s="239"/>
      <c r="BD432" s="240"/>
      <c r="BE432" s="240"/>
      <c r="BF432" s="136"/>
      <c r="BG432" s="136"/>
      <c r="BH432" s="136"/>
      <c r="BI432" s="136"/>
    </row>
    <row r="433" spans="1:61" x14ac:dyDescent="0.2">
      <c r="A433" s="232" t="s">
        <v>34</v>
      </c>
      <c r="B433" s="232" t="s">
        <v>260</v>
      </c>
      <c r="C433" s="264" t="s">
        <v>341</v>
      </c>
      <c r="D433" s="381" t="s">
        <v>303</v>
      </c>
      <c r="E433" s="278">
        <v>7.375</v>
      </c>
      <c r="F433" s="278">
        <v>2.0096692831802643</v>
      </c>
      <c r="G433" s="278">
        <f t="shared" si="152"/>
        <v>1.1657014403597821</v>
      </c>
      <c r="H433" s="278">
        <v>27</v>
      </c>
      <c r="I433" s="235">
        <v>20</v>
      </c>
      <c r="J433" s="279">
        <v>13.975427379945295</v>
      </c>
      <c r="K433" s="399">
        <v>7</v>
      </c>
      <c r="L433" s="399">
        <v>7</v>
      </c>
      <c r="M433" s="399" t="s">
        <v>93</v>
      </c>
      <c r="N433" s="233">
        <v>400</v>
      </c>
      <c r="O433" s="279">
        <f t="shared" si="165"/>
        <v>413.9754273799453</v>
      </c>
      <c r="P433" s="279"/>
      <c r="Q433" s="279"/>
      <c r="R433" s="387">
        <v>2</v>
      </c>
      <c r="S433" s="295">
        <v>1.0900000000000001</v>
      </c>
      <c r="T433" s="290" t="s">
        <v>37</v>
      </c>
      <c r="Y433" s="236">
        <v>1.06</v>
      </c>
      <c r="Z433" s="237" t="s">
        <v>37</v>
      </c>
      <c r="AA433" s="235"/>
      <c r="AB433" s="445"/>
      <c r="AC433" s="445"/>
      <c r="AD433" s="445"/>
      <c r="AE433" s="451"/>
      <c r="AF433" s="239">
        <f t="shared" si="154"/>
        <v>5.9914645471079817</v>
      </c>
      <c r="AG433" s="239">
        <f t="shared" si="155"/>
        <v>6.0258066179090655</v>
      </c>
      <c r="AH433" s="240"/>
      <c r="AI433" s="240"/>
      <c r="AK433" s="265">
        <f t="shared" si="156"/>
        <v>800</v>
      </c>
      <c r="AL433" s="265">
        <f t="shared" si="157"/>
        <v>813.97542737994524</v>
      </c>
      <c r="AM433" s="239">
        <f t="shared" si="158"/>
        <v>6.6846117276679271</v>
      </c>
      <c r="AN433" s="239">
        <f t="shared" si="159"/>
        <v>6.7019301780529643</v>
      </c>
      <c r="AO433" s="240"/>
      <c r="AP433" s="240"/>
      <c r="AR433" s="265">
        <f t="shared" si="166"/>
        <v>426.61602748540037</v>
      </c>
      <c r="AS433" s="265">
        <f t="shared" si="167"/>
        <v>441.64537831065854</v>
      </c>
      <c r="AT433" s="239">
        <f t="shared" si="160"/>
        <v>6.055884375620769</v>
      </c>
      <c r="AU433" s="239">
        <f t="shared" si="161"/>
        <v>6.0905072485392138</v>
      </c>
      <c r="AX433" s="385"/>
      <c r="AY433" s="385"/>
      <c r="AZ433" s="385"/>
      <c r="BA433" s="385"/>
      <c r="BB433" s="239"/>
      <c r="BC433" s="239"/>
      <c r="BD433" s="240"/>
      <c r="BE433" s="240"/>
      <c r="BF433" s="136"/>
      <c r="BG433" s="136"/>
      <c r="BH433" s="136"/>
      <c r="BI433" s="136"/>
    </row>
    <row r="434" spans="1:61" x14ac:dyDescent="0.2">
      <c r="A434" s="232" t="s">
        <v>34</v>
      </c>
      <c r="B434" s="232" t="s">
        <v>260</v>
      </c>
      <c r="C434" s="264" t="s">
        <v>341</v>
      </c>
      <c r="D434" s="381" t="s">
        <v>303</v>
      </c>
      <c r="E434" s="278">
        <v>7.375</v>
      </c>
      <c r="F434" s="278">
        <v>4.1752105820553416</v>
      </c>
      <c r="G434" s="278">
        <f t="shared" si="152"/>
        <v>2.421815882862727</v>
      </c>
      <c r="H434" s="278">
        <v>46</v>
      </c>
      <c r="I434" s="235">
        <v>36.299999999999997</v>
      </c>
      <c r="J434" s="279">
        <v>33.636674889237447</v>
      </c>
      <c r="K434" s="399">
        <v>7</v>
      </c>
      <c r="L434" s="399">
        <v>14</v>
      </c>
      <c r="M434" s="399" t="s">
        <v>93</v>
      </c>
      <c r="N434" s="233">
        <v>600</v>
      </c>
      <c r="O434" s="279">
        <f t="shared" si="165"/>
        <v>633.6366748892375</v>
      </c>
      <c r="P434" s="279"/>
      <c r="Q434" s="279"/>
      <c r="R434" s="387">
        <v>2</v>
      </c>
      <c r="S434" s="295">
        <v>1.0900000000000001</v>
      </c>
      <c r="T434" s="290" t="s">
        <v>37</v>
      </c>
      <c r="Y434" s="236">
        <v>1.06</v>
      </c>
      <c r="Z434" s="237" t="s">
        <v>37</v>
      </c>
      <c r="AA434" s="235"/>
      <c r="AB434" s="445"/>
      <c r="AC434" s="445"/>
      <c r="AD434" s="445"/>
      <c r="AE434" s="451"/>
      <c r="AF434" s="239">
        <f t="shared" si="154"/>
        <v>6.3969296552161463</v>
      </c>
      <c r="AG434" s="239">
        <f t="shared" si="155"/>
        <v>6.4514757221729528</v>
      </c>
      <c r="AH434" s="240"/>
      <c r="AI434" s="240"/>
      <c r="AK434" s="265">
        <f t="shared" si="156"/>
        <v>1200</v>
      </c>
      <c r="AL434" s="265">
        <f t="shared" si="157"/>
        <v>1233.6366748892374</v>
      </c>
      <c r="AM434" s="239">
        <f t="shared" si="158"/>
        <v>7.0900768357760917</v>
      </c>
      <c r="AN434" s="239">
        <f t="shared" si="159"/>
        <v>7.117721732335716</v>
      </c>
      <c r="AO434" s="240"/>
      <c r="AP434" s="240"/>
      <c r="AR434" s="265">
        <f t="shared" si="166"/>
        <v>334.15879827213877</v>
      </c>
      <c r="AS434" s="265">
        <f t="shared" si="167"/>
        <v>355.82826296061745</v>
      </c>
      <c r="AT434" s="239">
        <f t="shared" si="160"/>
        <v>5.8116163239176064</v>
      </c>
      <c r="AU434" s="239">
        <f t="shared" si="161"/>
        <v>5.8744482070421427</v>
      </c>
      <c r="AX434" s="385"/>
      <c r="AY434" s="385"/>
      <c r="AZ434" s="385"/>
      <c r="BA434" s="385"/>
      <c r="BB434" s="239"/>
      <c r="BC434" s="239"/>
      <c r="BD434" s="240"/>
      <c r="BE434" s="240"/>
      <c r="BF434" s="136"/>
      <c r="BG434" s="136"/>
      <c r="BH434" s="136"/>
      <c r="BI434" s="136"/>
    </row>
    <row r="435" spans="1:61" x14ac:dyDescent="0.2">
      <c r="A435" s="232" t="s">
        <v>34</v>
      </c>
      <c r="B435" s="232" t="s">
        <v>260</v>
      </c>
      <c r="C435" s="264" t="s">
        <v>341</v>
      </c>
      <c r="D435" s="381" t="s">
        <v>303</v>
      </c>
      <c r="E435" s="278">
        <v>7.52</v>
      </c>
      <c r="F435" s="278">
        <v>2.0393672214266942</v>
      </c>
      <c r="G435" s="278">
        <f t="shared" si="152"/>
        <v>1.1829276226372936</v>
      </c>
      <c r="H435" s="278">
        <v>26</v>
      </c>
      <c r="I435" s="235">
        <v>20.100000000000001</v>
      </c>
      <c r="J435" s="279">
        <v>17.600093656180341</v>
      </c>
      <c r="K435" s="399">
        <v>7</v>
      </c>
      <c r="L435" s="399">
        <v>7</v>
      </c>
      <c r="M435" s="399" t="s">
        <v>93</v>
      </c>
      <c r="N435" s="233">
        <v>800</v>
      </c>
      <c r="O435" s="279">
        <f t="shared" si="165"/>
        <v>817.60009365618032</v>
      </c>
      <c r="P435" s="279"/>
      <c r="Q435" s="279"/>
      <c r="R435" s="387">
        <v>2</v>
      </c>
      <c r="S435" s="295">
        <v>1.0900000000000001</v>
      </c>
      <c r="T435" s="290" t="s">
        <v>37</v>
      </c>
      <c r="Y435" s="236">
        <v>1.06</v>
      </c>
      <c r="Z435" s="237" t="s">
        <v>37</v>
      </c>
      <c r="AA435" s="235"/>
      <c r="AB435" s="445"/>
      <c r="AC435" s="445"/>
      <c r="AD435" s="445"/>
      <c r="AE435" s="451"/>
      <c r="AF435" s="239">
        <f t="shared" si="154"/>
        <v>6.6846117276679271</v>
      </c>
      <c r="AG435" s="239">
        <f t="shared" si="155"/>
        <v>6.7063733339995562</v>
      </c>
      <c r="AH435" s="240"/>
      <c r="AI435" s="240"/>
      <c r="AK435" s="265">
        <f t="shared" si="156"/>
        <v>1600</v>
      </c>
      <c r="AL435" s="265">
        <f t="shared" si="157"/>
        <v>1617.6000936561804</v>
      </c>
      <c r="AM435" s="239">
        <f t="shared" si="158"/>
        <v>7.3777589082278725</v>
      </c>
      <c r="AN435" s="239">
        <f t="shared" si="159"/>
        <v>7.3886989061644375</v>
      </c>
      <c r="AO435" s="240"/>
      <c r="AP435" s="240"/>
      <c r="AR435" s="265">
        <f t="shared" si="166"/>
        <v>848.60611262822215</v>
      </c>
      <c r="AS435" s="265">
        <f t="shared" si="167"/>
        <v>873.04681745991616</v>
      </c>
      <c r="AT435" s="239">
        <f t="shared" si="160"/>
        <v>6.7435951359336821</v>
      </c>
      <c r="AU435" s="239">
        <f t="shared" si="161"/>
        <v>6.7719891826489862</v>
      </c>
      <c r="AX435" s="385"/>
      <c r="AY435" s="385"/>
      <c r="AZ435" s="385"/>
      <c r="BA435" s="385"/>
      <c r="BB435" s="239"/>
      <c r="BC435" s="239"/>
      <c r="BD435" s="240"/>
      <c r="BE435" s="240"/>
      <c r="BF435" s="136"/>
      <c r="BG435" s="136"/>
      <c r="BH435" s="136"/>
      <c r="BI435" s="136"/>
    </row>
    <row r="436" spans="1:61" x14ac:dyDescent="0.2">
      <c r="A436" s="232" t="s">
        <v>34</v>
      </c>
      <c r="B436" s="232" t="s">
        <v>260</v>
      </c>
      <c r="C436" s="264" t="s">
        <v>341</v>
      </c>
      <c r="D436" s="381" t="s">
        <v>303</v>
      </c>
      <c r="E436" s="278">
        <v>7.4850000000000003</v>
      </c>
      <c r="F436" s="278">
        <v>2.3622472771305825</v>
      </c>
      <c r="G436" s="278">
        <f t="shared" si="152"/>
        <v>1.3702130377787602</v>
      </c>
      <c r="H436" s="278">
        <v>21</v>
      </c>
      <c r="I436" s="235">
        <v>14.3</v>
      </c>
      <c r="J436" s="279">
        <v>88.00050037516084</v>
      </c>
      <c r="K436" s="399">
        <v>7</v>
      </c>
      <c r="L436" s="399">
        <v>11</v>
      </c>
      <c r="M436" s="399" t="s">
        <v>93</v>
      </c>
      <c r="N436" s="233">
        <v>300</v>
      </c>
      <c r="O436" s="279">
        <f t="shared" si="165"/>
        <v>388.00050037516087</v>
      </c>
      <c r="P436" s="279"/>
      <c r="Q436" s="279"/>
      <c r="R436" s="387">
        <v>2</v>
      </c>
      <c r="S436" s="295">
        <v>1.0900000000000001</v>
      </c>
      <c r="T436" s="290" t="s">
        <v>37</v>
      </c>
      <c r="Y436" s="236">
        <v>1.06</v>
      </c>
      <c r="Z436" s="237" t="s">
        <v>37</v>
      </c>
      <c r="AA436" s="235"/>
      <c r="AB436" s="445"/>
      <c r="AC436" s="445"/>
      <c r="AD436" s="445"/>
      <c r="AE436" s="451"/>
      <c r="AF436" s="239">
        <f t="shared" si="154"/>
        <v>5.7037824746562009</v>
      </c>
      <c r="AG436" s="239">
        <f t="shared" si="155"/>
        <v>5.9610066292491455</v>
      </c>
      <c r="AH436" s="240"/>
      <c r="AI436" s="240"/>
      <c r="AK436" s="265">
        <f t="shared" si="156"/>
        <v>600</v>
      </c>
      <c r="AL436" s="265">
        <f t="shared" si="157"/>
        <v>688.00050037516087</v>
      </c>
      <c r="AM436" s="239">
        <f t="shared" si="158"/>
        <v>6.3969296552161463</v>
      </c>
      <c r="AN436" s="239">
        <f t="shared" si="159"/>
        <v>6.5337895652225573</v>
      </c>
      <c r="AO436" s="240"/>
      <c r="AP436" s="240"/>
      <c r="AR436" s="265">
        <f t="shared" si="166"/>
        <v>461.2165100232462</v>
      </c>
      <c r="AS436" s="265">
        <f t="shared" si="167"/>
        <v>532.70496598639897</v>
      </c>
      <c r="AT436" s="239">
        <f t="shared" si="160"/>
        <v>6.1338675857230491</v>
      </c>
      <c r="AU436" s="239">
        <f t="shared" si="161"/>
        <v>6.2779677361742241</v>
      </c>
      <c r="AX436" s="385"/>
      <c r="AY436" s="385"/>
      <c r="AZ436" s="385"/>
      <c r="BA436" s="385"/>
      <c r="BB436" s="239"/>
      <c r="BC436" s="239"/>
      <c r="BD436" s="240"/>
      <c r="BE436" s="240"/>
      <c r="BF436" s="136"/>
      <c r="BG436" s="136"/>
      <c r="BH436" s="136"/>
      <c r="BI436" s="136"/>
    </row>
    <row r="437" spans="1:61" x14ac:dyDescent="0.2">
      <c r="A437" s="232" t="s">
        <v>34</v>
      </c>
      <c r="B437" s="232" t="s">
        <v>260</v>
      </c>
      <c r="C437" s="264" t="s">
        <v>341</v>
      </c>
      <c r="D437" s="381" t="s">
        <v>303</v>
      </c>
      <c r="E437" s="278">
        <v>7.5049999999999999</v>
      </c>
      <c r="F437" s="278">
        <v>2.4210378774303138</v>
      </c>
      <c r="G437" s="278">
        <f t="shared" si="152"/>
        <v>1.4043143140547065</v>
      </c>
      <c r="H437" s="278">
        <v>50</v>
      </c>
      <c r="I437" s="235">
        <v>23.5</v>
      </c>
      <c r="J437" s="279">
        <v>30.97727391992974</v>
      </c>
      <c r="K437" s="399">
        <v>7</v>
      </c>
      <c r="L437" s="399">
        <v>4</v>
      </c>
      <c r="M437" s="399" t="s">
        <v>93</v>
      </c>
      <c r="N437" s="233">
        <v>400</v>
      </c>
      <c r="O437" s="279">
        <f t="shared" si="165"/>
        <v>430.97727391992976</v>
      </c>
      <c r="P437" s="279"/>
      <c r="Q437" s="279"/>
      <c r="R437" s="387">
        <v>2</v>
      </c>
      <c r="S437" s="295">
        <v>1.0900000000000001</v>
      </c>
      <c r="T437" s="290" t="s">
        <v>37</v>
      </c>
      <c r="Y437" s="236">
        <v>1.06</v>
      </c>
      <c r="Z437" s="237" t="s">
        <v>37</v>
      </c>
      <c r="AA437" s="235"/>
      <c r="AB437" s="445"/>
      <c r="AC437" s="445"/>
      <c r="AD437" s="445"/>
      <c r="AE437" s="451"/>
      <c r="AF437" s="239">
        <f t="shared" si="154"/>
        <v>5.9914645471079817</v>
      </c>
      <c r="AG437" s="239">
        <f t="shared" si="155"/>
        <v>6.0660553599894786</v>
      </c>
      <c r="AH437" s="240"/>
      <c r="AI437" s="240"/>
      <c r="AK437" s="265">
        <f t="shared" si="156"/>
        <v>800</v>
      </c>
      <c r="AL437" s="265">
        <f t="shared" si="157"/>
        <v>830.97727391992976</v>
      </c>
      <c r="AM437" s="239">
        <f t="shared" si="158"/>
        <v>6.6846117276679271</v>
      </c>
      <c r="AN437" s="239">
        <f t="shared" si="159"/>
        <v>6.7226024466113676</v>
      </c>
      <c r="AO437" s="240"/>
      <c r="AP437" s="240"/>
      <c r="AR437" s="265">
        <f t="shared" si="166"/>
        <v>357.8457740155572</v>
      </c>
      <c r="AS437" s="265">
        <f t="shared" si="167"/>
        <v>380.02433139054864</v>
      </c>
      <c r="AT437" s="239">
        <f t="shared" si="160"/>
        <v>5.8801020947409954</v>
      </c>
      <c r="AU437" s="239">
        <f t="shared" si="161"/>
        <v>5.9402352806457284</v>
      </c>
      <c r="AX437" s="385"/>
      <c r="AY437" s="385"/>
      <c r="AZ437" s="385"/>
      <c r="BA437" s="385"/>
      <c r="BB437" s="239"/>
      <c r="BC437" s="239"/>
      <c r="BD437" s="240"/>
      <c r="BE437" s="240"/>
      <c r="BF437" s="136"/>
      <c r="BG437" s="136"/>
      <c r="BH437" s="136"/>
      <c r="BI437" s="136"/>
    </row>
    <row r="438" spans="1:61" x14ac:dyDescent="0.2">
      <c r="A438" s="232" t="s">
        <v>34</v>
      </c>
      <c r="B438" s="232" t="s">
        <v>260</v>
      </c>
      <c r="C438" s="264" t="s">
        <v>341</v>
      </c>
      <c r="D438" s="381" t="s">
        <v>303</v>
      </c>
      <c r="E438" s="278">
        <v>7.52</v>
      </c>
      <c r="F438" s="278">
        <v>0.61333838670211449</v>
      </c>
      <c r="G438" s="278">
        <f t="shared" si="152"/>
        <v>0.35576472546526361</v>
      </c>
      <c r="H438" s="278">
        <v>25</v>
      </c>
      <c r="I438" s="235">
        <v>16.899999999999999</v>
      </c>
      <c r="J438" s="279">
        <v>7.3217397162852489</v>
      </c>
      <c r="K438" s="399">
        <v>7</v>
      </c>
      <c r="L438" s="399">
        <v>7</v>
      </c>
      <c r="M438" s="399" t="s">
        <v>104</v>
      </c>
      <c r="N438" s="397">
        <v>52</v>
      </c>
      <c r="O438" s="279">
        <f t="shared" si="165"/>
        <v>59.321739716285251</v>
      </c>
      <c r="P438" s="279"/>
      <c r="Q438" s="279"/>
      <c r="R438" s="387">
        <v>2</v>
      </c>
      <c r="S438" s="295">
        <v>1.0900000000000001</v>
      </c>
      <c r="T438" s="290" t="s">
        <v>37</v>
      </c>
      <c r="Y438" s="236">
        <v>1.06</v>
      </c>
      <c r="Z438" s="237" t="s">
        <v>37</v>
      </c>
      <c r="AA438" s="235"/>
      <c r="AB438" s="445"/>
      <c r="AC438" s="445"/>
      <c r="AD438" s="445"/>
      <c r="AE438" s="451"/>
      <c r="AF438" s="239">
        <f t="shared" si="154"/>
        <v>3.9512437185814275</v>
      </c>
      <c r="AG438" s="239">
        <f t="shared" si="155"/>
        <v>4.0829758444911555</v>
      </c>
      <c r="AH438" s="240"/>
      <c r="AI438" s="240"/>
      <c r="AK438" s="265">
        <f t="shared" si="156"/>
        <v>104</v>
      </c>
      <c r="AL438" s="265">
        <f t="shared" si="157"/>
        <v>111.32173971628525</v>
      </c>
      <c r="AM438" s="239">
        <f t="shared" si="158"/>
        <v>4.6443908991413725</v>
      </c>
      <c r="AN438" s="239">
        <f t="shared" si="159"/>
        <v>4.7124245646013767</v>
      </c>
      <c r="AO438" s="240"/>
      <c r="AP438" s="240"/>
      <c r="AR438" s="265">
        <f t="shared" si="166"/>
        <v>66.635660511631983</v>
      </c>
      <c r="AS438" s="265">
        <f t="shared" si="167"/>
        <v>72.206163248639797</v>
      </c>
      <c r="AT438" s="239">
        <f t="shared" si="160"/>
        <v>4.1992398773654243</v>
      </c>
      <c r="AU438" s="239">
        <f t="shared" si="161"/>
        <v>4.2795254058100873</v>
      </c>
      <c r="AX438" s="385"/>
      <c r="AY438" s="385"/>
      <c r="AZ438" s="385"/>
      <c r="BA438" s="385"/>
      <c r="BB438" s="239"/>
      <c r="BC438" s="239"/>
      <c r="BD438" s="240"/>
      <c r="BE438" s="240"/>
      <c r="BF438" s="136"/>
      <c r="BG438" s="136"/>
      <c r="BH438" s="136"/>
      <c r="BI438" s="136"/>
    </row>
    <row r="439" spans="1:61" x14ac:dyDescent="0.2">
      <c r="A439" s="232" t="s">
        <v>34</v>
      </c>
      <c r="B439" s="232" t="s">
        <v>260</v>
      </c>
      <c r="C439" s="264" t="s">
        <v>341</v>
      </c>
      <c r="D439" s="381" t="s">
        <v>303</v>
      </c>
      <c r="E439" s="293">
        <v>5.4</v>
      </c>
      <c r="F439" s="293">
        <v>3.3</v>
      </c>
      <c r="G439" s="293">
        <f t="shared" si="152"/>
        <v>1.91415313225058</v>
      </c>
      <c r="H439" s="293">
        <v>23</v>
      </c>
      <c r="I439" s="235">
        <v>6.7</v>
      </c>
      <c r="J439" s="294">
        <v>21</v>
      </c>
      <c r="K439" s="399">
        <v>7</v>
      </c>
      <c r="L439" s="399">
        <v>14</v>
      </c>
      <c r="M439" s="399" t="s">
        <v>104</v>
      </c>
      <c r="N439" s="233">
        <v>127</v>
      </c>
      <c r="O439" s="294">
        <f t="shared" si="165"/>
        <v>148</v>
      </c>
      <c r="P439" s="294"/>
      <c r="Q439" s="294"/>
      <c r="R439" s="387">
        <v>2</v>
      </c>
      <c r="S439" s="295">
        <v>1.0900000000000001</v>
      </c>
      <c r="T439" s="290" t="s">
        <v>37</v>
      </c>
      <c r="Y439" s="236">
        <v>1.06</v>
      </c>
      <c r="Z439" s="237" t="s">
        <v>37</v>
      </c>
      <c r="AA439" s="235"/>
      <c r="AB439" s="445"/>
      <c r="AC439" s="445"/>
      <c r="AD439" s="445"/>
      <c r="AE439" s="451"/>
      <c r="AF439" s="239">
        <f t="shared" si="154"/>
        <v>4.8441870864585912</v>
      </c>
      <c r="AG439" s="239">
        <f t="shared" si="155"/>
        <v>4.9972122737641147</v>
      </c>
      <c r="AH439" s="240"/>
      <c r="AI439" s="240"/>
      <c r="AK439" s="265">
        <f t="shared" si="156"/>
        <v>254</v>
      </c>
      <c r="AL439" s="265">
        <f t="shared" si="157"/>
        <v>275</v>
      </c>
      <c r="AM439" s="239">
        <f t="shared" si="158"/>
        <v>5.5373342670185366</v>
      </c>
      <c r="AN439" s="239">
        <f t="shared" si="159"/>
        <v>5.6167710976665717</v>
      </c>
      <c r="AO439" s="240"/>
      <c r="AP439" s="240"/>
      <c r="AR439" s="265">
        <f t="shared" si="166"/>
        <v>446.15119168003099</v>
      </c>
      <c r="AS439" s="265">
        <f t="shared" si="167"/>
        <v>475.60629476112757</v>
      </c>
      <c r="AT439" s="239">
        <f t="shared" si="160"/>
        <v>6.1006578893725854</v>
      </c>
      <c r="AU439" s="239">
        <f t="shared" si="161"/>
        <v>6.1645904001393159</v>
      </c>
      <c r="AX439" s="385"/>
      <c r="AY439" s="385"/>
      <c r="AZ439" s="385"/>
      <c r="BA439" s="385"/>
      <c r="BB439" s="239"/>
      <c r="BC439" s="239"/>
      <c r="BD439" s="240"/>
      <c r="BE439" s="240"/>
      <c r="BF439" s="136"/>
      <c r="BG439" s="136"/>
      <c r="BH439" s="136"/>
      <c r="BI439" s="136"/>
    </row>
    <row r="440" spans="1:61" x14ac:dyDescent="0.2">
      <c r="A440" s="232" t="s">
        <v>34</v>
      </c>
      <c r="B440" s="232" t="s">
        <v>260</v>
      </c>
      <c r="C440" s="264" t="s">
        <v>341</v>
      </c>
      <c r="D440" s="381" t="s">
        <v>303</v>
      </c>
      <c r="E440" s="293">
        <v>5</v>
      </c>
      <c r="F440" s="293">
        <v>2.2999999999999998</v>
      </c>
      <c r="G440" s="293">
        <f t="shared" ref="G440:G449" si="168">F440/1.724</f>
        <v>1.334106728538283</v>
      </c>
      <c r="H440" s="293">
        <v>9</v>
      </c>
      <c r="I440" s="235">
        <v>1.9</v>
      </c>
      <c r="J440" s="294">
        <v>19</v>
      </c>
      <c r="K440" s="399">
        <v>7</v>
      </c>
      <c r="L440" s="399">
        <v>28</v>
      </c>
      <c r="M440" s="399" t="s">
        <v>104</v>
      </c>
      <c r="N440" s="233">
        <v>65</v>
      </c>
      <c r="O440" s="294">
        <f t="shared" si="165"/>
        <v>84</v>
      </c>
      <c r="P440" s="294"/>
      <c r="Q440" s="294"/>
      <c r="R440" s="387">
        <v>2</v>
      </c>
      <c r="S440" s="295">
        <v>1.0900000000000001</v>
      </c>
      <c r="T440" s="290" t="s">
        <v>37</v>
      </c>
      <c r="Y440" s="236">
        <v>1.06</v>
      </c>
      <c r="Z440" s="237" t="s">
        <v>37</v>
      </c>
      <c r="AA440" s="235"/>
      <c r="AB440" s="445"/>
      <c r="AC440" s="445"/>
      <c r="AD440" s="445"/>
      <c r="AE440" s="451"/>
      <c r="AF440" s="239">
        <f t="shared" si="154"/>
        <v>4.1743872698956368</v>
      </c>
      <c r="AG440" s="239">
        <f t="shared" si="155"/>
        <v>4.4308167988433134</v>
      </c>
      <c r="AH440" s="240"/>
      <c r="AI440" s="240"/>
      <c r="AK440" s="265">
        <f t="shared" si="156"/>
        <v>130</v>
      </c>
      <c r="AL440" s="265">
        <f t="shared" si="157"/>
        <v>149</v>
      </c>
      <c r="AM440" s="239">
        <f t="shared" si="158"/>
        <v>4.8675344504555822</v>
      </c>
      <c r="AN440" s="239">
        <f t="shared" si="159"/>
        <v>5.0039463059454592</v>
      </c>
      <c r="AO440" s="240"/>
      <c r="AP440" s="240"/>
      <c r="AR440" s="265">
        <f t="shared" si="166"/>
        <v>901.92786145858759</v>
      </c>
      <c r="AS440" s="265">
        <f t="shared" si="167"/>
        <v>980.08026077020065</v>
      </c>
      <c r="AT440" s="239">
        <f t="shared" si="160"/>
        <v>6.8045345406543642</v>
      </c>
      <c r="AU440" s="239">
        <f t="shared" si="161"/>
        <v>6.8876344670562011</v>
      </c>
      <c r="AX440" s="385"/>
      <c r="AY440" s="385"/>
      <c r="AZ440" s="385"/>
      <c r="BA440" s="385"/>
      <c r="BB440" s="239"/>
      <c r="BC440" s="239"/>
      <c r="BD440" s="240"/>
      <c r="BE440" s="240"/>
      <c r="BF440" s="136"/>
      <c r="BG440" s="136"/>
      <c r="BH440" s="136"/>
      <c r="BI440" s="136"/>
    </row>
    <row r="441" spans="1:61" x14ac:dyDescent="0.2">
      <c r="A441" s="232" t="s">
        <v>34</v>
      </c>
      <c r="B441" s="232" t="s">
        <v>260</v>
      </c>
      <c r="C441" s="264" t="s">
        <v>341</v>
      </c>
      <c r="D441" s="381" t="s">
        <v>303</v>
      </c>
      <c r="E441" s="293">
        <v>6.5</v>
      </c>
      <c r="F441" s="293">
        <v>1.7</v>
      </c>
      <c r="G441" s="293">
        <f t="shared" si="168"/>
        <v>0.9860788863109049</v>
      </c>
      <c r="H441" s="293">
        <v>8</v>
      </c>
      <c r="I441" s="235">
        <v>8.4</v>
      </c>
      <c r="J441" s="294">
        <v>13</v>
      </c>
      <c r="K441" s="399">
        <v>7</v>
      </c>
      <c r="L441" s="399">
        <v>14</v>
      </c>
      <c r="M441" s="399" t="s">
        <v>93</v>
      </c>
      <c r="N441" s="233">
        <v>100</v>
      </c>
      <c r="O441" s="294">
        <f t="shared" si="165"/>
        <v>113</v>
      </c>
      <c r="P441" s="294"/>
      <c r="Q441" s="294"/>
      <c r="R441" s="387">
        <v>2</v>
      </c>
      <c r="S441" s="295">
        <v>1.0900000000000001</v>
      </c>
      <c r="T441" s="290" t="s">
        <v>37</v>
      </c>
      <c r="Y441" s="236">
        <v>1.06</v>
      </c>
      <c r="Z441" s="237" t="s">
        <v>37</v>
      </c>
      <c r="AA441" s="235"/>
      <c r="AB441" s="445"/>
      <c r="AC441" s="445"/>
      <c r="AD441" s="445"/>
      <c r="AE441" s="451"/>
      <c r="AF441" s="239">
        <f t="shared" si="154"/>
        <v>4.6051701859880918</v>
      </c>
      <c r="AG441" s="239">
        <f t="shared" si="155"/>
        <v>4.7273878187123408</v>
      </c>
      <c r="AH441" s="240"/>
      <c r="AI441" s="240"/>
      <c r="AK441" s="265">
        <f t="shared" si="156"/>
        <v>200</v>
      </c>
      <c r="AL441" s="265">
        <f t="shared" si="157"/>
        <v>213</v>
      </c>
      <c r="AM441" s="239">
        <f t="shared" si="158"/>
        <v>5.2983173665480363</v>
      </c>
      <c r="AN441" s="239">
        <f t="shared" si="159"/>
        <v>5.3612921657094255</v>
      </c>
      <c r="AO441" s="240"/>
      <c r="AP441" s="240"/>
      <c r="AR441" s="265">
        <f t="shared" si="166"/>
        <v>274.55885151776533</v>
      </c>
      <c r="AS441" s="265">
        <f t="shared" si="167"/>
        <v>289.86631616700163</v>
      </c>
      <c r="AT441" s="239">
        <f t="shared" si="160"/>
        <v>5.6151656332990267</v>
      </c>
      <c r="AU441" s="239">
        <f t="shared" si="161"/>
        <v>5.6694198379626819</v>
      </c>
      <c r="AX441" s="385"/>
      <c r="AY441" s="385"/>
      <c r="AZ441" s="385"/>
      <c r="BA441" s="385"/>
      <c r="BB441" s="239"/>
      <c r="BC441" s="239"/>
      <c r="BD441" s="240"/>
      <c r="BE441" s="240"/>
      <c r="BF441" s="136"/>
      <c r="BG441" s="136"/>
      <c r="BH441" s="136"/>
      <c r="BI441" s="136"/>
    </row>
    <row r="442" spans="1:61" s="238" customFormat="1" x14ac:dyDescent="0.2">
      <c r="A442" s="275" t="s">
        <v>34</v>
      </c>
      <c r="B442" s="275" t="s">
        <v>260</v>
      </c>
      <c r="C442" s="447" t="s">
        <v>341</v>
      </c>
      <c r="D442" s="381" t="s">
        <v>303</v>
      </c>
      <c r="E442" s="293">
        <v>6.5</v>
      </c>
      <c r="F442" s="293">
        <v>2.5</v>
      </c>
      <c r="G442" s="293">
        <f t="shared" si="168"/>
        <v>1.4501160092807426</v>
      </c>
      <c r="H442" s="293">
        <v>8</v>
      </c>
      <c r="I442" s="295">
        <v>11.6</v>
      </c>
      <c r="J442" s="294">
        <v>35</v>
      </c>
      <c r="K442" s="399">
        <v>7</v>
      </c>
      <c r="L442" s="399">
        <v>14</v>
      </c>
      <c r="M442" s="399" t="s">
        <v>93</v>
      </c>
      <c r="N442" s="405">
        <v>50</v>
      </c>
      <c r="O442" s="294">
        <f t="shared" si="165"/>
        <v>85</v>
      </c>
      <c r="P442" s="294"/>
      <c r="Q442" s="294"/>
      <c r="R442" s="387">
        <v>2</v>
      </c>
      <c r="S442" s="295">
        <v>1.0900000000000001</v>
      </c>
      <c r="T442" s="290" t="s">
        <v>37</v>
      </c>
      <c r="U442" s="285"/>
      <c r="V442" s="388"/>
      <c r="W442" s="388"/>
      <c r="X442" s="388"/>
      <c r="Y442" s="285">
        <v>1.06</v>
      </c>
      <c r="Z442" s="388" t="s">
        <v>37</v>
      </c>
      <c r="AA442" s="295"/>
      <c r="AB442" s="290"/>
      <c r="AC442" s="290"/>
      <c r="AD442" s="290"/>
      <c r="AE442" s="298"/>
      <c r="AF442" s="239">
        <f t="shared" si="154"/>
        <v>3.912023005428146</v>
      </c>
      <c r="AG442" s="239">
        <f t="shared" si="155"/>
        <v>4.4426512564903167</v>
      </c>
      <c r="AH442" s="240"/>
      <c r="AI442" s="240"/>
      <c r="AK442" s="265">
        <f t="shared" si="156"/>
        <v>100</v>
      </c>
      <c r="AL442" s="265">
        <f t="shared" si="157"/>
        <v>135</v>
      </c>
      <c r="AM442" s="239">
        <f t="shared" si="158"/>
        <v>4.6051701859880918</v>
      </c>
      <c r="AN442" s="239">
        <f t="shared" si="159"/>
        <v>4.9052747784384296</v>
      </c>
      <c r="AO442" s="240"/>
      <c r="AP442" s="240"/>
      <c r="AR442" s="265">
        <f t="shared" si="166"/>
        <v>96.562981662704388</v>
      </c>
      <c r="AS442" s="265">
        <f t="shared" si="167"/>
        <v>130.48557116870467</v>
      </c>
      <c r="AT442" s="239">
        <f t="shared" si="160"/>
        <v>4.5701954551723558</v>
      </c>
      <c r="AU442" s="239">
        <f t="shared" si="161"/>
        <v>4.8712626548928517</v>
      </c>
      <c r="AV442" s="125"/>
      <c r="AW442" s="125"/>
      <c r="AX442" s="265"/>
      <c r="AY442" s="265"/>
      <c r="AZ442" s="265"/>
      <c r="BA442" s="265"/>
      <c r="BB442" s="239"/>
      <c r="BC442" s="239"/>
      <c r="BD442" s="240"/>
      <c r="BE442" s="240"/>
    </row>
    <row r="443" spans="1:61" x14ac:dyDescent="0.2">
      <c r="A443" s="232" t="s">
        <v>34</v>
      </c>
      <c r="B443" s="232" t="s">
        <v>260</v>
      </c>
      <c r="C443" s="264" t="s">
        <v>341</v>
      </c>
      <c r="D443" s="381" t="s">
        <v>349</v>
      </c>
      <c r="E443" s="382">
        <v>5.9</v>
      </c>
      <c r="F443" s="382">
        <v>3.4</v>
      </c>
      <c r="G443" s="280">
        <f t="shared" si="168"/>
        <v>1.9721577726218098</v>
      </c>
      <c r="H443" s="382">
        <v>16</v>
      </c>
      <c r="I443" s="300">
        <f>(30+4.4*E443)*(H443/100)+(-34.66+29.72*E443)*(F443/100)</f>
        <v>13.736992000000003</v>
      </c>
      <c r="J443" s="382">
        <v>33</v>
      </c>
      <c r="K443" s="383">
        <v>14</v>
      </c>
      <c r="L443" s="383">
        <v>21</v>
      </c>
      <c r="M443" s="383" t="s">
        <v>93</v>
      </c>
      <c r="N443" s="382">
        <v>100</v>
      </c>
      <c r="O443" s="386">
        <f t="shared" ref="O443:O449" si="169">N443+J443</f>
        <v>133</v>
      </c>
      <c r="P443" s="386"/>
      <c r="Q443" s="386"/>
      <c r="R443" s="387">
        <v>2</v>
      </c>
      <c r="S443" s="295">
        <v>1.0900000000000001</v>
      </c>
      <c r="T443" s="290" t="s">
        <v>37</v>
      </c>
      <c r="Y443" s="236">
        <v>1.06</v>
      </c>
      <c r="Z443" s="237" t="s">
        <v>37</v>
      </c>
      <c r="AA443" s="235"/>
      <c r="AB443" s="445"/>
      <c r="AC443" s="445"/>
      <c r="AD443" s="445"/>
      <c r="AE443" s="451"/>
      <c r="AF443" s="239">
        <f t="shared" si="154"/>
        <v>4.6051701859880918</v>
      </c>
      <c r="AG443" s="239">
        <f t="shared" si="155"/>
        <v>4.8903491282217537</v>
      </c>
      <c r="AH443" s="240"/>
      <c r="AI443" s="240"/>
      <c r="AK443" s="265">
        <f t="shared" si="156"/>
        <v>200</v>
      </c>
      <c r="AL443" s="265">
        <f t="shared" si="157"/>
        <v>233</v>
      </c>
      <c r="AM443" s="239">
        <f t="shared" si="158"/>
        <v>5.2983173665480363</v>
      </c>
      <c r="AN443" s="239">
        <f t="shared" si="159"/>
        <v>5.4510384535657002</v>
      </c>
      <c r="AO443" s="240"/>
      <c r="AP443" s="240"/>
      <c r="AR443" s="265">
        <f t="shared" si="166"/>
        <v>160.61939210948336</v>
      </c>
      <c r="AS443" s="265">
        <f t="shared" si="167"/>
        <v>188.25432734620182</v>
      </c>
      <c r="AT443" s="239">
        <f t="shared" si="160"/>
        <v>5.0790375421029452</v>
      </c>
      <c r="AU443" s="239">
        <f t="shared" si="161"/>
        <v>5.23779385364662</v>
      </c>
      <c r="AX443" s="385"/>
      <c r="AY443" s="385"/>
      <c r="AZ443" s="385"/>
      <c r="BA443" s="385"/>
      <c r="BB443" s="239"/>
      <c r="BC443" s="239"/>
      <c r="BD443" s="240"/>
      <c r="BE443" s="240"/>
      <c r="BF443" s="136"/>
      <c r="BG443" s="136"/>
      <c r="BH443" s="136"/>
      <c r="BI443" s="136"/>
    </row>
    <row r="444" spans="1:61" x14ac:dyDescent="0.2">
      <c r="A444" s="232" t="s">
        <v>34</v>
      </c>
      <c r="B444" s="232" t="s">
        <v>260</v>
      </c>
      <c r="C444" s="264" t="s">
        <v>341</v>
      </c>
      <c r="D444" s="381" t="s">
        <v>349</v>
      </c>
      <c r="E444" s="382">
        <v>7.3</v>
      </c>
      <c r="F444" s="382">
        <v>3.4</v>
      </c>
      <c r="G444" s="280">
        <f t="shared" si="168"/>
        <v>1.9721577726218098</v>
      </c>
      <c r="H444" s="382">
        <v>16</v>
      </c>
      <c r="I444" s="300">
        <f>(30+4.4*E444)*(H444/100)+(-34.66+29.72*E444)*(F444/100)</f>
        <v>16.137264000000002</v>
      </c>
      <c r="J444" s="382">
        <v>33</v>
      </c>
      <c r="K444" s="383">
        <v>14</v>
      </c>
      <c r="L444" s="383">
        <v>21</v>
      </c>
      <c r="M444" s="383" t="s">
        <v>93</v>
      </c>
      <c r="N444" s="382">
        <v>100</v>
      </c>
      <c r="O444" s="386">
        <f t="shared" si="169"/>
        <v>133</v>
      </c>
      <c r="P444" s="386"/>
      <c r="Q444" s="386"/>
      <c r="R444" s="387">
        <v>2</v>
      </c>
      <c r="S444" s="295">
        <v>1.0900000000000001</v>
      </c>
      <c r="T444" s="290" t="s">
        <v>37</v>
      </c>
      <c r="Y444" s="236">
        <v>1.06</v>
      </c>
      <c r="Z444" s="237" t="s">
        <v>37</v>
      </c>
      <c r="AA444" s="235"/>
      <c r="AB444" s="445"/>
      <c r="AC444" s="445"/>
      <c r="AD444" s="445"/>
      <c r="AE444" s="451"/>
      <c r="AF444" s="239">
        <f t="shared" si="154"/>
        <v>4.6051701859880918</v>
      </c>
      <c r="AG444" s="239">
        <f t="shared" si="155"/>
        <v>4.8903491282217537</v>
      </c>
      <c r="AH444" s="240"/>
      <c r="AI444" s="240"/>
      <c r="AK444" s="265">
        <f t="shared" si="156"/>
        <v>200</v>
      </c>
      <c r="AL444" s="265">
        <f t="shared" si="157"/>
        <v>233</v>
      </c>
      <c r="AM444" s="239">
        <f t="shared" si="158"/>
        <v>5.2983173665480363</v>
      </c>
      <c r="AN444" s="239">
        <f t="shared" si="159"/>
        <v>5.4510384535657002</v>
      </c>
      <c r="AO444" s="240"/>
      <c r="AP444" s="240"/>
      <c r="AR444" s="265">
        <f t="shared" si="166"/>
        <v>134.76132611713726</v>
      </c>
      <c r="AS444" s="265">
        <f t="shared" si="167"/>
        <v>158.71223732707185</v>
      </c>
      <c r="AT444" s="239">
        <f t="shared" si="160"/>
        <v>4.9035052590742119</v>
      </c>
      <c r="AU444" s="239">
        <f t="shared" si="161"/>
        <v>5.0670927343709717</v>
      </c>
      <c r="AX444" s="385"/>
      <c r="AY444" s="385"/>
      <c r="AZ444" s="385"/>
      <c r="BA444" s="385"/>
      <c r="BB444" s="239"/>
      <c r="BC444" s="239"/>
      <c r="BD444" s="240"/>
      <c r="BE444" s="240"/>
      <c r="BF444" s="136"/>
      <c r="BG444" s="136"/>
      <c r="BH444" s="136"/>
      <c r="BI444" s="136"/>
    </row>
    <row r="445" spans="1:61" s="165" customFormat="1" x14ac:dyDescent="0.2">
      <c r="A445" s="156" t="s">
        <v>34</v>
      </c>
      <c r="B445" s="156" t="s">
        <v>260</v>
      </c>
      <c r="C445" s="442" t="s">
        <v>341</v>
      </c>
      <c r="D445" s="381" t="s">
        <v>349</v>
      </c>
      <c r="E445" s="392">
        <v>7.1</v>
      </c>
      <c r="F445" s="392">
        <v>3.4</v>
      </c>
      <c r="G445" s="367">
        <f t="shared" si="168"/>
        <v>1.9721577726218098</v>
      </c>
      <c r="H445" s="392">
        <v>17</v>
      </c>
      <c r="I445" s="393">
        <f>(30+4.4*E445)*(H445/100)+(-34.66+29.72*E445)*(F445/100)</f>
        <v>16.406768</v>
      </c>
      <c r="J445" s="392">
        <v>33</v>
      </c>
      <c r="K445" s="394">
        <v>0</v>
      </c>
      <c r="L445" s="394">
        <v>21</v>
      </c>
      <c r="M445" s="394" t="s">
        <v>93</v>
      </c>
      <c r="N445" s="392">
        <v>1000</v>
      </c>
      <c r="O445" s="396">
        <f t="shared" si="169"/>
        <v>1033</v>
      </c>
      <c r="P445" s="396"/>
      <c r="Q445" s="396"/>
      <c r="R445" s="361">
        <v>2</v>
      </c>
      <c r="S445" s="231">
        <v>1.0900000000000001</v>
      </c>
      <c r="T445" s="326" t="s">
        <v>37</v>
      </c>
      <c r="U445" s="163"/>
      <c r="V445" s="162"/>
      <c r="W445" s="162"/>
      <c r="X445" s="162"/>
      <c r="Y445" s="163">
        <v>1.06</v>
      </c>
      <c r="Z445" s="162" t="s">
        <v>37</v>
      </c>
      <c r="AA445" s="231"/>
      <c r="AB445" s="326"/>
      <c r="AC445" s="326"/>
      <c r="AD445" s="326"/>
      <c r="AE445" s="336"/>
      <c r="AF445" s="166">
        <f t="shared" si="154"/>
        <v>6.9077552789821368</v>
      </c>
      <c r="AG445" s="166">
        <f t="shared" si="155"/>
        <v>6.9402224691196386</v>
      </c>
      <c r="AH445" s="169"/>
      <c r="AI445" s="169"/>
      <c r="AK445" s="168">
        <f t="shared" si="156"/>
        <v>2000</v>
      </c>
      <c r="AL445" s="168">
        <f t="shared" si="157"/>
        <v>2033</v>
      </c>
      <c r="AM445" s="166">
        <f t="shared" si="158"/>
        <v>7.6009024595420822</v>
      </c>
      <c r="AN445" s="166">
        <f t="shared" si="159"/>
        <v>7.6172678136283469</v>
      </c>
      <c r="AO445" s="169"/>
      <c r="AP445" s="169"/>
      <c r="AR445" s="168">
        <f t="shared" si="166"/>
        <v>1323.5024847920586</v>
      </c>
      <c r="AS445" s="168">
        <f t="shared" si="167"/>
        <v>1360.7149314520536</v>
      </c>
      <c r="AT445" s="166">
        <f t="shared" si="160"/>
        <v>7.1880368991055583</v>
      </c>
      <c r="AU445" s="166">
        <f t="shared" si="161"/>
        <v>7.2157655254974156</v>
      </c>
      <c r="AV445" s="167"/>
      <c r="AW445" s="167"/>
      <c r="AX445" s="168"/>
      <c r="AY445" s="168"/>
      <c r="AZ445" s="168"/>
      <c r="BA445" s="168"/>
      <c r="BB445" s="166"/>
      <c r="BC445" s="166"/>
      <c r="BD445" s="169"/>
      <c r="BE445" s="169"/>
    </row>
    <row r="446" spans="1:61" x14ac:dyDescent="0.2">
      <c r="A446" s="232" t="s">
        <v>34</v>
      </c>
      <c r="B446" s="232" t="s">
        <v>260</v>
      </c>
      <c r="C446" s="264" t="s">
        <v>341</v>
      </c>
      <c r="D446" s="453" t="s">
        <v>350</v>
      </c>
      <c r="E446" s="382">
        <v>5.9</v>
      </c>
      <c r="F446" s="382">
        <v>3.4</v>
      </c>
      <c r="G446" s="280">
        <f t="shared" si="168"/>
        <v>1.9721577726218098</v>
      </c>
      <c r="H446" s="382">
        <v>16</v>
      </c>
      <c r="I446" s="300">
        <f>(30+4.4*E446)*(H446/100)+(-34.66+29.72*E446)*(F446/100)</f>
        <v>13.736992000000003</v>
      </c>
      <c r="J446" s="382">
        <v>33</v>
      </c>
      <c r="K446" s="454">
        <v>14</v>
      </c>
      <c r="L446" s="454">
        <v>21</v>
      </c>
      <c r="M446" s="454" t="s">
        <v>93</v>
      </c>
      <c r="N446" s="382">
        <v>100</v>
      </c>
      <c r="O446" s="386">
        <f t="shared" si="169"/>
        <v>133</v>
      </c>
      <c r="P446" s="386"/>
      <c r="Q446" s="386"/>
      <c r="R446" s="387">
        <v>2</v>
      </c>
      <c r="S446" s="295">
        <v>1.0900000000000001</v>
      </c>
      <c r="T446" s="290" t="s">
        <v>37</v>
      </c>
      <c r="Y446" s="236">
        <v>1.06</v>
      </c>
      <c r="Z446" s="237" t="s">
        <v>37</v>
      </c>
      <c r="AA446" s="235"/>
      <c r="AB446" s="445"/>
      <c r="AC446" s="445"/>
      <c r="AD446" s="445"/>
      <c r="AE446" s="451"/>
      <c r="AF446" s="239">
        <f t="shared" si="154"/>
        <v>4.6051701859880918</v>
      </c>
      <c r="AG446" s="239">
        <f t="shared" si="155"/>
        <v>4.8903491282217537</v>
      </c>
      <c r="AH446" s="240"/>
      <c r="AI446" s="240"/>
      <c r="AK446" s="265">
        <f t="shared" si="156"/>
        <v>200</v>
      </c>
      <c r="AL446" s="265">
        <f t="shared" si="157"/>
        <v>233</v>
      </c>
      <c r="AM446" s="239">
        <f t="shared" si="158"/>
        <v>5.2983173665480363</v>
      </c>
      <c r="AN446" s="239">
        <f t="shared" si="159"/>
        <v>5.4510384535657002</v>
      </c>
      <c r="AO446" s="240"/>
      <c r="AP446" s="240"/>
      <c r="AR446" s="265">
        <f t="shared" si="166"/>
        <v>160.61939210948336</v>
      </c>
      <c r="AS446" s="265">
        <f t="shared" si="167"/>
        <v>188.25432734620182</v>
      </c>
      <c r="AT446" s="239">
        <f t="shared" si="160"/>
        <v>5.0790375421029452</v>
      </c>
      <c r="AU446" s="239">
        <f t="shared" si="161"/>
        <v>5.23779385364662</v>
      </c>
      <c r="AX446" s="385">
        <f>GEOMEAN(AR446:AR447)</f>
        <v>116.26916655768289</v>
      </c>
      <c r="AY446" s="385">
        <f>GEOMEAN(AS446:AS447)</f>
        <v>132.92127873550859</v>
      </c>
      <c r="AZ446" s="385">
        <f>MIN(AX446:AX447)</f>
        <v>116.26916655768289</v>
      </c>
      <c r="BA446" s="385">
        <f>MIN(AY446:AY447)</f>
        <v>132.92127873550859</v>
      </c>
      <c r="BB446" s="239">
        <f>LN(AZ446)</f>
        <v>4.7559079044917816</v>
      </c>
      <c r="BC446" s="239">
        <f>LN(BA446)</f>
        <v>4.8897570637794852</v>
      </c>
      <c r="BD446" s="240"/>
      <c r="BE446" s="240"/>
      <c r="BF446" s="136"/>
      <c r="BG446" s="136"/>
      <c r="BH446" s="136"/>
      <c r="BI446" s="136"/>
    </row>
    <row r="447" spans="1:61" s="165" customFormat="1" x14ac:dyDescent="0.2">
      <c r="A447" s="156" t="s">
        <v>34</v>
      </c>
      <c r="B447" s="156" t="s">
        <v>260</v>
      </c>
      <c r="C447" s="442" t="s">
        <v>341</v>
      </c>
      <c r="D447" s="381" t="s">
        <v>351</v>
      </c>
      <c r="E447" s="392">
        <v>6.3</v>
      </c>
      <c r="F447" s="392">
        <v>10.1</v>
      </c>
      <c r="G447" s="367">
        <f t="shared" si="168"/>
        <v>5.8584686774941996</v>
      </c>
      <c r="H447" s="392">
        <v>29.8</v>
      </c>
      <c r="I447" s="392">
        <v>61.4</v>
      </c>
      <c r="J447" s="392">
        <v>32</v>
      </c>
      <c r="K447" s="383">
        <v>14</v>
      </c>
      <c r="L447" s="383">
        <v>49</v>
      </c>
      <c r="M447" s="383" t="s">
        <v>93</v>
      </c>
      <c r="N447" s="392">
        <v>268</v>
      </c>
      <c r="O447" s="396">
        <f t="shared" si="169"/>
        <v>300</v>
      </c>
      <c r="P447" s="396"/>
      <c r="Q447" s="396"/>
      <c r="R447" s="361">
        <v>2</v>
      </c>
      <c r="S447" s="231">
        <v>1.0900000000000001</v>
      </c>
      <c r="T447" s="326" t="s">
        <v>37</v>
      </c>
      <c r="U447" s="163"/>
      <c r="V447" s="162"/>
      <c r="W447" s="162"/>
      <c r="X447" s="162"/>
      <c r="Y447" s="163">
        <v>1.06</v>
      </c>
      <c r="Z447" s="162" t="s">
        <v>37</v>
      </c>
      <c r="AA447" s="231"/>
      <c r="AB447" s="326"/>
      <c r="AC447" s="326"/>
      <c r="AD447" s="326"/>
      <c r="AE447" s="336"/>
      <c r="AF447" s="166">
        <f t="shared" si="154"/>
        <v>5.5909869805108565</v>
      </c>
      <c r="AG447" s="166">
        <f t="shared" si="155"/>
        <v>5.7037824746562009</v>
      </c>
      <c r="AH447" s="169"/>
      <c r="AI447" s="169"/>
      <c r="AK447" s="168">
        <f t="shared" si="156"/>
        <v>536</v>
      </c>
      <c r="AL447" s="168">
        <f t="shared" si="157"/>
        <v>568</v>
      </c>
      <c r="AM447" s="166">
        <f t="shared" si="158"/>
        <v>6.2841341610708019</v>
      </c>
      <c r="AN447" s="166">
        <f t="shared" si="159"/>
        <v>6.3421214187211516</v>
      </c>
      <c r="AO447" s="169"/>
      <c r="AP447" s="169"/>
      <c r="AR447" s="168">
        <f t="shared" si="166"/>
        <v>84.164925009824145</v>
      </c>
      <c r="AS447" s="168">
        <f t="shared" si="167"/>
        <v>93.85211266985111</v>
      </c>
      <c r="AT447" s="166">
        <f t="shared" si="160"/>
        <v>4.4327782668806179</v>
      </c>
      <c r="AU447" s="166">
        <f t="shared" si="161"/>
        <v>4.5417202739123494</v>
      </c>
      <c r="AV447" s="167"/>
      <c r="AW447" s="167"/>
      <c r="AX447" s="168"/>
      <c r="AY447" s="168"/>
      <c r="AZ447" s="168"/>
      <c r="BA447" s="168"/>
      <c r="BB447" s="166"/>
      <c r="BC447" s="166"/>
      <c r="BD447" s="169"/>
      <c r="BE447" s="169"/>
    </row>
    <row r="448" spans="1:61" s="245" customFormat="1" x14ac:dyDescent="0.2">
      <c r="A448" s="244" t="s">
        <v>34</v>
      </c>
      <c r="B448" s="244" t="s">
        <v>260</v>
      </c>
      <c r="C448" s="455" t="s">
        <v>341</v>
      </c>
      <c r="D448" s="431" t="s">
        <v>352</v>
      </c>
      <c r="E448" s="456">
        <v>7.1</v>
      </c>
      <c r="F448" s="456">
        <v>3.4</v>
      </c>
      <c r="G448" s="457">
        <f t="shared" si="168"/>
        <v>1.9721577726218098</v>
      </c>
      <c r="H448" s="456">
        <v>17</v>
      </c>
      <c r="I448" s="433">
        <f>(30+4.4*E448)*(H448/100)+(-34.66+29.72*E448)*(F448/100)</f>
        <v>16.406768</v>
      </c>
      <c r="J448" s="456">
        <v>33</v>
      </c>
      <c r="K448" s="434">
        <v>0</v>
      </c>
      <c r="L448" s="434">
        <v>21</v>
      </c>
      <c r="M448" s="434" t="s">
        <v>93</v>
      </c>
      <c r="N448" s="456">
        <v>1000</v>
      </c>
      <c r="O448" s="458">
        <f t="shared" si="169"/>
        <v>1033</v>
      </c>
      <c r="P448" s="458"/>
      <c r="Q448" s="458"/>
      <c r="R448" s="432">
        <v>2</v>
      </c>
      <c r="S448" s="248">
        <v>1.0900000000000001</v>
      </c>
      <c r="T448" s="459" t="s">
        <v>37</v>
      </c>
      <c r="U448" s="249"/>
      <c r="V448" s="250"/>
      <c r="W448" s="250"/>
      <c r="X448" s="250"/>
      <c r="Y448" s="249">
        <v>1.06</v>
      </c>
      <c r="Z448" s="250" t="s">
        <v>37</v>
      </c>
      <c r="AA448" s="248"/>
      <c r="AB448" s="459"/>
      <c r="AC448" s="459"/>
      <c r="AD448" s="459"/>
      <c r="AE448" s="460"/>
      <c r="AF448" s="247">
        <f t="shared" si="154"/>
        <v>6.9077552789821368</v>
      </c>
      <c r="AG448" s="247">
        <f t="shared" si="155"/>
        <v>6.9402224691196386</v>
      </c>
      <c r="AH448" s="252"/>
      <c r="AI448" s="252"/>
      <c r="AK448" s="461">
        <f t="shared" si="156"/>
        <v>2000</v>
      </c>
      <c r="AL448" s="461">
        <f t="shared" si="157"/>
        <v>2033</v>
      </c>
      <c r="AM448" s="247">
        <f t="shared" si="158"/>
        <v>7.6009024595420822</v>
      </c>
      <c r="AN448" s="247">
        <f t="shared" si="159"/>
        <v>7.6172678136283469</v>
      </c>
      <c r="AO448" s="252"/>
      <c r="AP448" s="252"/>
      <c r="AR448" s="461">
        <f t="shared" si="166"/>
        <v>1323.5024847920586</v>
      </c>
      <c r="AS448" s="461">
        <f t="shared" si="167"/>
        <v>1360.7149314520536</v>
      </c>
      <c r="AT448" s="247">
        <f t="shared" si="160"/>
        <v>7.1880368991055583</v>
      </c>
      <c r="AU448" s="247">
        <f t="shared" si="161"/>
        <v>7.2157655254974156</v>
      </c>
      <c r="AV448" s="253"/>
      <c r="AW448" s="253"/>
      <c r="AX448" s="461">
        <f>GEOMEAN(AR448)</f>
        <v>1323.5024847920586</v>
      </c>
      <c r="AY448" s="461">
        <f>GEOMEAN(AS448)</f>
        <v>1360.7149314520536</v>
      </c>
      <c r="AZ448" s="461">
        <f>MIN(AX448)</f>
        <v>1323.5024847920586</v>
      </c>
      <c r="BA448" s="461">
        <f>MIN(AY448)</f>
        <v>1360.7149314520536</v>
      </c>
      <c r="BB448" s="247">
        <f>LN(AZ448)</f>
        <v>7.1880368991055583</v>
      </c>
      <c r="BC448" s="247">
        <f>LN(BA448)</f>
        <v>7.2157655254974156</v>
      </c>
      <c r="BD448" s="252"/>
      <c r="BE448" s="252"/>
    </row>
    <row r="449" spans="1:62" s="478" customFormat="1" ht="13.5" thickBot="1" x14ac:dyDescent="0.25">
      <c r="A449" s="462" t="s">
        <v>34</v>
      </c>
      <c r="B449" s="462" t="s">
        <v>260</v>
      </c>
      <c r="C449" s="463" t="s">
        <v>341</v>
      </c>
      <c r="D449" s="464" t="s">
        <v>70</v>
      </c>
      <c r="E449" s="465">
        <v>6.75</v>
      </c>
      <c r="F449" s="465">
        <v>3.1</v>
      </c>
      <c r="G449" s="466">
        <f t="shared" si="168"/>
        <v>1.7981438515081207</v>
      </c>
      <c r="H449" s="465">
        <v>28.1</v>
      </c>
      <c r="I449" s="467">
        <f>(30+4.4*E449)*(H449/100)+(-34.66+29.72*E449)*(F449/100)</f>
        <v>21.920150000000003</v>
      </c>
      <c r="J449" s="468">
        <v>10.7</v>
      </c>
      <c r="K449" s="469">
        <v>0</v>
      </c>
      <c r="L449" s="469">
        <v>21</v>
      </c>
      <c r="M449" s="469" t="s">
        <v>93</v>
      </c>
      <c r="N449" s="465">
        <v>100</v>
      </c>
      <c r="O449" s="465">
        <f t="shared" si="169"/>
        <v>110.7</v>
      </c>
      <c r="P449" s="465"/>
      <c r="Q449" s="465"/>
      <c r="R449" s="470">
        <v>2</v>
      </c>
      <c r="S449" s="471">
        <v>1.0900000000000001</v>
      </c>
      <c r="T449" s="472" t="s">
        <v>37</v>
      </c>
      <c r="U449" s="473"/>
      <c r="V449" s="474"/>
      <c r="W449" s="474"/>
      <c r="X449" s="474"/>
      <c r="Y449" s="473">
        <v>1.06</v>
      </c>
      <c r="Z449" s="474" t="s">
        <v>37</v>
      </c>
      <c r="AA449" s="471"/>
      <c r="AB449" s="472"/>
      <c r="AC449" s="472"/>
      <c r="AD449" s="472"/>
      <c r="AE449" s="475"/>
      <c r="AF449" s="476">
        <f t="shared" si="154"/>
        <v>4.6051701859880918</v>
      </c>
      <c r="AG449" s="476">
        <f t="shared" si="155"/>
        <v>4.7068238397145912</v>
      </c>
      <c r="AH449" s="477"/>
      <c r="AI449" s="477"/>
      <c r="AK449" s="479">
        <f t="shared" si="156"/>
        <v>200</v>
      </c>
      <c r="AL449" s="479">
        <f t="shared" si="157"/>
        <v>210.7</v>
      </c>
      <c r="AM449" s="476">
        <f t="shared" si="158"/>
        <v>5.2983173665480363</v>
      </c>
      <c r="AN449" s="476">
        <f t="shared" si="159"/>
        <v>5.3504353208101429</v>
      </c>
      <c r="AO449" s="477"/>
      <c r="AP449" s="477"/>
      <c r="AR449" s="479">
        <f t="shared" si="166"/>
        <v>96.51180380541436</v>
      </c>
      <c r="AS449" s="479">
        <f t="shared" si="167"/>
        <v>103.73482857692346</v>
      </c>
      <c r="AT449" s="476">
        <f t="shared" si="160"/>
        <v>4.5696653200916453</v>
      </c>
      <c r="AU449" s="476">
        <f t="shared" si="161"/>
        <v>4.6418379178342031</v>
      </c>
      <c r="AV449" s="480"/>
      <c r="AW449" s="480"/>
      <c r="AX449" s="479">
        <f>GEOMEAN(AR449)</f>
        <v>96.51180380541436</v>
      </c>
      <c r="AY449" s="479">
        <f>GEOMEAN(AS449)</f>
        <v>103.73482857692346</v>
      </c>
      <c r="AZ449" s="479">
        <f>MIN(AX449)</f>
        <v>96.51180380541436</v>
      </c>
      <c r="BA449" s="479">
        <f>MIN(AY449)</f>
        <v>103.73482857692346</v>
      </c>
      <c r="BB449" s="476">
        <f>LN(AZ449)</f>
        <v>4.5696653200916453</v>
      </c>
      <c r="BC449" s="476">
        <f>LN(BA449)</f>
        <v>4.6418379178342031</v>
      </c>
      <c r="BD449" s="477"/>
      <c r="BE449" s="477"/>
    </row>
    <row r="450" spans="1:62" s="238" customFormat="1" x14ac:dyDescent="0.2">
      <c r="A450" s="275"/>
      <c r="B450" s="275"/>
      <c r="C450" s="447"/>
      <c r="D450" s="381"/>
      <c r="E450" s="382"/>
      <c r="F450" s="382"/>
      <c r="G450" s="280"/>
      <c r="H450" s="382"/>
      <c r="I450" s="300"/>
      <c r="J450" s="444"/>
      <c r="K450" s="383"/>
      <c r="L450" s="383"/>
      <c r="M450" s="383"/>
      <c r="N450" s="382"/>
      <c r="O450" s="382"/>
      <c r="P450" s="382"/>
      <c r="Q450" s="382"/>
      <c r="R450" s="387"/>
      <c r="S450" s="295"/>
      <c r="T450" s="290"/>
      <c r="U450" s="285"/>
      <c r="V450" s="388"/>
      <c r="W450" s="388"/>
      <c r="X450" s="388"/>
      <c r="Y450" s="285"/>
      <c r="Z450" s="388"/>
      <c r="AA450" s="295"/>
      <c r="AB450" s="290"/>
      <c r="AC450" s="290"/>
      <c r="AD450" s="290"/>
      <c r="AE450" s="298"/>
      <c r="AF450" s="239"/>
      <c r="AG450" s="239"/>
      <c r="AH450" s="240"/>
      <c r="AI450" s="240"/>
      <c r="AK450" s="265"/>
      <c r="AL450" s="265"/>
      <c r="AM450" s="239"/>
      <c r="AN450" s="239"/>
      <c r="AO450" s="240"/>
      <c r="AP450" s="240"/>
      <c r="AR450" s="265"/>
      <c r="AS450" s="265"/>
      <c r="AT450" s="239"/>
      <c r="AU450" s="239"/>
      <c r="AV450" s="125"/>
      <c r="AW450" s="125"/>
      <c r="AX450" s="265"/>
      <c r="AY450" s="265"/>
      <c r="AZ450" s="265"/>
      <c r="BA450" s="265"/>
      <c r="BB450" s="239"/>
      <c r="BC450" s="239"/>
      <c r="BD450" s="240"/>
      <c r="BE450" s="240"/>
    </row>
    <row r="451" spans="1:62" s="272" customFormat="1" x14ac:dyDescent="0.2">
      <c r="A451" s="481" t="s">
        <v>197</v>
      </c>
      <c r="B451" s="266"/>
      <c r="C451" s="266"/>
      <c r="D451" s="266"/>
      <c r="E451" s="267"/>
      <c r="F451" s="267"/>
      <c r="G451" s="267"/>
      <c r="H451" s="267"/>
      <c r="I451" s="267"/>
      <c r="J451" s="267"/>
      <c r="K451" s="267"/>
      <c r="L451" s="267"/>
      <c r="M451" s="267"/>
      <c r="N451" s="267"/>
      <c r="O451" s="267"/>
      <c r="P451" s="267"/>
      <c r="Q451" s="267"/>
      <c r="R451" s="267"/>
      <c r="S451" s="268"/>
      <c r="T451" s="269"/>
      <c r="U451" s="268"/>
      <c r="V451" s="269"/>
      <c r="W451" s="268"/>
      <c r="X451" s="269"/>
      <c r="Y451" s="268"/>
      <c r="Z451" s="269"/>
      <c r="AA451" s="268"/>
      <c r="AB451" s="269"/>
      <c r="AC451" s="268"/>
      <c r="AD451" s="269"/>
      <c r="AE451" s="270"/>
      <c r="AF451" s="271"/>
      <c r="AG451" s="271"/>
      <c r="AH451" s="155">
        <f>LOGINV(0.05,AVERAGE(AF452:AF537),STDEV(AF452:AF537))</f>
        <v>4.7200964562556242</v>
      </c>
      <c r="AI451" s="155">
        <f>LOGINV(0.05,AVERAGE(AG452:AG537),STDEV(AG452:AG537))</f>
        <v>5.1103190577753699</v>
      </c>
      <c r="AJ451" s="271"/>
      <c r="AK451" s="271"/>
      <c r="AL451" s="271"/>
      <c r="AM451" s="271"/>
      <c r="AN451" s="271"/>
      <c r="AO451" s="155">
        <f>LOGINV(0.05,AVERAGE(AM452:AM537),STDEV(AM452:AM537))</f>
        <v>9.4401929125111863</v>
      </c>
      <c r="AP451" s="155">
        <f>LOGINV(0.05,AVERAGE(AN452:AN537),STDEV(AN452:AN537))</f>
        <v>9.8365220918835341</v>
      </c>
      <c r="AQ451" s="271"/>
      <c r="AR451" s="271"/>
      <c r="AS451" s="271"/>
      <c r="AT451" s="271"/>
      <c r="AU451" s="271"/>
      <c r="AV451" s="155">
        <f>LOGINV(0.05,AVERAGE(AT452:AT537),STDEV(AT452:AT537))</f>
        <v>11.289639709885236</v>
      </c>
      <c r="AW451" s="155">
        <f>LOGINV(0.05,AVERAGE(AU452:AU537),STDEV(AU452:AU537))</f>
        <v>11.77478026883103</v>
      </c>
      <c r="AX451" s="271"/>
      <c r="AY451" s="271"/>
      <c r="BD451" s="155">
        <f>LOGINV(0.05,AVERAGE(BB452:BB537),STDEV(BB452:BB537))</f>
        <v>18.336189772627804</v>
      </c>
      <c r="BE451" s="155">
        <f>LOGINV(0.05,AVERAGE(BC452:BC537),STDEV(BC452:BC537))</f>
        <v>19.006185177742243</v>
      </c>
      <c r="BG451" s="271">
        <f>COUNT(BB452:BB537)</f>
        <v>11</v>
      </c>
      <c r="BH451" s="273">
        <v>1.6957</v>
      </c>
      <c r="BI451" s="274">
        <f>EXP(AVERAGE(BB452:BB537)-BH451*STDEV(BB452:BB537))</f>
        <v>16.892191225472057</v>
      </c>
      <c r="BJ451" s="274">
        <f>EXP(AVERAGE(BC452:BC537)-BH451*STDEV(BC452:BC537))</f>
        <v>17.521027795149855</v>
      </c>
    </row>
    <row r="452" spans="1:62" x14ac:dyDescent="0.2">
      <c r="A452" s="232" t="s">
        <v>197</v>
      </c>
      <c r="B452" s="232" t="s">
        <v>35</v>
      </c>
      <c r="C452" s="482" t="s">
        <v>198</v>
      </c>
      <c r="D452" s="483" t="s">
        <v>312</v>
      </c>
      <c r="E452" s="405">
        <v>4.4000000000000004</v>
      </c>
      <c r="F452" s="278">
        <f>G452/0.58</f>
        <v>52.931034482758626</v>
      </c>
      <c r="G452" s="405">
        <v>30.7</v>
      </c>
      <c r="H452" s="278">
        <v>58.8</v>
      </c>
      <c r="I452" s="405">
        <v>41.7</v>
      </c>
      <c r="J452" s="405">
        <v>3</v>
      </c>
      <c r="K452" s="405">
        <v>7</v>
      </c>
      <c r="L452" s="405">
        <v>21</v>
      </c>
      <c r="M452" s="405" t="s">
        <v>104</v>
      </c>
      <c r="N452" s="235">
        <v>2844</v>
      </c>
      <c r="O452" s="382">
        <f t="shared" ref="O452:O483" si="170">N452+J452</f>
        <v>2847</v>
      </c>
      <c r="P452" s="276" t="s">
        <v>199</v>
      </c>
      <c r="Q452" s="276"/>
      <c r="R452" s="294">
        <v>2</v>
      </c>
      <c r="S452" s="292">
        <v>-0.61799999999999999</v>
      </c>
      <c r="T452" s="301" t="s">
        <v>5</v>
      </c>
      <c r="U452" s="292">
        <v>1.079</v>
      </c>
      <c r="V452" s="301" t="s">
        <v>65</v>
      </c>
      <c r="W452" s="301"/>
      <c r="X452" s="301"/>
      <c r="Y452" s="292">
        <v>-0.60599999999999998</v>
      </c>
      <c r="Z452" s="301" t="s">
        <v>5</v>
      </c>
      <c r="AA452" s="292">
        <v>1.0760000000000001</v>
      </c>
      <c r="AB452" s="301" t="s">
        <v>65</v>
      </c>
      <c r="AC452" s="301"/>
      <c r="AD452" s="301"/>
      <c r="AE452" s="285"/>
      <c r="AF452" s="239">
        <f t="shared" ref="AF452:AF483" si="171">LN(N452)</f>
        <v>7.9529667909231314</v>
      </c>
      <c r="AG452" s="239">
        <f t="shared" ref="AG452:AG483" si="172">LN(O452)</f>
        <v>7.9540210872780372</v>
      </c>
      <c r="AH452" s="136"/>
      <c r="AI452" s="136"/>
      <c r="AK452" s="265">
        <f t="shared" ref="AK452:AK483" si="173">N452*R452</f>
        <v>5688</v>
      </c>
      <c r="AL452" s="265">
        <f t="shared" ref="AL452:AL483" si="174">AK452+J452</f>
        <v>5691</v>
      </c>
      <c r="AM452" s="239">
        <f t="shared" ref="AM452:AM483" si="175">LN(AK452)</f>
        <v>8.6461139714830768</v>
      </c>
      <c r="AN452" s="239">
        <f t="shared" ref="AN452:AN483" si="176">LN(AL452)</f>
        <v>8.6466412586031236</v>
      </c>
      <c r="AO452" s="136"/>
      <c r="AP452" s="136"/>
      <c r="AR452" s="265">
        <f t="shared" ref="AR452:AR496" si="177">AK452*(((10^-pH)/(10^-E452))^-S452)*((clay/H452)^U452)</f>
        <v>42.364438330396581</v>
      </c>
      <c r="AS452" s="265">
        <f t="shared" ref="AS452:AS496" si="178">AL452*(((10^-pH)/(10^-E452))^-Y452)*((clay/H452)^AA452)</f>
        <v>45.158403810152059</v>
      </c>
      <c r="AT452" s="239">
        <f t="shared" ref="AT452:AT483" si="179">LN(AR452)</f>
        <v>3.7463092916939367</v>
      </c>
      <c r="AU452" s="239">
        <f t="shared" ref="AU452:AU483" si="180">LN(AS452)</f>
        <v>3.8101763934431654</v>
      </c>
      <c r="AV452" s="136"/>
      <c r="AW452" s="136"/>
      <c r="AX452" s="265">
        <f>GEOMEAN(AR452:AR460)</f>
        <v>38.447098915061311</v>
      </c>
      <c r="AY452" s="265">
        <f>GEOMEAN(AS452:AS460)</f>
        <v>40.130182586339316</v>
      </c>
      <c r="AZ452" s="265">
        <f>MIN(AX452:AX460)</f>
        <v>38.447098915061311</v>
      </c>
      <c r="BA452" s="265">
        <f>MIN(AY452:AY460)</f>
        <v>40.130182586339316</v>
      </c>
      <c r="BB452" s="239">
        <f>LN(AZ452)</f>
        <v>3.6492832422614359</v>
      </c>
      <c r="BC452" s="239">
        <f>LN(BA452)</f>
        <v>3.6921287341398754</v>
      </c>
      <c r="BD452" s="136"/>
      <c r="BE452" s="136"/>
      <c r="BF452" s="136"/>
      <c r="BG452" s="136"/>
      <c r="BH452" s="136"/>
      <c r="BI452" s="136"/>
    </row>
    <row r="453" spans="1:62" x14ac:dyDescent="0.2">
      <c r="A453" s="232" t="s">
        <v>197</v>
      </c>
      <c r="B453" s="232" t="s">
        <v>35</v>
      </c>
      <c r="C453" s="482" t="s">
        <v>198</v>
      </c>
      <c r="D453" s="483" t="s">
        <v>312</v>
      </c>
      <c r="E453" s="405">
        <v>5</v>
      </c>
      <c r="F453" s="278">
        <f t="shared" ref="F453:F515" si="181">G453/0.58</f>
        <v>3.4482758620689657</v>
      </c>
      <c r="G453" s="405">
        <v>2</v>
      </c>
      <c r="H453" s="405">
        <v>3.3</v>
      </c>
      <c r="I453" s="405">
        <v>4.2</v>
      </c>
      <c r="J453" s="405">
        <v>1</v>
      </c>
      <c r="K453" s="405">
        <v>7</v>
      </c>
      <c r="L453" s="405">
        <v>21</v>
      </c>
      <c r="M453" s="405" t="s">
        <v>104</v>
      </c>
      <c r="N453" s="235">
        <v>40</v>
      </c>
      <c r="O453" s="386">
        <f t="shared" si="170"/>
        <v>41</v>
      </c>
      <c r="P453" s="484" t="s">
        <v>199</v>
      </c>
      <c r="Q453" s="484"/>
      <c r="R453" s="387">
        <v>2</v>
      </c>
      <c r="S453" s="292">
        <v>-0.61799999999999999</v>
      </c>
      <c r="T453" s="301" t="s">
        <v>5</v>
      </c>
      <c r="U453" s="292">
        <v>1.079</v>
      </c>
      <c r="V453" s="301" t="s">
        <v>65</v>
      </c>
      <c r="W453" s="301"/>
      <c r="X453" s="301"/>
      <c r="Y453" s="292">
        <v>-0.60599999999999998</v>
      </c>
      <c r="Z453" s="301" t="s">
        <v>5</v>
      </c>
      <c r="AA453" s="292">
        <v>1.0760000000000001</v>
      </c>
      <c r="AB453" s="301" t="s">
        <v>65</v>
      </c>
      <c r="AC453" s="301"/>
      <c r="AD453" s="301"/>
      <c r="AE453" s="285"/>
      <c r="AF453" s="239">
        <f t="shared" si="171"/>
        <v>3.6888794541139363</v>
      </c>
      <c r="AG453" s="239">
        <f t="shared" si="172"/>
        <v>3.713572066704308</v>
      </c>
      <c r="AH453" s="240"/>
      <c r="AI453" s="240"/>
      <c r="AK453" s="265">
        <f t="shared" si="173"/>
        <v>80</v>
      </c>
      <c r="AL453" s="265">
        <f t="shared" si="174"/>
        <v>81</v>
      </c>
      <c r="AM453" s="239">
        <f t="shared" si="175"/>
        <v>4.3820266346738812</v>
      </c>
      <c r="AN453" s="239">
        <f t="shared" si="176"/>
        <v>4.3944491546724391</v>
      </c>
      <c r="AO453" s="240"/>
      <c r="AP453" s="240"/>
      <c r="AR453" s="265">
        <f t="shared" si="177"/>
        <v>31.30498109585362</v>
      </c>
      <c r="AS453" s="265">
        <f t="shared" si="178"/>
        <v>32.927898893890394</v>
      </c>
      <c r="AT453" s="239">
        <f t="shared" si="179"/>
        <v>3.4437772253272181</v>
      </c>
      <c r="AU453" s="239">
        <f t="shared" si="180"/>
        <v>3.4943202891261036</v>
      </c>
      <c r="AX453" s="265"/>
      <c r="BA453" s="265"/>
      <c r="BB453" s="238"/>
      <c r="BC453" s="238"/>
      <c r="BD453" s="125"/>
      <c r="BE453" s="125"/>
      <c r="BF453" s="136"/>
      <c r="BG453" s="136"/>
      <c r="BH453" s="136"/>
      <c r="BI453" s="136"/>
    </row>
    <row r="454" spans="1:62" x14ac:dyDescent="0.2">
      <c r="A454" s="232" t="s">
        <v>197</v>
      </c>
      <c r="B454" s="232" t="s">
        <v>35</v>
      </c>
      <c r="C454" s="482" t="s">
        <v>198</v>
      </c>
      <c r="D454" s="483" t="s">
        <v>312</v>
      </c>
      <c r="E454" s="405">
        <v>5.2</v>
      </c>
      <c r="F454" s="278">
        <f t="shared" si="181"/>
        <v>4.8275862068965516</v>
      </c>
      <c r="G454" s="405">
        <v>2.8</v>
      </c>
      <c r="H454" s="405">
        <v>2.2000000000000002</v>
      </c>
      <c r="I454" s="405">
        <v>6.3</v>
      </c>
      <c r="J454" s="405">
        <v>0</v>
      </c>
      <c r="K454" s="405">
        <v>7</v>
      </c>
      <c r="L454" s="405">
        <v>21</v>
      </c>
      <c r="M454" s="405" t="s">
        <v>104</v>
      </c>
      <c r="N454" s="235">
        <v>23</v>
      </c>
      <c r="O454" s="386">
        <f t="shared" si="170"/>
        <v>23</v>
      </c>
      <c r="P454" s="484" t="s">
        <v>199</v>
      </c>
      <c r="Q454" s="484"/>
      <c r="R454" s="387">
        <v>2</v>
      </c>
      <c r="S454" s="292">
        <v>-0.61799999999999999</v>
      </c>
      <c r="T454" s="301" t="s">
        <v>5</v>
      </c>
      <c r="U454" s="292">
        <v>1.079</v>
      </c>
      <c r="V454" s="301" t="s">
        <v>65</v>
      </c>
      <c r="W454" s="301"/>
      <c r="X454" s="301"/>
      <c r="Y454" s="292">
        <v>-0.60599999999999998</v>
      </c>
      <c r="Z454" s="301" t="s">
        <v>5</v>
      </c>
      <c r="AA454" s="292">
        <v>1.0760000000000001</v>
      </c>
      <c r="AB454" s="301" t="s">
        <v>65</v>
      </c>
      <c r="AC454" s="301"/>
      <c r="AD454" s="301"/>
      <c r="AE454" s="285"/>
      <c r="AF454" s="239">
        <f t="shared" si="171"/>
        <v>3.1354942159291497</v>
      </c>
      <c r="AG454" s="239">
        <f t="shared" si="172"/>
        <v>3.1354942159291497</v>
      </c>
      <c r="AH454" s="240"/>
      <c r="AI454" s="240"/>
      <c r="AK454" s="265">
        <f t="shared" si="173"/>
        <v>46</v>
      </c>
      <c r="AL454" s="265">
        <f t="shared" si="174"/>
        <v>46</v>
      </c>
      <c r="AM454" s="239">
        <f t="shared" si="175"/>
        <v>3.8286413964890951</v>
      </c>
      <c r="AN454" s="239">
        <f t="shared" si="176"/>
        <v>3.8286413964890951</v>
      </c>
      <c r="AO454" s="240"/>
      <c r="AP454" s="240"/>
      <c r="AR454" s="265">
        <f t="shared" si="177"/>
        <v>37.058152065035038</v>
      </c>
      <c r="AS454" s="265">
        <f t="shared" si="178"/>
        <v>38.239396285214099</v>
      </c>
      <c r="AT454" s="239">
        <f t="shared" si="179"/>
        <v>3.6124883562852066</v>
      </c>
      <c r="AU454" s="239">
        <f t="shared" si="180"/>
        <v>3.6438663005380243</v>
      </c>
      <c r="AX454" s="265"/>
      <c r="AY454" s="265"/>
      <c r="BA454" s="238"/>
      <c r="BB454" s="238"/>
      <c r="BC454" s="238"/>
      <c r="BD454" s="125"/>
      <c r="BE454" s="125"/>
      <c r="BF454" s="136"/>
      <c r="BG454" s="136"/>
      <c r="BH454" s="136"/>
      <c r="BI454" s="136"/>
    </row>
    <row r="455" spans="1:62" x14ac:dyDescent="0.2">
      <c r="A455" s="232" t="s">
        <v>197</v>
      </c>
      <c r="B455" s="232" t="s">
        <v>35</v>
      </c>
      <c r="C455" s="482" t="s">
        <v>198</v>
      </c>
      <c r="D455" s="483" t="s">
        <v>312</v>
      </c>
      <c r="E455" s="405">
        <v>5.2</v>
      </c>
      <c r="F455" s="278">
        <f t="shared" si="181"/>
        <v>3.1034482758620694</v>
      </c>
      <c r="G455" s="405">
        <v>1.8</v>
      </c>
      <c r="H455" s="405">
        <v>2.2000000000000002</v>
      </c>
      <c r="I455" s="405">
        <v>4.0999999999999996</v>
      </c>
      <c r="J455" s="405">
        <v>1</v>
      </c>
      <c r="K455" s="405">
        <v>7</v>
      </c>
      <c r="L455" s="405">
        <v>21</v>
      </c>
      <c r="M455" s="405" t="s">
        <v>104</v>
      </c>
      <c r="N455" s="235">
        <v>43</v>
      </c>
      <c r="O455" s="386">
        <f t="shared" si="170"/>
        <v>44</v>
      </c>
      <c r="P455" s="484" t="s">
        <v>199</v>
      </c>
      <c r="Q455" s="484"/>
      <c r="R455" s="387">
        <v>2</v>
      </c>
      <c r="S455" s="292">
        <v>-0.61799999999999999</v>
      </c>
      <c r="T455" s="301" t="s">
        <v>5</v>
      </c>
      <c r="U455" s="292">
        <v>1.079</v>
      </c>
      <c r="V455" s="301" t="s">
        <v>65</v>
      </c>
      <c r="W455" s="301"/>
      <c r="X455" s="301"/>
      <c r="Y455" s="292">
        <v>-0.60599999999999998</v>
      </c>
      <c r="Z455" s="301" t="s">
        <v>5</v>
      </c>
      <c r="AA455" s="292">
        <v>1.0760000000000001</v>
      </c>
      <c r="AB455" s="301" t="s">
        <v>65</v>
      </c>
      <c r="AC455" s="301"/>
      <c r="AD455" s="301"/>
      <c r="AE455" s="285"/>
      <c r="AF455" s="239">
        <f t="shared" si="171"/>
        <v>3.7612001156935624</v>
      </c>
      <c r="AG455" s="239">
        <f t="shared" si="172"/>
        <v>3.784189633918261</v>
      </c>
      <c r="AH455" s="240"/>
      <c r="AI455" s="240"/>
      <c r="AK455" s="265">
        <f t="shared" si="173"/>
        <v>86</v>
      </c>
      <c r="AL455" s="265">
        <f t="shared" si="174"/>
        <v>87</v>
      </c>
      <c r="AM455" s="239">
        <f t="shared" si="175"/>
        <v>4.4543472962535073</v>
      </c>
      <c r="AN455" s="239">
        <f t="shared" si="176"/>
        <v>4.4659081186545837</v>
      </c>
      <c r="AO455" s="240"/>
      <c r="AP455" s="240"/>
      <c r="AR455" s="265">
        <f t="shared" si="177"/>
        <v>69.282632121587241</v>
      </c>
      <c r="AS455" s="265">
        <f t="shared" si="178"/>
        <v>72.32233645247014</v>
      </c>
      <c r="AT455" s="239">
        <f t="shared" si="179"/>
        <v>4.2381942560496189</v>
      </c>
      <c r="AU455" s="239">
        <f t="shared" si="180"/>
        <v>4.2811330227035134</v>
      </c>
      <c r="AX455" s="265"/>
      <c r="AY455" s="265"/>
      <c r="BA455" s="238"/>
      <c r="BB455" s="238"/>
      <c r="BC455" s="238"/>
      <c r="BD455" s="125"/>
      <c r="BE455" s="125"/>
      <c r="BF455" s="136"/>
      <c r="BG455" s="136"/>
      <c r="BH455" s="136"/>
      <c r="BI455" s="136"/>
    </row>
    <row r="456" spans="1:62" x14ac:dyDescent="0.2">
      <c r="A456" s="232" t="s">
        <v>197</v>
      </c>
      <c r="B456" s="232" t="s">
        <v>35</v>
      </c>
      <c r="C456" s="482" t="s">
        <v>198</v>
      </c>
      <c r="D456" s="483" t="s">
        <v>312</v>
      </c>
      <c r="E456" s="405">
        <v>6.3</v>
      </c>
      <c r="F456" s="278">
        <f t="shared" si="181"/>
        <v>6.2068965517241388</v>
      </c>
      <c r="G456" s="405">
        <v>3.6</v>
      </c>
      <c r="H456" s="289">
        <v>31.4</v>
      </c>
      <c r="I456" s="405">
        <v>30</v>
      </c>
      <c r="J456" s="405">
        <v>1</v>
      </c>
      <c r="K456" s="405">
        <v>7</v>
      </c>
      <c r="L456" s="405">
        <v>21</v>
      </c>
      <c r="M456" s="405" t="s">
        <v>104</v>
      </c>
      <c r="N456" s="235">
        <v>74</v>
      </c>
      <c r="O456" s="386">
        <f t="shared" si="170"/>
        <v>75</v>
      </c>
      <c r="P456" s="484" t="s">
        <v>199</v>
      </c>
      <c r="Q456" s="484"/>
      <c r="R456" s="387">
        <v>2</v>
      </c>
      <c r="S456" s="292">
        <v>-0.61799999999999999</v>
      </c>
      <c r="T456" s="301" t="s">
        <v>5</v>
      </c>
      <c r="U456" s="292">
        <v>1.079</v>
      </c>
      <c r="V456" s="301" t="s">
        <v>65</v>
      </c>
      <c r="W456" s="301"/>
      <c r="X456" s="301"/>
      <c r="Y456" s="292">
        <v>-0.60599999999999998</v>
      </c>
      <c r="Z456" s="301" t="s">
        <v>5</v>
      </c>
      <c r="AA456" s="292">
        <v>1.0760000000000001</v>
      </c>
      <c r="AB456" s="301" t="s">
        <v>65</v>
      </c>
      <c r="AC456" s="301"/>
      <c r="AD456" s="301"/>
      <c r="AE456" s="285"/>
      <c r="AF456" s="239">
        <f t="shared" si="171"/>
        <v>4.3040650932041702</v>
      </c>
      <c r="AG456" s="239">
        <f t="shared" si="172"/>
        <v>4.3174881135363101</v>
      </c>
      <c r="AH456" s="240"/>
      <c r="AI456" s="240"/>
      <c r="AK456" s="265">
        <f t="shared" si="173"/>
        <v>148</v>
      </c>
      <c r="AL456" s="265">
        <f t="shared" si="174"/>
        <v>149</v>
      </c>
      <c r="AM456" s="239">
        <f t="shared" si="175"/>
        <v>4.9972122737641147</v>
      </c>
      <c r="AN456" s="239">
        <f t="shared" si="176"/>
        <v>5.0039463059454592</v>
      </c>
      <c r="AO456" s="240"/>
      <c r="AP456" s="240"/>
      <c r="AR456" s="265">
        <f t="shared" si="177"/>
        <v>32.394749433881259</v>
      </c>
      <c r="AS456" s="265">
        <f t="shared" si="178"/>
        <v>32.907126983855626</v>
      </c>
      <c r="AT456" s="239">
        <f t="shared" si="179"/>
        <v>3.4779963551561952</v>
      </c>
      <c r="AU456" s="239">
        <f t="shared" si="180"/>
        <v>3.4936892599604854</v>
      </c>
      <c r="AX456" s="265"/>
      <c r="AY456" s="265"/>
      <c r="BA456" s="238"/>
      <c r="BB456" s="238"/>
      <c r="BC456" s="238"/>
      <c r="BD456" s="125"/>
      <c r="BE456" s="125"/>
      <c r="BF456" s="136"/>
      <c r="BG456" s="136"/>
      <c r="BH456" s="136"/>
      <c r="BI456" s="136"/>
    </row>
    <row r="457" spans="1:62" x14ac:dyDescent="0.2">
      <c r="A457" s="232" t="s">
        <v>197</v>
      </c>
      <c r="B457" s="232" t="s">
        <v>35</v>
      </c>
      <c r="C457" s="482" t="s">
        <v>198</v>
      </c>
      <c r="D457" s="483" t="s">
        <v>312</v>
      </c>
      <c r="E457" s="405">
        <v>6.7</v>
      </c>
      <c r="F457" s="278">
        <f t="shared" si="181"/>
        <v>1.5517241379310347</v>
      </c>
      <c r="G457" s="405">
        <v>0.9</v>
      </c>
      <c r="H457" s="405">
        <v>13.3</v>
      </c>
      <c r="I457" s="405">
        <v>12.2</v>
      </c>
      <c r="J457" s="405">
        <v>1</v>
      </c>
      <c r="K457" s="405">
        <v>7</v>
      </c>
      <c r="L457" s="405">
        <v>21</v>
      </c>
      <c r="M457" s="405" t="s">
        <v>104</v>
      </c>
      <c r="N457" s="235">
        <v>9</v>
      </c>
      <c r="O457" s="386">
        <f t="shared" si="170"/>
        <v>10</v>
      </c>
      <c r="P457" s="484" t="s">
        <v>199</v>
      </c>
      <c r="Q457" s="484"/>
      <c r="R457" s="387">
        <v>2</v>
      </c>
      <c r="S457" s="292">
        <v>-0.61799999999999999</v>
      </c>
      <c r="T457" s="301" t="s">
        <v>5</v>
      </c>
      <c r="U457" s="292">
        <v>1.079</v>
      </c>
      <c r="V457" s="301" t="s">
        <v>65</v>
      </c>
      <c r="W457" s="301"/>
      <c r="X457" s="301"/>
      <c r="Y457" s="292">
        <v>-0.60599999999999998</v>
      </c>
      <c r="Z457" s="301" t="s">
        <v>5</v>
      </c>
      <c r="AA457" s="292">
        <v>1.0760000000000001</v>
      </c>
      <c r="AB457" s="301" t="s">
        <v>65</v>
      </c>
      <c r="AC457" s="301"/>
      <c r="AD457" s="301"/>
      <c r="AE457" s="285"/>
      <c r="AF457" s="239">
        <f t="shared" si="171"/>
        <v>2.1972245773362196</v>
      </c>
      <c r="AG457" s="239">
        <f t="shared" si="172"/>
        <v>2.3025850929940459</v>
      </c>
      <c r="AH457" s="240"/>
      <c r="AI457" s="240"/>
      <c r="AK457" s="265">
        <f t="shared" si="173"/>
        <v>18</v>
      </c>
      <c r="AL457" s="265">
        <f t="shared" si="174"/>
        <v>19</v>
      </c>
      <c r="AM457" s="239">
        <f t="shared" si="175"/>
        <v>2.8903717578961645</v>
      </c>
      <c r="AN457" s="239">
        <f t="shared" si="176"/>
        <v>2.9444389791664403</v>
      </c>
      <c r="AO457" s="240"/>
      <c r="AP457" s="240"/>
      <c r="AR457" s="265">
        <f t="shared" si="177"/>
        <v>17.588815141811235</v>
      </c>
      <c r="AS457" s="265">
        <f t="shared" si="178"/>
        <v>18.479458255289881</v>
      </c>
      <c r="AT457" s="239">
        <f t="shared" si="179"/>
        <v>2.8672631967201072</v>
      </c>
      <c r="AU457" s="239">
        <f t="shared" si="180"/>
        <v>2.9166597505938978</v>
      </c>
      <c r="AX457" s="265"/>
      <c r="AY457" s="265"/>
      <c r="BA457" s="238"/>
      <c r="BB457" s="238"/>
      <c r="BC457" s="238"/>
      <c r="BD457" s="125"/>
      <c r="BE457" s="125"/>
      <c r="BF457" s="136"/>
      <c r="BG457" s="136"/>
      <c r="BH457" s="136"/>
      <c r="BI457" s="136"/>
    </row>
    <row r="458" spans="1:62" x14ac:dyDescent="0.2">
      <c r="A458" s="232" t="s">
        <v>197</v>
      </c>
      <c r="B458" s="232" t="s">
        <v>35</v>
      </c>
      <c r="C458" s="482" t="s">
        <v>198</v>
      </c>
      <c r="D458" s="483" t="s">
        <v>312</v>
      </c>
      <c r="E458" s="405">
        <v>7.3</v>
      </c>
      <c r="F458" s="278">
        <f t="shared" si="181"/>
        <v>2.2413793103448278</v>
      </c>
      <c r="G458" s="405">
        <v>1.3</v>
      </c>
      <c r="H458" s="405">
        <v>12.5</v>
      </c>
      <c r="I458" s="405">
        <v>14.3</v>
      </c>
      <c r="J458" s="405">
        <v>1</v>
      </c>
      <c r="K458" s="405">
        <v>7</v>
      </c>
      <c r="L458" s="405">
        <v>21</v>
      </c>
      <c r="M458" s="405" t="s">
        <v>104</v>
      </c>
      <c r="N458" s="235">
        <v>28</v>
      </c>
      <c r="O458" s="386">
        <f t="shared" si="170"/>
        <v>29</v>
      </c>
      <c r="P458" s="484" t="s">
        <v>199</v>
      </c>
      <c r="Q458" s="484"/>
      <c r="R458" s="387">
        <v>2</v>
      </c>
      <c r="S458" s="292">
        <v>-0.61799999999999999</v>
      </c>
      <c r="T458" s="301" t="s">
        <v>5</v>
      </c>
      <c r="U458" s="292">
        <v>1.079</v>
      </c>
      <c r="V458" s="301" t="s">
        <v>65</v>
      </c>
      <c r="W458" s="301"/>
      <c r="X458" s="301"/>
      <c r="Y458" s="292">
        <v>-0.60599999999999998</v>
      </c>
      <c r="Z458" s="301" t="s">
        <v>5</v>
      </c>
      <c r="AA458" s="292">
        <v>1.0760000000000001</v>
      </c>
      <c r="AB458" s="301" t="s">
        <v>65</v>
      </c>
      <c r="AC458" s="301"/>
      <c r="AD458" s="301"/>
      <c r="AE458" s="285"/>
      <c r="AF458" s="239">
        <f t="shared" si="171"/>
        <v>3.3322045101752038</v>
      </c>
      <c r="AG458" s="239">
        <f t="shared" si="172"/>
        <v>3.3672958299864741</v>
      </c>
      <c r="AH458" s="240"/>
      <c r="AI458" s="240"/>
      <c r="AK458" s="265">
        <f t="shared" si="173"/>
        <v>56</v>
      </c>
      <c r="AL458" s="265">
        <f t="shared" si="174"/>
        <v>57</v>
      </c>
      <c r="AM458" s="239">
        <f t="shared" si="175"/>
        <v>4.0253516907351496</v>
      </c>
      <c r="AN458" s="239">
        <f t="shared" si="176"/>
        <v>4.0430512678345503</v>
      </c>
      <c r="AO458" s="240"/>
      <c r="AP458" s="240"/>
      <c r="AR458" s="265">
        <f t="shared" si="177"/>
        <v>137.41119705238643</v>
      </c>
      <c r="AS458" s="265">
        <f t="shared" si="178"/>
        <v>136.89881272751856</v>
      </c>
      <c r="AT458" s="239">
        <f t="shared" si="179"/>
        <v>4.9229778688433727</v>
      </c>
      <c r="AU458" s="239">
        <f t="shared" si="180"/>
        <v>4.9192420597039739</v>
      </c>
      <c r="BA458" s="238"/>
      <c r="BB458" s="238"/>
      <c r="BC458" s="238"/>
      <c r="BD458" s="125"/>
      <c r="BE458" s="125"/>
      <c r="BF458" s="136"/>
      <c r="BG458" s="136"/>
      <c r="BH458" s="136"/>
      <c r="BI458" s="136"/>
    </row>
    <row r="459" spans="1:62" x14ac:dyDescent="0.2">
      <c r="A459" s="232" t="s">
        <v>197</v>
      </c>
      <c r="B459" s="232" t="s">
        <v>35</v>
      </c>
      <c r="C459" s="482" t="s">
        <v>198</v>
      </c>
      <c r="D459" s="483" t="s">
        <v>312</v>
      </c>
      <c r="E459" s="405">
        <v>7.6</v>
      </c>
      <c r="F459" s="278">
        <f t="shared" si="181"/>
        <v>3.6206896551724141</v>
      </c>
      <c r="G459" s="405">
        <v>2.1</v>
      </c>
      <c r="H459" s="405">
        <v>21.2</v>
      </c>
      <c r="I459" s="405">
        <v>24.8</v>
      </c>
      <c r="J459" s="405">
        <v>1</v>
      </c>
      <c r="K459" s="405">
        <v>7</v>
      </c>
      <c r="L459" s="405">
        <v>21</v>
      </c>
      <c r="M459" s="405" t="s">
        <v>104</v>
      </c>
      <c r="N459" s="235">
        <v>6</v>
      </c>
      <c r="O459" s="386">
        <f t="shared" si="170"/>
        <v>7</v>
      </c>
      <c r="P459" s="484" t="s">
        <v>199</v>
      </c>
      <c r="Q459" s="484"/>
      <c r="R459" s="387">
        <v>2</v>
      </c>
      <c r="S459" s="292">
        <v>-0.61799999999999999</v>
      </c>
      <c r="T459" s="301" t="s">
        <v>5</v>
      </c>
      <c r="U459" s="292">
        <v>1.079</v>
      </c>
      <c r="V459" s="301" t="s">
        <v>65</v>
      </c>
      <c r="W459" s="301"/>
      <c r="X459" s="301"/>
      <c r="Y459" s="292">
        <v>-0.60599999999999998</v>
      </c>
      <c r="Z459" s="301" t="s">
        <v>5</v>
      </c>
      <c r="AA459" s="292">
        <v>1.0760000000000001</v>
      </c>
      <c r="AB459" s="301" t="s">
        <v>65</v>
      </c>
      <c r="AC459" s="301"/>
      <c r="AD459" s="301"/>
      <c r="AE459" s="285"/>
      <c r="AF459" s="239">
        <f t="shared" si="171"/>
        <v>1.791759469228055</v>
      </c>
      <c r="AG459" s="239">
        <f t="shared" si="172"/>
        <v>1.9459101490553132</v>
      </c>
      <c r="AH459" s="240"/>
      <c r="AI459" s="240"/>
      <c r="AK459" s="265">
        <f t="shared" si="173"/>
        <v>12</v>
      </c>
      <c r="AL459" s="265">
        <f t="shared" si="174"/>
        <v>13</v>
      </c>
      <c r="AM459" s="239">
        <f t="shared" si="175"/>
        <v>2.4849066497880004</v>
      </c>
      <c r="AN459" s="239">
        <f t="shared" si="176"/>
        <v>2.5649493574615367</v>
      </c>
      <c r="AO459" s="240"/>
      <c r="AP459" s="240"/>
      <c r="AR459" s="265">
        <f t="shared" si="177"/>
        <v>25.519070523373372</v>
      </c>
      <c r="AS459" s="265">
        <f t="shared" si="178"/>
        <v>26.878558017332434</v>
      </c>
      <c r="AT459" s="239">
        <f t="shared" si="179"/>
        <v>3.2394260363154017</v>
      </c>
      <c r="AU459" s="239">
        <f t="shared" si="180"/>
        <v>3.2913288690274687</v>
      </c>
      <c r="BA459" s="238"/>
      <c r="BB459" s="238"/>
      <c r="BC459" s="238"/>
      <c r="BD459" s="125"/>
      <c r="BE459" s="125"/>
      <c r="BF459" s="136"/>
      <c r="BG459" s="136"/>
      <c r="BH459" s="136"/>
      <c r="BI459" s="136"/>
    </row>
    <row r="460" spans="1:62" s="165" customFormat="1" x14ac:dyDescent="0.2">
      <c r="A460" s="156" t="s">
        <v>197</v>
      </c>
      <c r="B460" s="156" t="s">
        <v>35</v>
      </c>
      <c r="C460" s="390" t="s">
        <v>198</v>
      </c>
      <c r="D460" s="364" t="s">
        <v>312</v>
      </c>
      <c r="E460" s="160">
        <v>7.8</v>
      </c>
      <c r="F460" s="159">
        <f t="shared" si="181"/>
        <v>1.3793103448275863</v>
      </c>
      <c r="G460" s="160">
        <v>0.8</v>
      </c>
      <c r="H460" s="160">
        <v>18</v>
      </c>
      <c r="I460" s="160">
        <v>14.1</v>
      </c>
      <c r="J460" s="160">
        <v>1</v>
      </c>
      <c r="K460" s="160">
        <v>7</v>
      </c>
      <c r="L460" s="160">
        <v>21</v>
      </c>
      <c r="M460" s="160" t="s">
        <v>104</v>
      </c>
      <c r="N460" s="231">
        <v>4</v>
      </c>
      <c r="O460" s="396">
        <f t="shared" si="170"/>
        <v>5</v>
      </c>
      <c r="P460" s="485" t="s">
        <v>199</v>
      </c>
      <c r="Q460" s="485"/>
      <c r="R460" s="361">
        <v>2</v>
      </c>
      <c r="S460" s="328">
        <v>-0.61799999999999999</v>
      </c>
      <c r="T460" s="314" t="s">
        <v>5</v>
      </c>
      <c r="U460" s="328">
        <v>1.079</v>
      </c>
      <c r="V460" s="314" t="s">
        <v>65</v>
      </c>
      <c r="W460" s="314"/>
      <c r="X460" s="314"/>
      <c r="Y460" s="328">
        <v>-0.60599999999999998</v>
      </c>
      <c r="Z460" s="314" t="s">
        <v>5</v>
      </c>
      <c r="AA460" s="328">
        <v>1.0760000000000001</v>
      </c>
      <c r="AB460" s="314" t="s">
        <v>65</v>
      </c>
      <c r="AC460" s="314"/>
      <c r="AD460" s="314"/>
      <c r="AE460" s="163"/>
      <c r="AF460" s="166">
        <f t="shared" si="171"/>
        <v>1.3862943611198906</v>
      </c>
      <c r="AG460" s="166">
        <f t="shared" si="172"/>
        <v>1.6094379124341003</v>
      </c>
      <c r="AH460" s="169"/>
      <c r="AI460" s="169"/>
      <c r="AK460" s="168">
        <f t="shared" si="173"/>
        <v>8</v>
      </c>
      <c r="AL460" s="168">
        <f t="shared" si="174"/>
        <v>9</v>
      </c>
      <c r="AM460" s="166">
        <f t="shared" si="175"/>
        <v>2.0794415416798357</v>
      </c>
      <c r="AN460" s="166">
        <f t="shared" si="176"/>
        <v>2.1972245773362196</v>
      </c>
      <c r="AO460" s="169"/>
      <c r="AP460" s="169"/>
      <c r="AR460" s="168">
        <f t="shared" si="177"/>
        <v>26.980559656861754</v>
      </c>
      <c r="AS460" s="168">
        <f t="shared" si="178"/>
        <v>29.333865337820715</v>
      </c>
      <c r="AT460" s="166">
        <f t="shared" si="179"/>
        <v>3.2951165939618647</v>
      </c>
      <c r="AU460" s="166">
        <f t="shared" si="180"/>
        <v>3.3787426621622476</v>
      </c>
      <c r="AV460" s="167"/>
      <c r="AW460" s="167"/>
      <c r="BD460" s="167"/>
      <c r="BE460" s="167"/>
    </row>
    <row r="461" spans="1:62" x14ac:dyDescent="0.2">
      <c r="A461" s="232" t="s">
        <v>197</v>
      </c>
      <c r="B461" s="232" t="s">
        <v>35</v>
      </c>
      <c r="C461" s="482" t="s">
        <v>110</v>
      </c>
      <c r="D461" s="483" t="s">
        <v>312</v>
      </c>
      <c r="E461" s="405">
        <v>4.4000000000000004</v>
      </c>
      <c r="F461" s="278">
        <f t="shared" si="181"/>
        <v>52.931034482758626</v>
      </c>
      <c r="G461" s="405">
        <v>30.7</v>
      </c>
      <c r="H461" s="278">
        <v>58.8</v>
      </c>
      <c r="I461" s="405">
        <v>41.7</v>
      </c>
      <c r="J461" s="405">
        <v>3</v>
      </c>
      <c r="K461" s="405">
        <v>7</v>
      </c>
      <c r="L461" s="405">
        <v>21</v>
      </c>
      <c r="M461" s="405" t="s">
        <v>104</v>
      </c>
      <c r="N461" s="235">
        <v>1502</v>
      </c>
      <c r="O461" s="386">
        <f t="shared" si="170"/>
        <v>1505</v>
      </c>
      <c r="P461" s="484" t="s">
        <v>199</v>
      </c>
      <c r="Q461" s="484"/>
      <c r="R461" s="387">
        <v>2</v>
      </c>
      <c r="S461" s="292">
        <v>-0.50900000000000001</v>
      </c>
      <c r="T461" s="301" t="s">
        <v>5</v>
      </c>
      <c r="U461" s="292">
        <v>0.76700000000000002</v>
      </c>
      <c r="V461" s="301" t="s">
        <v>65</v>
      </c>
      <c r="W461" s="301"/>
      <c r="X461" s="301"/>
      <c r="Y461" s="292">
        <v>-0.503</v>
      </c>
      <c r="Z461" s="301" t="s">
        <v>5</v>
      </c>
      <c r="AA461" s="292">
        <v>0.77200000000000002</v>
      </c>
      <c r="AB461" s="301" t="s">
        <v>65</v>
      </c>
      <c r="AC461" s="301"/>
      <c r="AD461" s="301"/>
      <c r="AE461" s="285"/>
      <c r="AF461" s="239">
        <f t="shared" si="171"/>
        <v>7.3145528323240798</v>
      </c>
      <c r="AG461" s="239">
        <f t="shared" si="172"/>
        <v>7.3165481771829759</v>
      </c>
      <c r="AH461" s="240"/>
      <c r="AI461" s="240"/>
      <c r="AK461" s="265">
        <f t="shared" si="173"/>
        <v>3004</v>
      </c>
      <c r="AL461" s="265">
        <f t="shared" si="174"/>
        <v>3007</v>
      </c>
      <c r="AM461" s="239">
        <f t="shared" si="175"/>
        <v>8.0077000128840261</v>
      </c>
      <c r="AN461" s="239">
        <f t="shared" si="176"/>
        <v>8.0086981829885282</v>
      </c>
      <c r="AO461" s="240"/>
      <c r="AP461" s="240"/>
      <c r="AR461" s="265">
        <f t="shared" si="177"/>
        <v>65.869978127521534</v>
      </c>
      <c r="AS461" s="265">
        <f t="shared" si="178"/>
        <v>67.278164182551137</v>
      </c>
      <c r="AT461" s="239">
        <f t="shared" si="179"/>
        <v>4.1876827705973092</v>
      </c>
      <c r="AU461" s="239">
        <f t="shared" si="180"/>
        <v>4.2088357290639857</v>
      </c>
      <c r="AX461" s="265">
        <f>GEOMEAN(AR461:AR469)</f>
        <v>43.960897198745641</v>
      </c>
      <c r="AY461" s="265">
        <f>GEOMEAN(AS461:AS469)</f>
        <v>45.587101692065509</v>
      </c>
      <c r="AZ461" s="265">
        <f>MIN(AX461:AX469)</f>
        <v>43.960897198745641</v>
      </c>
      <c r="BA461" s="265">
        <f>MIN(AY461:AY469)</f>
        <v>45.587101692065509</v>
      </c>
      <c r="BB461" s="239">
        <f>LN(AZ461)</f>
        <v>3.7833005387617651</v>
      </c>
      <c r="BC461" s="239">
        <f>LN(BA461)</f>
        <v>3.8196248188784332</v>
      </c>
      <c r="BD461" s="240"/>
      <c r="BE461" s="240"/>
      <c r="BF461" s="136"/>
      <c r="BG461" s="136"/>
      <c r="BH461" s="136"/>
      <c r="BI461" s="136"/>
    </row>
    <row r="462" spans="1:62" x14ac:dyDescent="0.2">
      <c r="A462" s="232" t="s">
        <v>197</v>
      </c>
      <c r="B462" s="232" t="s">
        <v>35</v>
      </c>
      <c r="C462" s="482" t="s">
        <v>110</v>
      </c>
      <c r="D462" s="483" t="s">
        <v>312</v>
      </c>
      <c r="E462" s="405">
        <v>5</v>
      </c>
      <c r="F462" s="278">
        <f t="shared" si="181"/>
        <v>3.4482758620689657</v>
      </c>
      <c r="G462" s="405">
        <v>2</v>
      </c>
      <c r="H462" s="405">
        <v>3.3</v>
      </c>
      <c r="I462" s="405">
        <v>4.2</v>
      </c>
      <c r="J462" s="405">
        <v>1</v>
      </c>
      <c r="K462" s="405">
        <v>7</v>
      </c>
      <c r="L462" s="405">
        <v>21</v>
      </c>
      <c r="M462" s="405" t="s">
        <v>104</v>
      </c>
      <c r="N462" s="235">
        <v>38</v>
      </c>
      <c r="O462" s="386">
        <f t="shared" si="170"/>
        <v>39</v>
      </c>
      <c r="P462" s="484" t="s">
        <v>199</v>
      </c>
      <c r="Q462" s="484"/>
      <c r="R462" s="387">
        <v>2</v>
      </c>
      <c r="S462" s="292">
        <v>-0.50900000000000001</v>
      </c>
      <c r="T462" s="301" t="s">
        <v>5</v>
      </c>
      <c r="U462" s="292">
        <v>0.76700000000000002</v>
      </c>
      <c r="V462" s="301" t="s">
        <v>65</v>
      </c>
      <c r="W462" s="301"/>
      <c r="X462" s="301"/>
      <c r="Y462" s="292">
        <v>-0.503</v>
      </c>
      <c r="Z462" s="301" t="s">
        <v>5</v>
      </c>
      <c r="AA462" s="292">
        <v>0.77200000000000002</v>
      </c>
      <c r="AB462" s="301" t="s">
        <v>65</v>
      </c>
      <c r="AC462" s="301"/>
      <c r="AD462" s="301"/>
      <c r="AE462" s="285"/>
      <c r="AF462" s="239">
        <f t="shared" si="171"/>
        <v>3.6375861597263857</v>
      </c>
      <c r="AG462" s="239">
        <f t="shared" si="172"/>
        <v>3.6635616461296463</v>
      </c>
      <c r="AH462" s="240"/>
      <c r="AI462" s="240"/>
      <c r="AK462" s="265">
        <f t="shared" si="173"/>
        <v>76</v>
      </c>
      <c r="AL462" s="265">
        <f t="shared" si="174"/>
        <v>77</v>
      </c>
      <c r="AM462" s="239">
        <f t="shared" si="175"/>
        <v>4.3307333402863311</v>
      </c>
      <c r="AN462" s="239">
        <f t="shared" si="176"/>
        <v>4.3438054218536841</v>
      </c>
      <c r="AO462" s="240"/>
      <c r="AP462" s="240"/>
      <c r="AR462" s="265">
        <f t="shared" si="177"/>
        <v>30.662912266487673</v>
      </c>
      <c r="AS462" s="265">
        <f t="shared" si="178"/>
        <v>31.893190253340471</v>
      </c>
      <c r="AT462" s="239">
        <f t="shared" si="179"/>
        <v>3.4230538547934515</v>
      </c>
      <c r="AU462" s="239">
        <f t="shared" si="180"/>
        <v>3.4623925153203592</v>
      </c>
      <c r="AX462" s="265"/>
      <c r="AZ462" s="265"/>
      <c r="BA462" s="265"/>
      <c r="BB462" s="239"/>
      <c r="BC462" s="239"/>
      <c r="BD462" s="240"/>
      <c r="BE462" s="240"/>
      <c r="BF462" s="136"/>
      <c r="BG462" s="136"/>
      <c r="BH462" s="136"/>
      <c r="BI462" s="136"/>
    </row>
    <row r="463" spans="1:62" x14ac:dyDescent="0.2">
      <c r="A463" s="232" t="s">
        <v>197</v>
      </c>
      <c r="B463" s="232" t="s">
        <v>35</v>
      </c>
      <c r="C463" s="482" t="s">
        <v>110</v>
      </c>
      <c r="D463" s="483" t="s">
        <v>312</v>
      </c>
      <c r="E463" s="405">
        <v>5.2</v>
      </c>
      <c r="F463" s="278">
        <f t="shared" si="181"/>
        <v>4.8275862068965516</v>
      </c>
      <c r="G463" s="405">
        <v>2.8</v>
      </c>
      <c r="H463" s="405">
        <v>2.2000000000000002</v>
      </c>
      <c r="I463" s="405">
        <v>6.3</v>
      </c>
      <c r="J463" s="405">
        <v>0</v>
      </c>
      <c r="K463" s="405">
        <v>7</v>
      </c>
      <c r="L463" s="405">
        <v>21</v>
      </c>
      <c r="M463" s="405" t="s">
        <v>104</v>
      </c>
      <c r="N463" s="235">
        <v>22</v>
      </c>
      <c r="O463" s="386">
        <f t="shared" si="170"/>
        <v>22</v>
      </c>
      <c r="P463" s="484" t="s">
        <v>199</v>
      </c>
      <c r="Q463" s="484"/>
      <c r="R463" s="387">
        <v>2</v>
      </c>
      <c r="S463" s="292">
        <v>-0.50900000000000001</v>
      </c>
      <c r="T463" s="301" t="s">
        <v>5</v>
      </c>
      <c r="U463" s="292">
        <v>0.76700000000000002</v>
      </c>
      <c r="V463" s="301" t="s">
        <v>65</v>
      </c>
      <c r="W463" s="301"/>
      <c r="X463" s="301"/>
      <c r="Y463" s="292">
        <v>-0.503</v>
      </c>
      <c r="Z463" s="301" t="s">
        <v>5</v>
      </c>
      <c r="AA463" s="292">
        <v>0.77200000000000002</v>
      </c>
      <c r="AB463" s="301" t="s">
        <v>65</v>
      </c>
      <c r="AC463" s="301"/>
      <c r="AD463" s="301"/>
      <c r="AE463" s="285"/>
      <c r="AF463" s="239">
        <f t="shared" si="171"/>
        <v>3.0910424533583161</v>
      </c>
      <c r="AG463" s="239">
        <f t="shared" si="172"/>
        <v>3.0910424533583161</v>
      </c>
      <c r="AH463" s="240"/>
      <c r="AI463" s="240"/>
      <c r="AK463" s="265">
        <f t="shared" si="173"/>
        <v>44</v>
      </c>
      <c r="AL463" s="265">
        <f t="shared" si="174"/>
        <v>44</v>
      </c>
      <c r="AM463" s="239">
        <f t="shared" si="175"/>
        <v>3.784189633918261</v>
      </c>
      <c r="AN463" s="239">
        <f t="shared" si="176"/>
        <v>3.784189633918261</v>
      </c>
      <c r="AO463" s="240"/>
      <c r="AP463" s="240"/>
      <c r="AR463" s="265">
        <f t="shared" si="177"/>
        <v>30.627706755463528</v>
      </c>
      <c r="AS463" s="265">
        <f t="shared" si="178"/>
        <v>31.41972408246497</v>
      </c>
      <c r="AT463" s="239">
        <f t="shared" si="179"/>
        <v>3.4219050488111389</v>
      </c>
      <c r="AU463" s="239">
        <f t="shared" si="180"/>
        <v>3.4474358511996415</v>
      </c>
      <c r="AX463" s="265"/>
      <c r="AY463" s="265"/>
      <c r="BA463" s="238"/>
      <c r="BB463" s="238"/>
      <c r="BC463" s="238"/>
      <c r="BD463" s="125"/>
      <c r="BE463" s="125"/>
      <c r="BF463" s="136"/>
      <c r="BG463" s="136"/>
      <c r="BH463" s="136"/>
      <c r="BI463" s="136"/>
    </row>
    <row r="464" spans="1:62" x14ac:dyDescent="0.2">
      <c r="A464" s="232" t="s">
        <v>197</v>
      </c>
      <c r="B464" s="232" t="s">
        <v>35</v>
      </c>
      <c r="C464" s="482" t="s">
        <v>110</v>
      </c>
      <c r="D464" s="483" t="s">
        <v>312</v>
      </c>
      <c r="E464" s="405">
        <v>5.2</v>
      </c>
      <c r="F464" s="278">
        <f t="shared" si="181"/>
        <v>3.1034482758620694</v>
      </c>
      <c r="G464" s="405">
        <v>1.8</v>
      </c>
      <c r="H464" s="405">
        <v>2.2000000000000002</v>
      </c>
      <c r="I464" s="405">
        <v>4.0999999999999996</v>
      </c>
      <c r="J464" s="405">
        <v>1</v>
      </c>
      <c r="K464" s="405">
        <v>7</v>
      </c>
      <c r="L464" s="405">
        <v>21</v>
      </c>
      <c r="M464" s="405" t="s">
        <v>104</v>
      </c>
      <c r="N464" s="235">
        <v>37</v>
      </c>
      <c r="O464" s="386">
        <f t="shared" si="170"/>
        <v>38</v>
      </c>
      <c r="P464" s="484" t="s">
        <v>199</v>
      </c>
      <c r="Q464" s="484"/>
      <c r="R464" s="387">
        <v>2</v>
      </c>
      <c r="S464" s="292">
        <v>-0.50900000000000001</v>
      </c>
      <c r="T464" s="301" t="s">
        <v>5</v>
      </c>
      <c r="U464" s="292">
        <v>0.76700000000000002</v>
      </c>
      <c r="V464" s="301" t="s">
        <v>65</v>
      </c>
      <c r="W464" s="301"/>
      <c r="X464" s="301"/>
      <c r="Y464" s="292">
        <v>-0.503</v>
      </c>
      <c r="Z464" s="301" t="s">
        <v>5</v>
      </c>
      <c r="AA464" s="292">
        <v>0.77200000000000002</v>
      </c>
      <c r="AB464" s="301" t="s">
        <v>65</v>
      </c>
      <c r="AC464" s="301"/>
      <c r="AD464" s="301"/>
      <c r="AE464" s="285"/>
      <c r="AF464" s="239">
        <f t="shared" si="171"/>
        <v>3.6109179126442243</v>
      </c>
      <c r="AG464" s="239">
        <f t="shared" si="172"/>
        <v>3.6375861597263857</v>
      </c>
      <c r="AH464" s="240"/>
      <c r="AI464" s="240"/>
      <c r="AK464" s="265">
        <f t="shared" si="173"/>
        <v>74</v>
      </c>
      <c r="AL464" s="265">
        <f t="shared" si="174"/>
        <v>75</v>
      </c>
      <c r="AM464" s="239">
        <f t="shared" si="175"/>
        <v>4.3040650932041702</v>
      </c>
      <c r="AN464" s="239">
        <f t="shared" si="176"/>
        <v>4.3174881135363101</v>
      </c>
      <c r="AO464" s="240"/>
      <c r="AP464" s="240"/>
      <c r="AR464" s="265">
        <f t="shared" si="177"/>
        <v>51.510234088734116</v>
      </c>
      <c r="AS464" s="265">
        <f t="shared" si="178"/>
        <v>53.556347867838021</v>
      </c>
      <c r="AT464" s="239">
        <f t="shared" si="179"/>
        <v>3.9417805080970476</v>
      </c>
      <c r="AU464" s="239">
        <f t="shared" si="180"/>
        <v>3.9807343308176906</v>
      </c>
      <c r="AX464" s="265"/>
      <c r="AY464" s="265"/>
      <c r="AZ464" s="265"/>
      <c r="BA464" s="265"/>
      <c r="BB464" s="239"/>
      <c r="BC464" s="239"/>
      <c r="BD464" s="240"/>
      <c r="BE464" s="240"/>
      <c r="BF464" s="136"/>
      <c r="BG464" s="136"/>
      <c r="BH464" s="136"/>
      <c r="BI464" s="136"/>
    </row>
    <row r="465" spans="1:61" x14ac:dyDescent="0.2">
      <c r="A465" s="232" t="s">
        <v>197</v>
      </c>
      <c r="B465" s="232" t="s">
        <v>35</v>
      </c>
      <c r="C465" s="482" t="s">
        <v>110</v>
      </c>
      <c r="D465" s="483" t="s">
        <v>312</v>
      </c>
      <c r="E465" s="405">
        <v>6.3</v>
      </c>
      <c r="F465" s="278">
        <f t="shared" si="181"/>
        <v>6.2068965517241388</v>
      </c>
      <c r="G465" s="405">
        <v>3.6</v>
      </c>
      <c r="H465" s="289">
        <v>31.4</v>
      </c>
      <c r="I465" s="405">
        <v>30</v>
      </c>
      <c r="J465" s="405">
        <v>1</v>
      </c>
      <c r="K465" s="405">
        <v>7</v>
      </c>
      <c r="L465" s="405">
        <v>21</v>
      </c>
      <c r="M465" s="405" t="s">
        <v>104</v>
      </c>
      <c r="N465" s="235">
        <v>125</v>
      </c>
      <c r="O465" s="386">
        <f t="shared" si="170"/>
        <v>126</v>
      </c>
      <c r="P465" s="484" t="s">
        <v>199</v>
      </c>
      <c r="Q465" s="484"/>
      <c r="R465" s="387">
        <v>2</v>
      </c>
      <c r="S465" s="292">
        <v>-0.50900000000000001</v>
      </c>
      <c r="T465" s="301" t="s">
        <v>5</v>
      </c>
      <c r="U465" s="292">
        <v>0.76700000000000002</v>
      </c>
      <c r="V465" s="301" t="s">
        <v>65</v>
      </c>
      <c r="W465" s="301"/>
      <c r="X465" s="301"/>
      <c r="Y465" s="292">
        <v>-0.503</v>
      </c>
      <c r="Z465" s="301" t="s">
        <v>5</v>
      </c>
      <c r="AA465" s="292">
        <v>0.77200000000000002</v>
      </c>
      <c r="AB465" s="301" t="s">
        <v>65</v>
      </c>
      <c r="AC465" s="301"/>
      <c r="AD465" s="301"/>
      <c r="AE465" s="285"/>
      <c r="AF465" s="239">
        <f t="shared" si="171"/>
        <v>4.8283137373023015</v>
      </c>
      <c r="AG465" s="239">
        <f t="shared" si="172"/>
        <v>4.836281906951478</v>
      </c>
      <c r="AH465" s="240"/>
      <c r="AI465" s="240"/>
      <c r="AK465" s="265">
        <f t="shared" si="173"/>
        <v>250</v>
      </c>
      <c r="AL465" s="265">
        <f t="shared" si="174"/>
        <v>251</v>
      </c>
      <c r="AM465" s="239">
        <f t="shared" si="175"/>
        <v>5.521460917862246</v>
      </c>
      <c r="AN465" s="239">
        <f t="shared" si="176"/>
        <v>5.5254529391317835</v>
      </c>
      <c r="AO465" s="240"/>
      <c r="AP465" s="240"/>
      <c r="AR465" s="265">
        <f t="shared" si="177"/>
        <v>82.223312413457577</v>
      </c>
      <c r="AS465" s="265">
        <f t="shared" si="178"/>
        <v>82.30837606059913</v>
      </c>
      <c r="AT465" s="239">
        <f t="shared" si="179"/>
        <v>4.4094388678566876</v>
      </c>
      <c r="AU465" s="239">
        <f t="shared" si="180"/>
        <v>4.4104728772382167</v>
      </c>
      <c r="AX465" s="265"/>
      <c r="AY465" s="265"/>
      <c r="BA465" s="238"/>
      <c r="BB465" s="238"/>
      <c r="BC465" s="238"/>
      <c r="BD465" s="125"/>
      <c r="BE465" s="125"/>
      <c r="BF465" s="136"/>
      <c r="BG465" s="136"/>
      <c r="BH465" s="136"/>
      <c r="BI465" s="136"/>
    </row>
    <row r="466" spans="1:61" x14ac:dyDescent="0.2">
      <c r="A466" s="232" t="s">
        <v>197</v>
      </c>
      <c r="B466" s="232" t="s">
        <v>35</v>
      </c>
      <c r="C466" s="482" t="s">
        <v>110</v>
      </c>
      <c r="D466" s="483" t="s">
        <v>312</v>
      </c>
      <c r="E466" s="405">
        <v>6.7</v>
      </c>
      <c r="F466" s="278">
        <f t="shared" si="181"/>
        <v>1.5517241379310347</v>
      </c>
      <c r="G466" s="405">
        <v>0.9</v>
      </c>
      <c r="H466" s="405">
        <v>13.3</v>
      </c>
      <c r="I466" s="405">
        <v>12.2</v>
      </c>
      <c r="J466" s="405">
        <v>1</v>
      </c>
      <c r="K466" s="405">
        <v>7</v>
      </c>
      <c r="L466" s="405">
        <v>21</v>
      </c>
      <c r="M466" s="405" t="s">
        <v>104</v>
      </c>
      <c r="N466" s="235">
        <v>33</v>
      </c>
      <c r="O466" s="386">
        <f t="shared" si="170"/>
        <v>34</v>
      </c>
      <c r="P466" s="484" t="s">
        <v>199</v>
      </c>
      <c r="Q466" s="484"/>
      <c r="R466" s="387">
        <v>2</v>
      </c>
      <c r="S466" s="292">
        <v>-0.50900000000000001</v>
      </c>
      <c r="T466" s="301" t="s">
        <v>5</v>
      </c>
      <c r="U466" s="292">
        <v>0.76700000000000002</v>
      </c>
      <c r="V466" s="301" t="s">
        <v>65</v>
      </c>
      <c r="W466" s="301"/>
      <c r="X466" s="301"/>
      <c r="Y466" s="292">
        <v>-0.503</v>
      </c>
      <c r="Z466" s="301" t="s">
        <v>5</v>
      </c>
      <c r="AA466" s="292">
        <v>0.77200000000000002</v>
      </c>
      <c r="AB466" s="301" t="s">
        <v>65</v>
      </c>
      <c r="AC466" s="301"/>
      <c r="AD466" s="301"/>
      <c r="AE466" s="285"/>
      <c r="AF466" s="239">
        <f t="shared" si="171"/>
        <v>3.4965075614664802</v>
      </c>
      <c r="AG466" s="239">
        <f t="shared" si="172"/>
        <v>3.5263605246161616</v>
      </c>
      <c r="AH466" s="240"/>
      <c r="AI466" s="240"/>
      <c r="AK466" s="265">
        <f t="shared" si="173"/>
        <v>66</v>
      </c>
      <c r="AL466" s="265">
        <f t="shared" si="174"/>
        <v>67</v>
      </c>
      <c r="AM466" s="239">
        <f t="shared" si="175"/>
        <v>4.1896547420264252</v>
      </c>
      <c r="AN466" s="239">
        <f t="shared" si="176"/>
        <v>4.2046926193909657</v>
      </c>
      <c r="AO466" s="240"/>
      <c r="AP466" s="240"/>
      <c r="AR466" s="265">
        <f t="shared" si="177"/>
        <v>67.04242686686419</v>
      </c>
      <c r="AS466" s="265">
        <f t="shared" si="178"/>
        <v>67.773721840416556</v>
      </c>
      <c r="AT466" s="239">
        <f t="shared" si="179"/>
        <v>4.2053256558000003</v>
      </c>
      <c r="AU466" s="239">
        <f t="shared" si="180"/>
        <v>4.2161745363417795</v>
      </c>
      <c r="AX466" s="265"/>
      <c r="AY466" s="265"/>
      <c r="BA466" s="238"/>
      <c r="BB466" s="238"/>
      <c r="BC466" s="238"/>
      <c r="BD466" s="125"/>
      <c r="BE466" s="125"/>
      <c r="BF466" s="136"/>
      <c r="BG466" s="136"/>
      <c r="BH466" s="136"/>
      <c r="BI466" s="136"/>
    </row>
    <row r="467" spans="1:61" x14ac:dyDescent="0.2">
      <c r="A467" s="232" t="s">
        <v>197</v>
      </c>
      <c r="B467" s="232" t="s">
        <v>35</v>
      </c>
      <c r="C467" s="482" t="s">
        <v>110</v>
      </c>
      <c r="D467" s="483" t="s">
        <v>312</v>
      </c>
      <c r="E467" s="405">
        <v>7.3</v>
      </c>
      <c r="F467" s="278">
        <f t="shared" si="181"/>
        <v>2.2413793103448278</v>
      </c>
      <c r="G467" s="405">
        <v>1.3</v>
      </c>
      <c r="H467" s="405">
        <v>12.5</v>
      </c>
      <c r="I467" s="405">
        <v>14.3</v>
      </c>
      <c r="J467" s="405">
        <v>1</v>
      </c>
      <c r="K467" s="405">
        <v>7</v>
      </c>
      <c r="L467" s="405">
        <v>21</v>
      </c>
      <c r="M467" s="405" t="s">
        <v>104</v>
      </c>
      <c r="N467" s="235">
        <v>17</v>
      </c>
      <c r="O467" s="386">
        <f t="shared" si="170"/>
        <v>18</v>
      </c>
      <c r="P467" s="484" t="s">
        <v>199</v>
      </c>
      <c r="Q467" s="484"/>
      <c r="R467" s="387">
        <v>2</v>
      </c>
      <c r="S467" s="292">
        <v>-0.50900000000000001</v>
      </c>
      <c r="T467" s="301" t="s">
        <v>5</v>
      </c>
      <c r="U467" s="292">
        <v>0.76700000000000002</v>
      </c>
      <c r="V467" s="301" t="s">
        <v>65</v>
      </c>
      <c r="W467" s="301"/>
      <c r="X467" s="301"/>
      <c r="Y467" s="292">
        <v>-0.503</v>
      </c>
      <c r="Z467" s="301" t="s">
        <v>5</v>
      </c>
      <c r="AA467" s="292">
        <v>0.77200000000000002</v>
      </c>
      <c r="AB467" s="301" t="s">
        <v>65</v>
      </c>
      <c r="AC467" s="301"/>
      <c r="AD467" s="301"/>
      <c r="AE467" s="285"/>
      <c r="AF467" s="239">
        <f t="shared" si="171"/>
        <v>2.8332133440562162</v>
      </c>
      <c r="AG467" s="239">
        <f t="shared" si="172"/>
        <v>2.8903717578961645</v>
      </c>
      <c r="AH467" s="240"/>
      <c r="AI467" s="240"/>
      <c r="AK467" s="265">
        <f t="shared" si="173"/>
        <v>34</v>
      </c>
      <c r="AL467" s="265">
        <f t="shared" si="174"/>
        <v>35</v>
      </c>
      <c r="AM467" s="239">
        <f t="shared" si="175"/>
        <v>3.5263605246161616</v>
      </c>
      <c r="AN467" s="239">
        <f t="shared" si="176"/>
        <v>3.5553480614894135</v>
      </c>
      <c r="AO467" s="240"/>
      <c r="AP467" s="240"/>
      <c r="AR467" s="265">
        <f t="shared" si="177"/>
        <v>73.172675856027496</v>
      </c>
      <c r="AS467" s="265">
        <f t="shared" si="178"/>
        <v>74.413805416256253</v>
      </c>
      <c r="AT467" s="239">
        <f t="shared" si="179"/>
        <v>4.2928220706253377</v>
      </c>
      <c r="AU467" s="239">
        <f t="shared" si="180"/>
        <v>4.3096414812956478</v>
      </c>
      <c r="BA467" s="238"/>
      <c r="BB467" s="238"/>
      <c r="BC467" s="238"/>
      <c r="BD467" s="125"/>
      <c r="BE467" s="125"/>
      <c r="BF467" s="136"/>
      <c r="BG467" s="136"/>
      <c r="BH467" s="136"/>
      <c r="BI467" s="136"/>
    </row>
    <row r="468" spans="1:61" x14ac:dyDescent="0.2">
      <c r="A468" s="232" t="s">
        <v>197</v>
      </c>
      <c r="B468" s="232" t="s">
        <v>35</v>
      </c>
      <c r="C468" s="482" t="s">
        <v>110</v>
      </c>
      <c r="D468" s="483" t="s">
        <v>312</v>
      </c>
      <c r="E468" s="405">
        <v>7.6</v>
      </c>
      <c r="F468" s="278">
        <f t="shared" si="181"/>
        <v>3.6206896551724141</v>
      </c>
      <c r="G468" s="405">
        <v>2.1</v>
      </c>
      <c r="H468" s="405">
        <v>21.2</v>
      </c>
      <c r="I468" s="405">
        <v>24.8</v>
      </c>
      <c r="J468" s="405">
        <v>1</v>
      </c>
      <c r="K468" s="405">
        <v>7</v>
      </c>
      <c r="L468" s="405">
        <v>21</v>
      </c>
      <c r="M468" s="405" t="s">
        <v>104</v>
      </c>
      <c r="N468" s="235">
        <v>4</v>
      </c>
      <c r="O468" s="386">
        <f t="shared" si="170"/>
        <v>5</v>
      </c>
      <c r="P468" s="484" t="s">
        <v>199</v>
      </c>
      <c r="Q468" s="484"/>
      <c r="R468" s="387">
        <v>2</v>
      </c>
      <c r="S468" s="292">
        <v>-0.50900000000000001</v>
      </c>
      <c r="T468" s="301" t="s">
        <v>5</v>
      </c>
      <c r="U468" s="292">
        <v>0.76700000000000002</v>
      </c>
      <c r="V468" s="301" t="s">
        <v>65</v>
      </c>
      <c r="W468" s="301"/>
      <c r="X468" s="301"/>
      <c r="Y468" s="292">
        <v>-0.503</v>
      </c>
      <c r="Z468" s="301" t="s">
        <v>5</v>
      </c>
      <c r="AA468" s="292">
        <v>0.77200000000000002</v>
      </c>
      <c r="AB468" s="301" t="s">
        <v>65</v>
      </c>
      <c r="AC468" s="301"/>
      <c r="AD468" s="301"/>
      <c r="AE468" s="285"/>
      <c r="AF468" s="239">
        <f t="shared" si="171"/>
        <v>1.3862943611198906</v>
      </c>
      <c r="AG468" s="239">
        <f t="shared" si="172"/>
        <v>1.6094379124341003</v>
      </c>
      <c r="AH468" s="240"/>
      <c r="AI468" s="240"/>
      <c r="AK468" s="265">
        <f t="shared" si="173"/>
        <v>8</v>
      </c>
      <c r="AL468" s="265">
        <f t="shared" si="174"/>
        <v>9</v>
      </c>
      <c r="AM468" s="239">
        <f t="shared" si="175"/>
        <v>2.0794415416798357</v>
      </c>
      <c r="AN468" s="239">
        <f t="shared" si="176"/>
        <v>2.1972245773362196</v>
      </c>
      <c r="AO468" s="240"/>
      <c r="AP468" s="240"/>
      <c r="AR468" s="265">
        <f t="shared" si="177"/>
        <v>16.318881232020416</v>
      </c>
      <c r="AS468" s="265">
        <f t="shared" si="178"/>
        <v>18.01404423278797</v>
      </c>
      <c r="AT468" s="239">
        <f t="shared" si="179"/>
        <v>2.7923227952266347</v>
      </c>
      <c r="AU468" s="239">
        <f t="shared" si="180"/>
        <v>2.891151688825838</v>
      </c>
      <c r="BA468" s="238"/>
      <c r="BB468" s="238"/>
      <c r="BC468" s="238"/>
      <c r="BD468" s="125"/>
      <c r="BE468" s="125"/>
      <c r="BF468" s="136"/>
      <c r="BG468" s="136"/>
      <c r="BH468" s="136"/>
      <c r="BI468" s="136"/>
    </row>
    <row r="469" spans="1:61" s="165" customFormat="1" x14ac:dyDescent="0.2">
      <c r="A469" s="156" t="s">
        <v>197</v>
      </c>
      <c r="B469" s="156" t="s">
        <v>35</v>
      </c>
      <c r="C469" s="390" t="s">
        <v>110</v>
      </c>
      <c r="D469" s="364" t="s">
        <v>312</v>
      </c>
      <c r="E469" s="160">
        <v>7.8</v>
      </c>
      <c r="F469" s="159">
        <f t="shared" si="181"/>
        <v>1.3793103448275863</v>
      </c>
      <c r="G469" s="160">
        <v>0.8</v>
      </c>
      <c r="H469" s="160">
        <v>18</v>
      </c>
      <c r="I469" s="160">
        <v>14.1</v>
      </c>
      <c r="J469" s="160">
        <v>1</v>
      </c>
      <c r="K469" s="160">
        <v>7</v>
      </c>
      <c r="L469" s="160">
        <v>21</v>
      </c>
      <c r="M469" s="160" t="s">
        <v>104</v>
      </c>
      <c r="N469" s="231">
        <v>5</v>
      </c>
      <c r="O469" s="396">
        <f t="shared" si="170"/>
        <v>6</v>
      </c>
      <c r="P469" s="485" t="s">
        <v>199</v>
      </c>
      <c r="Q469" s="485"/>
      <c r="R469" s="361">
        <v>2</v>
      </c>
      <c r="S469" s="328">
        <v>-0.50900000000000001</v>
      </c>
      <c r="T469" s="314" t="s">
        <v>5</v>
      </c>
      <c r="U469" s="328">
        <v>0.76700000000000002</v>
      </c>
      <c r="V469" s="314" t="s">
        <v>65</v>
      </c>
      <c r="W469" s="314"/>
      <c r="X469" s="314"/>
      <c r="Y469" s="328">
        <v>-0.503</v>
      </c>
      <c r="Z469" s="314" t="s">
        <v>5</v>
      </c>
      <c r="AA469" s="328">
        <v>0.77200000000000002</v>
      </c>
      <c r="AB469" s="314" t="s">
        <v>65</v>
      </c>
      <c r="AC469" s="314"/>
      <c r="AD469" s="314"/>
      <c r="AE469" s="163"/>
      <c r="AF469" s="166">
        <f t="shared" si="171"/>
        <v>1.6094379124341003</v>
      </c>
      <c r="AG469" s="166">
        <f t="shared" si="172"/>
        <v>1.791759469228055</v>
      </c>
      <c r="AH469" s="169"/>
      <c r="AI469" s="169"/>
      <c r="AK469" s="168">
        <f t="shared" si="173"/>
        <v>10</v>
      </c>
      <c r="AL469" s="168">
        <f t="shared" si="174"/>
        <v>11</v>
      </c>
      <c r="AM469" s="166">
        <f t="shared" si="175"/>
        <v>2.3025850929940459</v>
      </c>
      <c r="AN469" s="166">
        <f t="shared" si="176"/>
        <v>2.3978952727983707</v>
      </c>
      <c r="AO469" s="169"/>
      <c r="AP469" s="169"/>
      <c r="AR469" s="168">
        <f t="shared" si="177"/>
        <v>29.235194571870057</v>
      </c>
      <c r="AS469" s="168">
        <f t="shared" si="178"/>
        <v>31.493600290279137</v>
      </c>
      <c r="AT469" s="166">
        <f t="shared" si="179"/>
        <v>3.3753732770482796</v>
      </c>
      <c r="AU469" s="166">
        <f t="shared" si="180"/>
        <v>3.4497843598027402</v>
      </c>
      <c r="AV469" s="167"/>
      <c r="AW469" s="167"/>
      <c r="BD469" s="167"/>
      <c r="BE469" s="167"/>
    </row>
    <row r="470" spans="1:61" x14ac:dyDescent="0.2">
      <c r="A470" s="232" t="s">
        <v>197</v>
      </c>
      <c r="B470" s="232" t="s">
        <v>35</v>
      </c>
      <c r="C470" s="264" t="s">
        <v>40</v>
      </c>
      <c r="D470" s="483" t="s">
        <v>312</v>
      </c>
      <c r="E470" s="405">
        <v>4.4000000000000004</v>
      </c>
      <c r="F470" s="278">
        <f t="shared" si="181"/>
        <v>52.931034482758626</v>
      </c>
      <c r="G470" s="405">
        <v>30.7</v>
      </c>
      <c r="H470" s="278">
        <v>58.8</v>
      </c>
      <c r="I470" s="405">
        <v>41.7</v>
      </c>
      <c r="J470" s="405">
        <v>3</v>
      </c>
      <c r="K470" s="405">
        <v>7</v>
      </c>
      <c r="L470" s="405">
        <v>21</v>
      </c>
      <c r="M470" s="405" t="s">
        <v>104</v>
      </c>
      <c r="N470" s="235">
        <v>3476</v>
      </c>
      <c r="O470" s="386">
        <f t="shared" si="170"/>
        <v>3479</v>
      </c>
      <c r="P470" s="484" t="s">
        <v>199</v>
      </c>
      <c r="Q470" s="484"/>
      <c r="R470" s="387">
        <v>2</v>
      </c>
      <c r="S470" s="292">
        <v>-0.35</v>
      </c>
      <c r="T470" s="301" t="s">
        <v>5</v>
      </c>
      <c r="U470" s="292">
        <v>0.90400000000000003</v>
      </c>
      <c r="V470" s="301" t="s">
        <v>65</v>
      </c>
      <c r="W470" s="301"/>
      <c r="X470" s="301"/>
      <c r="Y470" s="292">
        <v>-0.34899999999999998</v>
      </c>
      <c r="Z470" s="301" t="s">
        <v>5</v>
      </c>
      <c r="AA470" s="292">
        <v>0.90300000000000002</v>
      </c>
      <c r="AB470" s="301" t="s">
        <v>65</v>
      </c>
      <c r="AC470" s="301"/>
      <c r="AD470" s="301"/>
      <c r="AE470" s="285"/>
      <c r="AF470" s="239">
        <f t="shared" si="171"/>
        <v>8.1536374863852821</v>
      </c>
      <c r="AG470" s="239">
        <f t="shared" si="172"/>
        <v>8.1545001751519415</v>
      </c>
      <c r="AH470" s="240"/>
      <c r="AI470" s="240"/>
      <c r="AK470" s="265">
        <f t="shared" si="173"/>
        <v>6952</v>
      </c>
      <c r="AL470" s="265">
        <f t="shared" si="174"/>
        <v>6955</v>
      </c>
      <c r="AM470" s="239">
        <f t="shared" si="175"/>
        <v>8.8467846669452275</v>
      </c>
      <c r="AN470" s="239">
        <f t="shared" si="176"/>
        <v>8.8472161043575426</v>
      </c>
      <c r="AO470" s="240"/>
      <c r="AP470" s="240"/>
      <c r="AR470" s="265">
        <f t="shared" si="177"/>
        <v>257.98393378397242</v>
      </c>
      <c r="AS470" s="265">
        <f t="shared" si="178"/>
        <v>259.80613900636689</v>
      </c>
      <c r="AT470" s="239">
        <f t="shared" si="179"/>
        <v>5.5528973108274808</v>
      </c>
      <c r="AU470" s="239">
        <f t="shared" si="180"/>
        <v>5.5599357336969932</v>
      </c>
      <c r="AX470" s="265">
        <f>GEOMEAN(AR470:AR479)</f>
        <v>103.82347518405773</v>
      </c>
      <c r="AY470" s="265">
        <f>GEOMEAN(AS470:AS479)</f>
        <v>105.32333818431508</v>
      </c>
      <c r="AZ470" s="265">
        <f>MIN(AX470:AX479)</f>
        <v>103.82347518405773</v>
      </c>
      <c r="BA470" s="265">
        <f>MIN(AY470:AY479)</f>
        <v>105.32333818431508</v>
      </c>
      <c r="BB470" s="239">
        <f>LN(AZ470)</f>
        <v>4.642692103004519</v>
      </c>
      <c r="BC470" s="239">
        <f>LN(BA470)</f>
        <v>4.6570350297611629</v>
      </c>
      <c r="BD470" s="240"/>
      <c r="BE470" s="240"/>
      <c r="BF470" s="136"/>
      <c r="BG470" s="136"/>
      <c r="BH470" s="136"/>
      <c r="BI470" s="136"/>
    </row>
    <row r="471" spans="1:61" x14ac:dyDescent="0.2">
      <c r="A471" s="232" t="s">
        <v>197</v>
      </c>
      <c r="B471" s="232" t="s">
        <v>35</v>
      </c>
      <c r="C471" s="264" t="s">
        <v>40</v>
      </c>
      <c r="D471" s="483" t="s">
        <v>312</v>
      </c>
      <c r="E471" s="405">
        <v>5</v>
      </c>
      <c r="F471" s="278">
        <f t="shared" si="181"/>
        <v>3.4482758620689657</v>
      </c>
      <c r="G471" s="405">
        <v>2</v>
      </c>
      <c r="H471" s="405">
        <v>3.3</v>
      </c>
      <c r="I471" s="405">
        <v>4.2</v>
      </c>
      <c r="J471" s="405">
        <v>1</v>
      </c>
      <c r="K471" s="405">
        <v>7</v>
      </c>
      <c r="L471" s="405">
        <v>21</v>
      </c>
      <c r="M471" s="405" t="s">
        <v>104</v>
      </c>
      <c r="N471" s="235">
        <v>30</v>
      </c>
      <c r="O471" s="386">
        <f t="shared" si="170"/>
        <v>31</v>
      </c>
      <c r="P471" s="484" t="s">
        <v>199</v>
      </c>
      <c r="Q471" s="484"/>
      <c r="R471" s="387">
        <v>2</v>
      </c>
      <c r="S471" s="292">
        <v>-0.35</v>
      </c>
      <c r="T471" s="301" t="s">
        <v>5</v>
      </c>
      <c r="U471" s="292">
        <v>0.90400000000000003</v>
      </c>
      <c r="V471" s="301" t="s">
        <v>65</v>
      </c>
      <c r="W471" s="301"/>
      <c r="X471" s="301"/>
      <c r="Y471" s="292">
        <v>-0.34899999999999998</v>
      </c>
      <c r="Z471" s="301" t="s">
        <v>5</v>
      </c>
      <c r="AA471" s="292">
        <v>0.90300000000000002</v>
      </c>
      <c r="AB471" s="301" t="s">
        <v>65</v>
      </c>
      <c r="AC471" s="301"/>
      <c r="AD471" s="301"/>
      <c r="AE471" s="285"/>
      <c r="AF471" s="239">
        <f t="shared" si="171"/>
        <v>3.4011973816621555</v>
      </c>
      <c r="AG471" s="239">
        <f t="shared" si="172"/>
        <v>3.4339872044851463</v>
      </c>
      <c r="AH471" s="240"/>
      <c r="AI471" s="240"/>
      <c r="AK471" s="265">
        <f t="shared" si="173"/>
        <v>60</v>
      </c>
      <c r="AL471" s="265">
        <f t="shared" si="174"/>
        <v>61</v>
      </c>
      <c r="AM471" s="239">
        <f t="shared" si="175"/>
        <v>4.0943445622221004</v>
      </c>
      <c r="AN471" s="239">
        <f t="shared" si="176"/>
        <v>4.1108738641733114</v>
      </c>
      <c r="AO471" s="240"/>
      <c r="AP471" s="240"/>
      <c r="AR471" s="265">
        <f t="shared" si="177"/>
        <v>48.799418703164825</v>
      </c>
      <c r="AS471" s="265">
        <f t="shared" si="178"/>
        <v>49.729231439097781</v>
      </c>
      <c r="AT471" s="239">
        <f t="shared" si="179"/>
        <v>3.8877184009677621</v>
      </c>
      <c r="AU471" s="239">
        <f t="shared" si="180"/>
        <v>3.9065929179339425</v>
      </c>
      <c r="BA471" s="265"/>
      <c r="BB471" s="238"/>
      <c r="BC471" s="238"/>
      <c r="BD471" s="125"/>
      <c r="BE471" s="125"/>
      <c r="BF471" s="136"/>
      <c r="BG471" s="136"/>
      <c r="BH471" s="136"/>
      <c r="BI471" s="136"/>
    </row>
    <row r="472" spans="1:61" x14ac:dyDescent="0.2">
      <c r="A472" s="232" t="s">
        <v>197</v>
      </c>
      <c r="B472" s="232" t="s">
        <v>35</v>
      </c>
      <c r="C472" s="264" t="s">
        <v>40</v>
      </c>
      <c r="D472" s="483" t="s">
        <v>312</v>
      </c>
      <c r="E472" s="405">
        <v>5.2</v>
      </c>
      <c r="F472" s="278">
        <f t="shared" si="181"/>
        <v>4.8275862068965516</v>
      </c>
      <c r="G472" s="405">
        <v>2.8</v>
      </c>
      <c r="H472" s="405">
        <v>2.2000000000000002</v>
      </c>
      <c r="I472" s="405">
        <v>6.3</v>
      </c>
      <c r="J472" s="405">
        <v>0</v>
      </c>
      <c r="K472" s="405">
        <v>7</v>
      </c>
      <c r="L472" s="405">
        <v>21</v>
      </c>
      <c r="M472" s="405" t="s">
        <v>104</v>
      </c>
      <c r="N472" s="235">
        <v>124</v>
      </c>
      <c r="O472" s="386">
        <f t="shared" si="170"/>
        <v>124</v>
      </c>
      <c r="P472" s="484" t="s">
        <v>199</v>
      </c>
      <c r="Q472" s="484"/>
      <c r="R472" s="387">
        <v>2</v>
      </c>
      <c r="S472" s="292">
        <v>-0.35</v>
      </c>
      <c r="T472" s="301" t="s">
        <v>5</v>
      </c>
      <c r="U472" s="292">
        <v>0.90400000000000003</v>
      </c>
      <c r="V472" s="301" t="s">
        <v>65</v>
      </c>
      <c r="W472" s="301"/>
      <c r="X472" s="301"/>
      <c r="Y472" s="292">
        <v>-0.34899999999999998</v>
      </c>
      <c r="Z472" s="301" t="s">
        <v>5</v>
      </c>
      <c r="AA472" s="292">
        <v>0.90300000000000002</v>
      </c>
      <c r="AB472" s="301" t="s">
        <v>65</v>
      </c>
      <c r="AC472" s="301"/>
      <c r="AD472" s="301"/>
      <c r="AE472" s="285"/>
      <c r="AF472" s="239">
        <f t="shared" si="171"/>
        <v>4.8202815656050371</v>
      </c>
      <c r="AG472" s="239">
        <f t="shared" si="172"/>
        <v>4.8202815656050371</v>
      </c>
      <c r="AH472" s="240"/>
      <c r="AI472" s="240"/>
      <c r="AK472" s="265">
        <f t="shared" si="173"/>
        <v>248</v>
      </c>
      <c r="AL472" s="265">
        <f t="shared" si="174"/>
        <v>248</v>
      </c>
      <c r="AM472" s="239">
        <f t="shared" si="175"/>
        <v>5.5134287461649825</v>
      </c>
      <c r="AN472" s="239">
        <f t="shared" si="176"/>
        <v>5.5134287461649825</v>
      </c>
      <c r="AO472" s="240"/>
      <c r="AP472" s="240"/>
      <c r="AR472" s="265">
        <f t="shared" si="177"/>
        <v>341.90194969193413</v>
      </c>
      <c r="AS472" s="265">
        <f t="shared" si="178"/>
        <v>342.40807654793571</v>
      </c>
      <c r="AT472" s="239">
        <f t="shared" si="179"/>
        <v>5.8345239991500089</v>
      </c>
      <c r="AU472" s="239">
        <f t="shared" si="180"/>
        <v>5.8360032320382711</v>
      </c>
      <c r="BA472" s="238"/>
      <c r="BB472" s="238"/>
      <c r="BC472" s="238"/>
      <c r="BD472" s="125"/>
      <c r="BE472" s="125"/>
      <c r="BF472" s="136"/>
      <c r="BG472" s="136"/>
      <c r="BH472" s="136"/>
      <c r="BI472" s="136"/>
    </row>
    <row r="473" spans="1:61" x14ac:dyDescent="0.2">
      <c r="A473" s="232" t="s">
        <v>197</v>
      </c>
      <c r="B473" s="232" t="s">
        <v>35</v>
      </c>
      <c r="C473" s="264" t="s">
        <v>40</v>
      </c>
      <c r="D473" s="483" t="s">
        <v>312</v>
      </c>
      <c r="E473" s="405">
        <v>5.2</v>
      </c>
      <c r="F473" s="278">
        <f t="shared" si="181"/>
        <v>3.1034482758620694</v>
      </c>
      <c r="G473" s="405">
        <v>1.8</v>
      </c>
      <c r="H473" s="405">
        <v>2.2000000000000002</v>
      </c>
      <c r="I473" s="405">
        <v>4.0999999999999996</v>
      </c>
      <c r="J473" s="405">
        <v>1</v>
      </c>
      <c r="K473" s="405">
        <v>7</v>
      </c>
      <c r="L473" s="405">
        <v>21</v>
      </c>
      <c r="M473" s="405" t="s">
        <v>104</v>
      </c>
      <c r="N473" s="235">
        <v>94</v>
      </c>
      <c r="O473" s="386">
        <f t="shared" si="170"/>
        <v>95</v>
      </c>
      <c r="P473" s="484" t="s">
        <v>199</v>
      </c>
      <c r="Q473" s="484"/>
      <c r="R473" s="387">
        <v>2</v>
      </c>
      <c r="S473" s="292">
        <v>-0.35</v>
      </c>
      <c r="T473" s="301" t="s">
        <v>5</v>
      </c>
      <c r="U473" s="292">
        <v>0.90400000000000003</v>
      </c>
      <c r="V473" s="301" t="s">
        <v>65</v>
      </c>
      <c r="W473" s="301"/>
      <c r="X473" s="301"/>
      <c r="Y473" s="292">
        <v>-0.34899999999999998</v>
      </c>
      <c r="Z473" s="301" t="s">
        <v>5</v>
      </c>
      <c r="AA473" s="292">
        <v>0.90300000000000002</v>
      </c>
      <c r="AB473" s="301" t="s">
        <v>65</v>
      </c>
      <c r="AC473" s="301"/>
      <c r="AD473" s="301"/>
      <c r="AE473" s="285"/>
      <c r="AF473" s="239">
        <f t="shared" si="171"/>
        <v>4.5432947822700038</v>
      </c>
      <c r="AG473" s="239">
        <f t="shared" si="172"/>
        <v>4.5538768916005408</v>
      </c>
      <c r="AH473" s="240"/>
      <c r="AI473" s="240"/>
      <c r="AK473" s="265">
        <f t="shared" si="173"/>
        <v>188</v>
      </c>
      <c r="AL473" s="265">
        <f t="shared" si="174"/>
        <v>189</v>
      </c>
      <c r="AM473" s="239">
        <f t="shared" si="175"/>
        <v>5.2364419628299492</v>
      </c>
      <c r="AN473" s="239">
        <f t="shared" si="176"/>
        <v>5.2417470150596426</v>
      </c>
      <c r="AO473" s="240"/>
      <c r="AP473" s="240"/>
      <c r="AR473" s="265">
        <f t="shared" si="177"/>
        <v>259.18373605678875</v>
      </c>
      <c r="AS473" s="265">
        <f t="shared" si="178"/>
        <v>260.94809059499937</v>
      </c>
      <c r="AT473" s="239">
        <f t="shared" si="179"/>
        <v>5.5575372158149756</v>
      </c>
      <c r="AU473" s="239">
        <f t="shared" si="180"/>
        <v>5.5643215009329312</v>
      </c>
      <c r="BA473" s="238"/>
      <c r="BB473" s="238"/>
      <c r="BC473" s="238"/>
      <c r="BD473" s="125"/>
      <c r="BE473" s="125"/>
      <c r="BF473" s="136"/>
      <c r="BG473" s="136"/>
      <c r="BH473" s="136"/>
      <c r="BI473" s="136"/>
    </row>
    <row r="474" spans="1:61" x14ac:dyDescent="0.2">
      <c r="A474" s="232" t="s">
        <v>197</v>
      </c>
      <c r="B474" s="232" t="s">
        <v>35</v>
      </c>
      <c r="C474" s="264" t="s">
        <v>40</v>
      </c>
      <c r="D474" s="483" t="s">
        <v>312</v>
      </c>
      <c r="E474" s="405">
        <v>6.3</v>
      </c>
      <c r="F474" s="278">
        <f t="shared" si="181"/>
        <v>6.2068965517241388</v>
      </c>
      <c r="G474" s="405">
        <v>3.6</v>
      </c>
      <c r="H474" s="289">
        <v>31.4</v>
      </c>
      <c r="I474" s="405">
        <v>30</v>
      </c>
      <c r="J474" s="405">
        <v>1</v>
      </c>
      <c r="K474" s="405">
        <v>7</v>
      </c>
      <c r="L474" s="405">
        <v>21</v>
      </c>
      <c r="M474" s="405" t="s">
        <v>104</v>
      </c>
      <c r="N474" s="235">
        <v>330</v>
      </c>
      <c r="O474" s="386">
        <f t="shared" si="170"/>
        <v>331</v>
      </c>
      <c r="P474" s="484" t="s">
        <v>199</v>
      </c>
      <c r="Q474" s="484"/>
      <c r="R474" s="387">
        <v>2</v>
      </c>
      <c r="S474" s="292">
        <v>-0.35</v>
      </c>
      <c r="T474" s="301" t="s">
        <v>5</v>
      </c>
      <c r="U474" s="292">
        <v>0.90400000000000003</v>
      </c>
      <c r="V474" s="301" t="s">
        <v>65</v>
      </c>
      <c r="W474" s="301"/>
      <c r="X474" s="301"/>
      <c r="Y474" s="292">
        <v>-0.34899999999999998</v>
      </c>
      <c r="Z474" s="301" t="s">
        <v>5</v>
      </c>
      <c r="AA474" s="292">
        <v>0.90300000000000002</v>
      </c>
      <c r="AB474" s="301" t="s">
        <v>65</v>
      </c>
      <c r="AC474" s="301"/>
      <c r="AD474" s="301"/>
      <c r="AE474" s="285"/>
      <c r="AF474" s="239">
        <f t="shared" si="171"/>
        <v>5.7990926544605257</v>
      </c>
      <c r="AG474" s="239">
        <f t="shared" si="172"/>
        <v>5.8021183753770629</v>
      </c>
      <c r="AH474" s="240"/>
      <c r="AI474" s="240"/>
      <c r="AK474" s="265">
        <f t="shared" si="173"/>
        <v>660</v>
      </c>
      <c r="AL474" s="265">
        <f t="shared" si="174"/>
        <v>661</v>
      </c>
      <c r="AM474" s="239">
        <f t="shared" si="175"/>
        <v>6.4922398350204711</v>
      </c>
      <c r="AN474" s="239">
        <f t="shared" si="176"/>
        <v>6.4937538398516859</v>
      </c>
      <c r="AO474" s="240"/>
      <c r="AP474" s="240"/>
      <c r="AR474" s="265">
        <f t="shared" si="177"/>
        <v>199.67308763774105</v>
      </c>
      <c r="AS474" s="265">
        <f t="shared" si="178"/>
        <v>200.29678908874934</v>
      </c>
      <c r="AT474" s="239">
        <f t="shared" si="179"/>
        <v>5.2966814673830607</v>
      </c>
      <c r="AU474" s="239">
        <f t="shared" si="180"/>
        <v>5.2998002120327952</v>
      </c>
      <c r="BA474" s="238"/>
      <c r="BB474" s="238"/>
      <c r="BC474" s="238"/>
      <c r="BD474" s="125"/>
      <c r="BE474" s="125"/>
      <c r="BF474" s="136"/>
      <c r="BG474" s="136"/>
      <c r="BH474" s="136"/>
      <c r="BI474" s="136"/>
    </row>
    <row r="475" spans="1:61" x14ac:dyDescent="0.2">
      <c r="A475" s="232" t="s">
        <v>197</v>
      </c>
      <c r="B475" s="232" t="s">
        <v>35</v>
      </c>
      <c r="C475" s="264" t="s">
        <v>40</v>
      </c>
      <c r="D475" s="483" t="s">
        <v>312</v>
      </c>
      <c r="E475" s="405">
        <v>6.7</v>
      </c>
      <c r="F475" s="278">
        <f t="shared" si="181"/>
        <v>1.5517241379310347</v>
      </c>
      <c r="G475" s="405">
        <v>0.9</v>
      </c>
      <c r="H475" s="405">
        <v>13.3</v>
      </c>
      <c r="I475" s="405">
        <v>12.2</v>
      </c>
      <c r="J475" s="405">
        <v>1</v>
      </c>
      <c r="K475" s="405">
        <v>7</v>
      </c>
      <c r="L475" s="405">
        <v>21</v>
      </c>
      <c r="M475" s="405" t="s">
        <v>104</v>
      </c>
      <c r="N475" s="235">
        <v>24</v>
      </c>
      <c r="O475" s="386">
        <f t="shared" si="170"/>
        <v>25</v>
      </c>
      <c r="P475" s="484" t="s">
        <v>199</v>
      </c>
      <c r="Q475" s="484"/>
      <c r="R475" s="387">
        <v>2</v>
      </c>
      <c r="S475" s="292">
        <v>-0.35</v>
      </c>
      <c r="T475" s="301" t="s">
        <v>5</v>
      </c>
      <c r="U475" s="292">
        <v>0.90400000000000003</v>
      </c>
      <c r="V475" s="301" t="s">
        <v>65</v>
      </c>
      <c r="W475" s="301"/>
      <c r="X475" s="301"/>
      <c r="Y475" s="292">
        <v>-0.34899999999999998</v>
      </c>
      <c r="Z475" s="301" t="s">
        <v>5</v>
      </c>
      <c r="AA475" s="292">
        <v>0.90300000000000002</v>
      </c>
      <c r="AB475" s="301" t="s">
        <v>65</v>
      </c>
      <c r="AC475" s="301"/>
      <c r="AD475" s="301"/>
      <c r="AE475" s="285"/>
      <c r="AF475" s="239">
        <f t="shared" si="171"/>
        <v>3.1780538303479458</v>
      </c>
      <c r="AG475" s="239">
        <f t="shared" si="172"/>
        <v>3.2188758248682006</v>
      </c>
      <c r="AH475" s="240"/>
      <c r="AI475" s="240"/>
      <c r="AK475" s="265">
        <f t="shared" si="173"/>
        <v>48</v>
      </c>
      <c r="AL475" s="265">
        <f t="shared" si="174"/>
        <v>49</v>
      </c>
      <c r="AM475" s="239">
        <f t="shared" si="175"/>
        <v>3.8712010109078911</v>
      </c>
      <c r="AN475" s="239">
        <f t="shared" si="176"/>
        <v>3.8918202981106265</v>
      </c>
      <c r="AO475" s="240"/>
      <c r="AP475" s="240"/>
      <c r="AR475" s="265">
        <f t="shared" si="177"/>
        <v>43.579210081385718</v>
      </c>
      <c r="AS475" s="265">
        <f t="shared" si="178"/>
        <v>44.479310690876503</v>
      </c>
      <c r="AT475" s="239">
        <f t="shared" si="179"/>
        <v>3.7745802036382434</v>
      </c>
      <c r="AU475" s="239">
        <f t="shared" si="180"/>
        <v>3.7950241527646136</v>
      </c>
      <c r="BA475" s="238"/>
      <c r="BB475" s="238"/>
      <c r="BC475" s="238"/>
      <c r="BD475" s="125"/>
      <c r="BE475" s="125"/>
      <c r="BF475" s="136"/>
      <c r="BG475" s="136"/>
      <c r="BH475" s="136"/>
      <c r="BI475" s="136"/>
    </row>
    <row r="476" spans="1:61" x14ac:dyDescent="0.2">
      <c r="A476" s="232" t="s">
        <v>197</v>
      </c>
      <c r="B476" s="232" t="s">
        <v>35</v>
      </c>
      <c r="C476" s="264" t="s">
        <v>40</v>
      </c>
      <c r="D476" s="483" t="s">
        <v>312</v>
      </c>
      <c r="E476" s="405">
        <v>6.8</v>
      </c>
      <c r="F476" s="278">
        <f t="shared" si="181"/>
        <v>1.0344827586206897</v>
      </c>
      <c r="G476" s="405">
        <v>0.6</v>
      </c>
      <c r="H476" s="405">
        <v>34.700000000000003</v>
      </c>
      <c r="I476" s="405">
        <v>14.2</v>
      </c>
      <c r="J476" s="405">
        <v>2</v>
      </c>
      <c r="K476" s="405">
        <v>7</v>
      </c>
      <c r="L476" s="405">
        <v>21</v>
      </c>
      <c r="M476" s="405" t="s">
        <v>104</v>
      </c>
      <c r="N476" s="235">
        <v>75</v>
      </c>
      <c r="O476" s="386">
        <f t="shared" si="170"/>
        <v>77</v>
      </c>
      <c r="P476" s="484" t="s">
        <v>199</v>
      </c>
      <c r="Q476" s="484"/>
      <c r="R476" s="387">
        <v>2</v>
      </c>
      <c r="S476" s="292">
        <v>-0.35</v>
      </c>
      <c r="T476" s="301" t="s">
        <v>5</v>
      </c>
      <c r="U476" s="292">
        <v>0.90400000000000003</v>
      </c>
      <c r="V476" s="301" t="s">
        <v>65</v>
      </c>
      <c r="W476" s="301"/>
      <c r="X476" s="301"/>
      <c r="Y476" s="292">
        <v>-0.34899999999999998</v>
      </c>
      <c r="Z476" s="301" t="s">
        <v>5</v>
      </c>
      <c r="AA476" s="292">
        <v>0.90300000000000002</v>
      </c>
      <c r="AB476" s="301" t="s">
        <v>65</v>
      </c>
      <c r="AC476" s="301"/>
      <c r="AD476" s="301"/>
      <c r="AE476" s="285"/>
      <c r="AF476" s="239">
        <f t="shared" si="171"/>
        <v>4.3174881135363101</v>
      </c>
      <c r="AG476" s="239">
        <f t="shared" si="172"/>
        <v>4.3438054218536841</v>
      </c>
      <c r="AH476" s="240"/>
      <c r="AI476" s="240"/>
      <c r="AK476" s="265">
        <f t="shared" si="173"/>
        <v>150</v>
      </c>
      <c r="AL476" s="265">
        <f t="shared" si="174"/>
        <v>152</v>
      </c>
      <c r="AM476" s="239">
        <f t="shared" si="175"/>
        <v>5.0106352940962555</v>
      </c>
      <c r="AN476" s="239">
        <f t="shared" si="176"/>
        <v>5.0238805208462765</v>
      </c>
      <c r="AO476" s="240"/>
      <c r="AP476" s="240"/>
      <c r="AR476" s="265">
        <f t="shared" si="177"/>
        <v>62.034518239739917</v>
      </c>
      <c r="AS476" s="265">
        <f t="shared" si="178"/>
        <v>62.896441094872927</v>
      </c>
      <c r="AT476" s="239">
        <f t="shared" si="179"/>
        <v>4.1276909759219045</v>
      </c>
      <c r="AU476" s="239">
        <f t="shared" si="180"/>
        <v>4.1414895817379858</v>
      </c>
      <c r="BA476" s="238"/>
      <c r="BB476" s="238"/>
      <c r="BC476" s="238"/>
      <c r="BD476" s="125"/>
      <c r="BE476" s="125"/>
      <c r="BF476" s="136"/>
      <c r="BG476" s="136"/>
      <c r="BH476" s="136"/>
      <c r="BI476" s="136"/>
    </row>
    <row r="477" spans="1:61" x14ac:dyDescent="0.2">
      <c r="A477" s="232" t="s">
        <v>197</v>
      </c>
      <c r="B477" s="232" t="s">
        <v>35</v>
      </c>
      <c r="C477" s="264" t="s">
        <v>40</v>
      </c>
      <c r="D477" s="483" t="s">
        <v>312</v>
      </c>
      <c r="E477" s="405">
        <v>7.3</v>
      </c>
      <c r="F477" s="278">
        <f t="shared" si="181"/>
        <v>2.2413793103448278</v>
      </c>
      <c r="G477" s="405">
        <v>1.3</v>
      </c>
      <c r="H477" s="405">
        <v>12.5</v>
      </c>
      <c r="I477" s="405">
        <v>14.3</v>
      </c>
      <c r="J477" s="405">
        <v>1</v>
      </c>
      <c r="K477" s="405">
        <v>7</v>
      </c>
      <c r="L477" s="405">
        <v>21</v>
      </c>
      <c r="M477" s="405" t="s">
        <v>104</v>
      </c>
      <c r="N477" s="235">
        <v>42</v>
      </c>
      <c r="O477" s="386">
        <f t="shared" si="170"/>
        <v>43</v>
      </c>
      <c r="P477" s="484" t="s">
        <v>199</v>
      </c>
      <c r="Q477" s="484"/>
      <c r="R477" s="387">
        <v>2</v>
      </c>
      <c r="S477" s="292">
        <v>-0.35</v>
      </c>
      <c r="T477" s="301" t="s">
        <v>5</v>
      </c>
      <c r="U477" s="292">
        <v>0.90400000000000003</v>
      </c>
      <c r="V477" s="301" t="s">
        <v>65</v>
      </c>
      <c r="W477" s="301"/>
      <c r="X477" s="301"/>
      <c r="Y477" s="292">
        <v>-0.34899999999999998</v>
      </c>
      <c r="Z477" s="301" t="s">
        <v>5</v>
      </c>
      <c r="AA477" s="292">
        <v>0.90300000000000002</v>
      </c>
      <c r="AB477" s="301" t="s">
        <v>65</v>
      </c>
      <c r="AC477" s="301"/>
      <c r="AD477" s="301"/>
      <c r="AE477" s="285"/>
      <c r="AF477" s="239">
        <f t="shared" si="171"/>
        <v>3.7376696182833684</v>
      </c>
      <c r="AG477" s="239">
        <f t="shared" si="172"/>
        <v>3.7612001156935624</v>
      </c>
      <c r="AH477" s="240"/>
      <c r="AI477" s="240"/>
      <c r="AK477" s="265">
        <f t="shared" si="173"/>
        <v>84</v>
      </c>
      <c r="AL477" s="265">
        <f t="shared" si="174"/>
        <v>85</v>
      </c>
      <c r="AM477" s="239">
        <f t="shared" si="175"/>
        <v>4.4308167988433134</v>
      </c>
      <c r="AN477" s="239">
        <f t="shared" si="176"/>
        <v>4.4426512564903167</v>
      </c>
      <c r="AO477" s="240"/>
      <c r="AP477" s="240"/>
      <c r="AR477" s="265">
        <f t="shared" si="177"/>
        <v>130.81954500366831</v>
      </c>
      <c r="AS477" s="265">
        <f t="shared" si="178"/>
        <v>132.16278567733389</v>
      </c>
      <c r="AT477" s="239">
        <f t="shared" si="179"/>
        <v>4.8738188544936003</v>
      </c>
      <c r="AU477" s="239">
        <f t="shared" si="180"/>
        <v>4.8840343876175227</v>
      </c>
      <c r="BA477" s="238"/>
      <c r="BB477" s="238"/>
      <c r="BC477" s="238"/>
      <c r="BD477" s="125"/>
      <c r="BE477" s="125"/>
      <c r="BF477" s="136"/>
      <c r="BG477" s="136"/>
      <c r="BH477" s="136"/>
      <c r="BI477" s="136"/>
    </row>
    <row r="478" spans="1:61" x14ac:dyDescent="0.2">
      <c r="A478" s="232" t="s">
        <v>197</v>
      </c>
      <c r="B478" s="232" t="s">
        <v>35</v>
      </c>
      <c r="C478" s="264" t="s">
        <v>40</v>
      </c>
      <c r="D478" s="483" t="s">
        <v>312</v>
      </c>
      <c r="E478" s="405">
        <v>7.6</v>
      </c>
      <c r="F478" s="278">
        <f t="shared" si="181"/>
        <v>3.6206896551724141</v>
      </c>
      <c r="G478" s="405">
        <v>2.1</v>
      </c>
      <c r="H478" s="405">
        <v>21.2</v>
      </c>
      <c r="I478" s="405">
        <v>24.8</v>
      </c>
      <c r="J478" s="405">
        <v>1</v>
      </c>
      <c r="K478" s="405">
        <v>7</v>
      </c>
      <c r="L478" s="405">
        <v>21</v>
      </c>
      <c r="M478" s="405" t="s">
        <v>104</v>
      </c>
      <c r="N478" s="235">
        <v>16</v>
      </c>
      <c r="O478" s="386">
        <f t="shared" si="170"/>
        <v>17</v>
      </c>
      <c r="P478" s="484" t="s">
        <v>199</v>
      </c>
      <c r="Q478" s="484"/>
      <c r="R478" s="387">
        <v>2</v>
      </c>
      <c r="S478" s="292">
        <v>-0.35</v>
      </c>
      <c r="T478" s="301" t="s">
        <v>5</v>
      </c>
      <c r="U478" s="292">
        <v>0.90400000000000003</v>
      </c>
      <c r="V478" s="301" t="s">
        <v>65</v>
      </c>
      <c r="W478" s="301"/>
      <c r="X478" s="301"/>
      <c r="Y478" s="292">
        <v>-0.34899999999999998</v>
      </c>
      <c r="Z478" s="301" t="s">
        <v>5</v>
      </c>
      <c r="AA478" s="292">
        <v>0.90300000000000002</v>
      </c>
      <c r="AB478" s="301" t="s">
        <v>65</v>
      </c>
      <c r="AC478" s="301"/>
      <c r="AD478" s="301"/>
      <c r="AE478" s="285"/>
      <c r="AF478" s="239">
        <f t="shared" si="171"/>
        <v>2.7725887222397811</v>
      </c>
      <c r="AG478" s="239">
        <f t="shared" si="172"/>
        <v>2.8332133440562162</v>
      </c>
      <c r="AH478" s="240"/>
      <c r="AI478" s="240"/>
      <c r="AK478" s="265">
        <f t="shared" si="173"/>
        <v>32</v>
      </c>
      <c r="AL478" s="265">
        <f t="shared" si="174"/>
        <v>33</v>
      </c>
      <c r="AM478" s="239">
        <f t="shared" si="175"/>
        <v>3.4657359027997265</v>
      </c>
      <c r="AN478" s="239">
        <f t="shared" si="176"/>
        <v>3.4965075614664802</v>
      </c>
      <c r="AO478" s="240"/>
      <c r="AP478" s="240"/>
      <c r="AR478" s="265">
        <f t="shared" si="177"/>
        <v>39.367910078413509</v>
      </c>
      <c r="AS478" s="265">
        <f t="shared" si="178"/>
        <v>40.525898974569756</v>
      </c>
      <c r="AT478" s="239">
        <f t="shared" si="179"/>
        <v>3.6729510194321695</v>
      </c>
      <c r="AU478" s="239">
        <f t="shared" si="180"/>
        <v>3.7019412505853135</v>
      </c>
      <c r="BA478" s="238"/>
      <c r="BB478" s="238"/>
      <c r="BC478" s="238"/>
      <c r="BD478" s="125"/>
      <c r="BE478" s="125"/>
      <c r="BF478" s="136"/>
      <c r="BG478" s="136"/>
      <c r="BH478" s="136"/>
      <c r="BI478" s="136"/>
    </row>
    <row r="479" spans="1:61" s="165" customFormat="1" x14ac:dyDescent="0.2">
      <c r="A479" s="156" t="s">
        <v>197</v>
      </c>
      <c r="B479" s="156" t="s">
        <v>35</v>
      </c>
      <c r="C479" s="442" t="s">
        <v>40</v>
      </c>
      <c r="D479" s="364" t="s">
        <v>312</v>
      </c>
      <c r="E479" s="160">
        <v>7.8</v>
      </c>
      <c r="F479" s="159">
        <f t="shared" si="181"/>
        <v>1.3793103448275863</v>
      </c>
      <c r="G479" s="160">
        <v>0.8</v>
      </c>
      <c r="H479" s="160">
        <v>18</v>
      </c>
      <c r="I479" s="160">
        <v>14.1</v>
      </c>
      <c r="J479" s="160">
        <v>1</v>
      </c>
      <c r="K479" s="160">
        <v>7</v>
      </c>
      <c r="L479" s="160">
        <v>21</v>
      </c>
      <c r="M479" s="160" t="s">
        <v>104</v>
      </c>
      <c r="N479" s="231">
        <v>14</v>
      </c>
      <c r="O479" s="396">
        <f t="shared" si="170"/>
        <v>15</v>
      </c>
      <c r="P479" s="485" t="s">
        <v>199</v>
      </c>
      <c r="Q479" s="485"/>
      <c r="R479" s="361">
        <v>2</v>
      </c>
      <c r="S479" s="328">
        <v>-0.35</v>
      </c>
      <c r="T479" s="314" t="s">
        <v>5</v>
      </c>
      <c r="U479" s="328">
        <v>0.90400000000000003</v>
      </c>
      <c r="V479" s="314" t="s">
        <v>65</v>
      </c>
      <c r="W479" s="314"/>
      <c r="X479" s="314"/>
      <c r="Y479" s="328">
        <v>-0.34899999999999998</v>
      </c>
      <c r="Z479" s="314" t="s">
        <v>5</v>
      </c>
      <c r="AA479" s="328">
        <v>0.90300000000000002</v>
      </c>
      <c r="AB479" s="314" t="s">
        <v>65</v>
      </c>
      <c r="AC479" s="314"/>
      <c r="AD479" s="314"/>
      <c r="AE479" s="163"/>
      <c r="AF479" s="166">
        <f t="shared" si="171"/>
        <v>2.6390573296152584</v>
      </c>
      <c r="AG479" s="166">
        <f t="shared" si="172"/>
        <v>2.7080502011022101</v>
      </c>
      <c r="AH479" s="169"/>
      <c r="AI479" s="169"/>
      <c r="AK479" s="168">
        <f t="shared" si="173"/>
        <v>28</v>
      </c>
      <c r="AL479" s="168">
        <f t="shared" si="174"/>
        <v>29</v>
      </c>
      <c r="AM479" s="166">
        <f t="shared" si="175"/>
        <v>3.3322045101752038</v>
      </c>
      <c r="AN479" s="166">
        <f t="shared" si="176"/>
        <v>3.3672958299864741</v>
      </c>
      <c r="AO479" s="169"/>
      <c r="AP479" s="169"/>
      <c r="AR479" s="168">
        <f t="shared" si="177"/>
        <v>46.923639192076187</v>
      </c>
      <c r="AS479" s="168">
        <f t="shared" si="178"/>
        <v>48.482714301995919</v>
      </c>
      <c r="AT479" s="166">
        <f t="shared" si="179"/>
        <v>3.8485215824159789</v>
      </c>
      <c r="AU479" s="166">
        <f t="shared" si="180"/>
        <v>3.8812073282712585</v>
      </c>
      <c r="AV479" s="167"/>
      <c r="AW479" s="167"/>
      <c r="BD479" s="167"/>
      <c r="BE479" s="167"/>
    </row>
    <row r="480" spans="1:61" x14ac:dyDescent="0.2">
      <c r="A480" s="232" t="s">
        <v>197</v>
      </c>
      <c r="B480" s="232" t="s">
        <v>35</v>
      </c>
      <c r="C480" s="264" t="s">
        <v>48</v>
      </c>
      <c r="D480" s="483" t="s">
        <v>312</v>
      </c>
      <c r="E480" s="405">
        <v>4.4000000000000004</v>
      </c>
      <c r="F480" s="278">
        <f t="shared" si="181"/>
        <v>52.931034482758626</v>
      </c>
      <c r="G480" s="405">
        <v>30.7</v>
      </c>
      <c r="H480" s="278">
        <v>58.8</v>
      </c>
      <c r="I480" s="405">
        <v>41.7</v>
      </c>
      <c r="J480" s="405">
        <v>3</v>
      </c>
      <c r="K480" s="405">
        <v>7</v>
      </c>
      <c r="L480" s="405">
        <v>21</v>
      </c>
      <c r="M480" s="405" t="s">
        <v>104</v>
      </c>
      <c r="N480" s="235">
        <v>1575</v>
      </c>
      <c r="O480" s="386">
        <f t="shared" si="170"/>
        <v>1578</v>
      </c>
      <c r="P480" s="484" t="s">
        <v>199</v>
      </c>
      <c r="Q480" s="484"/>
      <c r="R480" s="387">
        <v>2</v>
      </c>
      <c r="S480" s="292">
        <v>-0.45900000000000002</v>
      </c>
      <c r="T480" s="301" t="s">
        <v>5</v>
      </c>
      <c r="U480" s="292">
        <v>0.93</v>
      </c>
      <c r="V480" s="301" t="s">
        <v>65</v>
      </c>
      <c r="W480" s="301"/>
      <c r="X480" s="301"/>
      <c r="Y480" s="292">
        <v>-0.45400000000000001</v>
      </c>
      <c r="Z480" s="301" t="s">
        <v>5</v>
      </c>
      <c r="AA480" s="292">
        <v>0.92800000000000005</v>
      </c>
      <c r="AB480" s="301" t="s">
        <v>65</v>
      </c>
      <c r="AC480" s="301"/>
      <c r="AD480" s="301"/>
      <c r="AE480" s="285"/>
      <c r="AF480" s="239">
        <f t="shared" si="171"/>
        <v>7.3620105512597336</v>
      </c>
      <c r="AG480" s="239">
        <f t="shared" si="172"/>
        <v>7.3639135014058192</v>
      </c>
      <c r="AH480" s="240"/>
      <c r="AI480" s="240"/>
      <c r="AK480" s="265">
        <f t="shared" si="173"/>
        <v>3150</v>
      </c>
      <c r="AL480" s="265">
        <f t="shared" si="174"/>
        <v>3153</v>
      </c>
      <c r="AM480" s="239">
        <f t="shared" si="175"/>
        <v>8.0551577318196781</v>
      </c>
      <c r="AN480" s="239">
        <f t="shared" si="176"/>
        <v>8.0561096595450614</v>
      </c>
      <c r="AO480" s="240"/>
      <c r="AP480" s="240"/>
      <c r="AR480" s="265">
        <f t="shared" si="177"/>
        <v>65.900641249492381</v>
      </c>
      <c r="AS480" s="265">
        <f t="shared" si="178"/>
        <v>67.817505635363972</v>
      </c>
      <c r="AT480" s="239">
        <f t="shared" si="179"/>
        <v>4.1881481721059197</v>
      </c>
      <c r="AU480" s="239">
        <f t="shared" si="180"/>
        <v>4.216820356831561</v>
      </c>
      <c r="AX480" s="265">
        <f>GEOMEAN(AR480:AR488)</f>
        <v>42.846298859118221</v>
      </c>
      <c r="AY480" s="265">
        <f>GEOMEAN(AS480:AS488)</f>
        <v>44.055105487914787</v>
      </c>
      <c r="AZ480" s="265">
        <f>MIN(AX480:AX488)</f>
        <v>42.846298859118221</v>
      </c>
      <c r="BA480" s="265">
        <f>MIN(AY480:AY488)</f>
        <v>44.055105487914787</v>
      </c>
      <c r="BB480" s="239">
        <f>LN(AZ480)</f>
        <v>3.7576192669636765</v>
      </c>
      <c r="BC480" s="239">
        <f>LN(BA480)</f>
        <v>3.7854412477753607</v>
      </c>
      <c r="BD480" s="240"/>
      <c r="BE480" s="240"/>
      <c r="BF480" s="136"/>
      <c r="BG480" s="136"/>
      <c r="BH480" s="136"/>
      <c r="BI480" s="136"/>
    </row>
    <row r="481" spans="1:61" x14ac:dyDescent="0.2">
      <c r="A481" s="232" t="s">
        <v>197</v>
      </c>
      <c r="B481" s="232" t="s">
        <v>35</v>
      </c>
      <c r="C481" s="264" t="s">
        <v>48</v>
      </c>
      <c r="D481" s="483" t="s">
        <v>312</v>
      </c>
      <c r="E481" s="405">
        <v>5</v>
      </c>
      <c r="F481" s="278">
        <f t="shared" si="181"/>
        <v>3.4482758620689657</v>
      </c>
      <c r="G481" s="405">
        <v>2</v>
      </c>
      <c r="H481" s="405">
        <v>3.3</v>
      </c>
      <c r="I481" s="405">
        <v>4.2</v>
      </c>
      <c r="J481" s="405">
        <v>1</v>
      </c>
      <c r="K481" s="405">
        <v>7</v>
      </c>
      <c r="L481" s="405">
        <v>21</v>
      </c>
      <c r="M481" s="405" t="s">
        <v>104</v>
      </c>
      <c r="N481" s="235">
        <v>24</v>
      </c>
      <c r="O481" s="386">
        <f t="shared" si="170"/>
        <v>25</v>
      </c>
      <c r="P481" s="484" t="s">
        <v>199</v>
      </c>
      <c r="Q481" s="484"/>
      <c r="R481" s="387">
        <v>2</v>
      </c>
      <c r="S481" s="292">
        <v>-0.45900000000000002</v>
      </c>
      <c r="T481" s="301" t="s">
        <v>5</v>
      </c>
      <c r="U481" s="292">
        <v>0.93</v>
      </c>
      <c r="V481" s="301" t="s">
        <v>65</v>
      </c>
      <c r="W481" s="301"/>
      <c r="X481" s="301"/>
      <c r="Y481" s="292">
        <v>-0.45400000000000001</v>
      </c>
      <c r="Z481" s="301" t="s">
        <v>5</v>
      </c>
      <c r="AA481" s="292">
        <v>0.92800000000000005</v>
      </c>
      <c r="AB481" s="301" t="s">
        <v>65</v>
      </c>
      <c r="AC481" s="301"/>
      <c r="AD481" s="301"/>
      <c r="AE481" s="285"/>
      <c r="AF481" s="239">
        <f t="shared" si="171"/>
        <v>3.1780538303479458</v>
      </c>
      <c r="AG481" s="239">
        <f t="shared" si="172"/>
        <v>3.2188758248682006</v>
      </c>
      <c r="AH481" s="240"/>
      <c r="AI481" s="240"/>
      <c r="AK481" s="265">
        <f t="shared" si="173"/>
        <v>48</v>
      </c>
      <c r="AL481" s="265">
        <f t="shared" si="174"/>
        <v>49</v>
      </c>
      <c r="AM481" s="239">
        <f t="shared" si="175"/>
        <v>3.8712010109078911</v>
      </c>
      <c r="AN481" s="239">
        <f t="shared" si="176"/>
        <v>3.8918202981106265</v>
      </c>
      <c r="AO481" s="240"/>
      <c r="AP481" s="240"/>
      <c r="AR481" s="265">
        <f t="shared" si="177"/>
        <v>27.575492219439678</v>
      </c>
      <c r="AS481" s="265">
        <f t="shared" si="178"/>
        <v>28.576901891184914</v>
      </c>
      <c r="AT481" s="239">
        <f t="shared" si="179"/>
        <v>3.316927415186588</v>
      </c>
      <c r="AU481" s="239">
        <f t="shared" si="180"/>
        <v>3.3525987653377354</v>
      </c>
      <c r="BA481" s="265"/>
      <c r="BB481" s="238"/>
      <c r="BC481" s="238"/>
      <c r="BD481" s="125"/>
      <c r="BE481" s="125"/>
      <c r="BF481" s="136"/>
      <c r="BG481" s="136"/>
      <c r="BH481" s="136"/>
      <c r="BI481" s="136"/>
    </row>
    <row r="482" spans="1:61" x14ac:dyDescent="0.2">
      <c r="A482" s="232" t="s">
        <v>197</v>
      </c>
      <c r="B482" s="232" t="s">
        <v>35</v>
      </c>
      <c r="C482" s="264" t="s">
        <v>48</v>
      </c>
      <c r="D482" s="483" t="s">
        <v>312</v>
      </c>
      <c r="E482" s="405">
        <v>5.2</v>
      </c>
      <c r="F482" s="278">
        <f t="shared" si="181"/>
        <v>4.8275862068965516</v>
      </c>
      <c r="G482" s="405">
        <v>2.8</v>
      </c>
      <c r="H482" s="405">
        <v>2.2000000000000002</v>
      </c>
      <c r="I482" s="405">
        <v>6.3</v>
      </c>
      <c r="J482" s="405">
        <v>0</v>
      </c>
      <c r="K482" s="405">
        <v>7</v>
      </c>
      <c r="L482" s="405">
        <v>21</v>
      </c>
      <c r="M482" s="405" t="s">
        <v>104</v>
      </c>
      <c r="N482" s="235">
        <v>18</v>
      </c>
      <c r="O482" s="386">
        <f t="shared" si="170"/>
        <v>18</v>
      </c>
      <c r="P482" s="484" t="s">
        <v>199</v>
      </c>
      <c r="Q482" s="484"/>
      <c r="R482" s="387">
        <v>2</v>
      </c>
      <c r="S482" s="292">
        <v>-0.45900000000000002</v>
      </c>
      <c r="T482" s="301" t="s">
        <v>5</v>
      </c>
      <c r="U482" s="292">
        <v>0.93</v>
      </c>
      <c r="V482" s="301" t="s">
        <v>65</v>
      </c>
      <c r="W482" s="301"/>
      <c r="X482" s="301"/>
      <c r="Y482" s="292">
        <v>-0.45400000000000001</v>
      </c>
      <c r="Z482" s="301" t="s">
        <v>5</v>
      </c>
      <c r="AA482" s="292">
        <v>0.92800000000000005</v>
      </c>
      <c r="AB482" s="301" t="s">
        <v>65</v>
      </c>
      <c r="AC482" s="301"/>
      <c r="AD482" s="301"/>
      <c r="AE482" s="285"/>
      <c r="AF482" s="239">
        <f t="shared" si="171"/>
        <v>2.8903717578961645</v>
      </c>
      <c r="AG482" s="239">
        <f t="shared" si="172"/>
        <v>2.8903717578961645</v>
      </c>
      <c r="AH482" s="240"/>
      <c r="AI482" s="240"/>
      <c r="AK482" s="265">
        <f t="shared" si="173"/>
        <v>36</v>
      </c>
      <c r="AL482" s="265">
        <f t="shared" si="174"/>
        <v>36</v>
      </c>
      <c r="AM482" s="239">
        <f t="shared" si="175"/>
        <v>3.5835189384561099</v>
      </c>
      <c r="AN482" s="239">
        <f t="shared" si="176"/>
        <v>3.5835189384561099</v>
      </c>
      <c r="AO482" s="240"/>
      <c r="AP482" s="240"/>
      <c r="AR482" s="265">
        <f t="shared" si="177"/>
        <v>37.251983987337134</v>
      </c>
      <c r="AS482" s="265">
        <f t="shared" si="178"/>
        <v>37.699383911539478</v>
      </c>
      <c r="AT482" s="239">
        <f t="shared" si="179"/>
        <v>3.6177052048122538</v>
      </c>
      <c r="AU482" s="239">
        <f t="shared" si="180"/>
        <v>3.629643752451456</v>
      </c>
      <c r="BA482" s="238"/>
      <c r="BB482" s="238"/>
      <c r="BC482" s="238"/>
      <c r="BD482" s="125"/>
      <c r="BE482" s="125"/>
      <c r="BF482" s="136"/>
      <c r="BG482" s="136"/>
      <c r="BH482" s="136"/>
      <c r="BI482" s="136"/>
    </row>
    <row r="483" spans="1:61" x14ac:dyDescent="0.2">
      <c r="A483" s="232" t="s">
        <v>197</v>
      </c>
      <c r="B483" s="232" t="s">
        <v>35</v>
      </c>
      <c r="C483" s="264" t="s">
        <v>48</v>
      </c>
      <c r="D483" s="483" t="s">
        <v>312</v>
      </c>
      <c r="E483" s="405">
        <v>5.2</v>
      </c>
      <c r="F483" s="278">
        <f t="shared" si="181"/>
        <v>3.1034482758620694</v>
      </c>
      <c r="G483" s="405">
        <v>1.8</v>
      </c>
      <c r="H483" s="405">
        <v>2.2000000000000002</v>
      </c>
      <c r="I483" s="405">
        <v>4.0999999999999996</v>
      </c>
      <c r="J483" s="405">
        <v>1</v>
      </c>
      <c r="K483" s="405">
        <v>7</v>
      </c>
      <c r="L483" s="405">
        <v>21</v>
      </c>
      <c r="M483" s="405" t="s">
        <v>104</v>
      </c>
      <c r="N483" s="235">
        <v>8</v>
      </c>
      <c r="O483" s="386">
        <f t="shared" si="170"/>
        <v>9</v>
      </c>
      <c r="P483" s="484" t="s">
        <v>199</v>
      </c>
      <c r="Q483" s="484"/>
      <c r="R483" s="387">
        <v>2</v>
      </c>
      <c r="S483" s="292">
        <v>-0.45900000000000002</v>
      </c>
      <c r="T483" s="301" t="s">
        <v>5</v>
      </c>
      <c r="U483" s="292">
        <v>0.93</v>
      </c>
      <c r="V483" s="301" t="s">
        <v>65</v>
      </c>
      <c r="W483" s="301"/>
      <c r="X483" s="301"/>
      <c r="Y483" s="292">
        <v>-0.45400000000000001</v>
      </c>
      <c r="Z483" s="301" t="s">
        <v>5</v>
      </c>
      <c r="AA483" s="292">
        <v>0.92800000000000005</v>
      </c>
      <c r="AB483" s="301" t="s">
        <v>65</v>
      </c>
      <c r="AC483" s="301"/>
      <c r="AD483" s="301"/>
      <c r="AE483" s="285"/>
      <c r="AF483" s="239">
        <f t="shared" si="171"/>
        <v>2.0794415416798357</v>
      </c>
      <c r="AG483" s="239">
        <f t="shared" si="172"/>
        <v>2.1972245773362196</v>
      </c>
      <c r="AH483" s="240"/>
      <c r="AI483" s="240"/>
      <c r="AK483" s="265">
        <f t="shared" si="173"/>
        <v>16</v>
      </c>
      <c r="AL483" s="265">
        <f t="shared" si="174"/>
        <v>17</v>
      </c>
      <c r="AM483" s="239">
        <f t="shared" si="175"/>
        <v>2.7725887222397811</v>
      </c>
      <c r="AN483" s="239">
        <f t="shared" si="176"/>
        <v>2.8332133440562162</v>
      </c>
      <c r="AO483" s="240"/>
      <c r="AP483" s="240"/>
      <c r="AR483" s="265">
        <f t="shared" si="177"/>
        <v>16.556437327705392</v>
      </c>
      <c r="AS483" s="265">
        <f t="shared" si="178"/>
        <v>17.802486847115862</v>
      </c>
      <c r="AT483" s="239">
        <f t="shared" si="179"/>
        <v>2.806774988595925</v>
      </c>
      <c r="AU483" s="239">
        <f t="shared" si="180"/>
        <v>2.8793381580515618</v>
      </c>
      <c r="BA483" s="238"/>
      <c r="BB483" s="238"/>
      <c r="BC483" s="238"/>
      <c r="BD483" s="125"/>
      <c r="BE483" s="125"/>
      <c r="BF483" s="136"/>
      <c r="BG483" s="136"/>
      <c r="BH483" s="136"/>
      <c r="BI483" s="136"/>
    </row>
    <row r="484" spans="1:61" x14ac:dyDescent="0.2">
      <c r="A484" s="232" t="s">
        <v>197</v>
      </c>
      <c r="B484" s="232" t="s">
        <v>35</v>
      </c>
      <c r="C484" s="264" t="s">
        <v>48</v>
      </c>
      <c r="D484" s="483" t="s">
        <v>312</v>
      </c>
      <c r="E484" s="405">
        <v>6.3</v>
      </c>
      <c r="F484" s="278">
        <f t="shared" si="181"/>
        <v>6.2068965517241388</v>
      </c>
      <c r="G484" s="405">
        <v>3.6</v>
      </c>
      <c r="H484" s="289">
        <v>31.4</v>
      </c>
      <c r="I484" s="405">
        <v>30</v>
      </c>
      <c r="J484" s="405">
        <v>1</v>
      </c>
      <c r="K484" s="405">
        <v>7</v>
      </c>
      <c r="L484" s="405">
        <v>21</v>
      </c>
      <c r="M484" s="405" t="s">
        <v>104</v>
      </c>
      <c r="N484" s="235">
        <v>105</v>
      </c>
      <c r="O484" s="386">
        <f t="shared" ref="O484:O515" si="182">N484+J484</f>
        <v>106</v>
      </c>
      <c r="P484" s="484" t="s">
        <v>199</v>
      </c>
      <c r="Q484" s="484"/>
      <c r="R484" s="387">
        <v>2</v>
      </c>
      <c r="S484" s="292">
        <v>-0.45900000000000002</v>
      </c>
      <c r="T484" s="301" t="s">
        <v>5</v>
      </c>
      <c r="U484" s="292">
        <v>0.93</v>
      </c>
      <c r="V484" s="301" t="s">
        <v>65</v>
      </c>
      <c r="W484" s="301"/>
      <c r="X484" s="301"/>
      <c r="Y484" s="292">
        <v>-0.45400000000000001</v>
      </c>
      <c r="Z484" s="301" t="s">
        <v>5</v>
      </c>
      <c r="AA484" s="292">
        <v>0.92800000000000005</v>
      </c>
      <c r="AB484" s="301" t="s">
        <v>65</v>
      </c>
      <c r="AC484" s="301"/>
      <c r="AD484" s="301"/>
      <c r="AE484" s="285"/>
      <c r="AF484" s="239">
        <f t="shared" ref="AF484:AF515" si="183">LN(N484)</f>
        <v>4.6539603501575231</v>
      </c>
      <c r="AG484" s="239">
        <f t="shared" ref="AG484:AG515" si="184">LN(O484)</f>
        <v>4.6634390941120669</v>
      </c>
      <c r="AH484" s="240"/>
      <c r="AI484" s="240"/>
      <c r="AK484" s="265">
        <f t="shared" ref="AK484:AK515" si="185">N484*R484</f>
        <v>210</v>
      </c>
      <c r="AL484" s="265">
        <f t="shared" ref="AL484:AL515" si="186">AK484+J484</f>
        <v>211</v>
      </c>
      <c r="AM484" s="239">
        <f t="shared" ref="AM484:AM515" si="187">LN(AK484)</f>
        <v>5.3471075307174685</v>
      </c>
      <c r="AN484" s="239">
        <f t="shared" ref="AN484:AN515" si="188">LN(AL484)</f>
        <v>5.3518581334760666</v>
      </c>
      <c r="AO484" s="240"/>
      <c r="AP484" s="240"/>
      <c r="AR484" s="265">
        <f t="shared" si="177"/>
        <v>58.650905572104058</v>
      </c>
      <c r="AS484" s="265">
        <f t="shared" si="178"/>
        <v>59.201367939331384</v>
      </c>
      <c r="AT484" s="239">
        <f t="shared" ref="AT484:AT515" si="189">LN(AR484)</f>
        <v>4.0716030152548637</v>
      </c>
      <c r="AU484" s="239">
        <f t="shared" ref="AU484:AU515" si="190">LN(AS484)</f>
        <v>4.0809446487062955</v>
      </c>
      <c r="BA484" s="238"/>
      <c r="BB484" s="238"/>
      <c r="BC484" s="238"/>
      <c r="BD484" s="125"/>
      <c r="BE484" s="125"/>
      <c r="BF484" s="136"/>
      <c r="BG484" s="136"/>
      <c r="BH484" s="136"/>
      <c r="BI484" s="136"/>
    </row>
    <row r="485" spans="1:61" x14ac:dyDescent="0.2">
      <c r="A485" s="232" t="s">
        <v>197</v>
      </c>
      <c r="B485" s="232" t="s">
        <v>35</v>
      </c>
      <c r="C485" s="264" t="s">
        <v>48</v>
      </c>
      <c r="D485" s="483" t="s">
        <v>312</v>
      </c>
      <c r="E485" s="405">
        <v>6.7</v>
      </c>
      <c r="F485" s="278">
        <f t="shared" si="181"/>
        <v>1.5517241379310347</v>
      </c>
      <c r="G485" s="405">
        <v>0.9</v>
      </c>
      <c r="H485" s="405">
        <v>13.3</v>
      </c>
      <c r="I485" s="405">
        <v>12.2</v>
      </c>
      <c r="J485" s="405">
        <v>1</v>
      </c>
      <c r="K485" s="405">
        <v>7</v>
      </c>
      <c r="L485" s="405">
        <v>21</v>
      </c>
      <c r="M485" s="405" t="s">
        <v>104</v>
      </c>
      <c r="N485" s="235">
        <v>36</v>
      </c>
      <c r="O485" s="386">
        <f t="shared" si="182"/>
        <v>37</v>
      </c>
      <c r="P485" s="484" t="s">
        <v>199</v>
      </c>
      <c r="Q485" s="484"/>
      <c r="R485" s="387">
        <v>2</v>
      </c>
      <c r="S485" s="292">
        <v>-0.45900000000000002</v>
      </c>
      <c r="T485" s="301" t="s">
        <v>5</v>
      </c>
      <c r="U485" s="292">
        <v>0.93</v>
      </c>
      <c r="V485" s="301" t="s">
        <v>65</v>
      </c>
      <c r="W485" s="301"/>
      <c r="X485" s="301"/>
      <c r="Y485" s="292">
        <v>-0.45400000000000001</v>
      </c>
      <c r="Z485" s="301" t="s">
        <v>5</v>
      </c>
      <c r="AA485" s="292">
        <v>0.92800000000000005</v>
      </c>
      <c r="AB485" s="301" t="s">
        <v>65</v>
      </c>
      <c r="AC485" s="301"/>
      <c r="AD485" s="301"/>
      <c r="AE485" s="285"/>
      <c r="AF485" s="239">
        <f t="shared" si="183"/>
        <v>3.5835189384561099</v>
      </c>
      <c r="AG485" s="239">
        <f t="shared" si="184"/>
        <v>3.6109179126442243</v>
      </c>
      <c r="AH485" s="240"/>
      <c r="AI485" s="240"/>
      <c r="AK485" s="265">
        <f t="shared" si="185"/>
        <v>72</v>
      </c>
      <c r="AL485" s="265">
        <f t="shared" si="186"/>
        <v>73</v>
      </c>
      <c r="AM485" s="239">
        <f t="shared" si="187"/>
        <v>4.2766661190160553</v>
      </c>
      <c r="AN485" s="239">
        <f t="shared" si="188"/>
        <v>4.290459441148391</v>
      </c>
      <c r="AO485" s="240"/>
      <c r="AP485" s="240"/>
      <c r="AR485" s="265">
        <f t="shared" si="177"/>
        <v>68.226088039225729</v>
      </c>
      <c r="AS485" s="265">
        <f t="shared" si="178"/>
        <v>69.053951799289194</v>
      </c>
      <c r="AT485" s="239">
        <f t="shared" si="189"/>
        <v>4.2228270142756026</v>
      </c>
      <c r="AU485" s="239">
        <f t="shared" si="190"/>
        <v>4.2348881091994119</v>
      </c>
      <c r="AX485" s="265"/>
      <c r="AY485" s="265"/>
      <c r="AZ485" s="265"/>
      <c r="BA485" s="265"/>
      <c r="BB485" s="239"/>
      <c r="BC485" s="239"/>
      <c r="BD485" s="240"/>
      <c r="BE485" s="240"/>
      <c r="BF485" s="136"/>
      <c r="BG485" s="136"/>
      <c r="BH485" s="136"/>
      <c r="BI485" s="136"/>
    </row>
    <row r="486" spans="1:61" x14ac:dyDescent="0.2">
      <c r="A486" s="232" t="s">
        <v>197</v>
      </c>
      <c r="B486" s="232" t="s">
        <v>35</v>
      </c>
      <c r="C486" s="264" t="s">
        <v>48</v>
      </c>
      <c r="D486" s="483" t="s">
        <v>312</v>
      </c>
      <c r="E486" s="405">
        <v>6.8</v>
      </c>
      <c r="F486" s="278">
        <f t="shared" si="181"/>
        <v>1.0344827586206897</v>
      </c>
      <c r="G486" s="405">
        <v>0.6</v>
      </c>
      <c r="H486" s="405">
        <v>34.700000000000003</v>
      </c>
      <c r="I486" s="405">
        <v>14.2</v>
      </c>
      <c r="J486" s="405">
        <v>2</v>
      </c>
      <c r="K486" s="405">
        <v>7</v>
      </c>
      <c r="L486" s="405">
        <v>21</v>
      </c>
      <c r="M486" s="405" t="s">
        <v>104</v>
      </c>
      <c r="N486" s="235">
        <v>87</v>
      </c>
      <c r="O486" s="386">
        <f t="shared" si="182"/>
        <v>89</v>
      </c>
      <c r="P486" s="484" t="s">
        <v>199</v>
      </c>
      <c r="Q486" s="484"/>
      <c r="R486" s="387">
        <v>2</v>
      </c>
      <c r="S486" s="292">
        <v>-0.45900000000000002</v>
      </c>
      <c r="T486" s="301" t="s">
        <v>5</v>
      </c>
      <c r="U486" s="292">
        <v>0.93</v>
      </c>
      <c r="V486" s="301" t="s">
        <v>65</v>
      </c>
      <c r="W486" s="301"/>
      <c r="X486" s="301"/>
      <c r="Y486" s="292">
        <v>-0.45400000000000001</v>
      </c>
      <c r="Z486" s="301" t="s">
        <v>5</v>
      </c>
      <c r="AA486" s="292">
        <v>0.92800000000000005</v>
      </c>
      <c r="AB486" s="301" t="s">
        <v>65</v>
      </c>
      <c r="AC486" s="301"/>
      <c r="AD486" s="301"/>
      <c r="AE486" s="285"/>
      <c r="AF486" s="239">
        <f t="shared" si="183"/>
        <v>4.4659081186545837</v>
      </c>
      <c r="AG486" s="239">
        <f t="shared" si="184"/>
        <v>4.4886363697321396</v>
      </c>
      <c r="AH486" s="240"/>
      <c r="AI486" s="240"/>
      <c r="AK486" s="265">
        <f t="shared" si="185"/>
        <v>174</v>
      </c>
      <c r="AL486" s="265">
        <f t="shared" si="186"/>
        <v>176</v>
      </c>
      <c r="AM486" s="239">
        <f t="shared" si="187"/>
        <v>5.1590552992145291</v>
      </c>
      <c r="AN486" s="239">
        <f t="shared" si="188"/>
        <v>5.1704839950381514</v>
      </c>
      <c r="AO486" s="240"/>
      <c r="AP486" s="240"/>
      <c r="AR486" s="265">
        <f t="shared" si="177"/>
        <v>75.117795954303972</v>
      </c>
      <c r="AS486" s="265">
        <f t="shared" si="178"/>
        <v>75.907889236529357</v>
      </c>
      <c r="AT486" s="239">
        <f t="shared" si="189"/>
        <v>4.3190574941381543</v>
      </c>
      <c r="AU486" s="239">
        <f t="shared" si="190"/>
        <v>4.3295206215102038</v>
      </c>
      <c r="AX486" s="265"/>
      <c r="AY486" s="265"/>
      <c r="BA486" s="238"/>
      <c r="BB486" s="238"/>
      <c r="BC486" s="238"/>
      <c r="BD486" s="125"/>
      <c r="BE486" s="125"/>
      <c r="BF486" s="136"/>
      <c r="BG486" s="136"/>
      <c r="BH486" s="136"/>
      <c r="BI486" s="136"/>
    </row>
    <row r="487" spans="1:61" x14ac:dyDescent="0.2">
      <c r="A487" s="232" t="s">
        <v>197</v>
      </c>
      <c r="B487" s="232" t="s">
        <v>35</v>
      </c>
      <c r="C487" s="264" t="s">
        <v>48</v>
      </c>
      <c r="D487" s="483" t="s">
        <v>312</v>
      </c>
      <c r="E487" s="405">
        <v>7.3</v>
      </c>
      <c r="F487" s="278">
        <f t="shared" si="181"/>
        <v>2.2413793103448278</v>
      </c>
      <c r="G487" s="405">
        <v>1.3</v>
      </c>
      <c r="H487" s="405">
        <v>12.5</v>
      </c>
      <c r="I487" s="405">
        <v>14.3</v>
      </c>
      <c r="J487" s="405">
        <v>1</v>
      </c>
      <c r="K487" s="405">
        <v>7</v>
      </c>
      <c r="L487" s="405">
        <v>21</v>
      </c>
      <c r="M487" s="405" t="s">
        <v>104</v>
      </c>
      <c r="N487" s="235">
        <v>12</v>
      </c>
      <c r="O487" s="386">
        <f t="shared" si="182"/>
        <v>13</v>
      </c>
      <c r="P487" s="484" t="s">
        <v>199</v>
      </c>
      <c r="Q487" s="484"/>
      <c r="R487" s="387">
        <v>2</v>
      </c>
      <c r="S487" s="292">
        <v>-0.45900000000000002</v>
      </c>
      <c r="T487" s="301" t="s">
        <v>5</v>
      </c>
      <c r="U487" s="292">
        <v>0.93</v>
      </c>
      <c r="V487" s="301" t="s">
        <v>65</v>
      </c>
      <c r="W487" s="301"/>
      <c r="X487" s="301"/>
      <c r="Y487" s="292">
        <v>-0.45400000000000001</v>
      </c>
      <c r="Z487" s="301" t="s">
        <v>5</v>
      </c>
      <c r="AA487" s="292">
        <v>0.92800000000000005</v>
      </c>
      <c r="AB487" s="301" t="s">
        <v>65</v>
      </c>
      <c r="AC487" s="301"/>
      <c r="AD487" s="301"/>
      <c r="AE487" s="285"/>
      <c r="AF487" s="239">
        <f t="shared" si="183"/>
        <v>2.4849066497880004</v>
      </c>
      <c r="AG487" s="239">
        <f t="shared" si="184"/>
        <v>2.5649493574615367</v>
      </c>
      <c r="AH487" s="240"/>
      <c r="AI487" s="240"/>
      <c r="AK487" s="265">
        <f t="shared" si="185"/>
        <v>24</v>
      </c>
      <c r="AL487" s="265">
        <f t="shared" si="186"/>
        <v>25</v>
      </c>
      <c r="AM487" s="239">
        <f t="shared" si="187"/>
        <v>3.1780538303479458</v>
      </c>
      <c r="AN487" s="239">
        <f t="shared" si="188"/>
        <v>3.2188758248682006</v>
      </c>
      <c r="AO487" s="240"/>
      <c r="AP487" s="240"/>
      <c r="AR487" s="265">
        <f t="shared" si="177"/>
        <v>45.423953396931722</v>
      </c>
      <c r="AS487" s="265">
        <f t="shared" si="178"/>
        <v>46.903744625400904</v>
      </c>
      <c r="AT487" s="239">
        <f t="shared" si="189"/>
        <v>3.8160395737731441</v>
      </c>
      <c r="AU487" s="239">
        <f t="shared" si="190"/>
        <v>3.8480975150240515</v>
      </c>
      <c r="AX487" s="265"/>
      <c r="AY487" s="265"/>
      <c r="BA487" s="238"/>
      <c r="BB487" s="238"/>
      <c r="BC487" s="238"/>
      <c r="BD487" s="125"/>
      <c r="BE487" s="125"/>
      <c r="BF487" s="136"/>
      <c r="BG487" s="136"/>
      <c r="BH487" s="136"/>
      <c r="BI487" s="136"/>
    </row>
    <row r="488" spans="1:61" s="165" customFormat="1" x14ac:dyDescent="0.2">
      <c r="A488" s="156" t="s">
        <v>197</v>
      </c>
      <c r="B488" s="156" t="s">
        <v>35</v>
      </c>
      <c r="C488" s="442" t="s">
        <v>48</v>
      </c>
      <c r="D488" s="364" t="s">
        <v>312</v>
      </c>
      <c r="E488" s="160">
        <v>7.6</v>
      </c>
      <c r="F488" s="159">
        <f t="shared" si="181"/>
        <v>3.6206896551724141</v>
      </c>
      <c r="G488" s="160">
        <v>2.1</v>
      </c>
      <c r="H488" s="160">
        <v>21.2</v>
      </c>
      <c r="I488" s="160">
        <v>24.8</v>
      </c>
      <c r="J488" s="160">
        <v>1</v>
      </c>
      <c r="K488" s="160">
        <v>7</v>
      </c>
      <c r="L488" s="160">
        <v>21</v>
      </c>
      <c r="M488" s="160" t="s">
        <v>104</v>
      </c>
      <c r="N488" s="231">
        <v>10</v>
      </c>
      <c r="O488" s="396">
        <f t="shared" si="182"/>
        <v>11</v>
      </c>
      <c r="P488" s="485" t="s">
        <v>199</v>
      </c>
      <c r="Q488" s="485"/>
      <c r="R488" s="361">
        <v>2</v>
      </c>
      <c r="S488" s="328">
        <v>-0.45900000000000002</v>
      </c>
      <c r="T488" s="314" t="s">
        <v>5</v>
      </c>
      <c r="U488" s="328">
        <v>0.93</v>
      </c>
      <c r="V488" s="314" t="s">
        <v>65</v>
      </c>
      <c r="W488" s="314"/>
      <c r="X488" s="314"/>
      <c r="Y488" s="328">
        <v>-0.45400000000000001</v>
      </c>
      <c r="Z488" s="314" t="s">
        <v>5</v>
      </c>
      <c r="AA488" s="328">
        <v>0.92800000000000005</v>
      </c>
      <c r="AB488" s="314" t="s">
        <v>65</v>
      </c>
      <c r="AC488" s="314"/>
      <c r="AD488" s="314"/>
      <c r="AE488" s="163"/>
      <c r="AF488" s="166">
        <f t="shared" si="183"/>
        <v>2.3025850929940459</v>
      </c>
      <c r="AG488" s="166">
        <f t="shared" si="184"/>
        <v>2.3978952727983707</v>
      </c>
      <c r="AH488" s="169"/>
      <c r="AI488" s="169"/>
      <c r="AK488" s="168">
        <f t="shared" si="185"/>
        <v>20</v>
      </c>
      <c r="AL488" s="168">
        <f t="shared" si="186"/>
        <v>21</v>
      </c>
      <c r="AM488" s="166">
        <f t="shared" si="187"/>
        <v>2.9957322735539909</v>
      </c>
      <c r="AN488" s="166">
        <f t="shared" si="188"/>
        <v>3.044522437723423</v>
      </c>
      <c r="AO488" s="169"/>
      <c r="AP488" s="169"/>
      <c r="AR488" s="168">
        <f t="shared" si="177"/>
        <v>31.800770674213833</v>
      </c>
      <c r="AS488" s="168">
        <f t="shared" si="178"/>
        <v>33.020193642196901</v>
      </c>
      <c r="AT488" s="166">
        <f t="shared" si="189"/>
        <v>3.4594905245306382</v>
      </c>
      <c r="AU488" s="166">
        <f t="shared" si="190"/>
        <v>3.4971193028659706</v>
      </c>
      <c r="AV488" s="167"/>
      <c r="AW488" s="167"/>
      <c r="AX488" s="168"/>
      <c r="AY488" s="168"/>
      <c r="AZ488" s="168"/>
      <c r="BA488" s="168"/>
      <c r="BB488" s="166"/>
      <c r="BC488" s="166"/>
      <c r="BD488" s="169"/>
      <c r="BE488" s="169"/>
    </row>
    <row r="489" spans="1:61" x14ac:dyDescent="0.2">
      <c r="A489" s="232" t="s">
        <v>197</v>
      </c>
      <c r="B489" s="232" t="s">
        <v>35</v>
      </c>
      <c r="C489" s="264" t="s">
        <v>41</v>
      </c>
      <c r="D489" s="483" t="s">
        <v>319</v>
      </c>
      <c r="E489" s="405">
        <v>4.4000000000000004</v>
      </c>
      <c r="F489" s="278">
        <f t="shared" si="181"/>
        <v>52.931034482758626</v>
      </c>
      <c r="G489" s="405">
        <v>30.7</v>
      </c>
      <c r="H489" s="278">
        <v>58.8</v>
      </c>
      <c r="I489" s="405">
        <v>41.7</v>
      </c>
      <c r="J489" s="405">
        <v>3</v>
      </c>
      <c r="K489" s="405">
        <v>7</v>
      </c>
      <c r="L489" s="405">
        <v>4</v>
      </c>
      <c r="M489" s="405" t="s">
        <v>104</v>
      </c>
      <c r="N489" s="235">
        <v>433</v>
      </c>
      <c r="O489" s="386">
        <f t="shared" si="182"/>
        <v>436</v>
      </c>
      <c r="P489" s="484" t="s">
        <v>199</v>
      </c>
      <c r="Q489" s="484"/>
      <c r="R489" s="387">
        <v>2</v>
      </c>
      <c r="S489" s="292">
        <v>-0.28299999999999997</v>
      </c>
      <c r="T489" s="301" t="s">
        <v>5</v>
      </c>
      <c r="U489" s="292">
        <v>0.56100000000000005</v>
      </c>
      <c r="V489" s="301" t="s">
        <v>65</v>
      </c>
      <c r="W489" s="301"/>
      <c r="X489" s="301"/>
      <c r="Y489" s="292">
        <v>-0.28100000000000003</v>
      </c>
      <c r="Z489" s="301" t="s">
        <v>5</v>
      </c>
      <c r="AA489" s="292">
        <v>0.56000000000000005</v>
      </c>
      <c r="AB489" s="301" t="s">
        <v>65</v>
      </c>
      <c r="AC489" s="301"/>
      <c r="AD489" s="301"/>
      <c r="AE489" s="285"/>
      <c r="AF489" s="239">
        <f t="shared" si="183"/>
        <v>6.0707377280024897</v>
      </c>
      <c r="AG489" s="239">
        <f t="shared" si="184"/>
        <v>6.0776422433490342</v>
      </c>
      <c r="AH489" s="240"/>
      <c r="AI489" s="240"/>
      <c r="AK489" s="265">
        <f t="shared" si="185"/>
        <v>866</v>
      </c>
      <c r="AL489" s="265">
        <f t="shared" si="186"/>
        <v>869</v>
      </c>
      <c r="AM489" s="239">
        <f t="shared" si="187"/>
        <v>6.7638849085624351</v>
      </c>
      <c r="AN489" s="239">
        <f t="shared" si="188"/>
        <v>6.7673431252653922</v>
      </c>
      <c r="AO489" s="240"/>
      <c r="AP489" s="240"/>
      <c r="AR489" s="265">
        <f t="shared" si="177"/>
        <v>81.582538032017823</v>
      </c>
      <c r="AS489" s="265">
        <f t="shared" si="178"/>
        <v>82.807271304254968</v>
      </c>
      <c r="AT489" s="239">
        <f t="shared" si="189"/>
        <v>4.4016152443642635</v>
      </c>
      <c r="AU489" s="239">
        <f t="shared" si="190"/>
        <v>4.416515875219706</v>
      </c>
      <c r="AX489" s="265">
        <f>GEOMEAN(AR489:AR496)</f>
        <v>149.19482025070837</v>
      </c>
      <c r="AY489" s="265">
        <f>GEOMEAN(AS489:AS496)</f>
        <v>150.55761851854652</v>
      </c>
      <c r="AZ489" s="265">
        <f>MIN(AX489:AX496)</f>
        <v>149.19482025070837</v>
      </c>
      <c r="BA489" s="265">
        <f>MIN(AY489:AY496)</f>
        <v>150.55761851854652</v>
      </c>
      <c r="BB489" s="239">
        <f>LN(AZ489)</f>
        <v>5.0052529703487094</v>
      </c>
      <c r="BC489" s="239">
        <f>LN(BA489)</f>
        <v>5.0143458582209153</v>
      </c>
      <c r="BD489" s="240"/>
      <c r="BE489" s="240"/>
      <c r="BF489" s="136"/>
      <c r="BG489" s="136"/>
      <c r="BH489" s="136"/>
      <c r="BI489" s="136"/>
    </row>
    <row r="490" spans="1:61" x14ac:dyDescent="0.2">
      <c r="A490" s="232" t="s">
        <v>197</v>
      </c>
      <c r="B490" s="232" t="s">
        <v>35</v>
      </c>
      <c r="C490" s="264" t="s">
        <v>41</v>
      </c>
      <c r="D490" s="483" t="s">
        <v>319</v>
      </c>
      <c r="E490" s="405">
        <v>5.2</v>
      </c>
      <c r="F490" s="278">
        <f t="shared" si="181"/>
        <v>4.8275862068965516</v>
      </c>
      <c r="G490" s="405">
        <v>2.8</v>
      </c>
      <c r="H490" s="405">
        <v>2.2000000000000002</v>
      </c>
      <c r="I490" s="405">
        <v>6.3</v>
      </c>
      <c r="J490" s="405">
        <v>0</v>
      </c>
      <c r="K490" s="405">
        <v>7</v>
      </c>
      <c r="L490" s="405">
        <v>4</v>
      </c>
      <c r="M490" s="405" t="s">
        <v>104</v>
      </c>
      <c r="N490" s="235">
        <v>52</v>
      </c>
      <c r="O490" s="386">
        <f t="shared" si="182"/>
        <v>52</v>
      </c>
      <c r="P490" s="484" t="s">
        <v>199</v>
      </c>
      <c r="Q490" s="484"/>
      <c r="R490" s="387">
        <v>2</v>
      </c>
      <c r="S490" s="292">
        <v>-0.28299999999999997</v>
      </c>
      <c r="T490" s="301" t="s">
        <v>5</v>
      </c>
      <c r="U490" s="292">
        <v>0.56100000000000005</v>
      </c>
      <c r="V490" s="301" t="s">
        <v>65</v>
      </c>
      <c r="W490" s="301"/>
      <c r="X490" s="301"/>
      <c r="Y490" s="292">
        <v>-0.28100000000000003</v>
      </c>
      <c r="Z490" s="301" t="s">
        <v>5</v>
      </c>
      <c r="AA490" s="292">
        <v>0.56000000000000005</v>
      </c>
      <c r="AB490" s="301" t="s">
        <v>65</v>
      </c>
      <c r="AC490" s="301"/>
      <c r="AD490" s="301"/>
      <c r="AE490" s="285"/>
      <c r="AF490" s="239">
        <f t="shared" si="183"/>
        <v>3.9512437185814275</v>
      </c>
      <c r="AG490" s="239">
        <f t="shared" si="184"/>
        <v>3.9512437185814275</v>
      </c>
      <c r="AH490" s="240"/>
      <c r="AI490" s="240"/>
      <c r="AK490" s="265">
        <f t="shared" si="185"/>
        <v>104</v>
      </c>
      <c r="AL490" s="265">
        <f t="shared" si="186"/>
        <v>104</v>
      </c>
      <c r="AM490" s="239">
        <f t="shared" si="187"/>
        <v>4.6443908991413725</v>
      </c>
      <c r="AN490" s="239">
        <f t="shared" si="188"/>
        <v>4.6443908991413725</v>
      </c>
      <c r="AO490" s="240"/>
      <c r="AP490" s="240"/>
      <c r="AR490" s="265">
        <f t="shared" si="177"/>
        <v>104.23995503270601</v>
      </c>
      <c r="AS490" s="265">
        <f t="shared" si="178"/>
        <v>104.70722214797563</v>
      </c>
      <c r="AT490" s="239">
        <f t="shared" si="189"/>
        <v>4.6466955014341673</v>
      </c>
      <c r="AU490" s="239">
        <f t="shared" si="190"/>
        <v>4.6511680949433218</v>
      </c>
      <c r="BA490" s="265"/>
      <c r="BB490" s="238"/>
      <c r="BC490" s="238"/>
      <c r="BD490" s="125"/>
      <c r="BE490" s="125"/>
      <c r="BF490" s="136"/>
      <c r="BG490" s="136"/>
      <c r="BH490" s="136"/>
      <c r="BI490" s="136"/>
    </row>
    <row r="491" spans="1:61" x14ac:dyDescent="0.2">
      <c r="A491" s="232" t="s">
        <v>197</v>
      </c>
      <c r="B491" s="232" t="s">
        <v>35</v>
      </c>
      <c r="C491" s="264" t="s">
        <v>41</v>
      </c>
      <c r="D491" s="483" t="s">
        <v>319</v>
      </c>
      <c r="E491" s="405">
        <v>5.2</v>
      </c>
      <c r="F491" s="278">
        <f t="shared" si="181"/>
        <v>3.1034482758620694</v>
      </c>
      <c r="G491" s="405">
        <v>1.8</v>
      </c>
      <c r="H491" s="405">
        <v>2.2000000000000002</v>
      </c>
      <c r="I491" s="405">
        <v>4.0999999999999996</v>
      </c>
      <c r="J491" s="405">
        <v>1</v>
      </c>
      <c r="K491" s="405">
        <v>7</v>
      </c>
      <c r="L491" s="405">
        <v>4</v>
      </c>
      <c r="M491" s="405" t="s">
        <v>104</v>
      </c>
      <c r="N491" s="235">
        <v>83</v>
      </c>
      <c r="O491" s="386">
        <f t="shared" si="182"/>
        <v>84</v>
      </c>
      <c r="P491" s="484" t="s">
        <v>199</v>
      </c>
      <c r="Q491" s="484"/>
      <c r="R491" s="387">
        <v>2</v>
      </c>
      <c r="S491" s="292">
        <v>-0.28299999999999997</v>
      </c>
      <c r="T491" s="301" t="s">
        <v>5</v>
      </c>
      <c r="U491" s="292">
        <v>0.56100000000000005</v>
      </c>
      <c r="V491" s="301" t="s">
        <v>65</v>
      </c>
      <c r="W491" s="301"/>
      <c r="X491" s="301"/>
      <c r="Y491" s="292">
        <v>-0.28100000000000003</v>
      </c>
      <c r="Z491" s="301" t="s">
        <v>5</v>
      </c>
      <c r="AA491" s="292">
        <v>0.56000000000000005</v>
      </c>
      <c r="AB491" s="301" t="s">
        <v>65</v>
      </c>
      <c r="AC491" s="301"/>
      <c r="AD491" s="301"/>
      <c r="AE491" s="285"/>
      <c r="AF491" s="239">
        <f t="shared" si="183"/>
        <v>4.4188406077965983</v>
      </c>
      <c r="AG491" s="239">
        <f t="shared" si="184"/>
        <v>4.4308167988433134</v>
      </c>
      <c r="AH491" s="240"/>
      <c r="AI491" s="240"/>
      <c r="AK491" s="265">
        <f t="shared" si="185"/>
        <v>166</v>
      </c>
      <c r="AL491" s="265">
        <f t="shared" si="186"/>
        <v>167</v>
      </c>
      <c r="AM491" s="239">
        <f t="shared" si="187"/>
        <v>5.1119877883565437</v>
      </c>
      <c r="AN491" s="239">
        <f t="shared" si="188"/>
        <v>5.1179938124167554</v>
      </c>
      <c r="AO491" s="240"/>
      <c r="AP491" s="240"/>
      <c r="AR491" s="265">
        <f t="shared" si="177"/>
        <v>166.38300514835768</v>
      </c>
      <c r="AS491" s="265">
        <f t="shared" si="178"/>
        <v>168.13563556453781</v>
      </c>
      <c r="AT491" s="239">
        <f t="shared" si="189"/>
        <v>5.1142923906493385</v>
      </c>
      <c r="AU491" s="239">
        <f t="shared" si="190"/>
        <v>5.1247710082187048</v>
      </c>
      <c r="BA491" s="238"/>
      <c r="BB491" s="238"/>
      <c r="BC491" s="238"/>
      <c r="BD491" s="125"/>
      <c r="BE491" s="125"/>
      <c r="BF491" s="136"/>
      <c r="BG491" s="136"/>
      <c r="BH491" s="136"/>
      <c r="BI491" s="136"/>
    </row>
    <row r="492" spans="1:61" x14ac:dyDescent="0.2">
      <c r="A492" s="232" t="s">
        <v>197</v>
      </c>
      <c r="B492" s="232" t="s">
        <v>35</v>
      </c>
      <c r="C492" s="264" t="s">
        <v>41</v>
      </c>
      <c r="D492" s="483" t="s">
        <v>319</v>
      </c>
      <c r="E492" s="405">
        <v>6.3</v>
      </c>
      <c r="F492" s="278">
        <f t="shared" si="181"/>
        <v>6.2068965517241388</v>
      </c>
      <c r="G492" s="405">
        <v>3.6</v>
      </c>
      <c r="H492" s="289">
        <v>31.4</v>
      </c>
      <c r="I492" s="405">
        <v>30</v>
      </c>
      <c r="J492" s="405">
        <v>1</v>
      </c>
      <c r="K492" s="405">
        <v>7</v>
      </c>
      <c r="L492" s="405">
        <v>4</v>
      </c>
      <c r="M492" s="405" t="s">
        <v>104</v>
      </c>
      <c r="N492" s="235">
        <v>344</v>
      </c>
      <c r="O492" s="386">
        <f t="shared" si="182"/>
        <v>345</v>
      </c>
      <c r="P492" s="484" t="s">
        <v>199</v>
      </c>
      <c r="Q492" s="484"/>
      <c r="R492" s="387">
        <v>2</v>
      </c>
      <c r="S492" s="292">
        <v>-0.28299999999999997</v>
      </c>
      <c r="T492" s="301" t="s">
        <v>5</v>
      </c>
      <c r="U492" s="292">
        <v>0.56100000000000005</v>
      </c>
      <c r="V492" s="301" t="s">
        <v>65</v>
      </c>
      <c r="W492" s="301"/>
      <c r="X492" s="301"/>
      <c r="Y492" s="292">
        <v>-0.28100000000000003</v>
      </c>
      <c r="Z492" s="301" t="s">
        <v>5</v>
      </c>
      <c r="AA492" s="292">
        <v>0.56000000000000005</v>
      </c>
      <c r="AB492" s="301" t="s">
        <v>65</v>
      </c>
      <c r="AC492" s="301"/>
      <c r="AD492" s="301"/>
      <c r="AE492" s="285"/>
      <c r="AF492" s="239">
        <f t="shared" si="183"/>
        <v>5.8406416573733981</v>
      </c>
      <c r="AG492" s="239">
        <f t="shared" si="184"/>
        <v>5.8435444170313602</v>
      </c>
      <c r="AH492" s="240"/>
      <c r="AI492" s="240"/>
      <c r="AK492" s="265">
        <f t="shared" si="185"/>
        <v>688</v>
      </c>
      <c r="AL492" s="265">
        <f t="shared" si="186"/>
        <v>689</v>
      </c>
      <c r="AM492" s="239">
        <f t="shared" si="187"/>
        <v>6.5337888379333435</v>
      </c>
      <c r="AN492" s="239">
        <f t="shared" si="188"/>
        <v>6.5352412710136587</v>
      </c>
      <c r="AO492" s="240"/>
      <c r="AP492" s="240"/>
      <c r="AR492" s="265">
        <f t="shared" si="177"/>
        <v>317.84172250940975</v>
      </c>
      <c r="AS492" s="265">
        <f t="shared" si="178"/>
        <v>318.96175994926688</v>
      </c>
      <c r="AT492" s="239">
        <f t="shared" si="189"/>
        <v>5.7615535309146697</v>
      </c>
      <c r="AU492" s="239">
        <f t="shared" si="190"/>
        <v>5.7650712208321018</v>
      </c>
      <c r="BA492" s="238"/>
      <c r="BB492" s="238"/>
      <c r="BC492" s="238"/>
      <c r="BD492" s="125"/>
      <c r="BE492" s="125"/>
      <c r="BF492" s="136"/>
      <c r="BG492" s="136"/>
      <c r="BH492" s="136"/>
      <c r="BI492" s="136"/>
    </row>
    <row r="493" spans="1:61" x14ac:dyDescent="0.2">
      <c r="A493" s="232" t="s">
        <v>197</v>
      </c>
      <c r="B493" s="232" t="s">
        <v>35</v>
      </c>
      <c r="C493" s="264" t="s">
        <v>41</v>
      </c>
      <c r="D493" s="483" t="s">
        <v>319</v>
      </c>
      <c r="E493" s="405">
        <v>6.7</v>
      </c>
      <c r="F493" s="278">
        <f t="shared" si="181"/>
        <v>1.5517241379310347</v>
      </c>
      <c r="G493" s="405">
        <v>0.9</v>
      </c>
      <c r="H493" s="405">
        <v>13.3</v>
      </c>
      <c r="I493" s="405">
        <v>12.2</v>
      </c>
      <c r="J493" s="405">
        <v>1</v>
      </c>
      <c r="K493" s="405">
        <v>7</v>
      </c>
      <c r="L493" s="405">
        <v>4</v>
      </c>
      <c r="M493" s="405" t="s">
        <v>104</v>
      </c>
      <c r="N493" s="235">
        <v>40</v>
      </c>
      <c r="O493" s="386">
        <f t="shared" si="182"/>
        <v>41</v>
      </c>
      <c r="P493" s="484" t="s">
        <v>199</v>
      </c>
      <c r="Q493" s="484"/>
      <c r="R493" s="387">
        <v>2</v>
      </c>
      <c r="S493" s="292">
        <v>-0.28299999999999997</v>
      </c>
      <c r="T493" s="301" t="s">
        <v>5</v>
      </c>
      <c r="U493" s="292">
        <v>0.56100000000000005</v>
      </c>
      <c r="V493" s="301" t="s">
        <v>65</v>
      </c>
      <c r="W493" s="301"/>
      <c r="X493" s="301"/>
      <c r="Y493" s="292">
        <v>-0.28100000000000003</v>
      </c>
      <c r="Z493" s="301" t="s">
        <v>5</v>
      </c>
      <c r="AA493" s="292">
        <v>0.56000000000000005</v>
      </c>
      <c r="AB493" s="301" t="s">
        <v>65</v>
      </c>
      <c r="AC493" s="301"/>
      <c r="AD493" s="301"/>
      <c r="AE493" s="285"/>
      <c r="AF493" s="239">
        <f t="shared" si="183"/>
        <v>3.6888794541139363</v>
      </c>
      <c r="AG493" s="239">
        <f t="shared" si="184"/>
        <v>3.713572066704308</v>
      </c>
      <c r="AH493" s="240"/>
      <c r="AI493" s="240"/>
      <c r="AK493" s="265">
        <f t="shared" si="185"/>
        <v>80</v>
      </c>
      <c r="AL493" s="265">
        <f t="shared" si="186"/>
        <v>81</v>
      </c>
      <c r="AM493" s="239">
        <f t="shared" si="187"/>
        <v>4.3820266346738812</v>
      </c>
      <c r="AN493" s="239">
        <f t="shared" si="188"/>
        <v>4.3944491546724391</v>
      </c>
      <c r="AO493" s="240"/>
      <c r="AP493" s="240"/>
      <c r="AR493" s="265">
        <f t="shared" si="177"/>
        <v>77.662115490376664</v>
      </c>
      <c r="AS493" s="265">
        <f t="shared" si="178"/>
        <v>78.582908701768886</v>
      </c>
      <c r="AT493" s="239">
        <f t="shared" si="189"/>
        <v>4.3523675643442603</v>
      </c>
      <c r="AU493" s="239">
        <f t="shared" si="190"/>
        <v>4.3641542292478528</v>
      </c>
      <c r="BA493" s="238"/>
      <c r="BB493" s="238"/>
      <c r="BC493" s="238"/>
      <c r="BD493" s="125"/>
      <c r="BE493" s="125"/>
      <c r="BF493" s="136"/>
      <c r="BG493" s="136"/>
      <c r="BH493" s="136"/>
      <c r="BI493" s="136"/>
    </row>
    <row r="494" spans="1:61" x14ac:dyDescent="0.2">
      <c r="A494" s="232" t="s">
        <v>197</v>
      </c>
      <c r="B494" s="232" t="s">
        <v>35</v>
      </c>
      <c r="C494" s="264" t="s">
        <v>41</v>
      </c>
      <c r="D494" s="483" t="s">
        <v>319</v>
      </c>
      <c r="E494" s="405">
        <v>6.8</v>
      </c>
      <c r="F494" s="278">
        <f t="shared" si="181"/>
        <v>1.0344827586206897</v>
      </c>
      <c r="G494" s="405">
        <v>0.6</v>
      </c>
      <c r="H494" s="405">
        <v>34.700000000000003</v>
      </c>
      <c r="I494" s="405">
        <v>14.2</v>
      </c>
      <c r="J494" s="405">
        <v>2</v>
      </c>
      <c r="K494" s="405">
        <v>7</v>
      </c>
      <c r="L494" s="405">
        <v>4</v>
      </c>
      <c r="M494" s="405" t="s">
        <v>93</v>
      </c>
      <c r="N494" s="235">
        <v>869</v>
      </c>
      <c r="O494" s="386">
        <f t="shared" si="182"/>
        <v>871</v>
      </c>
      <c r="P494" s="484" t="s">
        <v>199</v>
      </c>
      <c r="Q494" s="484"/>
      <c r="R494" s="387">
        <v>2</v>
      </c>
      <c r="S494" s="292">
        <v>-0.28299999999999997</v>
      </c>
      <c r="T494" s="301" t="s">
        <v>5</v>
      </c>
      <c r="U494" s="292">
        <v>0.56100000000000005</v>
      </c>
      <c r="V494" s="301" t="s">
        <v>65</v>
      </c>
      <c r="W494" s="301"/>
      <c r="X494" s="301"/>
      <c r="Y494" s="292">
        <v>-0.28100000000000003</v>
      </c>
      <c r="Z494" s="301" t="s">
        <v>5</v>
      </c>
      <c r="AA494" s="292">
        <v>0.56000000000000005</v>
      </c>
      <c r="AB494" s="301" t="s">
        <v>65</v>
      </c>
      <c r="AC494" s="301"/>
      <c r="AD494" s="301"/>
      <c r="AE494" s="285"/>
      <c r="AF494" s="239">
        <f t="shared" si="183"/>
        <v>6.7673431252653922</v>
      </c>
      <c r="AG494" s="239">
        <f t="shared" si="184"/>
        <v>6.7696419768525029</v>
      </c>
      <c r="AH494" s="240"/>
      <c r="AI494" s="240"/>
      <c r="AK494" s="265">
        <f t="shared" si="185"/>
        <v>1738</v>
      </c>
      <c r="AL494" s="265">
        <f t="shared" si="186"/>
        <v>1740</v>
      </c>
      <c r="AM494" s="239">
        <f t="shared" si="187"/>
        <v>7.4604903058253376</v>
      </c>
      <c r="AN494" s="239">
        <f t="shared" si="188"/>
        <v>7.461640392208575</v>
      </c>
      <c r="AO494" s="240"/>
      <c r="AP494" s="240"/>
      <c r="AR494" s="265">
        <f t="shared" si="177"/>
        <v>1051.5379155306266</v>
      </c>
      <c r="AS494" s="265">
        <f t="shared" si="178"/>
        <v>1052.6033367592715</v>
      </c>
      <c r="AT494" s="239">
        <f t="shared" si="189"/>
        <v>6.958009053009663</v>
      </c>
      <c r="AU494" s="239">
        <f t="shared" si="190"/>
        <v>6.9590217429310623</v>
      </c>
      <c r="BA494" s="238"/>
      <c r="BB494" s="238"/>
      <c r="BC494" s="238"/>
      <c r="BD494" s="125"/>
      <c r="BE494" s="125"/>
      <c r="BF494" s="136"/>
      <c r="BG494" s="136"/>
      <c r="BH494" s="136"/>
      <c r="BI494" s="136"/>
    </row>
    <row r="495" spans="1:61" x14ac:dyDescent="0.2">
      <c r="A495" s="232" t="s">
        <v>197</v>
      </c>
      <c r="B495" s="232" t="s">
        <v>35</v>
      </c>
      <c r="C495" s="264" t="s">
        <v>41</v>
      </c>
      <c r="D495" s="483" t="s">
        <v>319</v>
      </c>
      <c r="E495" s="405">
        <v>7.3</v>
      </c>
      <c r="F495" s="278">
        <f t="shared" si="181"/>
        <v>2.2413793103448278</v>
      </c>
      <c r="G495" s="405">
        <v>1.3</v>
      </c>
      <c r="H495" s="405">
        <v>12.5</v>
      </c>
      <c r="I495" s="405">
        <v>14.3</v>
      </c>
      <c r="J495" s="405">
        <v>1</v>
      </c>
      <c r="K495" s="405">
        <v>7</v>
      </c>
      <c r="L495" s="405">
        <v>4</v>
      </c>
      <c r="M495" s="405" t="s">
        <v>104</v>
      </c>
      <c r="N495" s="235">
        <v>27</v>
      </c>
      <c r="O495" s="386">
        <f t="shared" si="182"/>
        <v>28</v>
      </c>
      <c r="P495" s="484" t="s">
        <v>199</v>
      </c>
      <c r="Q495" s="484"/>
      <c r="R495" s="387">
        <v>2</v>
      </c>
      <c r="S495" s="292">
        <v>-0.28299999999999997</v>
      </c>
      <c r="T495" s="301" t="s">
        <v>5</v>
      </c>
      <c r="U495" s="292">
        <v>0.56100000000000005</v>
      </c>
      <c r="V495" s="301" t="s">
        <v>65</v>
      </c>
      <c r="W495" s="301"/>
      <c r="X495" s="301"/>
      <c r="Y495" s="292">
        <v>-0.28100000000000003</v>
      </c>
      <c r="Z495" s="301" t="s">
        <v>5</v>
      </c>
      <c r="AA495" s="292">
        <v>0.56000000000000005</v>
      </c>
      <c r="AB495" s="301" t="s">
        <v>65</v>
      </c>
      <c r="AC495" s="301"/>
      <c r="AD495" s="301"/>
      <c r="AE495" s="285"/>
      <c r="AF495" s="239">
        <f t="shared" si="183"/>
        <v>3.2958368660043291</v>
      </c>
      <c r="AG495" s="239">
        <f t="shared" si="184"/>
        <v>3.3322045101752038</v>
      </c>
      <c r="AH495" s="240"/>
      <c r="AI495" s="240"/>
      <c r="AK495" s="265">
        <f t="shared" si="185"/>
        <v>54</v>
      </c>
      <c r="AL495" s="265">
        <f t="shared" si="186"/>
        <v>55</v>
      </c>
      <c r="AM495" s="239">
        <f t="shared" si="187"/>
        <v>3.9889840465642745</v>
      </c>
      <c r="AN495" s="239">
        <f t="shared" si="188"/>
        <v>4.0073331852324712</v>
      </c>
      <c r="AO495" s="240"/>
      <c r="AP495" s="240"/>
      <c r="AR495" s="265">
        <f t="shared" si="177"/>
        <v>80.246711207380741</v>
      </c>
      <c r="AS495" s="265">
        <f t="shared" si="178"/>
        <v>81.450373885152388</v>
      </c>
      <c r="AT495" s="239">
        <f t="shared" si="189"/>
        <v>4.3851057793308543</v>
      </c>
      <c r="AU495" s="239">
        <f t="shared" si="190"/>
        <v>4.3999939254015752</v>
      </c>
      <c r="BA495" s="238"/>
      <c r="BB495" s="238"/>
      <c r="BC495" s="238"/>
      <c r="BD495" s="125"/>
      <c r="BE495" s="125"/>
      <c r="BF495" s="136"/>
      <c r="BG495" s="136"/>
      <c r="BH495" s="136"/>
      <c r="BI495" s="136"/>
    </row>
    <row r="496" spans="1:61" s="422" customFormat="1" ht="13.5" thickBot="1" x14ac:dyDescent="0.25">
      <c r="A496" s="412" t="s">
        <v>197</v>
      </c>
      <c r="B496" s="412" t="s">
        <v>35</v>
      </c>
      <c r="C496" s="486" t="s">
        <v>41</v>
      </c>
      <c r="D496" s="487" t="s">
        <v>319</v>
      </c>
      <c r="E496" s="438">
        <v>7.6</v>
      </c>
      <c r="F496" s="488">
        <f t="shared" si="181"/>
        <v>3.6206896551724141</v>
      </c>
      <c r="G496" s="438">
        <v>2.1</v>
      </c>
      <c r="H496" s="438">
        <v>21.2</v>
      </c>
      <c r="I496" s="438">
        <v>24.8</v>
      </c>
      <c r="J496" s="438">
        <v>1</v>
      </c>
      <c r="K496" s="438">
        <v>7</v>
      </c>
      <c r="L496" s="438">
        <v>4</v>
      </c>
      <c r="M496" s="438" t="s">
        <v>104</v>
      </c>
      <c r="N496" s="345">
        <v>31</v>
      </c>
      <c r="O496" s="417">
        <f t="shared" si="182"/>
        <v>32</v>
      </c>
      <c r="P496" s="489" t="s">
        <v>199</v>
      </c>
      <c r="Q496" s="489"/>
      <c r="R496" s="418">
        <v>2</v>
      </c>
      <c r="S496" s="341">
        <v>-0.28299999999999997</v>
      </c>
      <c r="T496" s="490" t="s">
        <v>5</v>
      </c>
      <c r="U496" s="341">
        <v>0.56100000000000005</v>
      </c>
      <c r="V496" s="490" t="s">
        <v>65</v>
      </c>
      <c r="W496" s="490"/>
      <c r="X496" s="490"/>
      <c r="Y496" s="341">
        <v>-0.28100000000000003</v>
      </c>
      <c r="Z496" s="490" t="s">
        <v>5</v>
      </c>
      <c r="AA496" s="341">
        <v>0.56000000000000005</v>
      </c>
      <c r="AB496" s="490" t="s">
        <v>65</v>
      </c>
      <c r="AC496" s="490"/>
      <c r="AD496" s="490"/>
      <c r="AE496" s="350"/>
      <c r="AF496" s="420">
        <f t="shared" si="183"/>
        <v>3.4339872044851463</v>
      </c>
      <c r="AG496" s="420">
        <f t="shared" si="184"/>
        <v>3.4657359027997265</v>
      </c>
      <c r="AH496" s="421"/>
      <c r="AI496" s="421"/>
      <c r="AK496" s="423">
        <f t="shared" si="185"/>
        <v>62</v>
      </c>
      <c r="AL496" s="423">
        <f t="shared" si="186"/>
        <v>63</v>
      </c>
      <c r="AM496" s="420">
        <f t="shared" si="187"/>
        <v>4.1271343850450917</v>
      </c>
      <c r="AN496" s="420">
        <f t="shared" si="188"/>
        <v>4.1431347263915326</v>
      </c>
      <c r="AO496" s="421"/>
      <c r="AP496" s="421"/>
      <c r="AR496" s="423">
        <f t="shared" si="177"/>
        <v>83.294681428951108</v>
      </c>
      <c r="AS496" s="423">
        <f t="shared" si="178"/>
        <v>84.273778683150567</v>
      </c>
      <c r="AT496" s="420">
        <f t="shared" si="189"/>
        <v>4.4223846987424578</v>
      </c>
      <c r="AU496" s="420">
        <f t="shared" si="190"/>
        <v>4.4340707689729966</v>
      </c>
      <c r="AV496" s="424"/>
      <c r="AW496" s="424"/>
      <c r="BD496" s="424"/>
      <c r="BE496" s="424"/>
    </row>
    <row r="497" spans="1:61" ht="13.5" thickTop="1" x14ac:dyDescent="0.2">
      <c r="A497" s="232" t="s">
        <v>197</v>
      </c>
      <c r="B497" s="232" t="s">
        <v>201</v>
      </c>
      <c r="C497" s="264" t="s">
        <v>202</v>
      </c>
      <c r="D497" s="483" t="s">
        <v>328</v>
      </c>
      <c r="E497" s="405">
        <v>5</v>
      </c>
      <c r="F497" s="278">
        <f t="shared" si="181"/>
        <v>3.4482758620689657</v>
      </c>
      <c r="G497" s="405">
        <v>2</v>
      </c>
      <c r="H497" s="405">
        <v>3.3</v>
      </c>
      <c r="I497" s="405">
        <v>4.2</v>
      </c>
      <c r="J497" s="405">
        <v>1</v>
      </c>
      <c r="K497" s="405">
        <v>7</v>
      </c>
      <c r="L497" s="405">
        <v>28</v>
      </c>
      <c r="M497" s="405" t="s">
        <v>104</v>
      </c>
      <c r="N497" s="235">
        <v>177</v>
      </c>
      <c r="O497" s="386">
        <f t="shared" si="182"/>
        <v>178</v>
      </c>
      <c r="P497" s="484" t="s">
        <v>203</v>
      </c>
      <c r="Q497" s="484"/>
      <c r="R497" s="387">
        <v>2</v>
      </c>
      <c r="S497" s="292">
        <v>0.71799999999999997</v>
      </c>
      <c r="T497" s="301" t="s">
        <v>65</v>
      </c>
      <c r="U497" s="285"/>
      <c r="V497" s="388"/>
      <c r="W497" s="388"/>
      <c r="X497" s="388"/>
      <c r="Y497" s="292">
        <v>0.71699999999999997</v>
      </c>
      <c r="Z497" s="301" t="s">
        <v>65</v>
      </c>
      <c r="AA497" s="292"/>
      <c r="AB497" s="301"/>
      <c r="AC497" s="301"/>
      <c r="AD497" s="301"/>
      <c r="AE497" s="285"/>
      <c r="AF497" s="239">
        <f t="shared" si="183"/>
        <v>5.1761497325738288</v>
      </c>
      <c r="AG497" s="239">
        <f t="shared" si="184"/>
        <v>5.181783550292085</v>
      </c>
      <c r="AH497" s="240"/>
      <c r="AI497" s="240"/>
      <c r="AK497" s="265">
        <f t="shared" si="185"/>
        <v>354</v>
      </c>
      <c r="AL497" s="265">
        <f t="shared" si="186"/>
        <v>355</v>
      </c>
      <c r="AM497" s="239">
        <f t="shared" si="187"/>
        <v>5.8692969131337742</v>
      </c>
      <c r="AN497" s="239">
        <f t="shared" si="188"/>
        <v>5.872117789475416</v>
      </c>
      <c r="AO497" s="240"/>
      <c r="AP497" s="240"/>
      <c r="AR497" s="265">
        <f t="shared" ref="AR497:AR537" si="191">AK497*(clay/$H497)^$S497</f>
        <v>784.71192628049596</v>
      </c>
      <c r="AS497" s="265">
        <f t="shared" ref="AS497:AS537" si="192">AL497*(clay/$H497)^$Y497</f>
        <v>786.05667172192648</v>
      </c>
      <c r="AT497" s="239">
        <f t="shared" si="189"/>
        <v>6.6653166775402912</v>
      </c>
      <c r="AU497" s="239">
        <f t="shared" si="190"/>
        <v>6.6670288912574112</v>
      </c>
      <c r="AX497" s="265">
        <f>GEOMEAN(AR497:AR505)</f>
        <v>935.35431758942627</v>
      </c>
      <c r="AY497" s="265">
        <f>GEOMEAN(AS497:AS505)</f>
        <v>936.16165468062786</v>
      </c>
      <c r="AZ497" s="265">
        <f>MIN(AX497:AX505)</f>
        <v>935.35431758942627</v>
      </c>
      <c r="BA497" s="265">
        <f>MIN(AY497:AY505)</f>
        <v>936.16165468062786</v>
      </c>
      <c r="BB497" s="239">
        <f>LN(AZ497)</f>
        <v>6.8409254067990419</v>
      </c>
      <c r="BC497" s="239">
        <f>LN(BA497)</f>
        <v>6.8417881695574074</v>
      </c>
      <c r="BD497" s="240"/>
      <c r="BE497" s="240"/>
      <c r="BF497" s="136"/>
      <c r="BG497" s="136"/>
      <c r="BH497" s="136"/>
      <c r="BI497" s="136"/>
    </row>
    <row r="498" spans="1:61" x14ac:dyDescent="0.2">
      <c r="A498" s="232" t="s">
        <v>197</v>
      </c>
      <c r="B498" s="232" t="s">
        <v>201</v>
      </c>
      <c r="C498" s="264" t="s">
        <v>202</v>
      </c>
      <c r="D498" s="483" t="s">
        <v>328</v>
      </c>
      <c r="E498" s="405">
        <v>5.2</v>
      </c>
      <c r="F498" s="278">
        <f t="shared" si="181"/>
        <v>4.8275862068965516</v>
      </c>
      <c r="G498" s="405">
        <v>2.8</v>
      </c>
      <c r="H498" s="405">
        <v>2.2000000000000002</v>
      </c>
      <c r="I498" s="405">
        <v>6.3</v>
      </c>
      <c r="J498" s="405">
        <v>0</v>
      </c>
      <c r="K498" s="405">
        <v>7</v>
      </c>
      <c r="L498" s="405">
        <v>28</v>
      </c>
      <c r="M498" s="405" t="s">
        <v>104</v>
      </c>
      <c r="N498" s="235">
        <v>67.2</v>
      </c>
      <c r="O498" s="386">
        <f t="shared" si="182"/>
        <v>67.2</v>
      </c>
      <c r="P498" s="484" t="s">
        <v>203</v>
      </c>
      <c r="Q498" s="484"/>
      <c r="R498" s="387">
        <v>2</v>
      </c>
      <c r="S498" s="282">
        <v>0.71799999999999997</v>
      </c>
      <c r="T498" s="491" t="s">
        <v>65</v>
      </c>
      <c r="U498" s="285"/>
      <c r="V498" s="388"/>
      <c r="W498" s="388"/>
      <c r="X498" s="388"/>
      <c r="Y498" s="292">
        <v>0.71699999999999997</v>
      </c>
      <c r="Z498" s="301" t="s">
        <v>65</v>
      </c>
      <c r="AA498" s="292"/>
      <c r="AB498" s="301"/>
      <c r="AC498" s="301"/>
      <c r="AD498" s="301"/>
      <c r="AE498" s="285"/>
      <c r="AF498" s="239">
        <f t="shared" si="183"/>
        <v>4.2076732475291037</v>
      </c>
      <c r="AG498" s="239">
        <f t="shared" si="184"/>
        <v>4.2076732475291037</v>
      </c>
      <c r="AH498" s="240"/>
      <c r="AI498" s="240"/>
      <c r="AK498" s="265">
        <f t="shared" si="185"/>
        <v>134.4</v>
      </c>
      <c r="AL498" s="265">
        <f t="shared" si="186"/>
        <v>134.4</v>
      </c>
      <c r="AM498" s="239">
        <f t="shared" si="187"/>
        <v>4.9008204280890491</v>
      </c>
      <c r="AN498" s="239">
        <f t="shared" si="188"/>
        <v>4.9008204280890491</v>
      </c>
      <c r="AO498" s="240"/>
      <c r="AP498" s="240"/>
      <c r="AR498" s="265">
        <f t="shared" si="191"/>
        <v>398.60228491668852</v>
      </c>
      <c r="AS498" s="265">
        <f t="shared" si="192"/>
        <v>397.99920682665424</v>
      </c>
      <c r="AT498" s="239">
        <f t="shared" si="189"/>
        <v>5.9879641401172279</v>
      </c>
      <c r="AU498" s="239">
        <f t="shared" si="190"/>
        <v>5.9864500123845978</v>
      </c>
      <c r="BA498" s="238"/>
      <c r="BB498" s="238"/>
      <c r="BC498" s="238"/>
      <c r="BD498" s="125"/>
      <c r="BE498" s="125"/>
      <c r="BF498" s="136"/>
      <c r="BG498" s="136"/>
      <c r="BH498" s="136"/>
      <c r="BI498" s="136"/>
    </row>
    <row r="499" spans="1:61" x14ac:dyDescent="0.2">
      <c r="A499" s="232" t="s">
        <v>197</v>
      </c>
      <c r="B499" s="232" t="s">
        <v>201</v>
      </c>
      <c r="C499" s="264" t="s">
        <v>202</v>
      </c>
      <c r="D499" s="483" t="s">
        <v>328</v>
      </c>
      <c r="E499" s="405">
        <v>5.2</v>
      </c>
      <c r="F499" s="278">
        <f t="shared" si="181"/>
        <v>3.1034482758620694</v>
      </c>
      <c r="G499" s="405">
        <v>1.8</v>
      </c>
      <c r="H499" s="405">
        <v>2.2000000000000002</v>
      </c>
      <c r="I499" s="405">
        <v>4.0999999999999996</v>
      </c>
      <c r="J499" s="405">
        <v>1</v>
      </c>
      <c r="K499" s="405">
        <v>7</v>
      </c>
      <c r="L499" s="405">
        <v>28</v>
      </c>
      <c r="M499" s="405" t="s">
        <v>104</v>
      </c>
      <c r="N499" s="235">
        <v>272</v>
      </c>
      <c r="O499" s="386">
        <f t="shared" si="182"/>
        <v>273</v>
      </c>
      <c r="P499" s="484" t="s">
        <v>203</v>
      </c>
      <c r="Q499" s="484"/>
      <c r="R499" s="387">
        <v>2</v>
      </c>
      <c r="S499" s="282">
        <v>0.71799999999999997</v>
      </c>
      <c r="T499" s="491" t="s">
        <v>65</v>
      </c>
      <c r="U499" s="285"/>
      <c r="V499" s="388"/>
      <c r="W499" s="388"/>
      <c r="X499" s="388"/>
      <c r="Y499" s="292">
        <v>0.71699999999999997</v>
      </c>
      <c r="Z499" s="301" t="s">
        <v>65</v>
      </c>
      <c r="AA499" s="292"/>
      <c r="AB499" s="301"/>
      <c r="AC499" s="301"/>
      <c r="AD499" s="301"/>
      <c r="AE499" s="285"/>
      <c r="AF499" s="239">
        <f t="shared" si="183"/>
        <v>5.6058020662959978</v>
      </c>
      <c r="AG499" s="239">
        <f t="shared" si="184"/>
        <v>5.6094717951849598</v>
      </c>
      <c r="AH499" s="240"/>
      <c r="AI499" s="240"/>
      <c r="AK499" s="265">
        <f t="shared" si="185"/>
        <v>544</v>
      </c>
      <c r="AL499" s="265">
        <f t="shared" si="186"/>
        <v>545</v>
      </c>
      <c r="AM499" s="239">
        <f t="shared" si="187"/>
        <v>6.2989492468559423</v>
      </c>
      <c r="AN499" s="239">
        <f t="shared" si="188"/>
        <v>6.300785794663244</v>
      </c>
      <c r="AO499" s="240"/>
      <c r="AP499" s="240"/>
      <c r="AR499" s="265">
        <f t="shared" si="191"/>
        <v>1613.390200853263</v>
      </c>
      <c r="AS499" s="265">
        <f t="shared" si="192"/>
        <v>1613.9104741110607</v>
      </c>
      <c r="AT499" s="239">
        <f t="shared" si="189"/>
        <v>7.3860929588841211</v>
      </c>
      <c r="AU499" s="239">
        <f t="shared" si="190"/>
        <v>7.3864153789587927</v>
      </c>
      <c r="BA499" s="238"/>
      <c r="BB499" s="238"/>
      <c r="BC499" s="238"/>
      <c r="BD499" s="125"/>
      <c r="BE499" s="125"/>
      <c r="BF499" s="136"/>
      <c r="BG499" s="136"/>
      <c r="BH499" s="136"/>
      <c r="BI499" s="136"/>
    </row>
    <row r="500" spans="1:61" x14ac:dyDescent="0.2">
      <c r="A500" s="232" t="s">
        <v>197</v>
      </c>
      <c r="B500" s="232" t="s">
        <v>201</v>
      </c>
      <c r="C500" s="264" t="s">
        <v>202</v>
      </c>
      <c r="D500" s="483" t="s">
        <v>328</v>
      </c>
      <c r="E500" s="405">
        <v>6.3</v>
      </c>
      <c r="F500" s="278">
        <f t="shared" si="181"/>
        <v>6.2068965517241388</v>
      </c>
      <c r="G500" s="405">
        <v>3.6</v>
      </c>
      <c r="H500" s="289">
        <v>31.4</v>
      </c>
      <c r="I500" s="405">
        <v>30</v>
      </c>
      <c r="J500" s="405">
        <v>1</v>
      </c>
      <c r="K500" s="405">
        <v>7</v>
      </c>
      <c r="L500" s="405">
        <v>28</v>
      </c>
      <c r="M500" s="405" t="s">
        <v>104</v>
      </c>
      <c r="N500" s="235">
        <v>707</v>
      </c>
      <c r="O500" s="386">
        <f t="shared" si="182"/>
        <v>708</v>
      </c>
      <c r="P500" s="484" t="s">
        <v>203</v>
      </c>
      <c r="Q500" s="484"/>
      <c r="R500" s="387">
        <v>2</v>
      </c>
      <c r="S500" s="282">
        <v>0.71799999999999997</v>
      </c>
      <c r="T500" s="491" t="s">
        <v>65</v>
      </c>
      <c r="U500" s="285"/>
      <c r="V500" s="388"/>
      <c r="W500" s="388"/>
      <c r="X500" s="388"/>
      <c r="Y500" s="292">
        <v>0.71699999999999997</v>
      </c>
      <c r="Z500" s="301" t="s">
        <v>65</v>
      </c>
      <c r="AA500" s="292"/>
      <c r="AB500" s="301"/>
      <c r="AC500" s="301"/>
      <c r="AD500" s="301"/>
      <c r="AE500" s="285"/>
      <c r="AF500" s="239">
        <f t="shared" si="183"/>
        <v>6.5610306658965731</v>
      </c>
      <c r="AG500" s="239">
        <f t="shared" si="184"/>
        <v>6.5624440936937196</v>
      </c>
      <c r="AH500" s="240"/>
      <c r="AI500" s="240"/>
      <c r="AK500" s="265">
        <f t="shared" si="185"/>
        <v>1414</v>
      </c>
      <c r="AL500" s="265">
        <f t="shared" si="186"/>
        <v>1415</v>
      </c>
      <c r="AM500" s="239">
        <f t="shared" si="187"/>
        <v>7.2541778464565176</v>
      </c>
      <c r="AN500" s="239">
        <f t="shared" si="188"/>
        <v>7.2548848100773382</v>
      </c>
      <c r="AO500" s="240"/>
      <c r="AP500" s="240"/>
      <c r="AR500" s="265">
        <f t="shared" si="191"/>
        <v>621.80458796150344</v>
      </c>
      <c r="AS500" s="265">
        <f t="shared" si="192"/>
        <v>622.95673025715575</v>
      </c>
      <c r="AT500" s="239">
        <f t="shared" si="189"/>
        <v>6.4326258761138417</v>
      </c>
      <c r="AU500" s="239">
        <f t="shared" si="190"/>
        <v>6.4344770625345822</v>
      </c>
      <c r="BA500" s="238"/>
      <c r="BB500" s="238"/>
      <c r="BC500" s="238"/>
      <c r="BD500" s="125"/>
      <c r="BE500" s="125"/>
      <c r="BF500" s="136"/>
      <c r="BG500" s="136"/>
      <c r="BH500" s="136"/>
      <c r="BI500" s="136"/>
    </row>
    <row r="501" spans="1:61" x14ac:dyDescent="0.2">
      <c r="A501" s="232" t="s">
        <v>197</v>
      </c>
      <c r="B501" s="232" t="s">
        <v>201</v>
      </c>
      <c r="C501" s="264" t="s">
        <v>202</v>
      </c>
      <c r="D501" s="483" t="s">
        <v>328</v>
      </c>
      <c r="E501" s="405">
        <v>6.7</v>
      </c>
      <c r="F501" s="278">
        <f t="shared" si="181"/>
        <v>1.5517241379310347</v>
      </c>
      <c r="G501" s="405">
        <v>0.9</v>
      </c>
      <c r="H501" s="405">
        <v>13.3</v>
      </c>
      <c r="I501" s="405">
        <v>12.2</v>
      </c>
      <c r="J501" s="405">
        <v>1</v>
      </c>
      <c r="K501" s="405">
        <v>7</v>
      </c>
      <c r="L501" s="405">
        <v>28</v>
      </c>
      <c r="M501" s="405" t="s">
        <v>104</v>
      </c>
      <c r="N501" s="235">
        <v>616</v>
      </c>
      <c r="O501" s="386">
        <f t="shared" si="182"/>
        <v>617</v>
      </c>
      <c r="P501" s="484" t="s">
        <v>203</v>
      </c>
      <c r="Q501" s="484"/>
      <c r="R501" s="387">
        <v>2</v>
      </c>
      <c r="S501" s="282">
        <v>0.71799999999999997</v>
      </c>
      <c r="T501" s="491" t="s">
        <v>65</v>
      </c>
      <c r="U501" s="285"/>
      <c r="V501" s="388"/>
      <c r="W501" s="388"/>
      <c r="X501" s="388"/>
      <c r="Y501" s="292">
        <v>0.71699999999999997</v>
      </c>
      <c r="Z501" s="301" t="s">
        <v>65</v>
      </c>
      <c r="AA501" s="292"/>
      <c r="AB501" s="301"/>
      <c r="AC501" s="301"/>
      <c r="AD501" s="301"/>
      <c r="AE501" s="285"/>
      <c r="AF501" s="239">
        <f t="shared" si="183"/>
        <v>6.4232469635335194</v>
      </c>
      <c r="AG501" s="239">
        <f t="shared" si="184"/>
        <v>6.4248690239053881</v>
      </c>
      <c r="AH501" s="240"/>
      <c r="AI501" s="240"/>
      <c r="AK501" s="265">
        <f t="shared" si="185"/>
        <v>1232</v>
      </c>
      <c r="AL501" s="265">
        <f t="shared" si="186"/>
        <v>1233</v>
      </c>
      <c r="AM501" s="239">
        <f t="shared" si="187"/>
        <v>7.1163941440934648</v>
      </c>
      <c r="AN501" s="239">
        <f t="shared" si="188"/>
        <v>7.1172055031643442</v>
      </c>
      <c r="AO501" s="240"/>
      <c r="AP501" s="240"/>
      <c r="AR501" s="265">
        <f t="shared" si="191"/>
        <v>1003.8879230273601</v>
      </c>
      <c r="AS501" s="265">
        <f t="shared" si="192"/>
        <v>1004.9893280517426</v>
      </c>
      <c r="AT501" s="239">
        <f t="shared" si="189"/>
        <v>6.9116356635696956</v>
      </c>
      <c r="AU501" s="239">
        <f t="shared" si="190"/>
        <v>6.9127322015828083</v>
      </c>
      <c r="BA501" s="238"/>
      <c r="BB501" s="238"/>
      <c r="BC501" s="238"/>
      <c r="BD501" s="125"/>
      <c r="BE501" s="125"/>
      <c r="BF501" s="136"/>
      <c r="BG501" s="136"/>
      <c r="BH501" s="136"/>
      <c r="BI501" s="136"/>
    </row>
    <row r="502" spans="1:61" x14ac:dyDescent="0.2">
      <c r="A502" s="232" t="s">
        <v>197</v>
      </c>
      <c r="B502" s="232" t="s">
        <v>201</v>
      </c>
      <c r="C502" s="264" t="s">
        <v>202</v>
      </c>
      <c r="D502" s="483" t="s">
        <v>328</v>
      </c>
      <c r="E502" s="405">
        <v>6.8</v>
      </c>
      <c r="F502" s="278">
        <f t="shared" si="181"/>
        <v>1.0344827586206897</v>
      </c>
      <c r="G502" s="405">
        <v>0.6</v>
      </c>
      <c r="H502" s="405">
        <v>34.700000000000003</v>
      </c>
      <c r="I502" s="405">
        <v>14.2</v>
      </c>
      <c r="J502" s="405">
        <v>2</v>
      </c>
      <c r="K502" s="405">
        <v>7</v>
      </c>
      <c r="L502" s="405">
        <v>28</v>
      </c>
      <c r="M502" s="405" t="s">
        <v>104</v>
      </c>
      <c r="N502" s="235">
        <v>1661</v>
      </c>
      <c r="O502" s="386">
        <f t="shared" si="182"/>
        <v>1663</v>
      </c>
      <c r="P502" s="484" t="s">
        <v>203</v>
      </c>
      <c r="Q502" s="484"/>
      <c r="R502" s="387">
        <v>2</v>
      </c>
      <c r="S502" s="282">
        <v>0.71799999999999997</v>
      </c>
      <c r="T502" s="491" t="s">
        <v>65</v>
      </c>
      <c r="U502" s="285"/>
      <c r="V502" s="388"/>
      <c r="W502" s="388"/>
      <c r="X502" s="388"/>
      <c r="Y502" s="292">
        <v>0.71699999999999997</v>
      </c>
      <c r="Z502" s="301" t="s">
        <v>65</v>
      </c>
      <c r="AA502" s="292"/>
      <c r="AB502" s="301"/>
      <c r="AC502" s="301"/>
      <c r="AD502" s="301"/>
      <c r="AE502" s="285"/>
      <c r="AF502" s="239">
        <f t="shared" si="183"/>
        <v>7.415175109613295</v>
      </c>
      <c r="AG502" s="239">
        <f t="shared" si="184"/>
        <v>7.4163784791929279</v>
      </c>
      <c r="AH502" s="240"/>
      <c r="AI502" s="240"/>
      <c r="AK502" s="265">
        <f t="shared" si="185"/>
        <v>3322</v>
      </c>
      <c r="AL502" s="265">
        <f t="shared" si="186"/>
        <v>3324</v>
      </c>
      <c r="AM502" s="239">
        <f t="shared" si="187"/>
        <v>8.1083222901732395</v>
      </c>
      <c r="AN502" s="239">
        <f t="shared" si="188"/>
        <v>8.1089241559753393</v>
      </c>
      <c r="AO502" s="240"/>
      <c r="AP502" s="240"/>
      <c r="AR502" s="265">
        <f t="shared" si="191"/>
        <v>1359.6998987692575</v>
      </c>
      <c r="AS502" s="265">
        <f t="shared" si="192"/>
        <v>1362.2122507279173</v>
      </c>
      <c r="AT502" s="239">
        <f t="shared" si="189"/>
        <v>7.2150192917108456</v>
      </c>
      <c r="AU502" s="239">
        <f t="shared" si="190"/>
        <v>7.2168653121069024</v>
      </c>
      <c r="BA502" s="238"/>
      <c r="BB502" s="238"/>
      <c r="BC502" s="238"/>
      <c r="BD502" s="125"/>
      <c r="BE502" s="125"/>
      <c r="BF502" s="136"/>
      <c r="BG502" s="136"/>
      <c r="BH502" s="136"/>
      <c r="BI502" s="136"/>
    </row>
    <row r="503" spans="1:61" x14ac:dyDescent="0.2">
      <c r="A503" s="232" t="s">
        <v>197</v>
      </c>
      <c r="B503" s="232" t="s">
        <v>201</v>
      </c>
      <c r="C503" s="264" t="s">
        <v>202</v>
      </c>
      <c r="D503" s="483" t="s">
        <v>328</v>
      </c>
      <c r="E503" s="405">
        <v>7.3</v>
      </c>
      <c r="F503" s="278">
        <f t="shared" si="181"/>
        <v>2.2413793103448278</v>
      </c>
      <c r="G503" s="405">
        <v>1.3</v>
      </c>
      <c r="H503" s="405">
        <v>12.5</v>
      </c>
      <c r="I503" s="405">
        <v>14.3</v>
      </c>
      <c r="J503" s="405">
        <v>1</v>
      </c>
      <c r="K503" s="405">
        <v>7</v>
      </c>
      <c r="L503" s="405">
        <v>28</v>
      </c>
      <c r="M503" s="405" t="s">
        <v>104</v>
      </c>
      <c r="N503" s="235">
        <v>921</v>
      </c>
      <c r="O503" s="386">
        <f t="shared" si="182"/>
        <v>922</v>
      </c>
      <c r="P503" s="484" t="s">
        <v>203</v>
      </c>
      <c r="Q503" s="484"/>
      <c r="R503" s="387">
        <v>2</v>
      </c>
      <c r="S503" s="282">
        <v>0.71799999999999997</v>
      </c>
      <c r="T503" s="491" t="s">
        <v>65</v>
      </c>
      <c r="U503" s="285"/>
      <c r="V503" s="388"/>
      <c r="W503" s="388"/>
      <c r="X503" s="388"/>
      <c r="Y503" s="292">
        <v>0.71699999999999997</v>
      </c>
      <c r="Z503" s="301" t="s">
        <v>65</v>
      </c>
      <c r="AA503" s="292"/>
      <c r="AB503" s="301"/>
      <c r="AC503" s="301"/>
      <c r="AD503" s="301"/>
      <c r="AE503" s="285"/>
      <c r="AF503" s="239">
        <f t="shared" si="183"/>
        <v>6.8254600362553068</v>
      </c>
      <c r="AG503" s="239">
        <f t="shared" si="184"/>
        <v>6.826545223556594</v>
      </c>
      <c r="AH503" s="240"/>
      <c r="AI503" s="240"/>
      <c r="AK503" s="265">
        <f t="shared" si="185"/>
        <v>1842</v>
      </c>
      <c r="AL503" s="265">
        <f t="shared" si="186"/>
        <v>1843</v>
      </c>
      <c r="AM503" s="239">
        <f t="shared" si="187"/>
        <v>7.5186072168152522</v>
      </c>
      <c r="AN503" s="239">
        <f t="shared" si="188"/>
        <v>7.5191499576698231</v>
      </c>
      <c r="AO503" s="240"/>
      <c r="AP503" s="240"/>
      <c r="AR503" s="265">
        <f t="shared" si="191"/>
        <v>1569.3081728210827</v>
      </c>
      <c r="AS503" s="265">
        <f t="shared" si="192"/>
        <v>1570.5105418577489</v>
      </c>
      <c r="AT503" s="239">
        <f t="shared" si="189"/>
        <v>7.3583901469716499</v>
      </c>
      <c r="AU503" s="239">
        <f t="shared" si="190"/>
        <v>7.3591560313775348</v>
      </c>
      <c r="BA503" s="238"/>
      <c r="BB503" s="238"/>
      <c r="BC503" s="238"/>
      <c r="BD503" s="125"/>
      <c r="BE503" s="125"/>
      <c r="BF503" s="136"/>
      <c r="BG503" s="136"/>
      <c r="BH503" s="136"/>
      <c r="BI503" s="136"/>
    </row>
    <row r="504" spans="1:61" x14ac:dyDescent="0.2">
      <c r="A504" s="232" t="s">
        <v>197</v>
      </c>
      <c r="B504" s="232" t="s">
        <v>201</v>
      </c>
      <c r="C504" s="264" t="s">
        <v>202</v>
      </c>
      <c r="D504" s="483" t="s">
        <v>328</v>
      </c>
      <c r="E504" s="405">
        <v>7.8</v>
      </c>
      <c r="F504" s="278">
        <f t="shared" si="181"/>
        <v>1.3793103448275863</v>
      </c>
      <c r="G504" s="405">
        <v>0.8</v>
      </c>
      <c r="H504" s="405">
        <v>18</v>
      </c>
      <c r="I504" s="405">
        <v>14.1</v>
      </c>
      <c r="J504" s="405">
        <v>1</v>
      </c>
      <c r="K504" s="405">
        <v>7</v>
      </c>
      <c r="L504" s="405">
        <v>28</v>
      </c>
      <c r="M504" s="405" t="s">
        <v>104</v>
      </c>
      <c r="N504" s="295">
        <v>1238</v>
      </c>
      <c r="O504" s="386">
        <f t="shared" si="182"/>
        <v>1239</v>
      </c>
      <c r="P504" s="484" t="s">
        <v>203</v>
      </c>
      <c r="Q504" s="484"/>
      <c r="R504" s="387">
        <v>2</v>
      </c>
      <c r="S504" s="282">
        <v>0.71799999999999997</v>
      </c>
      <c r="T504" s="491" t="s">
        <v>65</v>
      </c>
      <c r="U504" s="285"/>
      <c r="V504" s="388"/>
      <c r="W504" s="388"/>
      <c r="X504" s="388"/>
      <c r="Y504" s="292">
        <v>0.71699999999999997</v>
      </c>
      <c r="Z504" s="301" t="s">
        <v>65</v>
      </c>
      <c r="AA504" s="292"/>
      <c r="AB504" s="301"/>
      <c r="AC504" s="301"/>
      <c r="AD504" s="301"/>
      <c r="AE504" s="285"/>
      <c r="AF504" s="239">
        <f t="shared" si="183"/>
        <v>7.1212524532445416</v>
      </c>
      <c r="AG504" s="239">
        <f t="shared" si="184"/>
        <v>7.1220598816291423</v>
      </c>
      <c r="AH504" s="240"/>
      <c r="AI504" s="240"/>
      <c r="AK504" s="265">
        <f t="shared" si="185"/>
        <v>2476</v>
      </c>
      <c r="AL504" s="265">
        <f t="shared" si="186"/>
        <v>2477</v>
      </c>
      <c r="AM504" s="239">
        <f t="shared" si="187"/>
        <v>7.814399633804487</v>
      </c>
      <c r="AN504" s="239">
        <f t="shared" si="188"/>
        <v>7.8148034294893591</v>
      </c>
      <c r="AO504" s="240"/>
      <c r="AP504" s="240"/>
      <c r="AR504" s="265">
        <f t="shared" si="191"/>
        <v>1623.5474342681744</v>
      </c>
      <c r="AS504" s="265">
        <f t="shared" si="192"/>
        <v>1625.1581136766799</v>
      </c>
      <c r="AT504" s="239">
        <f t="shared" si="189"/>
        <v>7.3923688084047656</v>
      </c>
      <c r="AU504" s="239">
        <f t="shared" si="190"/>
        <v>7.3933603907545402</v>
      </c>
      <c r="BA504" s="238"/>
      <c r="BB504" s="238"/>
      <c r="BC504" s="238"/>
      <c r="BD504" s="125"/>
      <c r="BE504" s="125"/>
      <c r="BF504" s="136"/>
      <c r="BG504" s="136"/>
      <c r="BH504" s="136"/>
      <c r="BI504" s="136"/>
    </row>
    <row r="505" spans="1:61" s="165" customFormat="1" x14ac:dyDescent="0.2">
      <c r="A505" s="156" t="s">
        <v>197</v>
      </c>
      <c r="B505" s="156" t="s">
        <v>201</v>
      </c>
      <c r="C505" s="442" t="s">
        <v>202</v>
      </c>
      <c r="D505" s="364" t="s">
        <v>328</v>
      </c>
      <c r="E505" s="160">
        <v>7</v>
      </c>
      <c r="F505" s="159">
        <f t="shared" si="181"/>
        <v>10.000800064005121</v>
      </c>
      <c r="G505" s="159">
        <f>10/1.724</f>
        <v>5.8004640371229703</v>
      </c>
      <c r="H505" s="160">
        <v>20</v>
      </c>
      <c r="I505" s="393">
        <f t="shared" ref="I505" si="193">(30+4.4*E505)*(0/100)+(-34.66+29.72*E505)*(F505/100)</f>
        <v>17.339387150972076</v>
      </c>
      <c r="J505" s="160">
        <v>0</v>
      </c>
      <c r="K505" s="160">
        <v>7</v>
      </c>
      <c r="L505" s="160">
        <v>28</v>
      </c>
      <c r="M505" s="160" t="s">
        <v>104</v>
      </c>
      <c r="N505" s="231">
        <v>413</v>
      </c>
      <c r="O505" s="396">
        <f t="shared" si="182"/>
        <v>413</v>
      </c>
      <c r="P505" s="485" t="s">
        <v>203</v>
      </c>
      <c r="Q505" s="485"/>
      <c r="R505" s="361">
        <v>2</v>
      </c>
      <c r="S505" s="316">
        <v>0.71799999999999997</v>
      </c>
      <c r="T505" s="315" t="s">
        <v>65</v>
      </c>
      <c r="U505" s="163"/>
      <c r="V505" s="162"/>
      <c r="W505" s="162"/>
      <c r="X505" s="162"/>
      <c r="Y505" s="328">
        <v>0.71699999999999997</v>
      </c>
      <c r="Z505" s="314" t="s">
        <v>65</v>
      </c>
      <c r="AA505" s="328"/>
      <c r="AB505" s="314"/>
      <c r="AC505" s="314"/>
      <c r="AD505" s="314"/>
      <c r="AE505" s="163"/>
      <c r="AF505" s="166">
        <f t="shared" si="183"/>
        <v>6.0234475929610332</v>
      </c>
      <c r="AG505" s="166">
        <f t="shared" si="184"/>
        <v>6.0234475929610332</v>
      </c>
      <c r="AH505" s="169"/>
      <c r="AI505" s="169"/>
      <c r="AK505" s="168">
        <f t="shared" si="185"/>
        <v>826</v>
      </c>
      <c r="AL505" s="168">
        <f t="shared" si="186"/>
        <v>826</v>
      </c>
      <c r="AM505" s="166">
        <f t="shared" si="187"/>
        <v>6.7165947735209777</v>
      </c>
      <c r="AN505" s="166">
        <f t="shared" si="188"/>
        <v>6.7165947735209777</v>
      </c>
      <c r="AO505" s="169"/>
      <c r="AP505" s="169"/>
      <c r="AR505" s="168">
        <f t="shared" si="191"/>
        <v>502.15814395461911</v>
      </c>
      <c r="AS505" s="168">
        <f t="shared" si="192"/>
        <v>502.50633411587</v>
      </c>
      <c r="AT505" s="166">
        <f t="shared" si="189"/>
        <v>6.2189150978789378</v>
      </c>
      <c r="AU505" s="166">
        <f t="shared" si="190"/>
        <v>6.2196082450594972</v>
      </c>
      <c r="AV505" s="167"/>
      <c r="AW505" s="167"/>
      <c r="BD505" s="167"/>
      <c r="BE505" s="167"/>
    </row>
    <row r="506" spans="1:61" x14ac:dyDescent="0.2">
      <c r="A506" s="232" t="s">
        <v>197</v>
      </c>
      <c r="B506" s="232" t="s">
        <v>201</v>
      </c>
      <c r="C506" s="264" t="s">
        <v>52</v>
      </c>
      <c r="D506" s="483" t="s">
        <v>328</v>
      </c>
      <c r="E506" s="405">
        <v>4.4000000000000004</v>
      </c>
      <c r="F506" s="278">
        <f t="shared" si="181"/>
        <v>52.931034482758626</v>
      </c>
      <c r="G506" s="405">
        <v>30.7</v>
      </c>
      <c r="H506" s="278">
        <v>58.8</v>
      </c>
      <c r="I506" s="405">
        <v>41.7</v>
      </c>
      <c r="J506" s="405">
        <v>3</v>
      </c>
      <c r="K506" s="405">
        <v>7</v>
      </c>
      <c r="L506" s="405">
        <v>28</v>
      </c>
      <c r="M506" s="405" t="s">
        <v>104</v>
      </c>
      <c r="N506" s="235">
        <v>452</v>
      </c>
      <c r="O506" s="386">
        <f t="shared" si="182"/>
        <v>455</v>
      </c>
      <c r="P506" s="484" t="s">
        <v>203</v>
      </c>
      <c r="Q506" s="484"/>
      <c r="R506" s="387">
        <v>2</v>
      </c>
      <c r="S506" s="292">
        <v>0.73499999999999999</v>
      </c>
      <c r="T506" s="301" t="s">
        <v>65</v>
      </c>
      <c r="U506" s="285"/>
      <c r="V506" s="388"/>
      <c r="W506" s="388"/>
      <c r="X506" s="388"/>
      <c r="Y506" s="292">
        <v>0.73399999999999999</v>
      </c>
      <c r="Z506" s="301" t="s">
        <v>65</v>
      </c>
      <c r="AA506" s="292"/>
      <c r="AB506" s="301"/>
      <c r="AC506" s="301"/>
      <c r="AD506" s="301"/>
      <c r="AE506" s="285"/>
      <c r="AF506" s="239">
        <f t="shared" si="183"/>
        <v>6.1136821798322316</v>
      </c>
      <c r="AG506" s="239">
        <f t="shared" si="184"/>
        <v>6.1202974189509503</v>
      </c>
      <c r="AH506" s="240"/>
      <c r="AI506" s="240"/>
      <c r="AK506" s="265">
        <f t="shared" si="185"/>
        <v>904</v>
      </c>
      <c r="AL506" s="265">
        <f t="shared" si="186"/>
        <v>907</v>
      </c>
      <c r="AM506" s="239">
        <f t="shared" si="187"/>
        <v>6.8068293603921761</v>
      </c>
      <c r="AN506" s="239">
        <f t="shared" si="188"/>
        <v>6.8101424501151362</v>
      </c>
      <c r="AO506" s="240"/>
      <c r="AP506" s="240"/>
      <c r="AR506" s="265">
        <f t="shared" si="191"/>
        <v>245.85333043695451</v>
      </c>
      <c r="AS506" s="265">
        <f t="shared" si="192"/>
        <v>247.10659120321893</v>
      </c>
      <c r="AT506" s="239">
        <f t="shared" si="189"/>
        <v>5.5047351403879325</v>
      </c>
      <c r="AU506" s="239">
        <f t="shared" si="190"/>
        <v>5.5098197868728036</v>
      </c>
      <c r="AX506" s="265">
        <f>GEOMEAN(AR506:AR516)</f>
        <v>136.51734278707264</v>
      </c>
      <c r="AY506" s="265">
        <f>GEOMEAN(AS506:AS516)</f>
        <v>138.65170806949493</v>
      </c>
      <c r="AZ506" s="265">
        <f>MIN(AX506:AX516)</f>
        <v>136.51734278707264</v>
      </c>
      <c r="BA506" s="265">
        <f>MIN(AY506:AY516)</f>
        <v>138.65170806949493</v>
      </c>
      <c r="BB506" s="239">
        <f>LN(AZ506)</f>
        <v>4.9164516599395638</v>
      </c>
      <c r="BC506" s="239">
        <f>LN(BA506)</f>
        <v>4.9319650912754467</v>
      </c>
      <c r="BD506" s="240"/>
      <c r="BE506" s="240"/>
      <c r="BF506" s="136"/>
      <c r="BG506" s="136"/>
      <c r="BH506" s="136"/>
      <c r="BI506" s="136"/>
    </row>
    <row r="507" spans="1:61" x14ac:dyDescent="0.2">
      <c r="A507" s="232" t="s">
        <v>197</v>
      </c>
      <c r="B507" s="232" t="s">
        <v>201</v>
      </c>
      <c r="C507" s="264" t="s">
        <v>52</v>
      </c>
      <c r="D507" s="483" t="s">
        <v>328</v>
      </c>
      <c r="E507" s="405">
        <v>5</v>
      </c>
      <c r="F507" s="278">
        <f t="shared" si="181"/>
        <v>3.4482758620689657</v>
      </c>
      <c r="G507" s="405">
        <v>2</v>
      </c>
      <c r="H507" s="405">
        <v>3.3</v>
      </c>
      <c r="I507" s="405">
        <v>4.2</v>
      </c>
      <c r="J507" s="405">
        <v>1</v>
      </c>
      <c r="K507" s="405">
        <v>7</v>
      </c>
      <c r="L507" s="405">
        <v>28</v>
      </c>
      <c r="M507" s="405" t="s">
        <v>104</v>
      </c>
      <c r="N507" s="235">
        <v>58.5</v>
      </c>
      <c r="O507" s="386">
        <f t="shared" si="182"/>
        <v>59.5</v>
      </c>
      <c r="P507" s="484" t="s">
        <v>203</v>
      </c>
      <c r="Q507" s="484"/>
      <c r="R507" s="387">
        <v>2</v>
      </c>
      <c r="S507" s="282">
        <v>0.73499999999999999</v>
      </c>
      <c r="T507" s="491" t="s">
        <v>65</v>
      </c>
      <c r="U507" s="285"/>
      <c r="V507" s="388"/>
      <c r="W507" s="388"/>
      <c r="X507" s="388"/>
      <c r="Y507" s="292">
        <v>0.73399999999999999</v>
      </c>
      <c r="Z507" s="301" t="s">
        <v>65</v>
      </c>
      <c r="AA507" s="292"/>
      <c r="AB507" s="301"/>
      <c r="AC507" s="301"/>
      <c r="AD507" s="301"/>
      <c r="AE507" s="285"/>
      <c r="AF507" s="239">
        <f t="shared" si="183"/>
        <v>4.0690267542378109</v>
      </c>
      <c r="AG507" s="239">
        <f t="shared" si="184"/>
        <v>4.0859763125515842</v>
      </c>
      <c r="AH507" s="240"/>
      <c r="AI507" s="240"/>
      <c r="AK507" s="265">
        <f t="shared" si="185"/>
        <v>117</v>
      </c>
      <c r="AL507" s="265">
        <f t="shared" si="186"/>
        <v>118</v>
      </c>
      <c r="AM507" s="239">
        <f t="shared" si="187"/>
        <v>4.7621739347977563</v>
      </c>
      <c r="AN507" s="239">
        <f t="shared" si="188"/>
        <v>4.7706846244656651</v>
      </c>
      <c r="AO507" s="240"/>
      <c r="AP507" s="240"/>
      <c r="AR507" s="265">
        <f t="shared" si="191"/>
        <v>264.28840864052756</v>
      </c>
      <c r="AS507" s="265">
        <f t="shared" si="192"/>
        <v>266.2519366671811</v>
      </c>
      <c r="AT507" s="239">
        <f t="shared" si="189"/>
        <v>5.5770409638211405</v>
      </c>
      <c r="AU507" s="239">
        <f t="shared" si="190"/>
        <v>5.5844429908645274</v>
      </c>
      <c r="BA507" s="238"/>
      <c r="BB507" s="238"/>
      <c r="BC507" s="238"/>
      <c r="BD507" s="125"/>
      <c r="BE507" s="125"/>
      <c r="BF507" s="136"/>
      <c r="BG507" s="136"/>
      <c r="BH507" s="136"/>
      <c r="BI507" s="136"/>
    </row>
    <row r="508" spans="1:61" x14ac:dyDescent="0.2">
      <c r="A508" s="232" t="s">
        <v>197</v>
      </c>
      <c r="B508" s="232" t="s">
        <v>201</v>
      </c>
      <c r="C508" s="264" t="s">
        <v>52</v>
      </c>
      <c r="D508" s="483" t="s">
        <v>328</v>
      </c>
      <c r="E508" s="405">
        <v>5.2</v>
      </c>
      <c r="F508" s="278">
        <f t="shared" si="181"/>
        <v>4.8275862068965516</v>
      </c>
      <c r="G508" s="405">
        <v>2.8</v>
      </c>
      <c r="H508" s="405">
        <v>2.2000000000000002</v>
      </c>
      <c r="I508" s="405">
        <v>6.3</v>
      </c>
      <c r="J508" s="405">
        <v>0</v>
      </c>
      <c r="K508" s="405">
        <v>7</v>
      </c>
      <c r="L508" s="405">
        <v>28</v>
      </c>
      <c r="M508" s="405" t="s">
        <v>104</v>
      </c>
      <c r="N508" s="235">
        <v>71.900000000000006</v>
      </c>
      <c r="O508" s="386">
        <f t="shared" si="182"/>
        <v>71.900000000000006</v>
      </c>
      <c r="P508" s="484" t="s">
        <v>203</v>
      </c>
      <c r="Q508" s="484"/>
      <c r="R508" s="387">
        <v>2</v>
      </c>
      <c r="S508" s="282">
        <v>0.73499999999999999</v>
      </c>
      <c r="T508" s="491" t="s">
        <v>65</v>
      </c>
      <c r="U508" s="285"/>
      <c r="V508" s="388"/>
      <c r="W508" s="388"/>
      <c r="X508" s="388"/>
      <c r="Y508" s="292">
        <v>0.73399999999999999</v>
      </c>
      <c r="Z508" s="301" t="s">
        <v>65</v>
      </c>
      <c r="AA508" s="292"/>
      <c r="AB508" s="301"/>
      <c r="AC508" s="301"/>
      <c r="AD508" s="301"/>
      <c r="AE508" s="285"/>
      <c r="AF508" s="239">
        <f t="shared" si="183"/>
        <v>4.2752762647270011</v>
      </c>
      <c r="AG508" s="239">
        <f t="shared" si="184"/>
        <v>4.2752762647270011</v>
      </c>
      <c r="AH508" s="240"/>
      <c r="AI508" s="240"/>
      <c r="AK508" s="265">
        <f t="shared" si="185"/>
        <v>143.80000000000001</v>
      </c>
      <c r="AL508" s="265">
        <f t="shared" si="186"/>
        <v>143.80000000000001</v>
      </c>
      <c r="AM508" s="239">
        <f t="shared" si="187"/>
        <v>4.9684234452869465</v>
      </c>
      <c r="AN508" s="239">
        <f t="shared" si="188"/>
        <v>4.9684234452869465</v>
      </c>
      <c r="AO508" s="240"/>
      <c r="AP508" s="240"/>
      <c r="AR508" s="265">
        <f t="shared" si="191"/>
        <v>437.60090918586189</v>
      </c>
      <c r="AS508" s="265">
        <f t="shared" si="192"/>
        <v>436.93882687852084</v>
      </c>
      <c r="AT508" s="239">
        <f t="shared" si="189"/>
        <v>6.0813073287698316</v>
      </c>
      <c r="AU508" s="239">
        <f t="shared" si="190"/>
        <v>6.0797932010372016</v>
      </c>
      <c r="BA508" s="238"/>
      <c r="BB508" s="238"/>
      <c r="BC508" s="238"/>
      <c r="BD508" s="125"/>
      <c r="BE508" s="125"/>
      <c r="BF508" s="136"/>
      <c r="BG508" s="136"/>
      <c r="BH508" s="136"/>
      <c r="BI508" s="136"/>
    </row>
    <row r="509" spans="1:61" x14ac:dyDescent="0.2">
      <c r="A509" s="232" t="s">
        <v>197</v>
      </c>
      <c r="B509" s="232" t="s">
        <v>201</v>
      </c>
      <c r="C509" s="264" t="s">
        <v>52</v>
      </c>
      <c r="D509" s="483" t="s">
        <v>328</v>
      </c>
      <c r="E509" s="405">
        <v>5.2</v>
      </c>
      <c r="F509" s="278">
        <f t="shared" si="181"/>
        <v>3.1034482758620694</v>
      </c>
      <c r="G509" s="405">
        <v>1.8</v>
      </c>
      <c r="H509" s="405">
        <v>2.2000000000000002</v>
      </c>
      <c r="I509" s="405">
        <v>4.0999999999999996</v>
      </c>
      <c r="J509" s="405">
        <v>1</v>
      </c>
      <c r="K509" s="405">
        <v>7</v>
      </c>
      <c r="L509" s="405">
        <v>28</v>
      </c>
      <c r="M509" s="405" t="s">
        <v>104</v>
      </c>
      <c r="N509" s="235">
        <v>112</v>
      </c>
      <c r="O509" s="386">
        <f t="shared" si="182"/>
        <v>113</v>
      </c>
      <c r="P509" s="484" t="s">
        <v>203</v>
      </c>
      <c r="Q509" s="484"/>
      <c r="R509" s="387">
        <v>2</v>
      </c>
      <c r="S509" s="282">
        <v>0.73499999999999999</v>
      </c>
      <c r="T509" s="491" t="s">
        <v>65</v>
      </c>
      <c r="U509" s="285"/>
      <c r="V509" s="388"/>
      <c r="W509" s="388"/>
      <c r="X509" s="388"/>
      <c r="Y509" s="292">
        <v>0.73399999999999999</v>
      </c>
      <c r="Z509" s="301" t="s">
        <v>65</v>
      </c>
      <c r="AA509" s="292"/>
      <c r="AB509" s="301"/>
      <c r="AC509" s="301"/>
      <c r="AD509" s="301"/>
      <c r="AE509" s="285"/>
      <c r="AF509" s="239">
        <f t="shared" si="183"/>
        <v>4.7184988712950942</v>
      </c>
      <c r="AG509" s="239">
        <f t="shared" si="184"/>
        <v>4.7273878187123408</v>
      </c>
      <c r="AH509" s="240"/>
      <c r="AI509" s="240"/>
      <c r="AK509" s="265">
        <f t="shared" si="185"/>
        <v>224</v>
      </c>
      <c r="AL509" s="265">
        <f t="shared" si="186"/>
        <v>225</v>
      </c>
      <c r="AM509" s="239">
        <f t="shared" si="187"/>
        <v>5.4116460518550396</v>
      </c>
      <c r="AN509" s="239">
        <f t="shared" si="188"/>
        <v>5.4161004022044201</v>
      </c>
      <c r="AO509" s="240"/>
      <c r="AP509" s="240"/>
      <c r="AR509" s="265">
        <f t="shared" si="191"/>
        <v>681.65927439244126</v>
      </c>
      <c r="AS509" s="265">
        <f t="shared" si="192"/>
        <v>683.66645373899291</v>
      </c>
      <c r="AT509" s="239">
        <f t="shared" si="189"/>
        <v>6.5245299353379247</v>
      </c>
      <c r="AU509" s="239">
        <f t="shared" si="190"/>
        <v>6.5274701579546752</v>
      </c>
      <c r="BA509" s="238"/>
      <c r="BB509" s="238"/>
      <c r="BC509" s="238"/>
      <c r="BD509" s="125"/>
      <c r="BE509" s="125"/>
      <c r="BF509" s="136"/>
      <c r="BG509" s="136"/>
      <c r="BH509" s="136"/>
      <c r="BI509" s="136"/>
    </row>
    <row r="510" spans="1:61" x14ac:dyDescent="0.2">
      <c r="A510" s="232" t="s">
        <v>197</v>
      </c>
      <c r="B510" s="232" t="s">
        <v>201</v>
      </c>
      <c r="C510" s="264" t="s">
        <v>52</v>
      </c>
      <c r="D510" s="483" t="s">
        <v>328</v>
      </c>
      <c r="E510" s="405">
        <v>6.3</v>
      </c>
      <c r="F510" s="278">
        <f t="shared" si="181"/>
        <v>6.2068965517241388</v>
      </c>
      <c r="G510" s="405">
        <v>3.6</v>
      </c>
      <c r="H510" s="289">
        <v>31.4</v>
      </c>
      <c r="I510" s="405">
        <v>30</v>
      </c>
      <c r="J510" s="405">
        <v>1</v>
      </c>
      <c r="K510" s="405">
        <v>7</v>
      </c>
      <c r="L510" s="405">
        <v>28</v>
      </c>
      <c r="M510" s="405" t="s">
        <v>104</v>
      </c>
      <c r="N510" s="235">
        <v>173</v>
      </c>
      <c r="O510" s="386">
        <f t="shared" si="182"/>
        <v>174</v>
      </c>
      <c r="P510" s="484" t="s">
        <v>203</v>
      </c>
      <c r="Q510" s="484"/>
      <c r="R510" s="387">
        <v>2</v>
      </c>
      <c r="S510" s="282">
        <v>0.73499999999999999</v>
      </c>
      <c r="T510" s="491" t="s">
        <v>65</v>
      </c>
      <c r="U510" s="285"/>
      <c r="V510" s="388"/>
      <c r="W510" s="388"/>
      <c r="X510" s="388"/>
      <c r="Y510" s="292">
        <v>0.73399999999999999</v>
      </c>
      <c r="Z510" s="301" t="s">
        <v>65</v>
      </c>
      <c r="AA510" s="292"/>
      <c r="AB510" s="301"/>
      <c r="AC510" s="301"/>
      <c r="AD510" s="301"/>
      <c r="AE510" s="285"/>
      <c r="AF510" s="239">
        <f t="shared" si="183"/>
        <v>5.1532915944977793</v>
      </c>
      <c r="AG510" s="239">
        <f t="shared" si="184"/>
        <v>5.1590552992145291</v>
      </c>
      <c r="AH510" s="240"/>
      <c r="AI510" s="240"/>
      <c r="AK510" s="265">
        <f t="shared" si="185"/>
        <v>346</v>
      </c>
      <c r="AL510" s="265">
        <f t="shared" si="186"/>
        <v>347</v>
      </c>
      <c r="AM510" s="239">
        <f t="shared" si="187"/>
        <v>5.8464387750577247</v>
      </c>
      <c r="AN510" s="239">
        <f t="shared" si="188"/>
        <v>5.8493247799468593</v>
      </c>
      <c r="AO510" s="240"/>
      <c r="AP510" s="240"/>
      <c r="AR510" s="265">
        <f t="shared" si="191"/>
        <v>149.22198315787671</v>
      </c>
      <c r="AS510" s="265">
        <f t="shared" si="192"/>
        <v>149.82459524249774</v>
      </c>
      <c r="AT510" s="239">
        <f t="shared" si="189"/>
        <v>5.0054350171164055</v>
      </c>
      <c r="AU510" s="239">
        <f t="shared" si="190"/>
        <v>5.00946524480546</v>
      </c>
      <c r="BA510" s="238"/>
      <c r="BB510" s="238"/>
      <c r="BC510" s="238"/>
      <c r="BD510" s="125"/>
      <c r="BE510" s="125"/>
      <c r="BF510" s="136"/>
      <c r="BG510" s="136"/>
      <c r="BH510" s="136"/>
      <c r="BI510" s="136"/>
    </row>
    <row r="511" spans="1:61" x14ac:dyDescent="0.2">
      <c r="A511" s="232" t="s">
        <v>197</v>
      </c>
      <c r="B511" s="232" t="s">
        <v>201</v>
      </c>
      <c r="C511" s="264" t="s">
        <v>52</v>
      </c>
      <c r="D511" s="483" t="s">
        <v>328</v>
      </c>
      <c r="E511" s="405">
        <v>6.7</v>
      </c>
      <c r="F511" s="278">
        <f t="shared" si="181"/>
        <v>1.5517241379310347</v>
      </c>
      <c r="G511" s="405">
        <v>0.9</v>
      </c>
      <c r="H511" s="405">
        <v>13.3</v>
      </c>
      <c r="I511" s="405">
        <v>12.2</v>
      </c>
      <c r="J511" s="405">
        <v>1</v>
      </c>
      <c r="K511" s="405">
        <v>7</v>
      </c>
      <c r="L511" s="405">
        <v>28</v>
      </c>
      <c r="M511" s="405" t="s">
        <v>93</v>
      </c>
      <c r="N511" s="235">
        <v>7.88</v>
      </c>
      <c r="O511" s="386">
        <f t="shared" si="182"/>
        <v>8.879999999999999</v>
      </c>
      <c r="P511" s="484" t="s">
        <v>203</v>
      </c>
      <c r="Q511" s="484"/>
      <c r="R511" s="387">
        <v>2</v>
      </c>
      <c r="S511" s="282">
        <v>0.73499999999999999</v>
      </c>
      <c r="T511" s="491" t="s">
        <v>65</v>
      </c>
      <c r="U511" s="285"/>
      <c r="V511" s="388"/>
      <c r="W511" s="388"/>
      <c r="X511" s="388"/>
      <c r="Y511" s="292">
        <v>0.73399999999999999</v>
      </c>
      <c r="Z511" s="301" t="s">
        <v>65</v>
      </c>
      <c r="AA511" s="292"/>
      <c r="AB511" s="301"/>
      <c r="AC511" s="301"/>
      <c r="AD511" s="301"/>
      <c r="AE511" s="285"/>
      <c r="AF511" s="239">
        <f t="shared" si="183"/>
        <v>2.0643279038697879</v>
      </c>
      <c r="AG511" s="239">
        <f t="shared" si="184"/>
        <v>2.1838015570040787</v>
      </c>
      <c r="AH511" s="240"/>
      <c r="AI511" s="240"/>
      <c r="AK511" s="265">
        <f t="shared" si="185"/>
        <v>15.76</v>
      </c>
      <c r="AL511" s="265">
        <f t="shared" si="186"/>
        <v>16.759999999999998</v>
      </c>
      <c r="AM511" s="239">
        <f t="shared" si="187"/>
        <v>2.7574750844297329</v>
      </c>
      <c r="AN511" s="239">
        <f t="shared" si="188"/>
        <v>2.8189950950539369</v>
      </c>
      <c r="AO511" s="240"/>
      <c r="AP511" s="240"/>
      <c r="AR511" s="265">
        <f t="shared" si="191"/>
        <v>12.779835304416562</v>
      </c>
      <c r="AS511" s="265">
        <f t="shared" si="192"/>
        <v>13.594614904919325</v>
      </c>
      <c r="AT511" s="239">
        <f t="shared" si="189"/>
        <v>2.547868561887991</v>
      </c>
      <c r="AU511" s="239">
        <f t="shared" si="190"/>
        <v>2.6096737514544288</v>
      </c>
      <c r="BA511" s="238"/>
      <c r="BB511" s="238"/>
      <c r="BC511" s="238"/>
      <c r="BD511" s="125"/>
      <c r="BE511" s="125"/>
      <c r="BF511" s="136"/>
      <c r="BG511" s="136"/>
      <c r="BH511" s="136"/>
      <c r="BI511" s="136"/>
    </row>
    <row r="512" spans="1:61" x14ac:dyDescent="0.2">
      <c r="A512" s="232" t="s">
        <v>197</v>
      </c>
      <c r="B512" s="232" t="s">
        <v>201</v>
      </c>
      <c r="C512" s="264" t="s">
        <v>52</v>
      </c>
      <c r="D512" s="483" t="s">
        <v>328</v>
      </c>
      <c r="E512" s="405">
        <v>6.8</v>
      </c>
      <c r="F512" s="278">
        <f t="shared" si="181"/>
        <v>1.0344827586206897</v>
      </c>
      <c r="G512" s="405">
        <v>0.6</v>
      </c>
      <c r="H512" s="405">
        <v>34.700000000000003</v>
      </c>
      <c r="I512" s="405">
        <v>14.2</v>
      </c>
      <c r="J512" s="405">
        <v>2</v>
      </c>
      <c r="K512" s="405">
        <v>7</v>
      </c>
      <c r="L512" s="405">
        <v>28</v>
      </c>
      <c r="M512" s="405" t="s">
        <v>104</v>
      </c>
      <c r="N512" s="235">
        <v>915</v>
      </c>
      <c r="O512" s="386">
        <f t="shared" si="182"/>
        <v>917</v>
      </c>
      <c r="P512" s="484" t="s">
        <v>203</v>
      </c>
      <c r="Q512" s="484"/>
      <c r="R512" s="387">
        <v>2</v>
      </c>
      <c r="S512" s="282">
        <v>0.73499999999999999</v>
      </c>
      <c r="T512" s="491" t="s">
        <v>65</v>
      </c>
      <c r="U512" s="285"/>
      <c r="V512" s="388"/>
      <c r="W512" s="388"/>
      <c r="X512" s="388"/>
      <c r="Y512" s="292">
        <v>0.73399999999999999</v>
      </c>
      <c r="Z512" s="301" t="s">
        <v>65</v>
      </c>
      <c r="AA512" s="292"/>
      <c r="AB512" s="301"/>
      <c r="AC512" s="301"/>
      <c r="AD512" s="301"/>
      <c r="AE512" s="285"/>
      <c r="AF512" s="239">
        <f t="shared" si="183"/>
        <v>6.818924065275521</v>
      </c>
      <c r="AG512" s="239">
        <f t="shared" si="184"/>
        <v>6.8211074722564646</v>
      </c>
      <c r="AH512" s="240"/>
      <c r="AI512" s="240"/>
      <c r="AK512" s="265">
        <f t="shared" si="185"/>
        <v>1830</v>
      </c>
      <c r="AL512" s="265">
        <f t="shared" si="186"/>
        <v>1832</v>
      </c>
      <c r="AM512" s="239">
        <f t="shared" si="187"/>
        <v>7.5120712458354664</v>
      </c>
      <c r="AN512" s="239">
        <f t="shared" si="188"/>
        <v>7.5131635452340753</v>
      </c>
      <c r="AO512" s="240"/>
      <c r="AP512" s="240"/>
      <c r="AR512" s="265">
        <f t="shared" si="191"/>
        <v>733.34599708082385</v>
      </c>
      <c r="AS512" s="265">
        <f t="shared" si="192"/>
        <v>735.06142949771538</v>
      </c>
      <c r="AT512" s="239">
        <f t="shared" si="189"/>
        <v>6.5976176192757725</v>
      </c>
      <c r="AU512" s="239">
        <f t="shared" si="190"/>
        <v>6.5999540732683402</v>
      </c>
      <c r="BA512" s="238"/>
      <c r="BB512" s="238"/>
      <c r="BC512" s="238"/>
      <c r="BD512" s="125"/>
      <c r="BE512" s="125"/>
      <c r="BF512" s="136"/>
      <c r="BG512" s="136"/>
      <c r="BH512" s="136"/>
      <c r="BI512" s="136"/>
    </row>
    <row r="513" spans="1:61" x14ac:dyDescent="0.2">
      <c r="A513" s="232" t="s">
        <v>197</v>
      </c>
      <c r="B513" s="232" t="s">
        <v>201</v>
      </c>
      <c r="C513" s="264" t="s">
        <v>52</v>
      </c>
      <c r="D513" s="483" t="s">
        <v>328</v>
      </c>
      <c r="E513" s="405">
        <v>7.3</v>
      </c>
      <c r="F513" s="278">
        <f t="shared" si="181"/>
        <v>2.2413793103448278</v>
      </c>
      <c r="G513" s="405">
        <v>1.3</v>
      </c>
      <c r="H513" s="405">
        <v>12.5</v>
      </c>
      <c r="I513" s="405">
        <v>14.3</v>
      </c>
      <c r="J513" s="405">
        <v>1</v>
      </c>
      <c r="K513" s="405">
        <v>7</v>
      </c>
      <c r="L513" s="405">
        <v>28</v>
      </c>
      <c r="M513" s="405" t="s">
        <v>104</v>
      </c>
      <c r="N513" s="235">
        <v>8.2100000000000009</v>
      </c>
      <c r="O513" s="386">
        <f t="shared" si="182"/>
        <v>9.2100000000000009</v>
      </c>
      <c r="P513" s="484" t="s">
        <v>203</v>
      </c>
      <c r="Q513" s="484"/>
      <c r="R513" s="387">
        <v>2</v>
      </c>
      <c r="S513" s="282">
        <v>0.73499999999999999</v>
      </c>
      <c r="T513" s="491" t="s">
        <v>65</v>
      </c>
      <c r="U513" s="285"/>
      <c r="V513" s="388"/>
      <c r="W513" s="388"/>
      <c r="X513" s="388"/>
      <c r="Y513" s="292">
        <v>0.73399999999999999</v>
      </c>
      <c r="Z513" s="301" t="s">
        <v>65</v>
      </c>
      <c r="AA513" s="292"/>
      <c r="AB513" s="301"/>
      <c r="AC513" s="301"/>
      <c r="AD513" s="301"/>
      <c r="AE513" s="285"/>
      <c r="AF513" s="239">
        <f t="shared" si="183"/>
        <v>2.1053529234643369</v>
      </c>
      <c r="AG513" s="239">
        <f t="shared" si="184"/>
        <v>2.2202898502672155</v>
      </c>
      <c r="AH513" s="240"/>
      <c r="AI513" s="240"/>
      <c r="AK513" s="265">
        <f t="shared" si="185"/>
        <v>16.420000000000002</v>
      </c>
      <c r="AL513" s="265">
        <f t="shared" si="186"/>
        <v>17.420000000000002</v>
      </c>
      <c r="AM513" s="239">
        <f t="shared" si="187"/>
        <v>2.7985001040242823</v>
      </c>
      <c r="AN513" s="239">
        <f t="shared" si="188"/>
        <v>2.8576189714243569</v>
      </c>
      <c r="AO513" s="240"/>
      <c r="AP513" s="240"/>
      <c r="AR513" s="265">
        <f t="shared" si="191"/>
        <v>13.936197526057827</v>
      </c>
      <c r="AS513" s="265">
        <f t="shared" si="192"/>
        <v>14.788230157569874</v>
      </c>
      <c r="AT513" s="239">
        <f t="shared" si="189"/>
        <v>2.6344895938083384</v>
      </c>
      <c r="AU513" s="239">
        <f t="shared" si="190"/>
        <v>2.693831604759727</v>
      </c>
      <c r="BA513" s="238"/>
      <c r="BB513" s="238"/>
      <c r="BC513" s="238"/>
      <c r="BD513" s="125"/>
      <c r="BE513" s="125"/>
      <c r="BF513" s="136"/>
      <c r="BG513" s="136"/>
      <c r="BH513" s="136"/>
      <c r="BI513" s="136"/>
    </row>
    <row r="514" spans="1:61" x14ac:dyDescent="0.2">
      <c r="A514" s="232" t="s">
        <v>197</v>
      </c>
      <c r="B514" s="232" t="s">
        <v>201</v>
      </c>
      <c r="C514" s="264" t="s">
        <v>52</v>
      </c>
      <c r="D514" s="483" t="s">
        <v>328</v>
      </c>
      <c r="E514" s="405">
        <v>7.6</v>
      </c>
      <c r="F514" s="278">
        <f t="shared" si="181"/>
        <v>3.6206896551724141</v>
      </c>
      <c r="G514" s="405">
        <v>2.1</v>
      </c>
      <c r="H514" s="405">
        <v>21.2</v>
      </c>
      <c r="I514" s="405">
        <v>24.8</v>
      </c>
      <c r="J514" s="405">
        <v>1</v>
      </c>
      <c r="K514" s="405">
        <v>7</v>
      </c>
      <c r="L514" s="405">
        <v>28</v>
      </c>
      <c r="M514" s="405" t="s">
        <v>93</v>
      </c>
      <c r="N514" s="235">
        <v>77.900000000000006</v>
      </c>
      <c r="O514" s="386">
        <f t="shared" si="182"/>
        <v>78.900000000000006</v>
      </c>
      <c r="P514" s="484" t="s">
        <v>203</v>
      </c>
      <c r="Q514" s="484"/>
      <c r="R514" s="387">
        <v>2</v>
      </c>
      <c r="S514" s="282">
        <v>0.73499999999999999</v>
      </c>
      <c r="T514" s="491" t="s">
        <v>65</v>
      </c>
      <c r="U514" s="285"/>
      <c r="V514" s="388"/>
      <c r="W514" s="388"/>
      <c r="X514" s="388"/>
      <c r="Y514" s="292">
        <v>0.73399999999999999</v>
      </c>
      <c r="Z514" s="301" t="s">
        <v>65</v>
      </c>
      <c r="AA514" s="292"/>
      <c r="AB514" s="301"/>
      <c r="AC514" s="301"/>
      <c r="AD514" s="301"/>
      <c r="AE514" s="285"/>
      <c r="AF514" s="239">
        <f t="shared" si="183"/>
        <v>4.3554259528767023</v>
      </c>
      <c r="AG514" s="239">
        <f t="shared" si="184"/>
        <v>4.3681812278518288</v>
      </c>
      <c r="AH514" s="240"/>
      <c r="AI514" s="240"/>
      <c r="AK514" s="265">
        <f t="shared" si="185"/>
        <v>155.80000000000001</v>
      </c>
      <c r="AL514" s="265">
        <f t="shared" si="186"/>
        <v>156.80000000000001</v>
      </c>
      <c r="AM514" s="239">
        <f t="shared" si="187"/>
        <v>5.0485731334366477</v>
      </c>
      <c r="AN514" s="239">
        <f t="shared" si="188"/>
        <v>5.0549711079163071</v>
      </c>
      <c r="AO514" s="240"/>
      <c r="AP514" s="240"/>
      <c r="AR514" s="265">
        <f t="shared" si="191"/>
        <v>89.683096658131419</v>
      </c>
      <c r="AS514" s="265">
        <f t="shared" si="192"/>
        <v>90.326573636763541</v>
      </c>
      <c r="AT514" s="239">
        <f t="shared" si="189"/>
        <v>4.4962823082539662</v>
      </c>
      <c r="AU514" s="239">
        <f t="shared" si="190"/>
        <v>4.5034316988223093</v>
      </c>
      <c r="BA514" s="238"/>
      <c r="BB514" s="238"/>
      <c r="BC514" s="238"/>
      <c r="BD514" s="125"/>
      <c r="BE514" s="125"/>
      <c r="BF514" s="136"/>
      <c r="BG514" s="136"/>
      <c r="BH514" s="136"/>
      <c r="BI514" s="136"/>
    </row>
    <row r="515" spans="1:61" x14ac:dyDescent="0.2">
      <c r="A515" s="232" t="s">
        <v>197</v>
      </c>
      <c r="B515" s="232" t="s">
        <v>201</v>
      </c>
      <c r="C515" s="264" t="s">
        <v>52</v>
      </c>
      <c r="D515" s="483" t="s">
        <v>328</v>
      </c>
      <c r="E515" s="405">
        <v>7.8</v>
      </c>
      <c r="F515" s="278">
        <f t="shared" si="181"/>
        <v>1.3793103448275863</v>
      </c>
      <c r="G515" s="405">
        <v>0.8</v>
      </c>
      <c r="H515" s="405">
        <v>18</v>
      </c>
      <c r="I515" s="405">
        <v>14.1</v>
      </c>
      <c r="J515" s="405">
        <v>1</v>
      </c>
      <c r="K515" s="405">
        <v>7</v>
      </c>
      <c r="L515" s="405">
        <v>28</v>
      </c>
      <c r="M515" s="405" t="s">
        <v>93</v>
      </c>
      <c r="N515" s="295">
        <v>23.8</v>
      </c>
      <c r="O515" s="386">
        <f t="shared" si="182"/>
        <v>24.8</v>
      </c>
      <c r="P515" s="484" t="s">
        <v>203</v>
      </c>
      <c r="Q515" s="484"/>
      <c r="R515" s="387">
        <v>2</v>
      </c>
      <c r="S515" s="282">
        <v>0.73499999999999999</v>
      </c>
      <c r="T515" s="491" t="s">
        <v>65</v>
      </c>
      <c r="U515" s="285"/>
      <c r="V515" s="388"/>
      <c r="W515" s="388"/>
      <c r="X515" s="388"/>
      <c r="Y515" s="292">
        <v>0.73399999999999999</v>
      </c>
      <c r="Z515" s="301" t="s">
        <v>65</v>
      </c>
      <c r="AA515" s="292"/>
      <c r="AB515" s="301"/>
      <c r="AC515" s="301"/>
      <c r="AD515" s="301"/>
      <c r="AE515" s="285"/>
      <c r="AF515" s="239">
        <f t="shared" si="183"/>
        <v>3.1696855806774291</v>
      </c>
      <c r="AG515" s="239">
        <f t="shared" si="184"/>
        <v>3.2108436531709366</v>
      </c>
      <c r="AH515" s="240"/>
      <c r="AI515" s="240"/>
      <c r="AK515" s="265">
        <f t="shared" si="185"/>
        <v>47.6</v>
      </c>
      <c r="AL515" s="265">
        <f t="shared" si="186"/>
        <v>48.6</v>
      </c>
      <c r="AM515" s="239">
        <f t="shared" si="187"/>
        <v>3.8628327612373745</v>
      </c>
      <c r="AN515" s="239">
        <f t="shared" si="188"/>
        <v>3.8836235309064482</v>
      </c>
      <c r="AO515" s="240"/>
      <c r="AP515" s="240"/>
      <c r="AR515" s="265">
        <f t="shared" si="191"/>
        <v>30.901649443708202</v>
      </c>
      <c r="AS515" s="265">
        <f t="shared" si="192"/>
        <v>31.569394376349322</v>
      </c>
      <c r="AT515" s="239">
        <f t="shared" si="189"/>
        <v>3.4308095625343169</v>
      </c>
      <c r="AU515" s="239">
        <f t="shared" si="190"/>
        <v>3.452188118868293</v>
      </c>
      <c r="BA515" s="238"/>
      <c r="BB515" s="238"/>
      <c r="BC515" s="238"/>
      <c r="BD515" s="125"/>
      <c r="BE515" s="125"/>
      <c r="BF515" s="136"/>
      <c r="BG515" s="136"/>
      <c r="BH515" s="136"/>
      <c r="BI515" s="136"/>
    </row>
    <row r="516" spans="1:61" s="165" customFormat="1" x14ac:dyDescent="0.2">
      <c r="A516" s="156" t="s">
        <v>197</v>
      </c>
      <c r="B516" s="156" t="s">
        <v>201</v>
      </c>
      <c r="C516" s="442" t="s">
        <v>52</v>
      </c>
      <c r="D516" s="364" t="s">
        <v>328</v>
      </c>
      <c r="E516" s="160">
        <v>7</v>
      </c>
      <c r="F516" s="159">
        <f t="shared" ref="F516:F537" si="194">G516/0.58</f>
        <v>10.000800064005121</v>
      </c>
      <c r="G516" s="159">
        <f>10/1.724</f>
        <v>5.8004640371229703</v>
      </c>
      <c r="H516" s="160">
        <v>20</v>
      </c>
      <c r="I516" s="393">
        <f t="shared" ref="I516" si="195">(30+4.4*E516)*(0/100)+(-34.66+29.72*E516)*(F516/100)</f>
        <v>17.339387150972076</v>
      </c>
      <c r="J516" s="160">
        <v>0</v>
      </c>
      <c r="K516" s="160">
        <v>7</v>
      </c>
      <c r="L516" s="160">
        <v>28</v>
      </c>
      <c r="M516" s="160" t="s">
        <v>104</v>
      </c>
      <c r="N516" s="231">
        <v>244</v>
      </c>
      <c r="O516" s="396">
        <f t="shared" ref="O516:O537" si="196">N516+J516</f>
        <v>244</v>
      </c>
      <c r="P516" s="485" t="s">
        <v>203</v>
      </c>
      <c r="Q516" s="485"/>
      <c r="R516" s="361">
        <v>2</v>
      </c>
      <c r="S516" s="316">
        <v>0.73499999999999999</v>
      </c>
      <c r="T516" s="315" t="s">
        <v>65</v>
      </c>
      <c r="U516" s="163"/>
      <c r="V516" s="162"/>
      <c r="W516" s="162"/>
      <c r="X516" s="162"/>
      <c r="Y516" s="328">
        <v>0.73399999999999999</v>
      </c>
      <c r="Z516" s="314" t="s">
        <v>65</v>
      </c>
      <c r="AA516" s="328"/>
      <c r="AB516" s="314"/>
      <c r="AC516" s="314"/>
      <c r="AD516" s="314"/>
      <c r="AE516" s="163"/>
      <c r="AF516" s="166">
        <f t="shared" ref="AF516:AF537" si="197">LN(N516)</f>
        <v>5.4971682252932021</v>
      </c>
      <c r="AG516" s="166">
        <f t="shared" ref="AG516:AG537" si="198">LN(O516)</f>
        <v>5.4971682252932021</v>
      </c>
      <c r="AH516" s="169"/>
      <c r="AI516" s="169"/>
      <c r="AK516" s="168">
        <f t="shared" ref="AK516:AK537" si="199">N516*R516</f>
        <v>488</v>
      </c>
      <c r="AL516" s="168">
        <f t="shared" ref="AL516:AL537" si="200">AK516+J516</f>
        <v>488</v>
      </c>
      <c r="AM516" s="166">
        <f t="shared" ref="AM516:AM537" si="201">LN(AK516)</f>
        <v>6.1903154058531475</v>
      </c>
      <c r="AN516" s="166">
        <f t="shared" ref="AN516:AN537" si="202">LN(AL516)</f>
        <v>6.1903154058531475</v>
      </c>
      <c r="AO516" s="169"/>
      <c r="AP516" s="169"/>
      <c r="AR516" s="168">
        <f t="shared" si="191"/>
        <v>293.1991960845516</v>
      </c>
      <c r="AS516" s="168">
        <f t="shared" si="192"/>
        <v>293.40249673115534</v>
      </c>
      <c r="AT516" s="166">
        <f t="shared" ref="AT516:AT537" si="203">LN(AR516)</f>
        <v>5.6808522281415872</v>
      </c>
      <c r="AU516" s="166">
        <f t="shared" ref="AU516:AU537" si="204">LN(AS516)</f>
        <v>5.6815453753221474</v>
      </c>
      <c r="AV516" s="167"/>
      <c r="AW516" s="167"/>
      <c r="BD516" s="167"/>
      <c r="BE516" s="167"/>
    </row>
    <row r="517" spans="1:61" x14ac:dyDescent="0.2">
      <c r="A517" s="232" t="s">
        <v>197</v>
      </c>
      <c r="B517" s="232" t="s">
        <v>201</v>
      </c>
      <c r="C517" s="264" t="s">
        <v>57</v>
      </c>
      <c r="D517" s="483" t="s">
        <v>328</v>
      </c>
      <c r="E517" s="405">
        <v>5</v>
      </c>
      <c r="F517" s="278">
        <f t="shared" si="194"/>
        <v>3.4482758620689657</v>
      </c>
      <c r="G517" s="405">
        <v>2</v>
      </c>
      <c r="H517" s="405">
        <v>3.3</v>
      </c>
      <c r="I517" s="405">
        <v>4.2</v>
      </c>
      <c r="J517" s="405">
        <v>1</v>
      </c>
      <c r="K517" s="405">
        <v>7</v>
      </c>
      <c r="L517" s="405">
        <v>28</v>
      </c>
      <c r="M517" s="405" t="s">
        <v>104</v>
      </c>
      <c r="N517" s="235">
        <v>37.9</v>
      </c>
      <c r="O517" s="386">
        <f t="shared" si="196"/>
        <v>38.9</v>
      </c>
      <c r="P517" s="484" t="s">
        <v>203</v>
      </c>
      <c r="Q517" s="484"/>
      <c r="R517" s="387">
        <v>2</v>
      </c>
      <c r="S517" s="292">
        <v>0.71799999999999997</v>
      </c>
      <c r="T517" s="301" t="s">
        <v>65</v>
      </c>
      <c r="U517" s="285"/>
      <c r="V517" s="388"/>
      <c r="W517" s="388"/>
      <c r="X517" s="388"/>
      <c r="Y517" s="292">
        <v>0.71699999999999997</v>
      </c>
      <c r="Z517" s="301" t="s">
        <v>65</v>
      </c>
      <c r="AA517" s="292"/>
      <c r="AB517" s="301"/>
      <c r="AC517" s="301"/>
      <c r="AD517" s="301"/>
      <c r="AE517" s="285"/>
      <c r="AF517" s="239">
        <f t="shared" si="197"/>
        <v>3.6349511120883808</v>
      </c>
      <c r="AG517" s="239">
        <f t="shared" si="198"/>
        <v>3.6609942506244004</v>
      </c>
      <c r="AH517" s="240"/>
      <c r="AI517" s="240"/>
      <c r="AK517" s="265">
        <f t="shared" si="199"/>
        <v>75.8</v>
      </c>
      <c r="AL517" s="265">
        <f t="shared" si="200"/>
        <v>76.8</v>
      </c>
      <c r="AM517" s="239">
        <f t="shared" si="201"/>
        <v>4.3280982926483258</v>
      </c>
      <c r="AN517" s="239">
        <f t="shared" si="202"/>
        <v>4.3412046401536264</v>
      </c>
      <c r="AO517" s="240"/>
      <c r="AP517" s="240"/>
      <c r="AR517" s="265">
        <f t="shared" si="191"/>
        <v>168.02588703972202</v>
      </c>
      <c r="AS517" s="265">
        <f t="shared" si="192"/>
        <v>170.05395038941958</v>
      </c>
      <c r="AT517" s="239">
        <f t="shared" si="203"/>
        <v>5.1241180570548428</v>
      </c>
      <c r="AU517" s="239">
        <f t="shared" si="204"/>
        <v>5.1361157419356216</v>
      </c>
      <c r="AX517" s="265">
        <f>GEOMEAN(AR517:AR519)</f>
        <v>2001.2905983761752</v>
      </c>
      <c r="AY517" s="265">
        <f>GEOMEAN(AS517:AS519)</f>
        <v>2007.7430997528716</v>
      </c>
      <c r="AZ517" s="265">
        <f>MIN(AX517:AX519)</f>
        <v>2001.2905983761752</v>
      </c>
      <c r="BA517" s="265">
        <f>MIN(AY517:AY519)</f>
        <v>2007.7430997528716</v>
      </c>
      <c r="BB517" s="239">
        <f>LN(AZ517)</f>
        <v>7.6015475506141756</v>
      </c>
      <c r="BC517" s="239">
        <f>LN(BA517)</f>
        <v>7.6047665342567248</v>
      </c>
      <c r="BD517" s="240"/>
      <c r="BE517" s="240"/>
      <c r="BF517" s="136"/>
      <c r="BG517" s="136"/>
      <c r="BH517" s="136"/>
      <c r="BI517" s="136"/>
    </row>
    <row r="518" spans="1:61" x14ac:dyDescent="0.2">
      <c r="A518" s="232" t="s">
        <v>197</v>
      </c>
      <c r="B518" s="232" t="s">
        <v>201</v>
      </c>
      <c r="C518" s="264" t="s">
        <v>57</v>
      </c>
      <c r="D518" s="483" t="s">
        <v>328</v>
      </c>
      <c r="E518" s="405">
        <v>5.2</v>
      </c>
      <c r="F518" s="278">
        <f t="shared" si="194"/>
        <v>4.8275862068965516</v>
      </c>
      <c r="G518" s="405">
        <v>2.8</v>
      </c>
      <c r="H518" s="405">
        <v>2.2000000000000002</v>
      </c>
      <c r="I518" s="405">
        <v>6.3</v>
      </c>
      <c r="J518" s="405">
        <v>0</v>
      </c>
      <c r="K518" s="405">
        <v>7</v>
      </c>
      <c r="L518" s="405">
        <v>28</v>
      </c>
      <c r="M518" s="405" t="s">
        <v>104</v>
      </c>
      <c r="N518" s="235">
        <v>1865</v>
      </c>
      <c r="O518" s="386">
        <f t="shared" si="196"/>
        <v>1865</v>
      </c>
      <c r="P518" s="484" t="s">
        <v>203</v>
      </c>
      <c r="Q518" s="484"/>
      <c r="R518" s="387">
        <v>2</v>
      </c>
      <c r="S518" s="282">
        <v>0.71799999999999997</v>
      </c>
      <c r="T518" s="491" t="s">
        <v>65</v>
      </c>
      <c r="U518" s="285"/>
      <c r="V518" s="388"/>
      <c r="W518" s="388"/>
      <c r="X518" s="388"/>
      <c r="Y518" s="292">
        <v>0.71699999999999997</v>
      </c>
      <c r="Z518" s="301" t="s">
        <v>65</v>
      </c>
      <c r="AA518" s="292"/>
      <c r="AB518" s="301"/>
      <c r="AC518" s="301"/>
      <c r="AD518" s="301"/>
      <c r="AE518" s="285"/>
      <c r="AF518" s="239">
        <f t="shared" si="197"/>
        <v>7.5310163320779155</v>
      </c>
      <c r="AG518" s="239">
        <f t="shared" si="198"/>
        <v>7.5310163320779155</v>
      </c>
      <c r="AH518" s="240"/>
      <c r="AI518" s="240"/>
      <c r="AK518" s="265">
        <f t="shared" si="199"/>
        <v>3730</v>
      </c>
      <c r="AL518" s="265">
        <f t="shared" si="200"/>
        <v>3730</v>
      </c>
      <c r="AM518" s="239">
        <f t="shared" si="201"/>
        <v>8.2241635126378618</v>
      </c>
      <c r="AN518" s="239">
        <f t="shared" si="202"/>
        <v>8.2241635126378618</v>
      </c>
      <c r="AO518" s="240"/>
      <c r="AP518" s="240"/>
      <c r="AR518" s="265">
        <f t="shared" si="191"/>
        <v>11062.399722762262</v>
      </c>
      <c r="AS518" s="265">
        <f t="shared" si="192"/>
        <v>11045.662510888544</v>
      </c>
      <c r="AT518" s="239">
        <f t="shared" si="203"/>
        <v>9.3113072246660398</v>
      </c>
      <c r="AU518" s="239">
        <f t="shared" si="204"/>
        <v>9.3097930969334097</v>
      </c>
      <c r="BA518" s="238"/>
      <c r="BB518" s="238"/>
      <c r="BC518" s="238"/>
      <c r="BD518" s="125"/>
      <c r="BE518" s="125"/>
      <c r="BF518" s="136"/>
      <c r="BG518" s="136"/>
      <c r="BH518" s="136"/>
      <c r="BI518" s="136"/>
    </row>
    <row r="519" spans="1:61" s="422" customFormat="1" ht="13.5" thickBot="1" x14ac:dyDescent="0.25">
      <c r="A519" s="412" t="s">
        <v>197</v>
      </c>
      <c r="B519" s="412" t="s">
        <v>201</v>
      </c>
      <c r="C519" s="486" t="s">
        <v>57</v>
      </c>
      <c r="D519" s="487" t="s">
        <v>328</v>
      </c>
      <c r="E519" s="438">
        <v>5.2</v>
      </c>
      <c r="F519" s="488">
        <f t="shared" si="194"/>
        <v>3.1034482758620694</v>
      </c>
      <c r="G519" s="438">
        <v>1.8</v>
      </c>
      <c r="H519" s="438">
        <v>2.2000000000000002</v>
      </c>
      <c r="I519" s="438">
        <v>4.0999999999999996</v>
      </c>
      <c r="J519" s="438">
        <v>1</v>
      </c>
      <c r="K519" s="438">
        <v>7</v>
      </c>
      <c r="L519" s="438">
        <v>28</v>
      </c>
      <c r="M519" s="438" t="s">
        <v>104</v>
      </c>
      <c r="N519" s="345">
        <v>727</v>
      </c>
      <c r="O519" s="417">
        <f t="shared" si="196"/>
        <v>728</v>
      </c>
      <c r="P519" s="489" t="s">
        <v>203</v>
      </c>
      <c r="Q519" s="489"/>
      <c r="R519" s="418">
        <v>2</v>
      </c>
      <c r="S519" s="347">
        <v>0.71799999999999997</v>
      </c>
      <c r="T519" s="492" t="s">
        <v>65</v>
      </c>
      <c r="U519" s="350"/>
      <c r="V519" s="419"/>
      <c r="W519" s="419"/>
      <c r="X519" s="419"/>
      <c r="Y519" s="341">
        <v>0.71699999999999997</v>
      </c>
      <c r="Z519" s="490" t="s">
        <v>65</v>
      </c>
      <c r="AA519" s="341"/>
      <c r="AB519" s="490"/>
      <c r="AC519" s="490"/>
      <c r="AD519" s="490"/>
      <c r="AE519" s="350"/>
      <c r="AF519" s="420">
        <f t="shared" si="197"/>
        <v>6.5889264775335192</v>
      </c>
      <c r="AG519" s="420">
        <f t="shared" si="198"/>
        <v>6.5903010481966859</v>
      </c>
      <c r="AH519" s="421"/>
      <c r="AI519" s="421"/>
      <c r="AK519" s="423">
        <f t="shared" si="199"/>
        <v>1454</v>
      </c>
      <c r="AL519" s="423">
        <f t="shared" si="200"/>
        <v>1455</v>
      </c>
      <c r="AM519" s="420">
        <f t="shared" si="201"/>
        <v>7.2820736580934646</v>
      </c>
      <c r="AN519" s="420">
        <f t="shared" si="202"/>
        <v>7.2827611796055933</v>
      </c>
      <c r="AO519" s="421"/>
      <c r="AP519" s="421"/>
      <c r="AR519" s="423">
        <f t="shared" si="191"/>
        <v>4312.2598383100076</v>
      </c>
      <c r="AS519" s="423">
        <f t="shared" si="192"/>
        <v>4308.6967703331993</v>
      </c>
      <c r="AT519" s="420">
        <f t="shared" si="203"/>
        <v>8.3692173701216444</v>
      </c>
      <c r="AU519" s="420">
        <f t="shared" si="204"/>
        <v>8.3683907639011412</v>
      </c>
      <c r="AV519" s="424"/>
      <c r="AW519" s="424"/>
      <c r="BD519" s="424"/>
      <c r="BE519" s="424"/>
    </row>
    <row r="520" spans="1:61" ht="13.5" thickTop="1" x14ac:dyDescent="0.2">
      <c r="A520" s="232" t="s">
        <v>197</v>
      </c>
      <c r="B520" s="232" t="s">
        <v>260</v>
      </c>
      <c r="C520" s="264" t="s">
        <v>341</v>
      </c>
      <c r="D520" s="483" t="s">
        <v>385</v>
      </c>
      <c r="E520" s="405">
        <v>4.4000000000000004</v>
      </c>
      <c r="F520" s="278">
        <f t="shared" si="194"/>
        <v>52.931034482758626</v>
      </c>
      <c r="G520" s="405">
        <v>30.7</v>
      </c>
      <c r="H520" s="278">
        <v>58.8</v>
      </c>
      <c r="I520" s="405">
        <v>41.7</v>
      </c>
      <c r="J520" s="405">
        <v>3</v>
      </c>
      <c r="K520" s="405">
        <v>7</v>
      </c>
      <c r="L520" s="405">
        <v>28</v>
      </c>
      <c r="M520" s="405" t="s">
        <v>104</v>
      </c>
      <c r="N520" s="235">
        <v>945</v>
      </c>
      <c r="O520" s="386">
        <f t="shared" si="196"/>
        <v>948</v>
      </c>
      <c r="P520" s="484" t="s">
        <v>204</v>
      </c>
      <c r="Q520" s="484"/>
      <c r="R520" s="387">
        <v>2</v>
      </c>
      <c r="S520" s="292">
        <v>1.175</v>
      </c>
      <c r="T520" s="301" t="s">
        <v>65</v>
      </c>
      <c r="U520" s="285"/>
      <c r="V520" s="388"/>
      <c r="W520" s="388"/>
      <c r="X520" s="388"/>
      <c r="Y520" s="292">
        <v>1.1739999999999999</v>
      </c>
      <c r="Z520" s="301" t="s">
        <v>65</v>
      </c>
      <c r="AA520" s="292"/>
      <c r="AB520" s="301"/>
      <c r="AC520" s="301"/>
      <c r="AD520" s="301"/>
      <c r="AE520" s="285"/>
      <c r="AF520" s="239">
        <f t="shared" si="197"/>
        <v>6.8511849274937431</v>
      </c>
      <c r="AG520" s="239">
        <f t="shared" si="198"/>
        <v>6.8543545022550214</v>
      </c>
      <c r="AH520" s="240"/>
      <c r="AI520" s="240"/>
      <c r="AK520" s="265">
        <f t="shared" si="199"/>
        <v>1890</v>
      </c>
      <c r="AL520" s="265">
        <f t="shared" si="200"/>
        <v>1893</v>
      </c>
      <c r="AM520" s="239">
        <f t="shared" si="201"/>
        <v>7.5443321080536885</v>
      </c>
      <c r="AN520" s="239">
        <f t="shared" si="202"/>
        <v>7.5459181512093227</v>
      </c>
      <c r="AO520" s="240"/>
      <c r="AP520" s="240"/>
      <c r="AR520" s="265">
        <f t="shared" si="191"/>
        <v>235.74551874044485</v>
      </c>
      <c r="AS520" s="265">
        <f t="shared" si="192"/>
        <v>236.53838819907773</v>
      </c>
      <c r="AT520" s="239">
        <f t="shared" si="203"/>
        <v>5.462752912808809</v>
      </c>
      <c r="AU520" s="239">
        <f t="shared" si="204"/>
        <v>5.4661105127263543</v>
      </c>
      <c r="AX520" s="265">
        <f>GEOMEAN(AR520:AR527)</f>
        <v>1210.3262392543961</v>
      </c>
      <c r="AY520" s="265">
        <f>GEOMEAN(AS520:AS527)</f>
        <v>1213.3869269117972</v>
      </c>
      <c r="AZ520" s="265">
        <f>MIN(AX520:AX527)</f>
        <v>1210.3262392543961</v>
      </c>
      <c r="BA520" s="265">
        <f>MIN(AY520:AY527)</f>
        <v>1213.3869269117972</v>
      </c>
      <c r="BB520" s="239">
        <f>LN(AZ520)</f>
        <v>7.0986452214685665</v>
      </c>
      <c r="BC520" s="239">
        <f>LN(BA520)</f>
        <v>7.1011708415188881</v>
      </c>
      <c r="BD520" s="240"/>
      <c r="BE520" s="240"/>
      <c r="BF520" s="136"/>
      <c r="BG520" s="136"/>
      <c r="BH520" s="136"/>
      <c r="BI520" s="136"/>
    </row>
    <row r="521" spans="1:61" x14ac:dyDescent="0.2">
      <c r="A521" s="232" t="s">
        <v>197</v>
      </c>
      <c r="B521" s="232" t="s">
        <v>260</v>
      </c>
      <c r="C521" s="264" t="s">
        <v>341</v>
      </c>
      <c r="D521" s="483" t="s">
        <v>385</v>
      </c>
      <c r="E521" s="405">
        <v>5</v>
      </c>
      <c r="F521" s="278">
        <f t="shared" si="194"/>
        <v>3.4482758620689657</v>
      </c>
      <c r="G521" s="405">
        <v>2</v>
      </c>
      <c r="H521" s="405">
        <v>3.3</v>
      </c>
      <c r="I521" s="405">
        <v>4.2</v>
      </c>
      <c r="J521" s="405">
        <v>1</v>
      </c>
      <c r="K521" s="405">
        <v>7</v>
      </c>
      <c r="L521" s="405">
        <v>28</v>
      </c>
      <c r="M521" s="405" t="s">
        <v>104</v>
      </c>
      <c r="N521" s="235">
        <v>54</v>
      </c>
      <c r="O521" s="386">
        <f t="shared" si="196"/>
        <v>55</v>
      </c>
      <c r="P521" s="484" t="s">
        <v>204</v>
      </c>
      <c r="Q521" s="484"/>
      <c r="R521" s="387">
        <v>2</v>
      </c>
      <c r="S521" s="292">
        <v>1.175</v>
      </c>
      <c r="T521" s="301" t="s">
        <v>65</v>
      </c>
      <c r="U521" s="285"/>
      <c r="V521" s="388"/>
      <c r="W521" s="388"/>
      <c r="X521" s="388"/>
      <c r="Y521" s="292">
        <v>1.1739999999999999</v>
      </c>
      <c r="Z521" s="301" t="s">
        <v>65</v>
      </c>
      <c r="AA521" s="292"/>
      <c r="AB521" s="301"/>
      <c r="AC521" s="301"/>
      <c r="AD521" s="301"/>
      <c r="AE521" s="285"/>
      <c r="AF521" s="239">
        <f t="shared" si="197"/>
        <v>3.9889840465642745</v>
      </c>
      <c r="AG521" s="239">
        <f t="shared" si="198"/>
        <v>4.0073331852324712</v>
      </c>
      <c r="AH521" s="240"/>
      <c r="AI521" s="240"/>
      <c r="AK521" s="265">
        <f t="shared" si="199"/>
        <v>108</v>
      </c>
      <c r="AL521" s="265">
        <f t="shared" si="200"/>
        <v>109</v>
      </c>
      <c r="AM521" s="239">
        <f t="shared" si="201"/>
        <v>4.6821312271242199</v>
      </c>
      <c r="AN521" s="239">
        <f t="shared" si="202"/>
        <v>4.6913478822291435</v>
      </c>
      <c r="AO521" s="240"/>
      <c r="AP521" s="240"/>
      <c r="AR521" s="265">
        <f t="shared" si="191"/>
        <v>397.34694301976918</v>
      </c>
      <c r="AS521" s="265">
        <f t="shared" si="192"/>
        <v>400.58172511928183</v>
      </c>
      <c r="AT521" s="239">
        <f t="shared" si="203"/>
        <v>5.9848098109371124</v>
      </c>
      <c r="AU521" s="239">
        <f t="shared" si="204"/>
        <v>5.992917803417515</v>
      </c>
      <c r="BA521" s="238"/>
      <c r="BB521" s="238"/>
      <c r="BC521" s="238"/>
      <c r="BD521" s="125"/>
      <c r="BE521" s="125"/>
      <c r="BF521" s="136"/>
      <c r="BG521" s="136"/>
      <c r="BH521" s="136"/>
      <c r="BI521" s="136"/>
    </row>
    <row r="522" spans="1:61" x14ac:dyDescent="0.2">
      <c r="A522" s="232" t="s">
        <v>197</v>
      </c>
      <c r="B522" s="232" t="s">
        <v>260</v>
      </c>
      <c r="C522" s="264" t="s">
        <v>341</v>
      </c>
      <c r="D522" s="483" t="s">
        <v>385</v>
      </c>
      <c r="E522" s="405">
        <v>5.2</v>
      </c>
      <c r="F522" s="278">
        <f t="shared" si="194"/>
        <v>4.8275862068965516</v>
      </c>
      <c r="G522" s="405">
        <v>2.8</v>
      </c>
      <c r="H522" s="405">
        <v>2.2000000000000002</v>
      </c>
      <c r="I522" s="405">
        <v>6.3</v>
      </c>
      <c r="J522" s="405">
        <v>0</v>
      </c>
      <c r="K522" s="405">
        <v>7</v>
      </c>
      <c r="L522" s="405">
        <v>28</v>
      </c>
      <c r="M522" s="405" t="s">
        <v>104</v>
      </c>
      <c r="N522" s="235">
        <v>35</v>
      </c>
      <c r="O522" s="386">
        <f t="shared" si="196"/>
        <v>35</v>
      </c>
      <c r="P522" s="484" t="s">
        <v>204</v>
      </c>
      <c r="Q522" s="484"/>
      <c r="R522" s="387">
        <v>2</v>
      </c>
      <c r="S522" s="292">
        <v>1.175</v>
      </c>
      <c r="T522" s="301" t="s">
        <v>65</v>
      </c>
      <c r="U522" s="285"/>
      <c r="V522" s="388"/>
      <c r="W522" s="388"/>
      <c r="X522" s="388"/>
      <c r="Y522" s="292">
        <v>1.1739999999999999</v>
      </c>
      <c r="Z522" s="301" t="s">
        <v>65</v>
      </c>
      <c r="AA522" s="292"/>
      <c r="AB522" s="301"/>
      <c r="AC522" s="301"/>
      <c r="AD522" s="301"/>
      <c r="AE522" s="285"/>
      <c r="AF522" s="239">
        <f t="shared" si="197"/>
        <v>3.5553480614894135</v>
      </c>
      <c r="AG522" s="239">
        <f t="shared" si="198"/>
        <v>3.5553480614894135</v>
      </c>
      <c r="AH522" s="240"/>
      <c r="AI522" s="240"/>
      <c r="AK522" s="265">
        <f t="shared" si="199"/>
        <v>70</v>
      </c>
      <c r="AL522" s="265">
        <f t="shared" si="200"/>
        <v>70</v>
      </c>
      <c r="AM522" s="239">
        <f t="shared" si="201"/>
        <v>4.2484952420493594</v>
      </c>
      <c r="AN522" s="239">
        <f t="shared" si="202"/>
        <v>4.2484952420493594</v>
      </c>
      <c r="AO522" s="240"/>
      <c r="AP522" s="240"/>
      <c r="AR522" s="265">
        <f t="shared" si="191"/>
        <v>414.71657200727975</v>
      </c>
      <c r="AS522" s="265">
        <f t="shared" si="192"/>
        <v>414.08911329061931</v>
      </c>
      <c r="AT522" s="239">
        <f t="shared" si="203"/>
        <v>6.0275953278893457</v>
      </c>
      <c r="AU522" s="239">
        <f t="shared" si="204"/>
        <v>6.0260812001567157</v>
      </c>
      <c r="BA522" s="238"/>
      <c r="BB522" s="238"/>
      <c r="BC522" s="238"/>
      <c r="BD522" s="125"/>
      <c r="BE522" s="125"/>
      <c r="BF522" s="136"/>
      <c r="BG522" s="136"/>
      <c r="BH522" s="136"/>
      <c r="BI522" s="136"/>
    </row>
    <row r="523" spans="1:61" x14ac:dyDescent="0.2">
      <c r="A523" s="232" t="s">
        <v>197</v>
      </c>
      <c r="B523" s="232" t="s">
        <v>260</v>
      </c>
      <c r="C523" s="264" t="s">
        <v>341</v>
      </c>
      <c r="D523" s="483" t="s">
        <v>385</v>
      </c>
      <c r="E523" s="405">
        <v>5.2</v>
      </c>
      <c r="F523" s="278">
        <f t="shared" si="194"/>
        <v>3.1034482758620694</v>
      </c>
      <c r="G523" s="405">
        <v>1.8</v>
      </c>
      <c r="H523" s="405">
        <v>2.2000000000000002</v>
      </c>
      <c r="I523" s="405">
        <v>4.0999999999999996</v>
      </c>
      <c r="J523" s="405">
        <v>1</v>
      </c>
      <c r="K523" s="405">
        <v>7</v>
      </c>
      <c r="L523" s="405">
        <v>28</v>
      </c>
      <c r="M523" s="405" t="s">
        <v>104</v>
      </c>
      <c r="N523" s="235">
        <v>57</v>
      </c>
      <c r="O523" s="386">
        <f t="shared" si="196"/>
        <v>58</v>
      </c>
      <c r="P523" s="484" t="s">
        <v>204</v>
      </c>
      <c r="Q523" s="484"/>
      <c r="R523" s="387">
        <v>2</v>
      </c>
      <c r="S523" s="292">
        <v>1.175</v>
      </c>
      <c r="T523" s="301" t="s">
        <v>65</v>
      </c>
      <c r="U523" s="285"/>
      <c r="V523" s="388"/>
      <c r="W523" s="388"/>
      <c r="X523" s="388"/>
      <c r="Y523" s="292">
        <v>1.1739999999999999</v>
      </c>
      <c r="Z523" s="301" t="s">
        <v>65</v>
      </c>
      <c r="AA523" s="292"/>
      <c r="AB523" s="301"/>
      <c r="AC523" s="301"/>
      <c r="AD523" s="301"/>
      <c r="AE523" s="285"/>
      <c r="AF523" s="239">
        <f t="shared" si="197"/>
        <v>4.0430512678345503</v>
      </c>
      <c r="AG523" s="239">
        <f t="shared" si="198"/>
        <v>4.0604430105464191</v>
      </c>
      <c r="AH523" s="240"/>
      <c r="AI523" s="240"/>
      <c r="AK523" s="265">
        <f t="shared" si="199"/>
        <v>114</v>
      </c>
      <c r="AL523" s="265">
        <f t="shared" si="200"/>
        <v>115</v>
      </c>
      <c r="AM523" s="239">
        <f t="shared" si="201"/>
        <v>4.7361984483944957</v>
      </c>
      <c r="AN523" s="239">
        <f t="shared" si="202"/>
        <v>4.7449321283632502</v>
      </c>
      <c r="AO523" s="240"/>
      <c r="AP523" s="240"/>
      <c r="AR523" s="265">
        <f t="shared" si="191"/>
        <v>675.39556012614128</v>
      </c>
      <c r="AS523" s="265">
        <f t="shared" si="192"/>
        <v>680.28925754887462</v>
      </c>
      <c r="AT523" s="239">
        <f t="shared" si="203"/>
        <v>6.515298534234482</v>
      </c>
      <c r="AU523" s="239">
        <f t="shared" si="204"/>
        <v>6.5225180864706065</v>
      </c>
      <c r="BA523" s="238"/>
      <c r="BB523" s="238"/>
      <c r="BC523" s="238"/>
      <c r="BD523" s="125"/>
      <c r="BE523" s="125"/>
      <c r="BF523" s="136"/>
      <c r="BG523" s="136"/>
      <c r="BH523" s="136"/>
      <c r="BI523" s="136"/>
    </row>
    <row r="524" spans="1:61" x14ac:dyDescent="0.2">
      <c r="A524" s="232" t="s">
        <v>197</v>
      </c>
      <c r="B524" s="232" t="s">
        <v>260</v>
      </c>
      <c r="C524" s="264" t="s">
        <v>341</v>
      </c>
      <c r="D524" s="483" t="s">
        <v>385</v>
      </c>
      <c r="E524" s="405">
        <v>6.7</v>
      </c>
      <c r="F524" s="278">
        <f t="shared" si="194"/>
        <v>1.5517241379310347</v>
      </c>
      <c r="G524" s="405">
        <v>0.9</v>
      </c>
      <c r="H524" s="405">
        <v>13.3</v>
      </c>
      <c r="I524" s="405">
        <v>12.2</v>
      </c>
      <c r="J524" s="405">
        <v>1</v>
      </c>
      <c r="K524" s="405">
        <v>7</v>
      </c>
      <c r="L524" s="405">
        <v>28</v>
      </c>
      <c r="M524" s="405" t="s">
        <v>104</v>
      </c>
      <c r="N524" s="235">
        <v>3544</v>
      </c>
      <c r="O524" s="386">
        <f t="shared" si="196"/>
        <v>3545</v>
      </c>
      <c r="P524" s="484" t="s">
        <v>204</v>
      </c>
      <c r="Q524" s="484"/>
      <c r="R524" s="387">
        <v>2</v>
      </c>
      <c r="S524" s="292">
        <v>1.175</v>
      </c>
      <c r="T524" s="301" t="s">
        <v>65</v>
      </c>
      <c r="U524" s="285"/>
      <c r="V524" s="388"/>
      <c r="W524" s="388"/>
      <c r="X524" s="388"/>
      <c r="Y524" s="292">
        <v>1.1739999999999999</v>
      </c>
      <c r="Z524" s="301" t="s">
        <v>65</v>
      </c>
      <c r="AA524" s="292"/>
      <c r="AB524" s="301"/>
      <c r="AC524" s="301"/>
      <c r="AD524" s="301"/>
      <c r="AE524" s="285"/>
      <c r="AF524" s="239">
        <f t="shared" si="197"/>
        <v>8.1730113117249719</v>
      </c>
      <c r="AG524" s="239">
        <f t="shared" si="198"/>
        <v>8.173293438966228</v>
      </c>
      <c r="AH524" s="240"/>
      <c r="AI524" s="240"/>
      <c r="AK524" s="265">
        <f t="shared" si="199"/>
        <v>7088</v>
      </c>
      <c r="AL524" s="265">
        <f t="shared" si="200"/>
        <v>7089</v>
      </c>
      <c r="AM524" s="239">
        <f t="shared" si="201"/>
        <v>8.8661584922849173</v>
      </c>
      <c r="AN524" s="239">
        <f t="shared" si="202"/>
        <v>8.8662995658550177</v>
      </c>
      <c r="AO524" s="240"/>
      <c r="AP524" s="240"/>
      <c r="AR524" s="265">
        <f t="shared" si="191"/>
        <v>5069.8840939008269</v>
      </c>
      <c r="AS524" s="265">
        <f t="shared" si="192"/>
        <v>5072.0456053752168</v>
      </c>
      <c r="AT524" s="239">
        <f t="shared" si="203"/>
        <v>8.5310732351603633</v>
      </c>
      <c r="AU524" s="239">
        <f t="shared" si="204"/>
        <v>8.5314994876726971</v>
      </c>
      <c r="BA524" s="238"/>
      <c r="BB524" s="238"/>
      <c r="BC524" s="238"/>
      <c r="BD524" s="125"/>
      <c r="BE524" s="125"/>
      <c r="BF524" s="136"/>
      <c r="BG524" s="136"/>
      <c r="BH524" s="136"/>
      <c r="BI524" s="136"/>
    </row>
    <row r="525" spans="1:61" x14ac:dyDescent="0.2">
      <c r="A525" s="232" t="s">
        <v>197</v>
      </c>
      <c r="B525" s="232" t="s">
        <v>260</v>
      </c>
      <c r="C525" s="264" t="s">
        <v>341</v>
      </c>
      <c r="D525" s="483" t="s">
        <v>385</v>
      </c>
      <c r="E525" s="405">
        <v>6.8</v>
      </c>
      <c r="F525" s="278">
        <f t="shared" si="194"/>
        <v>1.0344827586206897</v>
      </c>
      <c r="G525" s="405">
        <v>0.6</v>
      </c>
      <c r="H525" s="405">
        <v>34.700000000000003</v>
      </c>
      <c r="I525" s="405">
        <v>14.2</v>
      </c>
      <c r="J525" s="405">
        <v>2</v>
      </c>
      <c r="K525" s="405">
        <v>7</v>
      </c>
      <c r="L525" s="405">
        <v>28</v>
      </c>
      <c r="M525" s="405" t="s">
        <v>104</v>
      </c>
      <c r="N525" s="235">
        <v>3551</v>
      </c>
      <c r="O525" s="386">
        <f t="shared" si="196"/>
        <v>3553</v>
      </c>
      <c r="P525" s="484" t="s">
        <v>204</v>
      </c>
      <c r="Q525" s="484"/>
      <c r="R525" s="387">
        <v>2</v>
      </c>
      <c r="S525" s="292">
        <v>1.175</v>
      </c>
      <c r="T525" s="301" t="s">
        <v>65</v>
      </c>
      <c r="U525" s="285"/>
      <c r="V525" s="388"/>
      <c r="W525" s="388"/>
      <c r="X525" s="388"/>
      <c r="Y525" s="292">
        <v>1.1739999999999999</v>
      </c>
      <c r="Z525" s="301" t="s">
        <v>65</v>
      </c>
      <c r="AA525" s="292"/>
      <c r="AB525" s="301"/>
      <c r="AC525" s="301"/>
      <c r="AD525" s="301"/>
      <c r="AE525" s="285"/>
      <c r="AF525" s="239">
        <f t="shared" si="197"/>
        <v>8.1749845329430872</v>
      </c>
      <c r="AG525" s="239">
        <f t="shared" si="198"/>
        <v>8.1755475960210262</v>
      </c>
      <c r="AH525" s="240"/>
      <c r="AI525" s="240"/>
      <c r="AK525" s="265">
        <f t="shared" si="199"/>
        <v>7102</v>
      </c>
      <c r="AL525" s="265">
        <f t="shared" si="200"/>
        <v>7104</v>
      </c>
      <c r="AM525" s="239">
        <f t="shared" si="201"/>
        <v>8.8681317135030326</v>
      </c>
      <c r="AN525" s="239">
        <f t="shared" si="202"/>
        <v>8.8684132846720054</v>
      </c>
      <c r="AO525" s="240"/>
      <c r="AP525" s="240"/>
      <c r="AR525" s="265">
        <f t="shared" si="191"/>
        <v>1646.2414601726939</v>
      </c>
      <c r="AS525" s="265">
        <f t="shared" si="192"/>
        <v>1648.7550902479575</v>
      </c>
      <c r="AT525" s="239">
        <f t="shared" si="203"/>
        <v>7.4062500656014807</v>
      </c>
      <c r="AU525" s="239">
        <f t="shared" si="204"/>
        <v>7.4077757913644131</v>
      </c>
      <c r="BA525" s="238"/>
      <c r="BB525" s="238"/>
      <c r="BC525" s="238"/>
      <c r="BD525" s="125"/>
      <c r="BE525" s="125"/>
      <c r="BF525" s="136"/>
      <c r="BG525" s="136"/>
      <c r="BH525" s="136"/>
      <c r="BI525" s="136"/>
    </row>
    <row r="526" spans="1:61" x14ac:dyDescent="0.2">
      <c r="A526" s="232" t="s">
        <v>197</v>
      </c>
      <c r="B526" s="232" t="s">
        <v>260</v>
      </c>
      <c r="C526" s="264" t="s">
        <v>341</v>
      </c>
      <c r="D526" s="483" t="s">
        <v>385</v>
      </c>
      <c r="E526" s="405">
        <v>7.3</v>
      </c>
      <c r="F526" s="278">
        <f t="shared" si="194"/>
        <v>2.2413793103448278</v>
      </c>
      <c r="G526" s="405">
        <v>1.3</v>
      </c>
      <c r="H526" s="405">
        <v>12.5</v>
      </c>
      <c r="I526" s="405">
        <v>14.3</v>
      </c>
      <c r="J526" s="405">
        <v>1</v>
      </c>
      <c r="K526" s="405">
        <v>7</v>
      </c>
      <c r="L526" s="405">
        <v>28</v>
      </c>
      <c r="M526" s="405" t="s">
        <v>104</v>
      </c>
      <c r="N526" s="235">
        <v>3550</v>
      </c>
      <c r="O526" s="386">
        <f t="shared" si="196"/>
        <v>3551</v>
      </c>
      <c r="P526" s="484" t="s">
        <v>204</v>
      </c>
      <c r="Q526" s="484"/>
      <c r="R526" s="387">
        <v>2</v>
      </c>
      <c r="S526" s="292">
        <v>1.175</v>
      </c>
      <c r="T526" s="301" t="s">
        <v>65</v>
      </c>
      <c r="U526" s="285"/>
      <c r="V526" s="388"/>
      <c r="W526" s="388"/>
      <c r="X526" s="388"/>
      <c r="Y526" s="292">
        <v>1.1739999999999999</v>
      </c>
      <c r="Z526" s="301" t="s">
        <v>65</v>
      </c>
      <c r="AA526" s="292"/>
      <c r="AB526" s="301"/>
      <c r="AC526" s="301"/>
      <c r="AD526" s="301"/>
      <c r="AE526" s="285"/>
      <c r="AF526" s="239">
        <f t="shared" si="197"/>
        <v>8.174702882469461</v>
      </c>
      <c r="AG526" s="239">
        <f t="shared" si="198"/>
        <v>8.1749845329430872</v>
      </c>
      <c r="AH526" s="240"/>
      <c r="AI526" s="240"/>
      <c r="AK526" s="265">
        <f t="shared" si="199"/>
        <v>7100</v>
      </c>
      <c r="AL526" s="265">
        <f t="shared" si="200"/>
        <v>7101</v>
      </c>
      <c r="AM526" s="239">
        <f t="shared" si="201"/>
        <v>8.8678500630294064</v>
      </c>
      <c r="AN526" s="239">
        <f t="shared" si="202"/>
        <v>8.867990898182093</v>
      </c>
      <c r="AO526" s="240"/>
      <c r="AP526" s="240"/>
      <c r="AR526" s="265">
        <f t="shared" si="191"/>
        <v>5462.4702339974301</v>
      </c>
      <c r="AS526" s="265">
        <f t="shared" si="192"/>
        <v>5464.4588187131349</v>
      </c>
      <c r="AT526" s="239">
        <f t="shared" si="203"/>
        <v>8.605656390235211</v>
      </c>
      <c r="AU526" s="239">
        <f t="shared" si="204"/>
        <v>8.6060203689392107</v>
      </c>
      <c r="BA526" s="238"/>
      <c r="BB526" s="238"/>
      <c r="BC526" s="238"/>
      <c r="BD526" s="125"/>
      <c r="BE526" s="125"/>
      <c r="BF526" s="136"/>
      <c r="BG526" s="136"/>
      <c r="BH526" s="136"/>
      <c r="BI526" s="136"/>
    </row>
    <row r="527" spans="1:61" s="165" customFormat="1" x14ac:dyDescent="0.2">
      <c r="A527" s="156" t="s">
        <v>197</v>
      </c>
      <c r="B527" s="156" t="s">
        <v>260</v>
      </c>
      <c r="C527" s="442" t="s">
        <v>341</v>
      </c>
      <c r="D527" s="364" t="s">
        <v>385</v>
      </c>
      <c r="E527" s="160">
        <v>7.8</v>
      </c>
      <c r="F527" s="159">
        <f t="shared" si="194"/>
        <v>1.3793103448275863</v>
      </c>
      <c r="G527" s="160">
        <v>0.8</v>
      </c>
      <c r="H527" s="160">
        <v>18</v>
      </c>
      <c r="I527" s="160">
        <v>14.1</v>
      </c>
      <c r="J527" s="160">
        <v>1</v>
      </c>
      <c r="K527" s="160">
        <v>7</v>
      </c>
      <c r="L527" s="160">
        <v>28</v>
      </c>
      <c r="M527" s="160" t="s">
        <v>104</v>
      </c>
      <c r="N527" s="231">
        <v>3840</v>
      </c>
      <c r="O527" s="396">
        <f t="shared" si="196"/>
        <v>3841</v>
      </c>
      <c r="P527" s="485" t="s">
        <v>204</v>
      </c>
      <c r="Q527" s="485"/>
      <c r="R527" s="361">
        <v>2</v>
      </c>
      <c r="S527" s="328">
        <v>1.175</v>
      </c>
      <c r="T527" s="314" t="s">
        <v>65</v>
      </c>
      <c r="U527" s="163"/>
      <c r="V527" s="162"/>
      <c r="W527" s="162"/>
      <c r="X527" s="162"/>
      <c r="Y527" s="328">
        <v>1.1739999999999999</v>
      </c>
      <c r="Z527" s="314" t="s">
        <v>65</v>
      </c>
      <c r="AA527" s="328"/>
      <c r="AB527" s="314"/>
      <c r="AC527" s="314"/>
      <c r="AD527" s="314"/>
      <c r="AE527" s="163"/>
      <c r="AF527" s="166">
        <f t="shared" si="197"/>
        <v>8.2532276455817719</v>
      </c>
      <c r="AG527" s="166">
        <f t="shared" si="198"/>
        <v>8.2534880283459042</v>
      </c>
      <c r="AH527" s="169"/>
      <c r="AI527" s="169"/>
      <c r="AK527" s="168">
        <f t="shared" si="199"/>
        <v>7680</v>
      </c>
      <c r="AL527" s="168">
        <f t="shared" si="200"/>
        <v>7681</v>
      </c>
      <c r="AM527" s="166">
        <f t="shared" si="201"/>
        <v>8.9463748261417173</v>
      </c>
      <c r="AN527" s="166">
        <f t="shared" si="202"/>
        <v>8.9465050259986825</v>
      </c>
      <c r="AO527" s="169"/>
      <c r="AP527" s="169"/>
      <c r="AR527" s="168">
        <f t="shared" si="191"/>
        <v>3849.6037306544354</v>
      </c>
      <c r="AS527" s="168">
        <f t="shared" si="192"/>
        <v>3852.3686867293895</v>
      </c>
      <c r="AT527" s="166">
        <f t="shared" si="203"/>
        <v>8.2557254948817285</v>
      </c>
      <c r="AU527" s="166">
        <f t="shared" si="204"/>
        <v>8.2564434814035934</v>
      </c>
      <c r="AV527" s="167"/>
      <c r="AW527" s="167"/>
      <c r="BD527" s="167"/>
      <c r="BE527" s="167"/>
    </row>
    <row r="528" spans="1:61" x14ac:dyDescent="0.2">
      <c r="A528" s="232" t="s">
        <v>197</v>
      </c>
      <c r="B528" s="232" t="s">
        <v>260</v>
      </c>
      <c r="C528" s="264" t="s">
        <v>341</v>
      </c>
      <c r="D528" s="483" t="s">
        <v>304</v>
      </c>
      <c r="E528" s="405">
        <v>5.2</v>
      </c>
      <c r="F528" s="278">
        <f t="shared" si="194"/>
        <v>4.8275862068965516</v>
      </c>
      <c r="G528" s="405">
        <v>2.8</v>
      </c>
      <c r="H528" s="405">
        <v>2.2000000000000002</v>
      </c>
      <c r="I528" s="405">
        <v>6.3</v>
      </c>
      <c r="J528" s="405">
        <v>0</v>
      </c>
      <c r="K528" s="405">
        <v>7</v>
      </c>
      <c r="L528" s="405">
        <v>1</v>
      </c>
      <c r="M528" s="405" t="s">
        <v>93</v>
      </c>
      <c r="N528" s="235">
        <v>10</v>
      </c>
      <c r="O528" s="386">
        <f t="shared" si="196"/>
        <v>10</v>
      </c>
      <c r="P528" s="484" t="s">
        <v>204</v>
      </c>
      <c r="Q528" s="484"/>
      <c r="R528" s="387">
        <v>2</v>
      </c>
      <c r="S528" s="292">
        <v>0.72799999999999998</v>
      </c>
      <c r="T528" s="301" t="s">
        <v>65</v>
      </c>
      <c r="U528" s="285"/>
      <c r="V528" s="388"/>
      <c r="W528" s="388"/>
      <c r="X528" s="388"/>
      <c r="Y528" s="292">
        <v>0.72799999999999998</v>
      </c>
      <c r="Z528" s="301" t="s">
        <v>65</v>
      </c>
      <c r="AA528" s="292"/>
      <c r="AB528" s="301"/>
      <c r="AC528" s="301"/>
      <c r="AD528" s="301"/>
      <c r="AE528" s="285"/>
      <c r="AF528" s="239">
        <f t="shared" si="197"/>
        <v>2.3025850929940459</v>
      </c>
      <c r="AG528" s="239">
        <f t="shared" si="198"/>
        <v>2.3025850929940459</v>
      </c>
      <c r="AH528" s="240"/>
      <c r="AI528" s="240"/>
      <c r="AK528" s="265">
        <f t="shared" si="199"/>
        <v>20</v>
      </c>
      <c r="AL528" s="265">
        <f t="shared" si="200"/>
        <v>20</v>
      </c>
      <c r="AM528" s="239">
        <f t="shared" si="201"/>
        <v>2.9957322735539909</v>
      </c>
      <c r="AN528" s="239">
        <f t="shared" si="202"/>
        <v>2.9957322735539909</v>
      </c>
      <c r="AO528" s="240"/>
      <c r="AP528" s="240"/>
      <c r="AR528" s="265">
        <f t="shared" si="191"/>
        <v>60.220767198947854</v>
      </c>
      <c r="AS528" s="265">
        <f t="shared" si="192"/>
        <v>60.220767198947854</v>
      </c>
      <c r="AT528" s="239">
        <f t="shared" si="203"/>
        <v>4.0980172629084679</v>
      </c>
      <c r="AU528" s="239">
        <f t="shared" si="204"/>
        <v>4.0980172629084679</v>
      </c>
      <c r="AX528" s="265">
        <f>GEOMEAN(AR528:AR533)</f>
        <v>347.75756443974029</v>
      </c>
      <c r="AY528" s="265">
        <f>GEOMEAN(AS528:AS533)</f>
        <v>349.81963978236121</v>
      </c>
      <c r="AZ528" s="265">
        <f>MIN(AX528:AX533)</f>
        <v>347.75756443974029</v>
      </c>
      <c r="BA528" s="265">
        <f>MIN(AY528:AY533)</f>
        <v>349.81963978236121</v>
      </c>
      <c r="BB528" s="239">
        <f>LN(AZ528)</f>
        <v>5.8515055830895877</v>
      </c>
      <c r="BC528" s="239">
        <f>LN(BA528)</f>
        <v>5.8574177067555615</v>
      </c>
      <c r="BD528" s="240"/>
      <c r="BE528" s="240"/>
      <c r="BF528" s="136"/>
      <c r="BG528" s="136"/>
      <c r="BH528" s="136"/>
      <c r="BI528" s="136"/>
    </row>
    <row r="529" spans="1:62" x14ac:dyDescent="0.2">
      <c r="A529" s="232" t="s">
        <v>197</v>
      </c>
      <c r="B529" s="232" t="s">
        <v>260</v>
      </c>
      <c r="C529" s="264" t="s">
        <v>341</v>
      </c>
      <c r="D529" s="483" t="s">
        <v>304</v>
      </c>
      <c r="E529" s="405">
        <v>5.2</v>
      </c>
      <c r="F529" s="278">
        <f t="shared" si="194"/>
        <v>3.1034482758620694</v>
      </c>
      <c r="G529" s="405">
        <v>1.8</v>
      </c>
      <c r="H529" s="405">
        <v>2.2000000000000002</v>
      </c>
      <c r="I529" s="405">
        <v>4.0999999999999996</v>
      </c>
      <c r="J529" s="405">
        <v>1</v>
      </c>
      <c r="K529" s="405">
        <v>7</v>
      </c>
      <c r="L529" s="405">
        <v>1</v>
      </c>
      <c r="M529" s="405" t="s">
        <v>104</v>
      </c>
      <c r="N529" s="235">
        <v>19</v>
      </c>
      <c r="O529" s="386">
        <f t="shared" si="196"/>
        <v>20</v>
      </c>
      <c r="P529" s="484" t="s">
        <v>204</v>
      </c>
      <c r="Q529" s="484"/>
      <c r="R529" s="387">
        <v>2</v>
      </c>
      <c r="S529" s="292">
        <v>0.72799999999999998</v>
      </c>
      <c r="T529" s="301" t="s">
        <v>65</v>
      </c>
      <c r="U529" s="285"/>
      <c r="V529" s="388"/>
      <c r="W529" s="388"/>
      <c r="X529" s="388"/>
      <c r="Y529" s="292">
        <v>0.72799999999999998</v>
      </c>
      <c r="Z529" s="301" t="s">
        <v>65</v>
      </c>
      <c r="AA529" s="292"/>
      <c r="AB529" s="301"/>
      <c r="AC529" s="301"/>
      <c r="AD529" s="301"/>
      <c r="AE529" s="285"/>
      <c r="AF529" s="239">
        <f t="shared" si="197"/>
        <v>2.9444389791664403</v>
      </c>
      <c r="AG529" s="239">
        <f t="shared" si="198"/>
        <v>2.9957322735539909</v>
      </c>
      <c r="AH529" s="240"/>
      <c r="AI529" s="240"/>
      <c r="AK529" s="265">
        <f t="shared" si="199"/>
        <v>38</v>
      </c>
      <c r="AL529" s="265">
        <f t="shared" si="200"/>
        <v>39</v>
      </c>
      <c r="AM529" s="239">
        <f t="shared" si="201"/>
        <v>3.6375861597263857</v>
      </c>
      <c r="AN529" s="239">
        <f t="shared" si="202"/>
        <v>3.6635616461296463</v>
      </c>
      <c r="AO529" s="240"/>
      <c r="AP529" s="240"/>
      <c r="AR529" s="265">
        <f t="shared" si="191"/>
        <v>114.41945767800092</v>
      </c>
      <c r="AS529" s="265">
        <f t="shared" si="192"/>
        <v>117.43049603794832</v>
      </c>
      <c r="AT529" s="239">
        <f t="shared" si="203"/>
        <v>4.7398711490808623</v>
      </c>
      <c r="AU529" s="239">
        <f t="shared" si="204"/>
        <v>4.7658466354841229</v>
      </c>
      <c r="BA529" s="238"/>
      <c r="BB529" s="238"/>
      <c r="BC529" s="238"/>
      <c r="BD529" s="125"/>
      <c r="BE529" s="125"/>
      <c r="BF529" s="136"/>
      <c r="BG529" s="136"/>
      <c r="BH529" s="136"/>
      <c r="BI529" s="136"/>
    </row>
    <row r="530" spans="1:62" x14ac:dyDescent="0.2">
      <c r="A530" s="232" t="s">
        <v>197</v>
      </c>
      <c r="B530" s="232" t="s">
        <v>260</v>
      </c>
      <c r="C530" s="264" t="s">
        <v>341</v>
      </c>
      <c r="D530" s="483" t="s">
        <v>304</v>
      </c>
      <c r="E530" s="405">
        <v>6.7</v>
      </c>
      <c r="F530" s="278">
        <f t="shared" si="194"/>
        <v>1.5517241379310347</v>
      </c>
      <c r="G530" s="405">
        <v>0.9</v>
      </c>
      <c r="H530" s="405">
        <v>13.3</v>
      </c>
      <c r="I530" s="405">
        <v>12.2</v>
      </c>
      <c r="J530" s="405">
        <v>1</v>
      </c>
      <c r="K530" s="405">
        <v>7</v>
      </c>
      <c r="L530" s="405">
        <v>1</v>
      </c>
      <c r="M530" s="405" t="s">
        <v>104</v>
      </c>
      <c r="N530" s="235">
        <v>64</v>
      </c>
      <c r="O530" s="386">
        <f t="shared" si="196"/>
        <v>65</v>
      </c>
      <c r="P530" s="484" t="s">
        <v>204</v>
      </c>
      <c r="Q530" s="484"/>
      <c r="R530" s="387">
        <v>2</v>
      </c>
      <c r="S530" s="292">
        <v>0.72799999999999998</v>
      </c>
      <c r="T530" s="301" t="s">
        <v>65</v>
      </c>
      <c r="U530" s="285"/>
      <c r="V530" s="388"/>
      <c r="W530" s="388"/>
      <c r="X530" s="388"/>
      <c r="Y530" s="292">
        <v>0.72799999999999998</v>
      </c>
      <c r="Z530" s="301" t="s">
        <v>65</v>
      </c>
      <c r="AA530" s="292"/>
      <c r="AB530" s="301"/>
      <c r="AC530" s="301"/>
      <c r="AD530" s="301"/>
      <c r="AE530" s="285"/>
      <c r="AF530" s="239">
        <f t="shared" si="197"/>
        <v>4.1588830833596715</v>
      </c>
      <c r="AG530" s="239">
        <f t="shared" si="198"/>
        <v>4.1743872698956368</v>
      </c>
      <c r="AH530" s="240"/>
      <c r="AI530" s="240"/>
      <c r="AK530" s="265">
        <f t="shared" si="199"/>
        <v>128</v>
      </c>
      <c r="AL530" s="265">
        <f t="shared" si="200"/>
        <v>129</v>
      </c>
      <c r="AM530" s="239">
        <f t="shared" si="201"/>
        <v>4.8520302639196169</v>
      </c>
      <c r="AN530" s="239">
        <f t="shared" si="202"/>
        <v>4.8598124043616719</v>
      </c>
      <c r="AO530" s="240"/>
      <c r="AP530" s="240"/>
      <c r="AR530" s="265">
        <f t="shared" si="191"/>
        <v>104.00302590656129</v>
      </c>
      <c r="AS530" s="265">
        <f t="shared" si="192"/>
        <v>104.8155495464563</v>
      </c>
      <c r="AT530" s="239">
        <f t="shared" si="203"/>
        <v>4.6444199939735107</v>
      </c>
      <c r="AU530" s="239">
        <f t="shared" si="204"/>
        <v>4.6522021344155657</v>
      </c>
      <c r="BA530" s="238"/>
      <c r="BB530" s="238"/>
      <c r="BC530" s="238"/>
      <c r="BD530" s="125"/>
      <c r="BE530" s="125"/>
      <c r="BF530" s="136"/>
      <c r="BG530" s="136"/>
      <c r="BH530" s="136"/>
      <c r="BI530" s="136"/>
    </row>
    <row r="531" spans="1:62" x14ac:dyDescent="0.2">
      <c r="A531" s="232" t="s">
        <v>197</v>
      </c>
      <c r="B531" s="232" t="s">
        <v>260</v>
      </c>
      <c r="C531" s="264" t="s">
        <v>341</v>
      </c>
      <c r="D531" s="483" t="s">
        <v>304</v>
      </c>
      <c r="E531" s="405">
        <v>6.8</v>
      </c>
      <c r="F531" s="278">
        <f t="shared" si="194"/>
        <v>1.0344827586206897</v>
      </c>
      <c r="G531" s="405">
        <v>0.6</v>
      </c>
      <c r="H531" s="405">
        <v>34.700000000000003</v>
      </c>
      <c r="I531" s="405">
        <v>14.2</v>
      </c>
      <c r="J531" s="405">
        <v>2</v>
      </c>
      <c r="K531" s="405">
        <v>7</v>
      </c>
      <c r="L531" s="405">
        <v>1</v>
      </c>
      <c r="M531" s="405" t="s">
        <v>104</v>
      </c>
      <c r="N531" s="235">
        <v>1820</v>
      </c>
      <c r="O531" s="386">
        <f t="shared" si="196"/>
        <v>1822</v>
      </c>
      <c r="P531" s="484" t="s">
        <v>204</v>
      </c>
      <c r="Q531" s="484"/>
      <c r="R531" s="387">
        <v>2</v>
      </c>
      <c r="S531" s="292">
        <v>0.72799999999999998</v>
      </c>
      <c r="T531" s="301" t="s">
        <v>65</v>
      </c>
      <c r="U531" s="285"/>
      <c r="V531" s="388"/>
      <c r="W531" s="388"/>
      <c r="X531" s="388"/>
      <c r="Y531" s="292">
        <v>0.72799999999999998</v>
      </c>
      <c r="Z531" s="301" t="s">
        <v>65</v>
      </c>
      <c r="AA531" s="292"/>
      <c r="AB531" s="301"/>
      <c r="AC531" s="301"/>
      <c r="AD531" s="301"/>
      <c r="AE531" s="285"/>
      <c r="AF531" s="239">
        <f t="shared" si="197"/>
        <v>7.506591780070841</v>
      </c>
      <c r="AG531" s="239">
        <f t="shared" si="198"/>
        <v>7.5076900778199036</v>
      </c>
      <c r="AH531" s="240"/>
      <c r="AI531" s="240"/>
      <c r="AK531" s="265">
        <f t="shared" si="199"/>
        <v>3640</v>
      </c>
      <c r="AL531" s="265">
        <f t="shared" si="200"/>
        <v>3642</v>
      </c>
      <c r="AM531" s="239">
        <f t="shared" si="201"/>
        <v>8.1997389606307856</v>
      </c>
      <c r="AN531" s="239">
        <f t="shared" si="202"/>
        <v>8.2002882602875538</v>
      </c>
      <c r="AO531" s="240"/>
      <c r="AP531" s="240"/>
      <c r="AR531" s="265">
        <f t="shared" si="191"/>
        <v>1471.4365040190703</v>
      </c>
      <c r="AS531" s="265">
        <f t="shared" si="192"/>
        <v>1472.2449856146852</v>
      </c>
      <c r="AT531" s="239">
        <f t="shared" si="203"/>
        <v>7.293994416228804</v>
      </c>
      <c r="AU531" s="239">
        <f t="shared" si="204"/>
        <v>7.2945437158855704</v>
      </c>
      <c r="BA531" s="238"/>
      <c r="BB531" s="238"/>
      <c r="BC531" s="238"/>
      <c r="BD531" s="125"/>
      <c r="BE531" s="125"/>
      <c r="BF531" s="136"/>
      <c r="BG531" s="136"/>
      <c r="BH531" s="136"/>
      <c r="BI531" s="136"/>
    </row>
    <row r="532" spans="1:62" x14ac:dyDescent="0.2">
      <c r="A532" s="232" t="s">
        <v>197</v>
      </c>
      <c r="B532" s="232" t="s">
        <v>260</v>
      </c>
      <c r="C532" s="264" t="s">
        <v>341</v>
      </c>
      <c r="D532" s="483" t="s">
        <v>304</v>
      </c>
      <c r="E532" s="405">
        <v>7.3</v>
      </c>
      <c r="F532" s="278">
        <f t="shared" si="194"/>
        <v>2.2413793103448278</v>
      </c>
      <c r="G532" s="405">
        <v>1.3</v>
      </c>
      <c r="H532" s="405">
        <v>12.5</v>
      </c>
      <c r="I532" s="405">
        <v>14.3</v>
      </c>
      <c r="J532" s="405">
        <v>1</v>
      </c>
      <c r="K532" s="405">
        <v>7</v>
      </c>
      <c r="L532" s="405">
        <v>1</v>
      </c>
      <c r="M532" s="405" t="s">
        <v>104</v>
      </c>
      <c r="N532" s="235">
        <v>734</v>
      </c>
      <c r="O532" s="386">
        <f t="shared" si="196"/>
        <v>735</v>
      </c>
      <c r="P532" s="484" t="s">
        <v>204</v>
      </c>
      <c r="Q532" s="484"/>
      <c r="R532" s="387">
        <v>2</v>
      </c>
      <c r="S532" s="292">
        <v>0.72799999999999998</v>
      </c>
      <c r="T532" s="301" t="s">
        <v>65</v>
      </c>
      <c r="U532" s="285"/>
      <c r="V532" s="388"/>
      <c r="W532" s="388"/>
      <c r="X532" s="388"/>
      <c r="Y532" s="292">
        <v>0.72799999999999998</v>
      </c>
      <c r="Z532" s="301" t="s">
        <v>65</v>
      </c>
      <c r="AA532" s="292"/>
      <c r="AB532" s="301"/>
      <c r="AC532" s="301"/>
      <c r="AD532" s="301"/>
      <c r="AE532" s="285"/>
      <c r="AF532" s="239">
        <f t="shared" si="197"/>
        <v>6.5985090286145152</v>
      </c>
      <c r="AG532" s="239">
        <f t="shared" si="198"/>
        <v>6.5998704992128365</v>
      </c>
      <c r="AH532" s="240"/>
      <c r="AI532" s="240"/>
      <c r="AK532" s="265">
        <f t="shared" si="199"/>
        <v>1468</v>
      </c>
      <c r="AL532" s="265">
        <f t="shared" si="200"/>
        <v>1469</v>
      </c>
      <c r="AM532" s="239">
        <f t="shared" si="201"/>
        <v>7.2916562091744606</v>
      </c>
      <c r="AN532" s="239">
        <f t="shared" si="202"/>
        <v>7.2923371761738771</v>
      </c>
      <c r="AO532" s="240"/>
      <c r="AP532" s="240"/>
      <c r="AR532" s="265">
        <f t="shared" si="191"/>
        <v>1247.8878783375194</v>
      </c>
      <c r="AS532" s="265">
        <f t="shared" si="192"/>
        <v>1248.7379382001473</v>
      </c>
      <c r="AT532" s="239">
        <f t="shared" si="203"/>
        <v>7.1292077038177162</v>
      </c>
      <c r="AU532" s="239">
        <f t="shared" si="204"/>
        <v>7.1298886708171327</v>
      </c>
      <c r="BA532" s="238"/>
      <c r="BB532" s="238"/>
      <c r="BC532" s="238"/>
      <c r="BD532" s="125"/>
      <c r="BE532" s="125"/>
      <c r="BF532" s="136"/>
      <c r="BG532" s="136"/>
      <c r="BH532" s="136"/>
      <c r="BI532" s="136"/>
    </row>
    <row r="533" spans="1:62" s="165" customFormat="1" x14ac:dyDescent="0.2">
      <c r="A533" s="156" t="s">
        <v>197</v>
      </c>
      <c r="B533" s="156" t="s">
        <v>260</v>
      </c>
      <c r="C533" s="442" t="s">
        <v>341</v>
      </c>
      <c r="D533" s="364" t="s">
        <v>304</v>
      </c>
      <c r="E533" s="160">
        <v>7.8</v>
      </c>
      <c r="F533" s="159">
        <f t="shared" si="194"/>
        <v>1.3793103448275863</v>
      </c>
      <c r="G533" s="160">
        <v>0.8</v>
      </c>
      <c r="H533" s="160">
        <v>18</v>
      </c>
      <c r="I533" s="160">
        <v>14.1</v>
      </c>
      <c r="J533" s="160">
        <v>1</v>
      </c>
      <c r="K533" s="160">
        <v>7</v>
      </c>
      <c r="L533" s="160">
        <v>1</v>
      </c>
      <c r="M533" s="160" t="s">
        <v>104</v>
      </c>
      <c r="N533" s="231">
        <v>1031</v>
      </c>
      <c r="O533" s="396">
        <f t="shared" si="196"/>
        <v>1032</v>
      </c>
      <c r="P533" s="485" t="s">
        <v>204</v>
      </c>
      <c r="Q533" s="485"/>
      <c r="R533" s="361">
        <v>2</v>
      </c>
      <c r="S533" s="328">
        <v>0.72799999999999998</v>
      </c>
      <c r="T533" s="314" t="s">
        <v>65</v>
      </c>
      <c r="U533" s="163"/>
      <c r="V533" s="162"/>
      <c r="W533" s="162"/>
      <c r="X533" s="162"/>
      <c r="Y533" s="328">
        <v>0.72799999999999998</v>
      </c>
      <c r="Z533" s="314" t="s">
        <v>65</v>
      </c>
      <c r="AA533" s="328"/>
      <c r="AB533" s="314"/>
      <c r="AC533" s="314"/>
      <c r="AD533" s="314"/>
      <c r="AE533" s="163"/>
      <c r="AF533" s="166">
        <f t="shared" si="197"/>
        <v>6.9382844840169602</v>
      </c>
      <c r="AG533" s="166">
        <f t="shared" si="198"/>
        <v>6.9392539460415081</v>
      </c>
      <c r="AH533" s="169"/>
      <c r="AI533" s="169"/>
      <c r="AK533" s="168">
        <f t="shared" si="199"/>
        <v>2062</v>
      </c>
      <c r="AL533" s="168">
        <f t="shared" si="200"/>
        <v>2063</v>
      </c>
      <c r="AM533" s="166">
        <f t="shared" si="201"/>
        <v>7.6314316645769056</v>
      </c>
      <c r="AN533" s="166">
        <f t="shared" si="202"/>
        <v>7.6319165130712516</v>
      </c>
      <c r="AO533" s="169"/>
      <c r="AP533" s="169"/>
      <c r="AR533" s="168">
        <f t="shared" si="191"/>
        <v>1344.1578640126677</v>
      </c>
      <c r="AS533" s="168">
        <f t="shared" si="192"/>
        <v>1344.8097349457487</v>
      </c>
      <c r="AT533" s="166">
        <f t="shared" si="203"/>
        <v>7.2035229725281624</v>
      </c>
      <c r="AU533" s="166">
        <f t="shared" si="204"/>
        <v>7.2040078210225094</v>
      </c>
      <c r="AV533" s="167"/>
      <c r="AW533" s="167"/>
      <c r="BD533" s="167"/>
      <c r="BE533" s="167"/>
    </row>
    <row r="534" spans="1:62" x14ac:dyDescent="0.2">
      <c r="A534" s="232" t="s">
        <v>197</v>
      </c>
      <c r="B534" s="232" t="s">
        <v>260</v>
      </c>
      <c r="C534" s="264" t="s">
        <v>341</v>
      </c>
      <c r="D534" s="483" t="s">
        <v>172</v>
      </c>
      <c r="E534" s="405">
        <v>5</v>
      </c>
      <c r="F534" s="278">
        <f t="shared" si="194"/>
        <v>3.4482758620689657</v>
      </c>
      <c r="G534" s="405">
        <v>2</v>
      </c>
      <c r="H534" s="405">
        <v>3.3</v>
      </c>
      <c r="I534" s="405">
        <v>4.2</v>
      </c>
      <c r="J534" s="405">
        <v>1</v>
      </c>
      <c r="K534" s="405">
        <v>7</v>
      </c>
      <c r="L534" s="405">
        <v>28</v>
      </c>
      <c r="M534" s="405" t="s">
        <v>104</v>
      </c>
      <c r="N534" s="235">
        <v>2162</v>
      </c>
      <c r="O534" s="386">
        <f t="shared" si="196"/>
        <v>2163</v>
      </c>
      <c r="P534" s="484" t="s">
        <v>204</v>
      </c>
      <c r="Q534" s="484"/>
      <c r="R534" s="387">
        <v>2</v>
      </c>
      <c r="S534" s="292">
        <v>0.72799999999999998</v>
      </c>
      <c r="T534" s="301" t="s">
        <v>65</v>
      </c>
      <c r="U534" s="285"/>
      <c r="V534" s="388"/>
      <c r="W534" s="388"/>
      <c r="X534" s="388"/>
      <c r="Y534" s="292">
        <v>0.72799999999999998</v>
      </c>
      <c r="Z534" s="301" t="s">
        <v>65</v>
      </c>
      <c r="AA534" s="292"/>
      <c r="AB534" s="301"/>
      <c r="AC534" s="301"/>
      <c r="AD534" s="301"/>
      <c r="AE534" s="285"/>
      <c r="AF534" s="239">
        <f t="shared" si="197"/>
        <v>7.6787889981991535</v>
      </c>
      <c r="AG534" s="239">
        <f t="shared" si="198"/>
        <v>7.6792514259530584</v>
      </c>
      <c r="AH534" s="240"/>
      <c r="AI534" s="240"/>
      <c r="AK534" s="265">
        <f t="shared" si="199"/>
        <v>4324</v>
      </c>
      <c r="AL534" s="265">
        <f t="shared" si="200"/>
        <v>4325</v>
      </c>
      <c r="AM534" s="239">
        <f t="shared" si="201"/>
        <v>8.371936178759098</v>
      </c>
      <c r="AN534" s="239">
        <f t="shared" si="202"/>
        <v>8.3721674193659794</v>
      </c>
      <c r="AO534" s="240"/>
      <c r="AP534" s="240"/>
      <c r="AR534" s="265">
        <f t="shared" si="191"/>
        <v>9691.8690374868529</v>
      </c>
      <c r="AS534" s="265">
        <f t="shared" si="192"/>
        <v>9694.1104503077349</v>
      </c>
      <c r="AT534" s="239">
        <f t="shared" si="203"/>
        <v>9.1790425694108322</v>
      </c>
      <c r="AU534" s="239">
        <f t="shared" si="204"/>
        <v>9.1792738100177118</v>
      </c>
      <c r="AX534" s="265">
        <f>GEOMEAN(AR534:AR537)</f>
        <v>3098.3597467190511</v>
      </c>
      <c r="AY534" s="265">
        <f>GEOMEAN(AS534:AS537)</f>
        <v>3100.068974992786</v>
      </c>
      <c r="AZ534" s="265">
        <f>MIN(AX534:AX537)</f>
        <v>3098.3597467190511</v>
      </c>
      <c r="BA534" s="265">
        <f>MIN(AY534:AY537)</f>
        <v>3100.068974992786</v>
      </c>
      <c r="BB534" s="239">
        <f>LN(AZ534)</f>
        <v>8.0386281364814529</v>
      </c>
      <c r="BC534" s="239">
        <f>LN(BA534)</f>
        <v>8.0391796402233826</v>
      </c>
      <c r="BD534" s="240"/>
      <c r="BE534" s="240"/>
      <c r="BF534" s="136"/>
      <c r="BG534" s="136"/>
      <c r="BH534" s="136"/>
      <c r="BI534" s="136"/>
    </row>
    <row r="535" spans="1:62" x14ac:dyDescent="0.2">
      <c r="A535" s="232" t="s">
        <v>197</v>
      </c>
      <c r="B535" s="232" t="s">
        <v>260</v>
      </c>
      <c r="C535" s="264" t="s">
        <v>341</v>
      </c>
      <c r="D535" s="483" t="s">
        <v>172</v>
      </c>
      <c r="E535" s="405">
        <v>5.2</v>
      </c>
      <c r="F535" s="278">
        <f t="shared" si="194"/>
        <v>4.8275862068965516</v>
      </c>
      <c r="G535" s="405">
        <v>2.8</v>
      </c>
      <c r="H535" s="405">
        <v>2.2000000000000002</v>
      </c>
      <c r="I535" s="405">
        <v>6.3</v>
      </c>
      <c r="J535" s="405">
        <v>0</v>
      </c>
      <c r="K535" s="405">
        <v>7</v>
      </c>
      <c r="L535" s="405">
        <v>28</v>
      </c>
      <c r="M535" s="405" t="s">
        <v>104</v>
      </c>
      <c r="N535" s="235">
        <v>164</v>
      </c>
      <c r="O535" s="386">
        <f t="shared" si="196"/>
        <v>164</v>
      </c>
      <c r="P535" s="484" t="s">
        <v>204</v>
      </c>
      <c r="Q535" s="484"/>
      <c r="R535" s="387">
        <v>2</v>
      </c>
      <c r="S535" s="292">
        <v>0.72799999999999998</v>
      </c>
      <c r="T535" s="301" t="s">
        <v>65</v>
      </c>
      <c r="U535" s="285"/>
      <c r="V535" s="388"/>
      <c r="W535" s="388"/>
      <c r="X535" s="388"/>
      <c r="Y535" s="292">
        <v>0.72799999999999998</v>
      </c>
      <c r="Z535" s="301" t="s">
        <v>65</v>
      </c>
      <c r="AA535" s="292"/>
      <c r="AB535" s="301"/>
      <c r="AC535" s="301"/>
      <c r="AD535" s="301"/>
      <c r="AE535" s="285"/>
      <c r="AF535" s="239">
        <f t="shared" si="197"/>
        <v>5.0998664278241987</v>
      </c>
      <c r="AG535" s="239">
        <f t="shared" si="198"/>
        <v>5.0998664278241987</v>
      </c>
      <c r="AH535" s="240"/>
      <c r="AI535" s="240"/>
      <c r="AK535" s="265">
        <f t="shared" si="199"/>
        <v>328</v>
      </c>
      <c r="AL535" s="265">
        <f t="shared" si="200"/>
        <v>328</v>
      </c>
      <c r="AM535" s="239">
        <f t="shared" si="201"/>
        <v>5.7930136083841441</v>
      </c>
      <c r="AN535" s="239">
        <f t="shared" si="202"/>
        <v>5.7930136083841441</v>
      </c>
      <c r="AO535" s="240"/>
      <c r="AP535" s="240"/>
      <c r="AR535" s="265">
        <f t="shared" si="191"/>
        <v>987.62058206274492</v>
      </c>
      <c r="AS535" s="265">
        <f t="shared" si="192"/>
        <v>987.62058206274492</v>
      </c>
      <c r="AT535" s="239">
        <f t="shared" si="203"/>
        <v>6.8952985977386207</v>
      </c>
      <c r="AU535" s="239">
        <f t="shared" si="204"/>
        <v>6.8952985977386207</v>
      </c>
      <c r="BA535" s="238"/>
      <c r="BB535" s="238"/>
      <c r="BC535" s="238"/>
      <c r="BD535" s="125"/>
      <c r="BE535" s="125"/>
      <c r="BF535" s="136"/>
      <c r="BG535" s="136"/>
      <c r="BH535" s="136"/>
      <c r="BI535" s="136"/>
    </row>
    <row r="536" spans="1:62" x14ac:dyDescent="0.2">
      <c r="A536" s="232" t="s">
        <v>197</v>
      </c>
      <c r="B536" s="232" t="s">
        <v>260</v>
      </c>
      <c r="C536" s="264" t="s">
        <v>341</v>
      </c>
      <c r="D536" s="483" t="s">
        <v>172</v>
      </c>
      <c r="E536" s="405">
        <v>5.2</v>
      </c>
      <c r="F536" s="278">
        <f t="shared" si="194"/>
        <v>3.1034482758620694</v>
      </c>
      <c r="G536" s="405">
        <v>1.8</v>
      </c>
      <c r="H536" s="405">
        <v>2.2000000000000002</v>
      </c>
      <c r="I536" s="405">
        <v>4.0999999999999996</v>
      </c>
      <c r="J536" s="405">
        <v>1</v>
      </c>
      <c r="K536" s="405">
        <v>7</v>
      </c>
      <c r="L536" s="405">
        <v>28</v>
      </c>
      <c r="M536" s="405" t="s">
        <v>104</v>
      </c>
      <c r="N536" s="235">
        <v>272</v>
      </c>
      <c r="O536" s="386">
        <f t="shared" si="196"/>
        <v>273</v>
      </c>
      <c r="P536" s="484" t="s">
        <v>204</v>
      </c>
      <c r="Q536" s="484"/>
      <c r="R536" s="387">
        <v>2</v>
      </c>
      <c r="S536" s="292">
        <v>0.72799999999999998</v>
      </c>
      <c r="T536" s="301" t="s">
        <v>65</v>
      </c>
      <c r="U536" s="285"/>
      <c r="V536" s="388"/>
      <c r="W536" s="388"/>
      <c r="X536" s="388"/>
      <c r="Y536" s="292">
        <v>0.72799999999999998</v>
      </c>
      <c r="Z536" s="301" t="s">
        <v>65</v>
      </c>
      <c r="AA536" s="292"/>
      <c r="AB536" s="301"/>
      <c r="AC536" s="301"/>
      <c r="AD536" s="301"/>
      <c r="AE536" s="285"/>
      <c r="AF536" s="239">
        <f t="shared" si="197"/>
        <v>5.6058020662959978</v>
      </c>
      <c r="AG536" s="239">
        <f t="shared" si="198"/>
        <v>5.6094717951849598</v>
      </c>
      <c r="AH536" s="240"/>
      <c r="AI536" s="240"/>
      <c r="AK536" s="265">
        <f t="shared" si="199"/>
        <v>544</v>
      </c>
      <c r="AL536" s="265">
        <f t="shared" si="200"/>
        <v>545</v>
      </c>
      <c r="AM536" s="239">
        <f t="shared" si="201"/>
        <v>6.2989492468559423</v>
      </c>
      <c r="AN536" s="239">
        <f t="shared" si="202"/>
        <v>6.300785794663244</v>
      </c>
      <c r="AO536" s="240"/>
      <c r="AP536" s="240"/>
      <c r="AR536" s="265">
        <f t="shared" si="191"/>
        <v>1638.0048678113817</v>
      </c>
      <c r="AS536" s="265">
        <f t="shared" si="192"/>
        <v>1641.0159061713291</v>
      </c>
      <c r="AT536" s="239">
        <f t="shared" si="203"/>
        <v>7.4012342362104189</v>
      </c>
      <c r="AU536" s="239">
        <f t="shared" si="204"/>
        <v>7.4030707840177206</v>
      </c>
      <c r="BA536" s="238"/>
      <c r="BB536" s="238"/>
      <c r="BC536" s="238"/>
      <c r="BD536" s="125"/>
      <c r="BE536" s="125"/>
      <c r="BF536" s="136"/>
      <c r="BG536" s="136"/>
      <c r="BH536" s="136"/>
      <c r="BI536" s="136"/>
    </row>
    <row r="537" spans="1:62" s="255" customFormat="1" ht="13.5" thickBot="1" x14ac:dyDescent="0.25">
      <c r="A537" s="254" t="s">
        <v>197</v>
      </c>
      <c r="B537" s="254" t="s">
        <v>260</v>
      </c>
      <c r="C537" s="493" t="s">
        <v>341</v>
      </c>
      <c r="D537" s="369" t="s">
        <v>172</v>
      </c>
      <c r="E537" s="256">
        <v>6.7</v>
      </c>
      <c r="F537" s="371">
        <f t="shared" si="194"/>
        <v>1.5517241379310347</v>
      </c>
      <c r="G537" s="256">
        <v>0.9</v>
      </c>
      <c r="H537" s="256">
        <v>13.3</v>
      </c>
      <c r="I537" s="256">
        <v>12.2</v>
      </c>
      <c r="J537" s="256">
        <v>1</v>
      </c>
      <c r="K537" s="256">
        <v>7</v>
      </c>
      <c r="L537" s="256">
        <v>28</v>
      </c>
      <c r="M537" s="256" t="s">
        <v>104</v>
      </c>
      <c r="N537" s="258">
        <v>3617</v>
      </c>
      <c r="O537" s="494">
        <f t="shared" si="196"/>
        <v>3618</v>
      </c>
      <c r="P537" s="495" t="s">
        <v>204</v>
      </c>
      <c r="Q537" s="495"/>
      <c r="R537" s="496">
        <v>2</v>
      </c>
      <c r="S537" s="497">
        <v>0.72799999999999998</v>
      </c>
      <c r="T537" s="498" t="s">
        <v>65</v>
      </c>
      <c r="U537" s="259"/>
      <c r="V537" s="260"/>
      <c r="W537" s="260"/>
      <c r="X537" s="260"/>
      <c r="Y537" s="497">
        <v>0.72799999999999998</v>
      </c>
      <c r="Z537" s="498" t="s">
        <v>65</v>
      </c>
      <c r="AA537" s="497"/>
      <c r="AB537" s="498"/>
      <c r="AC537" s="498"/>
      <c r="AD537" s="498"/>
      <c r="AE537" s="259"/>
      <c r="AF537" s="257">
        <f t="shared" si="197"/>
        <v>8.1934002319520971</v>
      </c>
      <c r="AG537" s="257">
        <f t="shared" si="198"/>
        <v>8.1936766659552411</v>
      </c>
      <c r="AH537" s="262"/>
      <c r="AI537" s="262"/>
      <c r="AK537" s="378">
        <f t="shared" si="199"/>
        <v>7234</v>
      </c>
      <c r="AL537" s="378">
        <f t="shared" si="200"/>
        <v>7235</v>
      </c>
      <c r="AM537" s="257">
        <f t="shared" si="201"/>
        <v>8.8865474125120425</v>
      </c>
      <c r="AN537" s="257">
        <f t="shared" si="202"/>
        <v>8.8866856390655844</v>
      </c>
      <c r="AO537" s="262"/>
      <c r="AP537" s="262"/>
      <c r="AR537" s="378">
        <f t="shared" si="191"/>
        <v>5877.7960110005033</v>
      </c>
      <c r="AS537" s="378">
        <f t="shared" si="192"/>
        <v>5878.6085346403979</v>
      </c>
      <c r="AT537" s="257">
        <f t="shared" si="203"/>
        <v>8.6789371425659372</v>
      </c>
      <c r="AU537" s="257">
        <f t="shared" si="204"/>
        <v>8.6790753691194773</v>
      </c>
      <c r="AV537" s="263"/>
      <c r="AW537" s="263"/>
      <c r="BD537" s="263"/>
      <c r="BE537" s="263"/>
    </row>
    <row r="538" spans="1:62" x14ac:dyDescent="0.2">
      <c r="AF538" s="239"/>
      <c r="AG538" s="239"/>
      <c r="AH538" s="240"/>
      <c r="AI538" s="240"/>
      <c r="AM538" s="239"/>
      <c r="AN538" s="239"/>
      <c r="AO538" s="240"/>
      <c r="AP538" s="240"/>
      <c r="AR538" s="265"/>
      <c r="AS538" s="265"/>
      <c r="AT538" s="239"/>
      <c r="AU538" s="239"/>
      <c r="BA538" s="238"/>
      <c r="BB538" s="238"/>
      <c r="BC538" s="238"/>
      <c r="BD538" s="125"/>
      <c r="BE538" s="125"/>
      <c r="BF538" s="136"/>
      <c r="BG538" s="136"/>
      <c r="BH538" s="136"/>
      <c r="BI538" s="136"/>
    </row>
    <row r="539" spans="1:62" s="272" customFormat="1" x14ac:dyDescent="0.2">
      <c r="A539" s="266" t="s">
        <v>71</v>
      </c>
      <c r="B539" s="266"/>
      <c r="C539" s="266"/>
      <c r="D539" s="266"/>
      <c r="E539" s="267"/>
      <c r="F539" s="267"/>
      <c r="G539" s="267"/>
      <c r="H539" s="267"/>
      <c r="I539" s="267"/>
      <c r="J539" s="267"/>
      <c r="K539" s="267"/>
      <c r="L539" s="267"/>
      <c r="M539" s="267"/>
      <c r="N539" s="267"/>
      <c r="O539" s="267"/>
      <c r="P539" s="267"/>
      <c r="Q539" s="267"/>
      <c r="R539" s="267"/>
      <c r="S539" s="268"/>
      <c r="T539" s="269"/>
      <c r="U539" s="268"/>
      <c r="V539" s="269"/>
      <c r="W539" s="268"/>
      <c r="X539" s="269"/>
      <c r="Y539" s="268"/>
      <c r="Z539" s="269"/>
      <c r="AA539" s="268"/>
      <c r="AB539" s="269"/>
      <c r="AC539" s="268"/>
      <c r="AD539" s="269"/>
      <c r="AE539" s="270"/>
      <c r="AF539" s="271"/>
      <c r="AG539" s="271"/>
      <c r="AH539" s="155">
        <f>LOGINV(0.05,AVERAGE(AF540:AF712),STDEV(AF540:AF712))</f>
        <v>20.534534214716416</v>
      </c>
      <c r="AI539" s="155">
        <f>LOGINV(0.05,AVERAGE(AG540:AG712),STDEV(AG540:AG712))</f>
        <v>28.223174375996791</v>
      </c>
      <c r="AJ539" s="271"/>
      <c r="AK539" s="271"/>
      <c r="AL539" s="271"/>
      <c r="AM539" s="271"/>
      <c r="AN539" s="271"/>
      <c r="AO539" s="155">
        <f>LOGINV(0.05,AVERAGE(AM540:AM712),STDEV(AM540:AM712))</f>
        <v>23.275583677598433</v>
      </c>
      <c r="AP539" s="155">
        <f>LOGINV(0.05,AVERAGE(AN540:AN712),STDEV(AN540:AN712))</f>
        <v>30.049771405774344</v>
      </c>
      <c r="AQ539" s="271"/>
      <c r="AR539" s="271"/>
      <c r="AS539" s="271"/>
      <c r="AT539" s="271"/>
      <c r="AU539" s="271"/>
      <c r="AV539" s="155">
        <f>LOGINV(0.05,AVERAGE(AT540:AT712),STDEV(AT540:AT712))</f>
        <v>29.693118510598236</v>
      </c>
      <c r="AW539" s="155">
        <f>LOGINV(0.05,AVERAGE(AU540:AU712),STDEV(AU540:AU712))</f>
        <v>39.333054592960991</v>
      </c>
      <c r="AX539" s="271"/>
      <c r="AY539" s="271"/>
      <c r="BD539" s="155">
        <f>LOGINV(0.05,AVERAGE(BB540:BB712),STDEV(BB540:BB712))</f>
        <v>35.736803485849329</v>
      </c>
      <c r="BE539" s="155">
        <f>LOGINV(0.05,AVERAGE(BC540:BC712),STDEV(BC540:BC712))</f>
        <v>52.267192929255543</v>
      </c>
      <c r="BG539" s="271">
        <f>COUNT(BB540:BB712)</f>
        <v>43</v>
      </c>
      <c r="BH539" s="271">
        <f>(1.6549-1.662)/(50-30)*BG539+(1.6549-(1.6549-1.662)/(50-30)*50)</f>
        <v>1.6573850000000001</v>
      </c>
      <c r="BI539" s="274">
        <f>EXP(AVERAGE(BB540:BB712)-BH539*STDEV(BB540:BB712))</f>
        <v>35.28243133055868</v>
      </c>
      <c r="BJ539" s="274">
        <f>EXP(AVERAGE(BC540:BC712)-BH539*STDEV(BC540:BC712))</f>
        <v>51.696084963840413</v>
      </c>
    </row>
    <row r="540" spans="1:62" s="298" customFormat="1" x14ac:dyDescent="0.2">
      <c r="A540" s="290" t="s">
        <v>71</v>
      </c>
      <c r="B540" s="290" t="s">
        <v>35</v>
      </c>
      <c r="C540" s="425" t="s">
        <v>48</v>
      </c>
      <c r="D540" s="381" t="s">
        <v>312</v>
      </c>
      <c r="E540" s="387">
        <v>3.6</v>
      </c>
      <c r="F540" s="387">
        <f t="shared" ref="F540:F572" si="205">G540*1.72</f>
        <v>2.9756</v>
      </c>
      <c r="G540" s="387">
        <v>1.73</v>
      </c>
      <c r="H540" s="387">
        <v>0.4</v>
      </c>
      <c r="I540" s="387">
        <v>1.84</v>
      </c>
      <c r="J540" s="387">
        <v>1</v>
      </c>
      <c r="K540" s="383">
        <v>7</v>
      </c>
      <c r="L540" s="383" t="s">
        <v>323</v>
      </c>
      <c r="M540" s="383" t="s">
        <v>104</v>
      </c>
      <c r="N540" s="313">
        <v>21</v>
      </c>
      <c r="O540" s="294">
        <f t="shared" ref="O540:O571" si="206">N540+J540</f>
        <v>22</v>
      </c>
      <c r="P540" s="294"/>
      <c r="Q540" s="294"/>
      <c r="R540" s="293">
        <f>1+EXP(1.4*(E540-7))</f>
        <v>1.008565609397498</v>
      </c>
      <c r="S540" s="292">
        <v>1.28</v>
      </c>
      <c r="T540" s="301" t="s">
        <v>37</v>
      </c>
      <c r="U540" s="295"/>
      <c r="V540" s="290"/>
      <c r="W540" s="290"/>
      <c r="X540" s="290"/>
      <c r="Y540" s="292">
        <v>1.27</v>
      </c>
      <c r="Z540" s="301" t="s">
        <v>37</v>
      </c>
      <c r="AA540" s="292"/>
      <c r="AB540" s="301"/>
      <c r="AC540" s="301"/>
      <c r="AD540" s="301"/>
      <c r="AE540" s="448"/>
      <c r="AF540" s="239">
        <f t="shared" ref="AF540:AF571" si="207">LN(N540)</f>
        <v>3.044522437723423</v>
      </c>
      <c r="AG540" s="239">
        <f t="shared" ref="AG540:AG571" si="208">LN(O540)</f>
        <v>3.0910424533583161</v>
      </c>
      <c r="AK540" s="286">
        <f t="shared" ref="AK540:AK571" si="209">N540*R540</f>
        <v>21.179877797347459</v>
      </c>
      <c r="AL540" s="286">
        <f t="shared" ref="AL540:AL571" si="210">AK540+J540</f>
        <v>22.179877797347459</v>
      </c>
      <c r="AM540" s="239">
        <f t="shared" ref="AM540:AM571" si="211">LN(AK540)</f>
        <v>3.0530515704374208</v>
      </c>
      <c r="AN540" s="239">
        <f t="shared" ref="AN540:AN571" si="212">LN(AL540)</f>
        <v>3.0991854723194625</v>
      </c>
      <c r="AR540" s="286">
        <f t="shared" ref="AR540:AR571" si="213">AK540*(eCEC/$I540)^$S540</f>
        <v>214.5980880562368</v>
      </c>
      <c r="AS540" s="286">
        <f t="shared" ref="AS540:AS571" si="214">AL540*(eCEC/$I540)^$Y540</f>
        <v>220.70109980914887</v>
      </c>
      <c r="AT540" s="239">
        <f t="shared" ref="AT540:AT571" si="215">LN(AR540)</f>
        <v>5.3687669208197093</v>
      </c>
      <c r="AU540" s="239">
        <f t="shared" ref="AU540:AU571" si="216">LN(AS540)</f>
        <v>5.3968092965268886</v>
      </c>
      <c r="AX540" s="265">
        <f>GEOMEAN(AR540:AR554)</f>
        <v>181.16316003213524</v>
      </c>
      <c r="AY540" s="265">
        <f>GEOMEAN(AS540:AS554)</f>
        <v>200.87339595561417</v>
      </c>
      <c r="AZ540" s="265">
        <f>MIN(AX540:AX554)</f>
        <v>181.16316003213524</v>
      </c>
      <c r="BA540" s="265">
        <f>MIN(AY540:AY554)</f>
        <v>200.87339595561417</v>
      </c>
      <c r="BB540" s="239">
        <f>LN(AZ540)</f>
        <v>5.1993980618574485</v>
      </c>
      <c r="BC540" s="239">
        <f>LN(BA540)</f>
        <v>5.3026748387394926</v>
      </c>
    </row>
    <row r="541" spans="1:62" s="298" customFormat="1" x14ac:dyDescent="0.2">
      <c r="A541" s="290" t="s">
        <v>71</v>
      </c>
      <c r="B541" s="290" t="s">
        <v>35</v>
      </c>
      <c r="C541" s="425" t="s">
        <v>48</v>
      </c>
      <c r="D541" s="381" t="s">
        <v>312</v>
      </c>
      <c r="E541" s="387">
        <v>4.0999999999999996</v>
      </c>
      <c r="F541" s="387">
        <f t="shared" si="205"/>
        <v>56.845999999999997</v>
      </c>
      <c r="G541" s="387">
        <v>33.049999999999997</v>
      </c>
      <c r="H541" s="387">
        <v>34</v>
      </c>
      <c r="I541" s="387">
        <v>52.75</v>
      </c>
      <c r="J541" s="387">
        <v>26</v>
      </c>
      <c r="K541" s="383">
        <v>7</v>
      </c>
      <c r="L541" s="383" t="s">
        <v>323</v>
      </c>
      <c r="M541" s="383" t="s">
        <v>104</v>
      </c>
      <c r="N541" s="313">
        <v>599</v>
      </c>
      <c r="O541" s="295">
        <f t="shared" si="206"/>
        <v>625</v>
      </c>
      <c r="P541" s="295"/>
      <c r="Q541" s="295"/>
      <c r="R541" s="293">
        <f t="shared" ref="R541:R572" si="217">1+EXP(1.4*(E541-7))</f>
        <v>1.0172490191153463</v>
      </c>
      <c r="S541" s="292">
        <v>1.28</v>
      </c>
      <c r="T541" s="301" t="s">
        <v>37</v>
      </c>
      <c r="U541" s="295"/>
      <c r="V541" s="290"/>
      <c r="W541" s="290"/>
      <c r="X541" s="290"/>
      <c r="Y541" s="292">
        <v>1.27</v>
      </c>
      <c r="Z541" s="301" t="s">
        <v>37</v>
      </c>
      <c r="AA541" s="292"/>
      <c r="AB541" s="301"/>
      <c r="AC541" s="301"/>
      <c r="AD541" s="301"/>
      <c r="AE541" s="448"/>
      <c r="AF541" s="287">
        <f t="shared" si="207"/>
        <v>6.3952615981154493</v>
      </c>
      <c r="AG541" s="287">
        <f t="shared" si="208"/>
        <v>6.4377516497364011</v>
      </c>
      <c r="AH541" s="288"/>
      <c r="AI541" s="288"/>
      <c r="AK541" s="286">
        <f t="shared" si="209"/>
        <v>609.33216245009237</v>
      </c>
      <c r="AL541" s="286">
        <f t="shared" si="210"/>
        <v>635.33216245009237</v>
      </c>
      <c r="AM541" s="287">
        <f t="shared" si="211"/>
        <v>6.4123635417633285</v>
      </c>
      <c r="AN541" s="287">
        <f t="shared" si="212"/>
        <v>6.454147952601148</v>
      </c>
      <c r="AO541" s="288"/>
      <c r="AP541" s="288"/>
      <c r="AR541" s="286">
        <f t="shared" si="213"/>
        <v>84.154735638113735</v>
      </c>
      <c r="AS541" s="286">
        <f t="shared" si="214"/>
        <v>89.113252596649787</v>
      </c>
      <c r="AT541" s="287">
        <f t="shared" si="215"/>
        <v>4.432657195204456</v>
      </c>
      <c r="AU541" s="287">
        <f t="shared" si="216"/>
        <v>4.4899080618747673</v>
      </c>
      <c r="AV541" s="299"/>
      <c r="AW541" s="299"/>
      <c r="AX541" s="286"/>
      <c r="AY541" s="286"/>
      <c r="AZ541" s="286"/>
      <c r="BA541" s="286"/>
      <c r="BB541" s="287"/>
      <c r="BC541" s="287"/>
      <c r="BD541" s="288"/>
      <c r="BE541" s="288"/>
    </row>
    <row r="542" spans="1:62" s="298" customFormat="1" x14ac:dyDescent="0.2">
      <c r="A542" s="290" t="s">
        <v>71</v>
      </c>
      <c r="B542" s="290" t="s">
        <v>35</v>
      </c>
      <c r="C542" s="425" t="s">
        <v>48</v>
      </c>
      <c r="D542" s="381" t="s">
        <v>312</v>
      </c>
      <c r="E542" s="387">
        <v>4.0999999999999996</v>
      </c>
      <c r="F542" s="387">
        <f t="shared" si="205"/>
        <v>0.43</v>
      </c>
      <c r="G542" s="387">
        <v>0.25</v>
      </c>
      <c r="H542" s="387">
        <v>25.3</v>
      </c>
      <c r="I542" s="387">
        <v>8.39</v>
      </c>
      <c r="J542" s="387">
        <v>16</v>
      </c>
      <c r="K542" s="383">
        <v>7</v>
      </c>
      <c r="L542" s="383" t="s">
        <v>323</v>
      </c>
      <c r="M542" s="383" t="s">
        <v>104</v>
      </c>
      <c r="N542" s="313">
        <v>16</v>
      </c>
      <c r="O542" s="295">
        <f t="shared" si="206"/>
        <v>32</v>
      </c>
      <c r="P542" s="295"/>
      <c r="Q542" s="295"/>
      <c r="R542" s="293">
        <f t="shared" si="217"/>
        <v>1.0172490191153463</v>
      </c>
      <c r="S542" s="292">
        <v>1.28</v>
      </c>
      <c r="T542" s="301" t="s">
        <v>37</v>
      </c>
      <c r="U542" s="295"/>
      <c r="V542" s="290"/>
      <c r="W542" s="290"/>
      <c r="X542" s="290"/>
      <c r="Y542" s="292">
        <v>1.27</v>
      </c>
      <c r="Z542" s="301" t="s">
        <v>37</v>
      </c>
      <c r="AA542" s="292"/>
      <c r="AB542" s="301"/>
      <c r="AC542" s="301"/>
      <c r="AD542" s="301"/>
      <c r="AE542" s="448"/>
      <c r="AF542" s="287">
        <f t="shared" si="207"/>
        <v>2.7725887222397811</v>
      </c>
      <c r="AG542" s="287">
        <f t="shared" si="208"/>
        <v>3.4657359027997265</v>
      </c>
      <c r="AH542" s="288"/>
      <c r="AI542" s="288"/>
      <c r="AK542" s="286">
        <f t="shared" si="209"/>
        <v>16.27598430584554</v>
      </c>
      <c r="AL542" s="286">
        <f t="shared" si="210"/>
        <v>32.27598430584554</v>
      </c>
      <c r="AM542" s="287">
        <f t="shared" si="211"/>
        <v>2.7896906658876603</v>
      </c>
      <c r="AN542" s="287">
        <f t="shared" si="212"/>
        <v>3.4743234337377076</v>
      </c>
      <c r="AO542" s="288"/>
      <c r="AP542" s="288"/>
      <c r="AR542" s="286">
        <f t="shared" si="213"/>
        <v>23.648367421017628</v>
      </c>
      <c r="AS542" s="286">
        <f t="shared" si="214"/>
        <v>46.759061830394046</v>
      </c>
      <c r="AT542" s="287">
        <f t="shared" si="215"/>
        <v>3.1632940817314261</v>
      </c>
      <c r="AU542" s="287">
        <f t="shared" si="216"/>
        <v>3.8450080728951943</v>
      </c>
      <c r="AV542" s="299"/>
      <c r="AW542" s="299"/>
      <c r="AX542" s="286"/>
      <c r="AY542" s="286"/>
      <c r="AZ542" s="286"/>
      <c r="BA542" s="286"/>
      <c r="BB542" s="287"/>
      <c r="BC542" s="287"/>
      <c r="BD542" s="288"/>
      <c r="BE542" s="288"/>
    </row>
    <row r="543" spans="1:62" s="298" customFormat="1" x14ac:dyDescent="0.2">
      <c r="A543" s="290" t="s">
        <v>71</v>
      </c>
      <c r="B543" s="290" t="s">
        <v>35</v>
      </c>
      <c r="C543" s="425" t="s">
        <v>48</v>
      </c>
      <c r="D543" s="381" t="s">
        <v>312</v>
      </c>
      <c r="E543" s="387">
        <v>4.2</v>
      </c>
      <c r="F543" s="387">
        <f t="shared" si="205"/>
        <v>21.534399999999998</v>
      </c>
      <c r="G543" s="387">
        <v>12.52</v>
      </c>
      <c r="H543" s="387">
        <v>12.7</v>
      </c>
      <c r="I543" s="387">
        <v>11.91</v>
      </c>
      <c r="J543" s="387">
        <v>3</v>
      </c>
      <c r="K543" s="383">
        <v>7</v>
      </c>
      <c r="L543" s="383" t="s">
        <v>323</v>
      </c>
      <c r="M543" s="383" t="s">
        <v>104</v>
      </c>
      <c r="N543" s="313">
        <v>125</v>
      </c>
      <c r="O543" s="295">
        <f t="shared" si="206"/>
        <v>128</v>
      </c>
      <c r="P543" s="295"/>
      <c r="Q543" s="295"/>
      <c r="R543" s="293">
        <f t="shared" si="217"/>
        <v>1.0198410947443703</v>
      </c>
      <c r="S543" s="292">
        <v>1.28</v>
      </c>
      <c r="T543" s="301" t="s">
        <v>37</v>
      </c>
      <c r="U543" s="295"/>
      <c r="V543" s="290"/>
      <c r="W543" s="290"/>
      <c r="X543" s="290"/>
      <c r="Y543" s="292">
        <v>1.27</v>
      </c>
      <c r="Z543" s="301" t="s">
        <v>37</v>
      </c>
      <c r="AA543" s="292"/>
      <c r="AB543" s="301"/>
      <c r="AC543" s="301"/>
      <c r="AD543" s="301"/>
      <c r="AE543" s="448"/>
      <c r="AF543" s="287">
        <f t="shared" si="207"/>
        <v>4.8283137373023015</v>
      </c>
      <c r="AG543" s="287">
        <f t="shared" si="208"/>
        <v>4.8520302639196169</v>
      </c>
      <c r="AH543" s="288"/>
      <c r="AI543" s="288"/>
      <c r="AK543" s="286">
        <f t="shared" si="209"/>
        <v>127.4801368430463</v>
      </c>
      <c r="AL543" s="286">
        <f t="shared" si="210"/>
        <v>130.4801368430463</v>
      </c>
      <c r="AM543" s="287">
        <f t="shared" si="211"/>
        <v>4.8479605629957376</v>
      </c>
      <c r="AN543" s="287">
        <f t="shared" si="212"/>
        <v>4.8712210070786579</v>
      </c>
      <c r="AO543" s="288"/>
      <c r="AP543" s="288"/>
      <c r="AR543" s="286">
        <f t="shared" si="213"/>
        <v>118.28908654272621</v>
      </c>
      <c r="AS543" s="286">
        <f t="shared" si="214"/>
        <v>121.14359292218593</v>
      </c>
      <c r="AT543" s="287">
        <f t="shared" si="215"/>
        <v>4.7731315143427437</v>
      </c>
      <c r="AU543" s="287">
        <f t="shared" si="216"/>
        <v>4.7969765603682646</v>
      </c>
      <c r="AV543" s="299"/>
      <c r="AW543" s="299"/>
      <c r="AX543" s="286"/>
      <c r="AY543" s="286"/>
      <c r="AZ543" s="286"/>
      <c r="BA543" s="286"/>
      <c r="BB543" s="287"/>
      <c r="BC543" s="287"/>
      <c r="BD543" s="288"/>
      <c r="BE543" s="288"/>
    </row>
    <row r="544" spans="1:62" s="298" customFormat="1" x14ac:dyDescent="0.2">
      <c r="A544" s="290" t="s">
        <v>71</v>
      </c>
      <c r="B544" s="290" t="s">
        <v>35</v>
      </c>
      <c r="C544" s="425" t="s">
        <v>48</v>
      </c>
      <c r="D544" s="381" t="s">
        <v>312</v>
      </c>
      <c r="E544" s="387">
        <v>4.5</v>
      </c>
      <c r="F544" s="387">
        <f t="shared" si="205"/>
        <v>2.2704</v>
      </c>
      <c r="G544" s="387">
        <v>1.32</v>
      </c>
      <c r="H544" s="387">
        <v>1.5</v>
      </c>
      <c r="I544" s="387">
        <v>1.84</v>
      </c>
      <c r="J544" s="387">
        <v>1</v>
      </c>
      <c r="K544" s="383">
        <v>7</v>
      </c>
      <c r="L544" s="383" t="s">
        <v>323</v>
      </c>
      <c r="M544" s="383" t="s">
        <v>104</v>
      </c>
      <c r="N544" s="313">
        <v>10</v>
      </c>
      <c r="O544" s="295">
        <f t="shared" si="206"/>
        <v>11</v>
      </c>
      <c r="P544" s="295"/>
      <c r="Q544" s="295"/>
      <c r="R544" s="293">
        <f t="shared" si="217"/>
        <v>1.0301973834223186</v>
      </c>
      <c r="S544" s="292">
        <v>1.28</v>
      </c>
      <c r="T544" s="301" t="s">
        <v>37</v>
      </c>
      <c r="U544" s="295"/>
      <c r="V544" s="290"/>
      <c r="W544" s="290"/>
      <c r="X544" s="290"/>
      <c r="Y544" s="292">
        <v>1.27</v>
      </c>
      <c r="Z544" s="301" t="s">
        <v>37</v>
      </c>
      <c r="AA544" s="292"/>
      <c r="AB544" s="301"/>
      <c r="AC544" s="301"/>
      <c r="AD544" s="301"/>
      <c r="AE544" s="448"/>
      <c r="AF544" s="287">
        <f t="shared" si="207"/>
        <v>2.3025850929940459</v>
      </c>
      <c r="AG544" s="287">
        <f t="shared" si="208"/>
        <v>2.3978952727983707</v>
      </c>
      <c r="AH544" s="288"/>
      <c r="AI544" s="288"/>
      <c r="AK544" s="286">
        <f t="shared" si="209"/>
        <v>10.301973834223187</v>
      </c>
      <c r="AL544" s="286">
        <f t="shared" si="210"/>
        <v>11.301973834223187</v>
      </c>
      <c r="AM544" s="287">
        <f t="shared" si="211"/>
        <v>2.3323355112666664</v>
      </c>
      <c r="AN544" s="287">
        <f t="shared" si="212"/>
        <v>2.4249773860592616</v>
      </c>
      <c r="AO544" s="288"/>
      <c r="AP544" s="288"/>
      <c r="AR544" s="286">
        <f t="shared" si="213"/>
        <v>104.38133350828637</v>
      </c>
      <c r="AS544" s="286">
        <f t="shared" si="214"/>
        <v>112.46040568923181</v>
      </c>
      <c r="AT544" s="287">
        <f t="shared" si="215"/>
        <v>4.6480508616489544</v>
      </c>
      <c r="AU544" s="287">
        <f t="shared" si="216"/>
        <v>4.7226012102666886</v>
      </c>
      <c r="AV544" s="299"/>
      <c r="AW544" s="299"/>
      <c r="AX544" s="286"/>
      <c r="AY544" s="286"/>
      <c r="AZ544" s="286"/>
      <c r="BA544" s="286"/>
      <c r="BB544" s="287"/>
      <c r="BC544" s="287"/>
      <c r="BD544" s="288"/>
      <c r="BE544" s="288"/>
    </row>
    <row r="545" spans="1:57" s="298" customFormat="1" x14ac:dyDescent="0.2">
      <c r="A545" s="290" t="s">
        <v>71</v>
      </c>
      <c r="B545" s="290" t="s">
        <v>35</v>
      </c>
      <c r="C545" s="425" t="s">
        <v>48</v>
      </c>
      <c r="D545" s="381" t="s">
        <v>312</v>
      </c>
      <c r="E545" s="387">
        <v>5.0999999999999996</v>
      </c>
      <c r="F545" s="387">
        <f t="shared" si="205"/>
        <v>4.2484000000000002</v>
      </c>
      <c r="G545" s="387">
        <v>2.4700000000000002</v>
      </c>
      <c r="H545" s="387">
        <v>3.9</v>
      </c>
      <c r="I545" s="387">
        <v>4.3099999999999996</v>
      </c>
      <c r="J545" s="387">
        <v>2</v>
      </c>
      <c r="K545" s="383">
        <v>7</v>
      </c>
      <c r="L545" s="383" t="s">
        <v>323</v>
      </c>
      <c r="M545" s="383" t="s">
        <v>104</v>
      </c>
      <c r="N545" s="313">
        <v>42</v>
      </c>
      <c r="O545" s="295">
        <f t="shared" si="206"/>
        <v>44</v>
      </c>
      <c r="P545" s="295"/>
      <c r="Q545" s="295"/>
      <c r="R545" s="293">
        <f t="shared" si="217"/>
        <v>1.0699482217446554</v>
      </c>
      <c r="S545" s="292">
        <v>1.28</v>
      </c>
      <c r="T545" s="301" t="s">
        <v>37</v>
      </c>
      <c r="U545" s="295"/>
      <c r="V545" s="290"/>
      <c r="W545" s="290"/>
      <c r="X545" s="290"/>
      <c r="Y545" s="292">
        <v>1.27</v>
      </c>
      <c r="Z545" s="301" t="s">
        <v>37</v>
      </c>
      <c r="AA545" s="292"/>
      <c r="AB545" s="301"/>
      <c r="AC545" s="301"/>
      <c r="AD545" s="301"/>
      <c r="AE545" s="448"/>
      <c r="AF545" s="287">
        <f t="shared" si="207"/>
        <v>3.7376696182833684</v>
      </c>
      <c r="AG545" s="287">
        <f t="shared" si="208"/>
        <v>3.784189633918261</v>
      </c>
      <c r="AH545" s="288"/>
      <c r="AI545" s="288"/>
      <c r="AK545" s="286">
        <f t="shared" si="209"/>
        <v>44.937825313275525</v>
      </c>
      <c r="AL545" s="286">
        <f t="shared" si="210"/>
        <v>46.937825313275525</v>
      </c>
      <c r="AM545" s="287">
        <f t="shared" si="211"/>
        <v>3.8052798746934604</v>
      </c>
      <c r="AN545" s="287">
        <f t="shared" si="212"/>
        <v>3.8488238602758464</v>
      </c>
      <c r="AO545" s="288"/>
      <c r="AP545" s="288"/>
      <c r="AR545" s="286">
        <f t="shared" si="213"/>
        <v>153.16176332183423</v>
      </c>
      <c r="AS545" s="286">
        <f t="shared" si="214"/>
        <v>158.45312721241774</v>
      </c>
      <c r="AT545" s="287">
        <f t="shared" si="215"/>
        <v>5.031494639482454</v>
      </c>
      <c r="AU545" s="287">
        <f t="shared" si="216"/>
        <v>5.065458822214925</v>
      </c>
      <c r="AV545" s="299"/>
      <c r="AW545" s="299"/>
      <c r="AX545" s="286"/>
      <c r="AY545" s="286"/>
      <c r="AZ545" s="286"/>
      <c r="BA545" s="286"/>
      <c r="BB545" s="287"/>
      <c r="BC545" s="287"/>
      <c r="BD545" s="288"/>
      <c r="BE545" s="288"/>
    </row>
    <row r="546" spans="1:57" s="298" customFormat="1" x14ac:dyDescent="0.2">
      <c r="A546" s="290" t="s">
        <v>71</v>
      </c>
      <c r="B546" s="290" t="s">
        <v>35</v>
      </c>
      <c r="C546" s="425" t="s">
        <v>48</v>
      </c>
      <c r="D546" s="381" t="s">
        <v>312</v>
      </c>
      <c r="E546" s="387">
        <v>5.6</v>
      </c>
      <c r="F546" s="387">
        <f t="shared" si="205"/>
        <v>2.2876000000000003</v>
      </c>
      <c r="G546" s="387">
        <v>1.33</v>
      </c>
      <c r="H546" s="387">
        <v>4.3</v>
      </c>
      <c r="I546" s="387">
        <v>4.91</v>
      </c>
      <c r="J546" s="387">
        <v>3</v>
      </c>
      <c r="K546" s="383">
        <v>7</v>
      </c>
      <c r="L546" s="383" t="s">
        <v>323</v>
      </c>
      <c r="M546" s="383" t="s">
        <v>104</v>
      </c>
      <c r="N546" s="313">
        <v>52</v>
      </c>
      <c r="O546" s="295">
        <f t="shared" si="206"/>
        <v>55</v>
      </c>
      <c r="P546" s="295"/>
      <c r="Q546" s="295"/>
      <c r="R546" s="293">
        <f t="shared" si="217"/>
        <v>1.1408584209210448</v>
      </c>
      <c r="S546" s="292">
        <v>1.28</v>
      </c>
      <c r="T546" s="301" t="s">
        <v>37</v>
      </c>
      <c r="U546" s="295"/>
      <c r="V546" s="290"/>
      <c r="W546" s="290"/>
      <c r="X546" s="290"/>
      <c r="Y546" s="292">
        <v>1.27</v>
      </c>
      <c r="Z546" s="301" t="s">
        <v>37</v>
      </c>
      <c r="AA546" s="292"/>
      <c r="AB546" s="301"/>
      <c r="AC546" s="301"/>
      <c r="AD546" s="301"/>
      <c r="AE546" s="448"/>
      <c r="AF546" s="287">
        <f t="shared" si="207"/>
        <v>3.9512437185814275</v>
      </c>
      <c r="AG546" s="287">
        <f t="shared" si="208"/>
        <v>4.0073331852324712</v>
      </c>
      <c r="AH546" s="288"/>
      <c r="AI546" s="288"/>
      <c r="AK546" s="286">
        <f t="shared" si="209"/>
        <v>59.324637887894333</v>
      </c>
      <c r="AL546" s="286">
        <f t="shared" si="210"/>
        <v>62.324637887894333</v>
      </c>
      <c r="AM546" s="287">
        <f t="shared" si="211"/>
        <v>4.0830246984328964</v>
      </c>
      <c r="AN546" s="287">
        <f t="shared" si="212"/>
        <v>4.1323568193308793</v>
      </c>
      <c r="AO546" s="288"/>
      <c r="AP546" s="288"/>
      <c r="AR546" s="286">
        <f t="shared" si="213"/>
        <v>171.12757568491881</v>
      </c>
      <c r="AS546" s="286">
        <f t="shared" si="214"/>
        <v>178.29955220609995</v>
      </c>
      <c r="AT546" s="287">
        <f t="shared" si="215"/>
        <v>5.1424093349777005</v>
      </c>
      <c r="AU546" s="287">
        <f t="shared" si="216"/>
        <v>5.1834650134026763</v>
      </c>
      <c r="AV546" s="299"/>
      <c r="AW546" s="299"/>
      <c r="AX546" s="286"/>
      <c r="AY546" s="286"/>
      <c r="AZ546" s="286"/>
      <c r="BA546" s="286"/>
      <c r="BB546" s="287"/>
      <c r="BC546" s="287"/>
      <c r="BD546" s="288"/>
      <c r="BE546" s="288"/>
    </row>
    <row r="547" spans="1:57" s="298" customFormat="1" x14ac:dyDescent="0.2">
      <c r="A547" s="290" t="s">
        <v>71</v>
      </c>
      <c r="B547" s="290" t="s">
        <v>35</v>
      </c>
      <c r="C547" s="425" t="s">
        <v>48</v>
      </c>
      <c r="D547" s="381" t="s">
        <v>312</v>
      </c>
      <c r="E547" s="387">
        <v>6.1</v>
      </c>
      <c r="F547" s="387">
        <f t="shared" si="205"/>
        <v>7.3959999999999999</v>
      </c>
      <c r="G547" s="387">
        <v>4.3</v>
      </c>
      <c r="H547" s="387">
        <v>35.299999999999997</v>
      </c>
      <c r="I547" s="387">
        <v>28.87</v>
      </c>
      <c r="J547" s="387">
        <v>39</v>
      </c>
      <c r="K547" s="383">
        <v>7</v>
      </c>
      <c r="L547" s="383" t="s">
        <v>323</v>
      </c>
      <c r="M547" s="383" t="s">
        <v>104</v>
      </c>
      <c r="N547" s="313">
        <v>150</v>
      </c>
      <c r="O547" s="295">
        <f t="shared" si="206"/>
        <v>189</v>
      </c>
      <c r="P547" s="295"/>
      <c r="Q547" s="295"/>
      <c r="R547" s="293">
        <f t="shared" si="217"/>
        <v>1.2836540264997702</v>
      </c>
      <c r="S547" s="292">
        <v>1.28</v>
      </c>
      <c r="T547" s="301" t="s">
        <v>37</v>
      </c>
      <c r="U547" s="295"/>
      <c r="V547" s="290"/>
      <c r="W547" s="290"/>
      <c r="X547" s="290"/>
      <c r="Y547" s="292">
        <v>1.27</v>
      </c>
      <c r="Z547" s="301" t="s">
        <v>37</v>
      </c>
      <c r="AA547" s="292"/>
      <c r="AB547" s="301"/>
      <c r="AC547" s="301"/>
      <c r="AD547" s="301"/>
      <c r="AE547" s="448"/>
      <c r="AF547" s="287">
        <f t="shared" si="207"/>
        <v>5.0106352940962555</v>
      </c>
      <c r="AG547" s="287">
        <f t="shared" si="208"/>
        <v>5.2417470150596426</v>
      </c>
      <c r="AH547" s="288"/>
      <c r="AI547" s="288"/>
      <c r="AK547" s="286">
        <f t="shared" si="209"/>
        <v>192.54810397496553</v>
      </c>
      <c r="AL547" s="286">
        <f t="shared" si="210"/>
        <v>231.54810397496553</v>
      </c>
      <c r="AM547" s="287">
        <f t="shared" si="211"/>
        <v>5.2603460132893805</v>
      </c>
      <c r="AN547" s="287">
        <f t="shared" si="212"/>
        <v>5.444787644488855</v>
      </c>
      <c r="AO547" s="288"/>
      <c r="AP547" s="288"/>
      <c r="AR547" s="286">
        <f t="shared" si="213"/>
        <v>57.522343989473853</v>
      </c>
      <c r="AS547" s="286">
        <f t="shared" si="214"/>
        <v>69.829317473031992</v>
      </c>
      <c r="AT547" s="287">
        <f t="shared" si="215"/>
        <v>4.052173463442613</v>
      </c>
      <c r="AU547" s="287">
        <f t="shared" si="216"/>
        <v>4.246053942687765</v>
      </c>
      <c r="AV547" s="299"/>
      <c r="AW547" s="299"/>
      <c r="AX547" s="286"/>
      <c r="AY547" s="286"/>
      <c r="AZ547" s="286"/>
      <c r="BA547" s="286"/>
      <c r="BB547" s="287"/>
      <c r="BC547" s="287"/>
      <c r="BD547" s="288"/>
      <c r="BE547" s="288"/>
    </row>
    <row r="548" spans="1:57" s="298" customFormat="1" x14ac:dyDescent="0.2">
      <c r="A548" s="290" t="s">
        <v>71</v>
      </c>
      <c r="B548" s="290" t="s">
        <v>35</v>
      </c>
      <c r="C548" s="425" t="s">
        <v>48</v>
      </c>
      <c r="D548" s="381" t="s">
        <v>312</v>
      </c>
      <c r="E548" s="387">
        <v>6.7</v>
      </c>
      <c r="F548" s="387">
        <f t="shared" si="205"/>
        <v>1.8748</v>
      </c>
      <c r="G548" s="387">
        <v>1.0900000000000001</v>
      </c>
      <c r="H548" s="387">
        <v>9.6</v>
      </c>
      <c r="I548" s="387">
        <v>7.8</v>
      </c>
      <c r="J548" s="387">
        <v>11</v>
      </c>
      <c r="K548" s="383">
        <v>7</v>
      </c>
      <c r="L548" s="383" t="s">
        <v>323</v>
      </c>
      <c r="M548" s="383" t="s">
        <v>104</v>
      </c>
      <c r="N548" s="313">
        <v>118</v>
      </c>
      <c r="O548" s="295">
        <f t="shared" si="206"/>
        <v>129</v>
      </c>
      <c r="P548" s="295"/>
      <c r="Q548" s="295"/>
      <c r="R548" s="293">
        <f t="shared" si="217"/>
        <v>1.657046819815057</v>
      </c>
      <c r="S548" s="292">
        <v>1.28</v>
      </c>
      <c r="T548" s="301" t="s">
        <v>37</v>
      </c>
      <c r="U548" s="295"/>
      <c r="V548" s="290"/>
      <c r="W548" s="290"/>
      <c r="X548" s="290"/>
      <c r="Y548" s="292">
        <v>1.27</v>
      </c>
      <c r="Z548" s="301" t="s">
        <v>37</v>
      </c>
      <c r="AA548" s="292"/>
      <c r="AB548" s="301"/>
      <c r="AC548" s="301"/>
      <c r="AD548" s="301"/>
      <c r="AE548" s="448"/>
      <c r="AF548" s="287">
        <f t="shared" si="207"/>
        <v>4.7706846244656651</v>
      </c>
      <c r="AG548" s="287">
        <f t="shared" si="208"/>
        <v>4.8598124043616719</v>
      </c>
      <c r="AH548" s="288"/>
      <c r="AI548" s="288"/>
      <c r="AK548" s="286">
        <f t="shared" si="209"/>
        <v>195.53152473817673</v>
      </c>
      <c r="AL548" s="286">
        <f t="shared" si="210"/>
        <v>206.53152473817673</v>
      </c>
      <c r="AM548" s="287">
        <f t="shared" si="211"/>
        <v>5.275721618283419</v>
      </c>
      <c r="AN548" s="287">
        <f t="shared" si="212"/>
        <v>5.3304530629197515</v>
      </c>
      <c r="AO548" s="288"/>
      <c r="AP548" s="288"/>
      <c r="AR548" s="286">
        <f t="shared" si="213"/>
        <v>311.89248255091019</v>
      </c>
      <c r="AS548" s="286">
        <f t="shared" si="214"/>
        <v>328.23900647102988</v>
      </c>
      <c r="AT548" s="287">
        <f t="shared" si="215"/>
        <v>5.742658521210152</v>
      </c>
      <c r="AU548" s="287">
        <f t="shared" si="216"/>
        <v>5.7937420212923705</v>
      </c>
      <c r="AV548" s="299"/>
      <c r="AW548" s="299"/>
      <c r="AX548" s="286"/>
      <c r="AY548" s="286"/>
      <c r="AZ548" s="286"/>
      <c r="BA548" s="286"/>
      <c r="BB548" s="287"/>
      <c r="BC548" s="287"/>
      <c r="BD548" s="288"/>
      <c r="BE548" s="288"/>
    </row>
    <row r="549" spans="1:57" s="298" customFormat="1" x14ac:dyDescent="0.2">
      <c r="A549" s="290" t="s">
        <v>71</v>
      </c>
      <c r="B549" s="290" t="s">
        <v>35</v>
      </c>
      <c r="C549" s="425" t="s">
        <v>48</v>
      </c>
      <c r="D549" s="381" t="s">
        <v>312</v>
      </c>
      <c r="E549" s="387">
        <v>7</v>
      </c>
      <c r="F549" s="387">
        <f t="shared" si="205"/>
        <v>0.77400000000000002</v>
      </c>
      <c r="G549" s="387">
        <v>0.45</v>
      </c>
      <c r="H549" s="387">
        <v>33.200000000000003</v>
      </c>
      <c r="I549" s="387">
        <v>12.85</v>
      </c>
      <c r="J549" s="387">
        <v>81</v>
      </c>
      <c r="K549" s="383">
        <v>7</v>
      </c>
      <c r="L549" s="383" t="s">
        <v>323</v>
      </c>
      <c r="M549" s="383" t="s">
        <v>104</v>
      </c>
      <c r="N549" s="313">
        <v>250</v>
      </c>
      <c r="O549" s="295">
        <f t="shared" si="206"/>
        <v>331</v>
      </c>
      <c r="P549" s="295"/>
      <c r="Q549" s="295"/>
      <c r="R549" s="293">
        <f t="shared" si="217"/>
        <v>2</v>
      </c>
      <c r="S549" s="292">
        <v>1.28</v>
      </c>
      <c r="T549" s="301" t="s">
        <v>37</v>
      </c>
      <c r="U549" s="295"/>
      <c r="V549" s="290"/>
      <c r="W549" s="290"/>
      <c r="X549" s="290"/>
      <c r="Y549" s="292">
        <v>1.27</v>
      </c>
      <c r="Z549" s="301" t="s">
        <v>37</v>
      </c>
      <c r="AA549" s="292"/>
      <c r="AB549" s="301"/>
      <c r="AC549" s="301"/>
      <c r="AD549" s="301"/>
      <c r="AE549" s="448"/>
      <c r="AF549" s="287">
        <f t="shared" si="207"/>
        <v>5.521460917862246</v>
      </c>
      <c r="AG549" s="287">
        <f t="shared" si="208"/>
        <v>5.8021183753770629</v>
      </c>
      <c r="AH549" s="288"/>
      <c r="AI549" s="288"/>
      <c r="AK549" s="286">
        <f t="shared" si="209"/>
        <v>500</v>
      </c>
      <c r="AL549" s="286">
        <f t="shared" si="210"/>
        <v>581</v>
      </c>
      <c r="AM549" s="287">
        <f t="shared" si="211"/>
        <v>6.2146080984221914</v>
      </c>
      <c r="AN549" s="287">
        <f t="shared" si="212"/>
        <v>6.3647507568519108</v>
      </c>
      <c r="AO549" s="288"/>
      <c r="AP549" s="288"/>
      <c r="AR549" s="286">
        <f t="shared" si="213"/>
        <v>420.96230883321226</v>
      </c>
      <c r="AS549" s="286">
        <f t="shared" si="214"/>
        <v>489.81619898070471</v>
      </c>
      <c r="AT549" s="287">
        <f t="shared" si="215"/>
        <v>6.0425433019624517</v>
      </c>
      <c r="AU549" s="287">
        <f t="shared" si="216"/>
        <v>6.1940302166145127</v>
      </c>
      <c r="AV549" s="299"/>
      <c r="AW549" s="299"/>
      <c r="AX549" s="286"/>
      <c r="AY549" s="286"/>
      <c r="AZ549" s="286"/>
      <c r="BA549" s="286"/>
      <c r="BB549" s="287"/>
      <c r="BC549" s="287"/>
      <c r="BD549" s="288"/>
      <c r="BE549" s="288"/>
    </row>
    <row r="550" spans="1:57" s="298" customFormat="1" x14ac:dyDescent="0.2">
      <c r="A550" s="290" t="s">
        <v>71</v>
      </c>
      <c r="B550" s="290" t="s">
        <v>35</v>
      </c>
      <c r="C550" s="425" t="s">
        <v>48</v>
      </c>
      <c r="D550" s="381" t="s">
        <v>312</v>
      </c>
      <c r="E550" s="387">
        <v>7.6</v>
      </c>
      <c r="F550" s="387">
        <f t="shared" si="205"/>
        <v>1.9607999999999999</v>
      </c>
      <c r="G550" s="387">
        <v>1.1399999999999999</v>
      </c>
      <c r="H550" s="387">
        <v>19.899999999999999</v>
      </c>
      <c r="I550" s="387">
        <v>19.440000000000001</v>
      </c>
      <c r="J550" s="387">
        <v>19</v>
      </c>
      <c r="K550" s="383">
        <v>7</v>
      </c>
      <c r="L550" s="383" t="s">
        <v>323</v>
      </c>
      <c r="M550" s="383" t="s">
        <v>104</v>
      </c>
      <c r="N550" s="313">
        <v>200</v>
      </c>
      <c r="O550" s="295">
        <f t="shared" si="206"/>
        <v>219</v>
      </c>
      <c r="P550" s="295"/>
      <c r="Q550" s="295"/>
      <c r="R550" s="293">
        <f t="shared" si="217"/>
        <v>3.3163669767810902</v>
      </c>
      <c r="S550" s="292">
        <v>1.28</v>
      </c>
      <c r="T550" s="301" t="s">
        <v>37</v>
      </c>
      <c r="U550" s="295"/>
      <c r="V550" s="290"/>
      <c r="W550" s="290"/>
      <c r="X550" s="290"/>
      <c r="Y550" s="292">
        <v>1.27</v>
      </c>
      <c r="Z550" s="301" t="s">
        <v>37</v>
      </c>
      <c r="AA550" s="292"/>
      <c r="AB550" s="301"/>
      <c r="AC550" s="301"/>
      <c r="AD550" s="301"/>
      <c r="AE550" s="448"/>
      <c r="AF550" s="287">
        <f t="shared" si="207"/>
        <v>5.2983173665480363</v>
      </c>
      <c r="AG550" s="287">
        <f t="shared" si="208"/>
        <v>5.389071729816501</v>
      </c>
      <c r="AH550" s="288"/>
      <c r="AI550" s="288"/>
      <c r="AK550" s="286">
        <f t="shared" si="209"/>
        <v>663.27339535621809</v>
      </c>
      <c r="AL550" s="286">
        <f t="shared" si="210"/>
        <v>682.27339535621809</v>
      </c>
      <c r="AM550" s="287">
        <f t="shared" si="211"/>
        <v>6.4971872662083596</v>
      </c>
      <c r="AN550" s="287">
        <f t="shared" si="212"/>
        <v>6.5254304504716973</v>
      </c>
      <c r="AO550" s="288"/>
      <c r="AP550" s="288"/>
      <c r="AR550" s="286">
        <f t="shared" si="213"/>
        <v>328.72336641538647</v>
      </c>
      <c r="AS550" s="286">
        <f t="shared" si="214"/>
        <v>339.9994146076935</v>
      </c>
      <c r="AT550" s="287">
        <f t="shared" si="215"/>
        <v>5.7952165655040568</v>
      </c>
      <c r="AU550" s="287">
        <f t="shared" si="216"/>
        <v>5.8289438958666473</v>
      </c>
      <c r="AV550" s="299"/>
      <c r="AW550" s="299"/>
      <c r="AX550" s="286"/>
      <c r="AY550" s="286"/>
      <c r="AZ550" s="286"/>
      <c r="BA550" s="286"/>
      <c r="BB550" s="287"/>
      <c r="BC550" s="287"/>
      <c r="BD550" s="288"/>
      <c r="BE550" s="288"/>
    </row>
    <row r="551" spans="1:57" s="298" customFormat="1" x14ac:dyDescent="0.2">
      <c r="A551" s="290" t="s">
        <v>71</v>
      </c>
      <c r="B551" s="290" t="s">
        <v>35</v>
      </c>
      <c r="C551" s="425" t="s">
        <v>48</v>
      </c>
      <c r="D551" s="381" t="s">
        <v>312</v>
      </c>
      <c r="E551" s="387">
        <v>7.5</v>
      </c>
      <c r="F551" s="387">
        <f t="shared" si="205"/>
        <v>2.3564000000000003</v>
      </c>
      <c r="G551" s="387">
        <v>1.37</v>
      </c>
      <c r="H551" s="387">
        <v>49.2</v>
      </c>
      <c r="I551" s="387">
        <v>23.57</v>
      </c>
      <c r="J551" s="387">
        <v>113</v>
      </c>
      <c r="K551" s="383">
        <v>7</v>
      </c>
      <c r="L551" s="383" t="s">
        <v>323</v>
      </c>
      <c r="M551" s="383" t="s">
        <v>104</v>
      </c>
      <c r="N551" s="313">
        <v>504</v>
      </c>
      <c r="O551" s="295">
        <f t="shared" si="206"/>
        <v>617</v>
      </c>
      <c r="P551" s="295"/>
      <c r="Q551" s="295"/>
      <c r="R551" s="293">
        <f t="shared" si="217"/>
        <v>3.0137527074704766</v>
      </c>
      <c r="S551" s="292">
        <v>1.28</v>
      </c>
      <c r="T551" s="301" t="s">
        <v>37</v>
      </c>
      <c r="U551" s="295"/>
      <c r="V551" s="290"/>
      <c r="W551" s="290"/>
      <c r="X551" s="290"/>
      <c r="Y551" s="292">
        <v>1.27</v>
      </c>
      <c r="Z551" s="301" t="s">
        <v>37</v>
      </c>
      <c r="AA551" s="292"/>
      <c r="AB551" s="301"/>
      <c r="AC551" s="301"/>
      <c r="AD551" s="301"/>
      <c r="AE551" s="448"/>
      <c r="AF551" s="287">
        <f t="shared" si="207"/>
        <v>6.2225762680713688</v>
      </c>
      <c r="AG551" s="287">
        <f t="shared" si="208"/>
        <v>6.4248690239053881</v>
      </c>
      <c r="AH551" s="288"/>
      <c r="AI551" s="288"/>
      <c r="AK551" s="286">
        <f t="shared" si="209"/>
        <v>1518.9313645651202</v>
      </c>
      <c r="AL551" s="286">
        <f t="shared" si="210"/>
        <v>1631.9313645651202</v>
      </c>
      <c r="AM551" s="287">
        <f t="shared" si="211"/>
        <v>7.3257623169568262</v>
      </c>
      <c r="AN551" s="287">
        <f t="shared" si="212"/>
        <v>7.3975194786133986</v>
      </c>
      <c r="AO551" s="288"/>
      <c r="AP551" s="288"/>
      <c r="AR551" s="286">
        <f t="shared" si="213"/>
        <v>588.28408049380664</v>
      </c>
      <c r="AS551" s="286">
        <f t="shared" si="214"/>
        <v>636.75036574662045</v>
      </c>
      <c r="AT551" s="287">
        <f t="shared" si="215"/>
        <v>6.3772099613203688</v>
      </c>
      <c r="AU551" s="287">
        <f t="shared" si="216"/>
        <v>6.4563776882553503</v>
      </c>
      <c r="AV551" s="299"/>
      <c r="AW551" s="299"/>
      <c r="AX551" s="286"/>
      <c r="AY551" s="286"/>
      <c r="AZ551" s="286"/>
      <c r="BA551" s="286"/>
      <c r="BB551" s="287"/>
      <c r="BC551" s="287"/>
      <c r="BD551" s="288"/>
      <c r="BE551" s="288"/>
    </row>
    <row r="552" spans="1:57" s="298" customFormat="1" x14ac:dyDescent="0.2">
      <c r="A552" s="290" t="s">
        <v>71</v>
      </c>
      <c r="B552" s="290" t="s">
        <v>35</v>
      </c>
      <c r="C552" s="425" t="s">
        <v>48</v>
      </c>
      <c r="D552" s="381" t="s">
        <v>312</v>
      </c>
      <c r="E552" s="387">
        <v>7.6</v>
      </c>
      <c r="F552" s="387">
        <f t="shared" si="205"/>
        <v>0.84279999999999999</v>
      </c>
      <c r="G552" s="387">
        <v>0.49</v>
      </c>
      <c r="H552" s="387">
        <v>55.4</v>
      </c>
      <c r="I552" s="387">
        <v>35.26</v>
      </c>
      <c r="J552" s="387">
        <v>24</v>
      </c>
      <c r="K552" s="383">
        <v>7</v>
      </c>
      <c r="L552" s="383" t="s">
        <v>323</v>
      </c>
      <c r="M552" s="383" t="s">
        <v>104</v>
      </c>
      <c r="N552" s="313">
        <v>224</v>
      </c>
      <c r="O552" s="295">
        <f t="shared" si="206"/>
        <v>248</v>
      </c>
      <c r="P552" s="295"/>
      <c r="Q552" s="295"/>
      <c r="R552" s="293">
        <f t="shared" si="217"/>
        <v>3.3163669767810902</v>
      </c>
      <c r="S552" s="292">
        <v>1.28</v>
      </c>
      <c r="T552" s="301" t="s">
        <v>37</v>
      </c>
      <c r="U552" s="295"/>
      <c r="V552" s="290"/>
      <c r="W552" s="290"/>
      <c r="X552" s="290"/>
      <c r="Y552" s="292">
        <v>1.27</v>
      </c>
      <c r="Z552" s="301" t="s">
        <v>37</v>
      </c>
      <c r="AA552" s="292"/>
      <c r="AB552" s="301"/>
      <c r="AC552" s="301"/>
      <c r="AD552" s="301"/>
      <c r="AE552" s="448"/>
      <c r="AF552" s="287">
        <f t="shared" si="207"/>
        <v>5.4116460518550396</v>
      </c>
      <c r="AG552" s="287">
        <f t="shared" si="208"/>
        <v>5.5134287461649825</v>
      </c>
      <c r="AH552" s="288"/>
      <c r="AI552" s="288"/>
      <c r="AK552" s="286">
        <f t="shared" si="209"/>
        <v>742.8662027989642</v>
      </c>
      <c r="AL552" s="286">
        <f t="shared" si="210"/>
        <v>766.8662027989642</v>
      </c>
      <c r="AM552" s="287">
        <f t="shared" si="211"/>
        <v>6.6105159515153629</v>
      </c>
      <c r="AN552" s="287">
        <f t="shared" si="212"/>
        <v>6.6423123439065845</v>
      </c>
      <c r="AO552" s="288"/>
      <c r="AP552" s="288"/>
      <c r="AR552" s="286">
        <f t="shared" si="213"/>
        <v>171.81396404214422</v>
      </c>
      <c r="AS552" s="286">
        <f t="shared" si="214"/>
        <v>179.4052097971616</v>
      </c>
      <c r="AT552" s="287">
        <f t="shared" si="215"/>
        <v>5.1464122870511488</v>
      </c>
      <c r="AU552" s="287">
        <f t="shared" si="216"/>
        <v>5.1896469893209973</v>
      </c>
      <c r="AV552" s="299"/>
      <c r="AW552" s="299"/>
      <c r="AX552" s="286"/>
      <c r="AY552" s="286"/>
      <c r="AZ552" s="286"/>
      <c r="BA552" s="286"/>
      <c r="BB552" s="287"/>
      <c r="BC552" s="287"/>
      <c r="BD552" s="288"/>
      <c r="BE552" s="288"/>
    </row>
    <row r="553" spans="1:57" s="298" customFormat="1" x14ac:dyDescent="0.2">
      <c r="A553" s="290" t="s">
        <v>71</v>
      </c>
      <c r="B553" s="290" t="s">
        <v>35</v>
      </c>
      <c r="C553" s="425" t="s">
        <v>48</v>
      </c>
      <c r="D553" s="381" t="s">
        <v>312</v>
      </c>
      <c r="E553" s="387">
        <v>7.6</v>
      </c>
      <c r="F553" s="387">
        <f t="shared" si="205"/>
        <v>0.91160000000000008</v>
      </c>
      <c r="G553" s="387">
        <v>0.53</v>
      </c>
      <c r="H553" s="387">
        <v>19.8</v>
      </c>
      <c r="I553" s="387">
        <v>13.35</v>
      </c>
      <c r="J553" s="387">
        <v>18</v>
      </c>
      <c r="K553" s="383">
        <v>7</v>
      </c>
      <c r="L553" s="383" t="s">
        <v>323</v>
      </c>
      <c r="M553" s="383" t="s">
        <v>104</v>
      </c>
      <c r="N553" s="313">
        <v>144</v>
      </c>
      <c r="O553" s="295">
        <f t="shared" si="206"/>
        <v>162</v>
      </c>
      <c r="P553" s="295"/>
      <c r="Q553" s="295"/>
      <c r="R553" s="293">
        <f t="shared" si="217"/>
        <v>3.3163669767810902</v>
      </c>
      <c r="S553" s="292">
        <v>1.28</v>
      </c>
      <c r="T553" s="301" t="s">
        <v>37</v>
      </c>
      <c r="U553" s="295"/>
      <c r="V553" s="290"/>
      <c r="W553" s="290"/>
      <c r="X553" s="290"/>
      <c r="Y553" s="292">
        <v>1.27</v>
      </c>
      <c r="Z553" s="301" t="s">
        <v>37</v>
      </c>
      <c r="AA553" s="292"/>
      <c r="AB553" s="301"/>
      <c r="AC553" s="301"/>
      <c r="AD553" s="301"/>
      <c r="AE553" s="448"/>
      <c r="AF553" s="287">
        <f t="shared" si="207"/>
        <v>4.9698132995760007</v>
      </c>
      <c r="AG553" s="287">
        <f t="shared" si="208"/>
        <v>5.0875963352323836</v>
      </c>
      <c r="AH553" s="288"/>
      <c r="AI553" s="288"/>
      <c r="AK553" s="286">
        <f t="shared" si="209"/>
        <v>477.55684465647698</v>
      </c>
      <c r="AL553" s="286">
        <f t="shared" si="210"/>
        <v>495.55684465647698</v>
      </c>
      <c r="AM553" s="287">
        <f t="shared" si="211"/>
        <v>6.1686831992363231</v>
      </c>
      <c r="AN553" s="287">
        <f t="shared" si="212"/>
        <v>6.205682068999236</v>
      </c>
      <c r="AO553" s="288"/>
      <c r="AP553" s="288"/>
      <c r="AR553" s="286">
        <f t="shared" si="213"/>
        <v>382.89373971539806</v>
      </c>
      <c r="AS553" s="286">
        <f t="shared" si="214"/>
        <v>398.01208152352018</v>
      </c>
      <c r="AT553" s="287">
        <f t="shared" si="215"/>
        <v>5.9477575086901453</v>
      </c>
      <c r="AU553" s="287">
        <f t="shared" si="216"/>
        <v>5.9864823604104505</v>
      </c>
      <c r="AV553" s="299"/>
      <c r="AW553" s="299"/>
      <c r="AX553" s="286"/>
      <c r="AY553" s="286"/>
      <c r="AZ553" s="286"/>
      <c r="BA553" s="286"/>
      <c r="BB553" s="287"/>
      <c r="BC553" s="287"/>
      <c r="BD553" s="288"/>
      <c r="BE553" s="288"/>
    </row>
    <row r="554" spans="1:57" s="336" customFormat="1" x14ac:dyDescent="0.2">
      <c r="A554" s="326" t="s">
        <v>71</v>
      </c>
      <c r="B554" s="326" t="s">
        <v>35</v>
      </c>
      <c r="C554" s="428" t="s">
        <v>48</v>
      </c>
      <c r="D554" s="391" t="s">
        <v>312</v>
      </c>
      <c r="E554" s="361">
        <v>7.7</v>
      </c>
      <c r="F554" s="361">
        <f t="shared" si="205"/>
        <v>0.53320000000000001</v>
      </c>
      <c r="G554" s="361">
        <v>0.31</v>
      </c>
      <c r="H554" s="361">
        <v>17.2</v>
      </c>
      <c r="I554" s="361">
        <v>13.27</v>
      </c>
      <c r="J554" s="361">
        <v>11</v>
      </c>
      <c r="K554" s="394">
        <v>7</v>
      </c>
      <c r="L554" s="394" t="s">
        <v>323</v>
      </c>
      <c r="M554" s="394" t="s">
        <v>104</v>
      </c>
      <c r="N554" s="317">
        <v>189</v>
      </c>
      <c r="O554" s="231">
        <f t="shared" si="206"/>
        <v>200</v>
      </c>
      <c r="P554" s="231"/>
      <c r="Q554" s="231"/>
      <c r="R554" s="318">
        <f t="shared" si="217"/>
        <v>3.6644562419294178</v>
      </c>
      <c r="S554" s="328">
        <v>1.28</v>
      </c>
      <c r="T554" s="314" t="s">
        <v>37</v>
      </c>
      <c r="U554" s="231"/>
      <c r="V554" s="326"/>
      <c r="W554" s="326"/>
      <c r="X554" s="326"/>
      <c r="Y554" s="328">
        <v>1.27</v>
      </c>
      <c r="Z554" s="314" t="s">
        <v>37</v>
      </c>
      <c r="AA554" s="328"/>
      <c r="AB554" s="314"/>
      <c r="AC554" s="314"/>
      <c r="AD554" s="314"/>
      <c r="AE554" s="443"/>
      <c r="AF554" s="334">
        <f t="shared" si="207"/>
        <v>5.2417470150596426</v>
      </c>
      <c r="AG554" s="334">
        <f t="shared" si="208"/>
        <v>5.2983173665480363</v>
      </c>
      <c r="AH554" s="335"/>
      <c r="AI554" s="335"/>
      <c r="AK554" s="337">
        <f t="shared" si="209"/>
        <v>692.58222972466001</v>
      </c>
      <c r="AL554" s="337">
        <f t="shared" si="210"/>
        <v>703.58222972466001</v>
      </c>
      <c r="AM554" s="334">
        <f t="shared" si="211"/>
        <v>6.5404269742967758</v>
      </c>
      <c r="AN554" s="334">
        <f t="shared" si="212"/>
        <v>6.5561847563259548</v>
      </c>
      <c r="AO554" s="335"/>
      <c r="AP554" s="335"/>
      <c r="AR554" s="337">
        <f t="shared" si="213"/>
        <v>559.58462670202584</v>
      </c>
      <c r="AS554" s="337">
        <f t="shared" si="214"/>
        <v>569.42007412433929</v>
      </c>
      <c r="AT554" s="334">
        <f t="shared" si="215"/>
        <v>6.3271947704733398</v>
      </c>
      <c r="AU554" s="334">
        <f t="shared" si="216"/>
        <v>6.3446184290948899</v>
      </c>
      <c r="AV554" s="338"/>
      <c r="AW554" s="338"/>
      <c r="AX554" s="337"/>
      <c r="AY554" s="337"/>
      <c r="AZ554" s="337"/>
      <c r="BA554" s="337"/>
      <c r="BB554" s="334"/>
      <c r="BC554" s="334"/>
      <c r="BD554" s="335"/>
      <c r="BE554" s="335"/>
    </row>
    <row r="555" spans="1:57" s="298" customFormat="1" x14ac:dyDescent="0.2">
      <c r="A555" s="290" t="s">
        <v>71</v>
      </c>
      <c r="B555" s="290" t="s">
        <v>35</v>
      </c>
      <c r="C555" s="425" t="s">
        <v>41</v>
      </c>
      <c r="D555" s="381" t="s">
        <v>319</v>
      </c>
      <c r="E555" s="387">
        <v>3.6</v>
      </c>
      <c r="F555" s="387">
        <f t="shared" si="205"/>
        <v>2.9756</v>
      </c>
      <c r="G555" s="387">
        <v>1.73</v>
      </c>
      <c r="H555" s="387">
        <v>0.4</v>
      </c>
      <c r="I555" s="387">
        <v>1.84</v>
      </c>
      <c r="J555" s="387">
        <v>1</v>
      </c>
      <c r="K555" s="383">
        <v>7</v>
      </c>
      <c r="L555" s="383">
        <v>4</v>
      </c>
      <c r="M555" s="383" t="s">
        <v>104</v>
      </c>
      <c r="N555" s="313">
        <v>31</v>
      </c>
      <c r="O555" s="295">
        <f t="shared" si="206"/>
        <v>32</v>
      </c>
      <c r="P555" s="295"/>
      <c r="Q555" s="295"/>
      <c r="R555" s="293">
        <f t="shared" si="217"/>
        <v>1.008565609397498</v>
      </c>
      <c r="S555" s="292">
        <v>1.1200000000000001</v>
      </c>
      <c r="T555" s="301" t="s">
        <v>37</v>
      </c>
      <c r="U555" s="295"/>
      <c r="V555" s="290"/>
      <c r="W555" s="290"/>
      <c r="X555" s="290"/>
      <c r="Y555" s="292">
        <v>1.1200000000000001</v>
      </c>
      <c r="Z555" s="301" t="s">
        <v>37</v>
      </c>
      <c r="AA555" s="292"/>
      <c r="AB555" s="301"/>
      <c r="AC555" s="301"/>
      <c r="AD555" s="301"/>
      <c r="AE555" s="448"/>
      <c r="AF555" s="239">
        <f t="shared" si="207"/>
        <v>3.4339872044851463</v>
      </c>
      <c r="AG555" s="239">
        <f t="shared" si="208"/>
        <v>3.4657359027997265</v>
      </c>
      <c r="AH555" s="240"/>
      <c r="AI555" s="240"/>
      <c r="AK555" s="286">
        <f t="shared" si="209"/>
        <v>31.265533891322438</v>
      </c>
      <c r="AL555" s="286">
        <f t="shared" si="210"/>
        <v>32.265533891322434</v>
      </c>
      <c r="AM555" s="239">
        <f t="shared" si="211"/>
        <v>3.4425163371991441</v>
      </c>
      <c r="AN555" s="239">
        <f t="shared" si="212"/>
        <v>3.4739995983242764</v>
      </c>
      <c r="AO555" s="240"/>
      <c r="AP555" s="240"/>
      <c r="AR555" s="286">
        <f t="shared" si="213"/>
        <v>237.16764852016433</v>
      </c>
      <c r="AS555" s="286">
        <f t="shared" si="214"/>
        <v>244.75324259140416</v>
      </c>
      <c r="AT555" s="239">
        <f t="shared" si="215"/>
        <v>5.4687672687836466</v>
      </c>
      <c r="AU555" s="239">
        <f t="shared" si="216"/>
        <v>5.5002505299087794</v>
      </c>
      <c r="AV555" s="299"/>
      <c r="AW555" s="299"/>
      <c r="AX555" s="499">
        <f>GEOMEAN(AR555:AR570)</f>
        <v>302.08420359654815</v>
      </c>
      <c r="AY555" s="499">
        <f>GEOMEAN(AS555:AS570)</f>
        <v>319.07461760610317</v>
      </c>
      <c r="AZ555" s="499">
        <f>MIN(AX555:AX570)</f>
        <v>302.08420359654815</v>
      </c>
      <c r="BA555" s="499">
        <f>MIN(AY555:AY570)</f>
        <v>319.07461760610317</v>
      </c>
      <c r="BB555" s="500">
        <f>LN(AZ555)</f>
        <v>5.7107057983679566</v>
      </c>
      <c r="BC555" s="500">
        <f>LN(BA555)</f>
        <v>5.7654249864228531</v>
      </c>
      <c r="BD555" s="240"/>
      <c r="BE555" s="240"/>
    </row>
    <row r="556" spans="1:57" s="298" customFormat="1" x14ac:dyDescent="0.2">
      <c r="A556" s="290" t="s">
        <v>71</v>
      </c>
      <c r="B556" s="290" t="s">
        <v>35</v>
      </c>
      <c r="C556" s="425" t="s">
        <v>41</v>
      </c>
      <c r="D556" s="381" t="s">
        <v>319</v>
      </c>
      <c r="E556" s="387">
        <v>4.0999999999999996</v>
      </c>
      <c r="F556" s="387">
        <f t="shared" si="205"/>
        <v>56.845999999999997</v>
      </c>
      <c r="G556" s="387">
        <v>33.049999999999997</v>
      </c>
      <c r="H556" s="387">
        <v>34</v>
      </c>
      <c r="I556" s="387">
        <v>52.75</v>
      </c>
      <c r="J556" s="387">
        <v>26</v>
      </c>
      <c r="K556" s="383">
        <v>7</v>
      </c>
      <c r="L556" s="383">
        <v>4</v>
      </c>
      <c r="M556" s="383" t="s">
        <v>104</v>
      </c>
      <c r="N556" s="313">
        <v>1101</v>
      </c>
      <c r="O556" s="295">
        <f t="shared" si="206"/>
        <v>1127</v>
      </c>
      <c r="P556" s="295"/>
      <c r="Q556" s="295"/>
      <c r="R556" s="293">
        <f t="shared" si="217"/>
        <v>1.0172490191153463</v>
      </c>
      <c r="S556" s="292">
        <v>1.1200000000000001</v>
      </c>
      <c r="T556" s="301" t="s">
        <v>37</v>
      </c>
      <c r="U556" s="295"/>
      <c r="V556" s="290"/>
      <c r="W556" s="290"/>
      <c r="X556" s="290"/>
      <c r="Y556" s="292">
        <v>1.1200000000000001</v>
      </c>
      <c r="Z556" s="301" t="s">
        <v>37</v>
      </c>
      <c r="AA556" s="292"/>
      <c r="AB556" s="301"/>
      <c r="AC556" s="301"/>
      <c r="AD556" s="301"/>
      <c r="AE556" s="448"/>
      <c r="AF556" s="287">
        <f t="shared" si="207"/>
        <v>7.0039741367226798</v>
      </c>
      <c r="AG556" s="287">
        <f t="shared" si="208"/>
        <v>7.0273145140397766</v>
      </c>
      <c r="AH556" s="288"/>
      <c r="AI556" s="288"/>
      <c r="AK556" s="286">
        <f t="shared" si="209"/>
        <v>1119.9911700459963</v>
      </c>
      <c r="AL556" s="286">
        <f t="shared" si="210"/>
        <v>1145.9911700459963</v>
      </c>
      <c r="AM556" s="287">
        <f t="shared" si="211"/>
        <v>7.021076080370559</v>
      </c>
      <c r="AN556" s="287">
        <f t="shared" si="212"/>
        <v>7.0440251922240558</v>
      </c>
      <c r="AO556" s="288"/>
      <c r="AP556" s="288"/>
      <c r="AR556" s="286">
        <f t="shared" si="213"/>
        <v>198.11209901535713</v>
      </c>
      <c r="AS556" s="286">
        <f t="shared" si="214"/>
        <v>202.71116614388436</v>
      </c>
      <c r="AT556" s="287">
        <f t="shared" si="215"/>
        <v>5.2888330271315454</v>
      </c>
      <c r="AU556" s="287">
        <f t="shared" si="216"/>
        <v>5.3117821389850421</v>
      </c>
      <c r="AV556" s="299"/>
      <c r="AW556" s="299"/>
      <c r="AX556" s="286"/>
      <c r="AY556" s="286"/>
      <c r="AZ556" s="286"/>
      <c r="BA556" s="286"/>
      <c r="BB556" s="287"/>
      <c r="BC556" s="287"/>
      <c r="BD556" s="288"/>
      <c r="BE556" s="288"/>
    </row>
    <row r="557" spans="1:57" s="298" customFormat="1" x14ac:dyDescent="0.2">
      <c r="A557" s="290" t="s">
        <v>71</v>
      </c>
      <c r="B557" s="290" t="s">
        <v>35</v>
      </c>
      <c r="C557" s="425" t="s">
        <v>41</v>
      </c>
      <c r="D557" s="381" t="s">
        <v>319</v>
      </c>
      <c r="E557" s="387">
        <v>4.0999999999999996</v>
      </c>
      <c r="F557" s="387">
        <f t="shared" si="205"/>
        <v>0.43</v>
      </c>
      <c r="G557" s="387">
        <v>0.25</v>
      </c>
      <c r="H557" s="387">
        <v>25.3</v>
      </c>
      <c r="I557" s="387">
        <v>8.39</v>
      </c>
      <c r="J557" s="387">
        <v>16</v>
      </c>
      <c r="K557" s="383">
        <v>7</v>
      </c>
      <c r="L557" s="383">
        <v>4</v>
      </c>
      <c r="M557" s="383" t="s">
        <v>104</v>
      </c>
      <c r="N557" s="313">
        <v>90</v>
      </c>
      <c r="O557" s="295">
        <f t="shared" si="206"/>
        <v>106</v>
      </c>
      <c r="P557" s="295"/>
      <c r="Q557" s="295"/>
      <c r="R557" s="293">
        <f t="shared" si="217"/>
        <v>1.0172490191153463</v>
      </c>
      <c r="S557" s="292">
        <v>1.1200000000000001</v>
      </c>
      <c r="T557" s="301" t="s">
        <v>37</v>
      </c>
      <c r="U557" s="295"/>
      <c r="V557" s="290"/>
      <c r="W557" s="290"/>
      <c r="X557" s="290"/>
      <c r="Y557" s="292">
        <v>1.1200000000000001</v>
      </c>
      <c r="Z557" s="301" t="s">
        <v>37</v>
      </c>
      <c r="AA557" s="292"/>
      <c r="AB557" s="301"/>
      <c r="AC557" s="301"/>
      <c r="AD557" s="301"/>
      <c r="AE557" s="448"/>
      <c r="AF557" s="287">
        <f t="shared" si="207"/>
        <v>4.499809670330265</v>
      </c>
      <c r="AG557" s="287">
        <f t="shared" si="208"/>
        <v>4.6634390941120669</v>
      </c>
      <c r="AH557" s="288"/>
      <c r="AI557" s="288"/>
      <c r="AK557" s="286">
        <f t="shared" si="209"/>
        <v>91.552411720381158</v>
      </c>
      <c r="AL557" s="286">
        <f t="shared" si="210"/>
        <v>107.55241172038116</v>
      </c>
      <c r="AM557" s="287">
        <f t="shared" si="211"/>
        <v>4.5169116139781442</v>
      </c>
      <c r="AN557" s="287">
        <f t="shared" si="212"/>
        <v>4.6779782796406675</v>
      </c>
      <c r="AO557" s="288"/>
      <c r="AP557" s="288"/>
      <c r="AR557" s="286">
        <f t="shared" si="213"/>
        <v>126.95270338977474</v>
      </c>
      <c r="AS557" s="286">
        <f t="shared" si="214"/>
        <v>149.13937456606453</v>
      </c>
      <c r="AT557" s="287">
        <f t="shared" si="215"/>
        <v>4.8438146028414391</v>
      </c>
      <c r="AU557" s="287">
        <f t="shared" si="216"/>
        <v>5.0048812685039623</v>
      </c>
      <c r="AV557" s="299"/>
      <c r="AW557" s="299"/>
      <c r="AX557" s="286"/>
      <c r="AY557" s="286"/>
      <c r="AZ557" s="286"/>
      <c r="BA557" s="286"/>
      <c r="BB557" s="287"/>
      <c r="BC557" s="287"/>
      <c r="BD557" s="288"/>
      <c r="BE557" s="288"/>
    </row>
    <row r="558" spans="1:57" s="298" customFormat="1" x14ac:dyDescent="0.2">
      <c r="A558" s="290" t="s">
        <v>71</v>
      </c>
      <c r="B558" s="290" t="s">
        <v>35</v>
      </c>
      <c r="C558" s="425" t="s">
        <v>41</v>
      </c>
      <c r="D558" s="381" t="s">
        <v>319</v>
      </c>
      <c r="E558" s="387">
        <v>4.2</v>
      </c>
      <c r="F558" s="387">
        <f t="shared" si="205"/>
        <v>21.534399999999998</v>
      </c>
      <c r="G558" s="282">
        <v>12.52</v>
      </c>
      <c r="H558" s="387">
        <v>12.7</v>
      </c>
      <c r="I558" s="387">
        <v>11.91</v>
      </c>
      <c r="J558" s="387">
        <v>3</v>
      </c>
      <c r="K558" s="383">
        <v>7</v>
      </c>
      <c r="L558" s="383">
        <v>4</v>
      </c>
      <c r="M558" s="383" t="s">
        <v>104</v>
      </c>
      <c r="N558" s="313">
        <v>249</v>
      </c>
      <c r="O558" s="295">
        <f t="shared" si="206"/>
        <v>252</v>
      </c>
      <c r="P558" s="295"/>
      <c r="Q558" s="295"/>
      <c r="R558" s="293">
        <f t="shared" si="217"/>
        <v>1.0198410947443703</v>
      </c>
      <c r="S558" s="292">
        <v>1.1200000000000001</v>
      </c>
      <c r="T558" s="301" t="s">
        <v>37</v>
      </c>
      <c r="U558" s="295"/>
      <c r="V558" s="290"/>
      <c r="W558" s="290"/>
      <c r="X558" s="290"/>
      <c r="Y558" s="292">
        <v>1.1200000000000001</v>
      </c>
      <c r="Z558" s="301" t="s">
        <v>37</v>
      </c>
      <c r="AA558" s="292"/>
      <c r="AB558" s="301"/>
      <c r="AC558" s="301"/>
      <c r="AD558" s="301"/>
      <c r="AE558" s="448"/>
      <c r="AF558" s="287">
        <f t="shared" si="207"/>
        <v>5.5174528964647074</v>
      </c>
      <c r="AG558" s="287">
        <f t="shared" si="208"/>
        <v>5.5294290875114234</v>
      </c>
      <c r="AH558" s="288"/>
      <c r="AI558" s="288"/>
      <c r="AK558" s="286">
        <f t="shared" si="209"/>
        <v>253.94043259134821</v>
      </c>
      <c r="AL558" s="286">
        <f t="shared" si="210"/>
        <v>256.94043259134821</v>
      </c>
      <c r="AM558" s="287">
        <f t="shared" si="211"/>
        <v>5.5370997221581444</v>
      </c>
      <c r="AN558" s="287">
        <f t="shared" si="212"/>
        <v>5.5488442782299288</v>
      </c>
      <c r="AO558" s="288"/>
      <c r="AP558" s="288"/>
      <c r="AR558" s="286">
        <f t="shared" si="213"/>
        <v>237.84621386449737</v>
      </c>
      <c r="AS558" s="286">
        <f t="shared" si="214"/>
        <v>240.65608007726291</v>
      </c>
      <c r="AT558" s="287">
        <f t="shared" si="215"/>
        <v>5.4716243045867747</v>
      </c>
      <c r="AU558" s="287">
        <f t="shared" si="216"/>
        <v>5.4833688606585591</v>
      </c>
      <c r="AV558" s="299"/>
      <c r="AW558" s="299"/>
      <c r="AX558" s="286"/>
      <c r="AY558" s="286"/>
      <c r="AZ558" s="286"/>
      <c r="BA558" s="286"/>
      <c r="BB558" s="287"/>
      <c r="BC558" s="287"/>
      <c r="BD558" s="288"/>
      <c r="BE558" s="288"/>
    </row>
    <row r="559" spans="1:57" s="298" customFormat="1" x14ac:dyDescent="0.2">
      <c r="A559" s="290" t="s">
        <v>71</v>
      </c>
      <c r="B559" s="290" t="s">
        <v>35</v>
      </c>
      <c r="C559" s="425" t="s">
        <v>41</v>
      </c>
      <c r="D559" s="381" t="s">
        <v>319</v>
      </c>
      <c r="E559" s="387">
        <v>4.5</v>
      </c>
      <c r="F559" s="387">
        <f t="shared" si="205"/>
        <v>2.2704</v>
      </c>
      <c r="G559" s="282">
        <v>1.32</v>
      </c>
      <c r="H559" s="387">
        <v>1.5</v>
      </c>
      <c r="I559" s="387">
        <v>1.84</v>
      </c>
      <c r="J559" s="387">
        <v>1</v>
      </c>
      <c r="K559" s="383">
        <v>7</v>
      </c>
      <c r="L559" s="383">
        <v>4</v>
      </c>
      <c r="M559" s="383" t="s">
        <v>104</v>
      </c>
      <c r="N559" s="313">
        <v>46</v>
      </c>
      <c r="O559" s="295">
        <f t="shared" si="206"/>
        <v>47</v>
      </c>
      <c r="P559" s="295"/>
      <c r="Q559" s="295"/>
      <c r="R559" s="293">
        <f t="shared" si="217"/>
        <v>1.0301973834223186</v>
      </c>
      <c r="S559" s="292">
        <v>1.1200000000000001</v>
      </c>
      <c r="T559" s="301" t="s">
        <v>37</v>
      </c>
      <c r="U559" s="295"/>
      <c r="V559" s="290"/>
      <c r="W559" s="290"/>
      <c r="X559" s="290"/>
      <c r="Y559" s="292">
        <v>1.1200000000000001</v>
      </c>
      <c r="Z559" s="301" t="s">
        <v>37</v>
      </c>
      <c r="AA559" s="292"/>
      <c r="AB559" s="301"/>
      <c r="AC559" s="301"/>
      <c r="AD559" s="301"/>
      <c r="AE559" s="448"/>
      <c r="AF559" s="287">
        <f t="shared" si="207"/>
        <v>3.8286413964890951</v>
      </c>
      <c r="AG559" s="287">
        <f t="shared" si="208"/>
        <v>3.8501476017100584</v>
      </c>
      <c r="AH559" s="288"/>
      <c r="AI559" s="288"/>
      <c r="AK559" s="286">
        <f t="shared" si="209"/>
        <v>47.389079637426654</v>
      </c>
      <c r="AL559" s="286">
        <f t="shared" si="210"/>
        <v>48.389079637426654</v>
      </c>
      <c r="AM559" s="287">
        <f t="shared" si="211"/>
        <v>3.8583918147617156</v>
      </c>
      <c r="AN559" s="287">
        <f t="shared" si="212"/>
        <v>3.879274160939016</v>
      </c>
      <c r="AO559" s="288"/>
      <c r="AP559" s="288"/>
      <c r="AR559" s="286">
        <f t="shared" si="213"/>
        <v>359.47432153917708</v>
      </c>
      <c r="AS559" s="286">
        <f t="shared" si="214"/>
        <v>367.05991561041697</v>
      </c>
      <c r="AT559" s="287">
        <f t="shared" si="215"/>
        <v>5.8846427463462181</v>
      </c>
      <c r="AU559" s="287">
        <f t="shared" si="216"/>
        <v>5.9055250925235185</v>
      </c>
      <c r="AV559" s="299"/>
      <c r="AW559" s="299"/>
      <c r="AX559" s="286"/>
      <c r="AY559" s="286"/>
      <c r="AZ559" s="286"/>
      <c r="BA559" s="286"/>
      <c r="BB559" s="287"/>
      <c r="BC559" s="287"/>
      <c r="BD559" s="288"/>
      <c r="BE559" s="288"/>
    </row>
    <row r="560" spans="1:57" s="298" customFormat="1" x14ac:dyDescent="0.2">
      <c r="A560" s="290" t="s">
        <v>71</v>
      </c>
      <c r="B560" s="290" t="s">
        <v>35</v>
      </c>
      <c r="C560" s="425" t="s">
        <v>41</v>
      </c>
      <c r="D560" s="381" t="s">
        <v>319</v>
      </c>
      <c r="E560" s="387">
        <v>5.0999999999999996</v>
      </c>
      <c r="F560" s="387">
        <f t="shared" si="205"/>
        <v>4.2484000000000002</v>
      </c>
      <c r="G560" s="387">
        <v>2.4700000000000002</v>
      </c>
      <c r="H560" s="387">
        <v>3.9</v>
      </c>
      <c r="I560" s="387">
        <v>4.3099999999999996</v>
      </c>
      <c r="J560" s="387">
        <v>2</v>
      </c>
      <c r="K560" s="383">
        <v>7</v>
      </c>
      <c r="L560" s="383">
        <v>4</v>
      </c>
      <c r="M560" s="383" t="s">
        <v>104</v>
      </c>
      <c r="N560" s="313">
        <v>123</v>
      </c>
      <c r="O560" s="295">
        <f t="shared" si="206"/>
        <v>125</v>
      </c>
      <c r="P560" s="295"/>
      <c r="Q560" s="295"/>
      <c r="R560" s="293">
        <f t="shared" si="217"/>
        <v>1.0699482217446554</v>
      </c>
      <c r="S560" s="292">
        <v>1.1200000000000001</v>
      </c>
      <c r="T560" s="301" t="s">
        <v>37</v>
      </c>
      <c r="U560" s="295"/>
      <c r="V560" s="290"/>
      <c r="W560" s="290"/>
      <c r="X560" s="290"/>
      <c r="Y560" s="292">
        <v>1.1200000000000001</v>
      </c>
      <c r="Z560" s="301" t="s">
        <v>37</v>
      </c>
      <c r="AA560" s="292"/>
      <c r="AB560" s="301"/>
      <c r="AC560" s="301"/>
      <c r="AD560" s="301"/>
      <c r="AE560" s="448"/>
      <c r="AF560" s="287">
        <f t="shared" si="207"/>
        <v>4.8121843553724171</v>
      </c>
      <c r="AG560" s="287">
        <f t="shared" si="208"/>
        <v>4.8283137373023015</v>
      </c>
      <c r="AH560" s="288"/>
      <c r="AI560" s="288"/>
      <c r="AK560" s="286">
        <f t="shared" si="209"/>
        <v>131.60363127459263</v>
      </c>
      <c r="AL560" s="286">
        <f t="shared" si="210"/>
        <v>133.60363127459263</v>
      </c>
      <c r="AM560" s="287">
        <f t="shared" si="211"/>
        <v>4.8797946117825104</v>
      </c>
      <c r="AN560" s="287">
        <f t="shared" si="212"/>
        <v>4.8948774409322171</v>
      </c>
      <c r="AO560" s="288"/>
      <c r="AP560" s="288"/>
      <c r="AR560" s="286">
        <f t="shared" si="213"/>
        <v>384.8033909423155</v>
      </c>
      <c r="AS560" s="286">
        <f t="shared" si="214"/>
        <v>390.65130542940773</v>
      </c>
      <c r="AT560" s="287">
        <f t="shared" si="215"/>
        <v>5.9527325309728782</v>
      </c>
      <c r="AU560" s="287">
        <f t="shared" si="216"/>
        <v>5.9678153601225858</v>
      </c>
      <c r="AV560" s="299"/>
      <c r="AW560" s="299"/>
      <c r="AX560" s="286"/>
      <c r="AY560" s="286"/>
      <c r="AZ560" s="286"/>
      <c r="BA560" s="286"/>
      <c r="BB560" s="287"/>
      <c r="BC560" s="287"/>
      <c r="BD560" s="288"/>
      <c r="BE560" s="288"/>
    </row>
    <row r="561" spans="1:57" s="298" customFormat="1" x14ac:dyDescent="0.2">
      <c r="A561" s="290" t="s">
        <v>71</v>
      </c>
      <c r="B561" s="290" t="s">
        <v>35</v>
      </c>
      <c r="C561" s="425" t="s">
        <v>41</v>
      </c>
      <c r="D561" s="381" t="s">
        <v>319</v>
      </c>
      <c r="E561" s="387">
        <v>5.6</v>
      </c>
      <c r="F561" s="387">
        <f t="shared" si="205"/>
        <v>1.7027999999999999</v>
      </c>
      <c r="G561" s="387">
        <v>0.99</v>
      </c>
      <c r="H561" s="387">
        <v>46.9</v>
      </c>
      <c r="I561" s="387">
        <v>19.260000000000002</v>
      </c>
      <c r="J561" s="387">
        <v>19</v>
      </c>
      <c r="K561" s="383">
        <v>7</v>
      </c>
      <c r="L561" s="383">
        <v>4</v>
      </c>
      <c r="M561" s="383" t="s">
        <v>104</v>
      </c>
      <c r="N561" s="313">
        <v>261</v>
      </c>
      <c r="O561" s="295">
        <f t="shared" si="206"/>
        <v>280</v>
      </c>
      <c r="P561" s="295"/>
      <c r="Q561" s="295"/>
      <c r="R561" s="293">
        <f t="shared" si="217"/>
        <v>1.1408584209210448</v>
      </c>
      <c r="S561" s="292">
        <v>1.1200000000000001</v>
      </c>
      <c r="T561" s="301" t="s">
        <v>37</v>
      </c>
      <c r="U561" s="295"/>
      <c r="V561" s="290"/>
      <c r="W561" s="290"/>
      <c r="X561" s="290"/>
      <c r="Y561" s="292">
        <v>1.1200000000000001</v>
      </c>
      <c r="Z561" s="301" t="s">
        <v>37</v>
      </c>
      <c r="AA561" s="292"/>
      <c r="AB561" s="301"/>
      <c r="AC561" s="301"/>
      <c r="AD561" s="301"/>
      <c r="AE561" s="448"/>
      <c r="AF561" s="287">
        <f t="shared" si="207"/>
        <v>5.5645204073226937</v>
      </c>
      <c r="AG561" s="287">
        <f t="shared" si="208"/>
        <v>5.6347896031692493</v>
      </c>
      <c r="AH561" s="288"/>
      <c r="AI561" s="288"/>
      <c r="AK561" s="286">
        <f t="shared" si="209"/>
        <v>297.76404786039268</v>
      </c>
      <c r="AL561" s="286">
        <f t="shared" si="210"/>
        <v>316.76404786039268</v>
      </c>
      <c r="AM561" s="287">
        <f t="shared" si="211"/>
        <v>5.6963013871741621</v>
      </c>
      <c r="AN561" s="287">
        <f t="shared" si="212"/>
        <v>5.7581571682111639</v>
      </c>
      <c r="AO561" s="288"/>
      <c r="AP561" s="288"/>
      <c r="AR561" s="286">
        <f t="shared" si="213"/>
        <v>162.79564520240444</v>
      </c>
      <c r="AS561" s="286">
        <f t="shared" si="214"/>
        <v>173.18345824118975</v>
      </c>
      <c r="AT561" s="287">
        <f t="shared" si="215"/>
        <v>5.0924957038396892</v>
      </c>
      <c r="AU561" s="287">
        <f t="shared" si="216"/>
        <v>5.15435148487669</v>
      </c>
      <c r="AV561" s="299"/>
      <c r="AW561" s="299"/>
      <c r="AX561" s="286"/>
      <c r="AY561" s="286"/>
      <c r="AZ561" s="286"/>
      <c r="BA561" s="286"/>
      <c r="BB561" s="287"/>
      <c r="BC561" s="287"/>
      <c r="BD561" s="288"/>
      <c r="BE561" s="288"/>
    </row>
    <row r="562" spans="1:57" s="298" customFormat="1" x14ac:dyDescent="0.2">
      <c r="A562" s="290" t="s">
        <v>71</v>
      </c>
      <c r="B562" s="290" t="s">
        <v>35</v>
      </c>
      <c r="C562" s="425" t="s">
        <v>41</v>
      </c>
      <c r="D562" s="381" t="s">
        <v>319</v>
      </c>
      <c r="E562" s="387">
        <v>5.6</v>
      </c>
      <c r="F562" s="387">
        <f t="shared" si="205"/>
        <v>2.2876000000000003</v>
      </c>
      <c r="G562" s="387">
        <v>1.33</v>
      </c>
      <c r="H562" s="387">
        <v>4.3</v>
      </c>
      <c r="I562" s="387">
        <v>4.91</v>
      </c>
      <c r="J562" s="387">
        <v>3</v>
      </c>
      <c r="K562" s="383">
        <v>7</v>
      </c>
      <c r="L562" s="383">
        <v>4</v>
      </c>
      <c r="M562" s="383" t="s">
        <v>104</v>
      </c>
      <c r="N562" s="313">
        <v>128</v>
      </c>
      <c r="O562" s="295">
        <f t="shared" si="206"/>
        <v>131</v>
      </c>
      <c r="P562" s="295"/>
      <c r="Q562" s="295"/>
      <c r="R562" s="293">
        <f t="shared" si="217"/>
        <v>1.1408584209210448</v>
      </c>
      <c r="S562" s="292">
        <v>1.1200000000000001</v>
      </c>
      <c r="T562" s="301" t="s">
        <v>37</v>
      </c>
      <c r="U562" s="295"/>
      <c r="V562" s="290"/>
      <c r="W562" s="290"/>
      <c r="X562" s="290"/>
      <c r="Y562" s="292">
        <v>1.1200000000000001</v>
      </c>
      <c r="Z562" s="301" t="s">
        <v>37</v>
      </c>
      <c r="AA562" s="292"/>
      <c r="AB562" s="301"/>
      <c r="AC562" s="301"/>
      <c r="AD562" s="301"/>
      <c r="AE562" s="448"/>
      <c r="AF562" s="287">
        <f t="shared" si="207"/>
        <v>4.8520302639196169</v>
      </c>
      <c r="AG562" s="287">
        <f t="shared" si="208"/>
        <v>4.8751973232011512</v>
      </c>
      <c r="AH562" s="288"/>
      <c r="AI562" s="288"/>
      <c r="AK562" s="286">
        <f t="shared" si="209"/>
        <v>146.02987787789374</v>
      </c>
      <c r="AL562" s="286">
        <f t="shared" si="210"/>
        <v>149.02987787789374</v>
      </c>
      <c r="AM562" s="287">
        <f t="shared" si="211"/>
        <v>4.9838112437710862</v>
      </c>
      <c r="AN562" s="287">
        <f t="shared" si="212"/>
        <v>5.0041468085139034</v>
      </c>
      <c r="AO562" s="288"/>
      <c r="AP562" s="288"/>
      <c r="AR562" s="286">
        <f t="shared" si="213"/>
        <v>368.99120192986771</v>
      </c>
      <c r="AS562" s="286">
        <f t="shared" si="214"/>
        <v>376.57166164041564</v>
      </c>
      <c r="AT562" s="287">
        <f t="shared" si="215"/>
        <v>5.9107728007477895</v>
      </c>
      <c r="AU562" s="287">
        <f t="shared" si="216"/>
        <v>5.9311083654906067</v>
      </c>
      <c r="AV562" s="299"/>
      <c r="AW562" s="299"/>
      <c r="AX562" s="286"/>
      <c r="AY562" s="286"/>
      <c r="AZ562" s="286"/>
      <c r="BA562" s="286"/>
      <c r="BB562" s="287"/>
      <c r="BC562" s="287"/>
      <c r="BD562" s="288"/>
      <c r="BE562" s="288"/>
    </row>
    <row r="563" spans="1:57" s="298" customFormat="1" x14ac:dyDescent="0.2">
      <c r="A563" s="290" t="s">
        <v>71</v>
      </c>
      <c r="B563" s="290" t="s">
        <v>35</v>
      </c>
      <c r="C563" s="425" t="s">
        <v>41</v>
      </c>
      <c r="D563" s="381" t="s">
        <v>319</v>
      </c>
      <c r="E563" s="387">
        <v>6.1</v>
      </c>
      <c r="F563" s="387">
        <f t="shared" si="205"/>
        <v>7.3959999999999999</v>
      </c>
      <c r="G563" s="387">
        <v>4.3</v>
      </c>
      <c r="H563" s="387">
        <v>35.299999999999997</v>
      </c>
      <c r="I563" s="387">
        <v>28.87</v>
      </c>
      <c r="J563" s="387">
        <v>39</v>
      </c>
      <c r="K563" s="383">
        <v>7</v>
      </c>
      <c r="L563" s="383">
        <v>4</v>
      </c>
      <c r="M563" s="383" t="s">
        <v>104</v>
      </c>
      <c r="N563" s="313">
        <v>398</v>
      </c>
      <c r="O563" s="295">
        <f t="shared" si="206"/>
        <v>437</v>
      </c>
      <c r="P563" s="295"/>
      <c r="Q563" s="295"/>
      <c r="R563" s="293">
        <f t="shared" si="217"/>
        <v>1.2836540264997702</v>
      </c>
      <c r="S563" s="292">
        <v>1.1200000000000001</v>
      </c>
      <c r="T563" s="301" t="s">
        <v>37</v>
      </c>
      <c r="U563" s="295"/>
      <c r="V563" s="290"/>
      <c r="W563" s="290"/>
      <c r="X563" s="290"/>
      <c r="Y563" s="292">
        <v>1.1200000000000001</v>
      </c>
      <c r="Z563" s="301" t="s">
        <v>37</v>
      </c>
      <c r="AA563" s="292"/>
      <c r="AB563" s="301"/>
      <c r="AC563" s="301"/>
      <c r="AD563" s="301"/>
      <c r="AE563" s="448"/>
      <c r="AF563" s="287">
        <f t="shared" si="207"/>
        <v>5.9864520052844377</v>
      </c>
      <c r="AG563" s="287">
        <f t="shared" si="208"/>
        <v>6.0799331950955899</v>
      </c>
      <c r="AH563" s="288"/>
      <c r="AI563" s="288"/>
      <c r="AK563" s="286">
        <f t="shared" si="209"/>
        <v>510.89430254690853</v>
      </c>
      <c r="AL563" s="286">
        <f t="shared" si="210"/>
        <v>549.89430254690853</v>
      </c>
      <c r="AM563" s="287">
        <f t="shared" si="211"/>
        <v>6.2361627244775626</v>
      </c>
      <c r="AN563" s="287">
        <f t="shared" si="212"/>
        <v>6.309726082570676</v>
      </c>
      <c r="AO563" s="288"/>
      <c r="AP563" s="288"/>
      <c r="AR563" s="286">
        <f t="shared" si="213"/>
        <v>177.50730151436608</v>
      </c>
      <c r="AS563" s="286">
        <f t="shared" si="214"/>
        <v>191.05762831297949</v>
      </c>
      <c r="AT563" s="287">
        <f t="shared" si="215"/>
        <v>5.1790117433616407</v>
      </c>
      <c r="AU563" s="287">
        <f t="shared" si="216"/>
        <v>5.2525751014547541</v>
      </c>
      <c r="AV563" s="299"/>
      <c r="AW563" s="299"/>
      <c r="AX563" s="286"/>
      <c r="AY563" s="286"/>
      <c r="AZ563" s="286"/>
      <c r="BA563" s="286"/>
      <c r="BB563" s="287"/>
      <c r="BC563" s="287"/>
      <c r="BD563" s="288"/>
      <c r="BE563" s="288"/>
    </row>
    <row r="564" spans="1:57" s="298" customFormat="1" x14ac:dyDescent="0.2">
      <c r="A564" s="290" t="s">
        <v>71</v>
      </c>
      <c r="B564" s="290" t="s">
        <v>35</v>
      </c>
      <c r="C564" s="425" t="s">
        <v>41</v>
      </c>
      <c r="D564" s="381" t="s">
        <v>319</v>
      </c>
      <c r="E564" s="387">
        <v>6.7</v>
      </c>
      <c r="F564" s="387">
        <f t="shared" si="205"/>
        <v>1.8748</v>
      </c>
      <c r="G564" s="387">
        <v>1.0900000000000001</v>
      </c>
      <c r="H564" s="387">
        <v>9.6</v>
      </c>
      <c r="I564" s="387">
        <v>7.8</v>
      </c>
      <c r="J564" s="387">
        <v>11</v>
      </c>
      <c r="K564" s="383">
        <v>7</v>
      </c>
      <c r="L564" s="383">
        <v>4</v>
      </c>
      <c r="M564" s="383" t="s">
        <v>104</v>
      </c>
      <c r="N564" s="313">
        <v>106</v>
      </c>
      <c r="O564" s="295">
        <f t="shared" si="206"/>
        <v>117</v>
      </c>
      <c r="P564" s="295"/>
      <c r="Q564" s="295"/>
      <c r="R564" s="293">
        <f t="shared" si="217"/>
        <v>1.657046819815057</v>
      </c>
      <c r="S564" s="292">
        <v>1.1200000000000001</v>
      </c>
      <c r="T564" s="301" t="s">
        <v>37</v>
      </c>
      <c r="U564" s="295"/>
      <c r="V564" s="290"/>
      <c r="W564" s="290"/>
      <c r="X564" s="290"/>
      <c r="Y564" s="292">
        <v>1.1200000000000001</v>
      </c>
      <c r="Z564" s="301" t="s">
        <v>37</v>
      </c>
      <c r="AA564" s="292"/>
      <c r="AB564" s="301"/>
      <c r="AC564" s="301"/>
      <c r="AD564" s="301"/>
      <c r="AE564" s="448"/>
      <c r="AF564" s="287">
        <f t="shared" si="207"/>
        <v>4.6634390941120669</v>
      </c>
      <c r="AG564" s="287">
        <f t="shared" si="208"/>
        <v>4.7621739347977563</v>
      </c>
      <c r="AH564" s="288"/>
      <c r="AI564" s="288"/>
      <c r="AK564" s="286">
        <f t="shared" si="209"/>
        <v>175.64696290039603</v>
      </c>
      <c r="AL564" s="286">
        <f t="shared" si="210"/>
        <v>186.64696290039603</v>
      </c>
      <c r="AM564" s="287">
        <f t="shared" si="211"/>
        <v>5.1684760879298208</v>
      </c>
      <c r="AN564" s="287">
        <f t="shared" si="212"/>
        <v>5.2292189335989345</v>
      </c>
      <c r="AO564" s="288"/>
      <c r="AP564" s="288"/>
      <c r="AR564" s="286">
        <f t="shared" si="213"/>
        <v>264.28970740177493</v>
      </c>
      <c r="AS564" s="286">
        <f t="shared" si="214"/>
        <v>280.84101425851856</v>
      </c>
      <c r="AT564" s="287">
        <f t="shared" si="215"/>
        <v>5.5770458779907131</v>
      </c>
      <c r="AU564" s="287">
        <f t="shared" si="216"/>
        <v>5.6377887236598268</v>
      </c>
      <c r="AV564" s="299"/>
      <c r="AW564" s="299"/>
      <c r="AX564" s="286"/>
      <c r="AY564" s="286"/>
      <c r="AZ564" s="286"/>
      <c r="BA564" s="286"/>
      <c r="BB564" s="287"/>
      <c r="BC564" s="287"/>
      <c r="BD564" s="288"/>
      <c r="BE564" s="288"/>
    </row>
    <row r="565" spans="1:57" s="298" customFormat="1" x14ac:dyDescent="0.2">
      <c r="A565" s="290" t="s">
        <v>71</v>
      </c>
      <c r="B565" s="290" t="s">
        <v>35</v>
      </c>
      <c r="C565" s="425" t="s">
        <v>41</v>
      </c>
      <c r="D565" s="381" t="s">
        <v>319</v>
      </c>
      <c r="E565" s="387">
        <v>7</v>
      </c>
      <c r="F565" s="387">
        <f t="shared" si="205"/>
        <v>0.77400000000000002</v>
      </c>
      <c r="G565" s="387">
        <v>0.45</v>
      </c>
      <c r="H565" s="387">
        <v>33.200000000000003</v>
      </c>
      <c r="I565" s="387">
        <v>12.85</v>
      </c>
      <c r="J565" s="387">
        <v>81</v>
      </c>
      <c r="K565" s="383">
        <v>7</v>
      </c>
      <c r="L565" s="383">
        <v>4</v>
      </c>
      <c r="M565" s="383" t="s">
        <v>104</v>
      </c>
      <c r="N565" s="313">
        <v>211</v>
      </c>
      <c r="O565" s="295">
        <f t="shared" si="206"/>
        <v>292</v>
      </c>
      <c r="P565" s="295"/>
      <c r="Q565" s="295"/>
      <c r="R565" s="293">
        <f t="shared" si="217"/>
        <v>2</v>
      </c>
      <c r="S565" s="292">
        <v>1.1200000000000001</v>
      </c>
      <c r="T565" s="301" t="s">
        <v>37</v>
      </c>
      <c r="U565" s="295"/>
      <c r="V565" s="290"/>
      <c r="W565" s="290"/>
      <c r="X565" s="290"/>
      <c r="Y565" s="292">
        <v>1.1200000000000001</v>
      </c>
      <c r="Z565" s="301" t="s">
        <v>37</v>
      </c>
      <c r="AA565" s="292"/>
      <c r="AB565" s="301"/>
      <c r="AC565" s="301"/>
      <c r="AD565" s="301"/>
      <c r="AE565" s="448"/>
      <c r="AF565" s="287">
        <f t="shared" si="207"/>
        <v>5.3518581334760666</v>
      </c>
      <c r="AG565" s="287">
        <f t="shared" si="208"/>
        <v>5.6767538022682817</v>
      </c>
      <c r="AH565" s="288"/>
      <c r="AI565" s="288"/>
      <c r="AK565" s="286">
        <f t="shared" si="209"/>
        <v>422</v>
      </c>
      <c r="AL565" s="286">
        <f t="shared" si="210"/>
        <v>503</v>
      </c>
      <c r="AM565" s="287">
        <f t="shared" si="211"/>
        <v>6.045005314036012</v>
      </c>
      <c r="AN565" s="287">
        <f t="shared" si="212"/>
        <v>6.2205901700997392</v>
      </c>
      <c r="AO565" s="288"/>
      <c r="AP565" s="288"/>
      <c r="AR565" s="286">
        <f t="shared" si="213"/>
        <v>363.01661956184927</v>
      </c>
      <c r="AS565" s="286">
        <f t="shared" si="214"/>
        <v>432.69516502277293</v>
      </c>
      <c r="AT565" s="287">
        <f t="shared" si="215"/>
        <v>5.8944486171337394</v>
      </c>
      <c r="AU565" s="287">
        <f t="shared" si="216"/>
        <v>6.0700334731974666</v>
      </c>
      <c r="AV565" s="299"/>
      <c r="AW565" s="299"/>
      <c r="AX565" s="286"/>
      <c r="AY565" s="286"/>
      <c r="AZ565" s="286"/>
      <c r="BA565" s="286"/>
      <c r="BB565" s="287"/>
      <c r="BC565" s="287"/>
      <c r="BD565" s="288"/>
      <c r="BE565" s="288"/>
    </row>
    <row r="566" spans="1:57" s="298" customFormat="1" x14ac:dyDescent="0.2">
      <c r="A566" s="290" t="s">
        <v>71</v>
      </c>
      <c r="B566" s="290" t="s">
        <v>35</v>
      </c>
      <c r="C566" s="425" t="s">
        <v>41</v>
      </c>
      <c r="D566" s="381" t="s">
        <v>319</v>
      </c>
      <c r="E566" s="387">
        <v>7.6</v>
      </c>
      <c r="F566" s="387">
        <f t="shared" si="205"/>
        <v>1.9607999999999999</v>
      </c>
      <c r="G566" s="387">
        <v>1.1399999999999999</v>
      </c>
      <c r="H566" s="387">
        <v>19.899999999999999</v>
      </c>
      <c r="I566" s="387">
        <v>19.440000000000001</v>
      </c>
      <c r="J566" s="387">
        <v>19</v>
      </c>
      <c r="K566" s="383">
        <v>7</v>
      </c>
      <c r="L566" s="383">
        <v>4</v>
      </c>
      <c r="M566" s="383" t="s">
        <v>104</v>
      </c>
      <c r="N566" s="313">
        <v>268</v>
      </c>
      <c r="O566" s="295">
        <f t="shared" si="206"/>
        <v>287</v>
      </c>
      <c r="P566" s="295"/>
      <c r="Q566" s="295"/>
      <c r="R566" s="293">
        <f t="shared" si="217"/>
        <v>3.3163669767810902</v>
      </c>
      <c r="S566" s="292">
        <v>1.1200000000000001</v>
      </c>
      <c r="T566" s="301" t="s">
        <v>37</v>
      </c>
      <c r="U566" s="295"/>
      <c r="V566" s="290"/>
      <c r="W566" s="290"/>
      <c r="X566" s="290"/>
      <c r="Y566" s="292">
        <v>1.1200000000000001</v>
      </c>
      <c r="Z566" s="301" t="s">
        <v>37</v>
      </c>
      <c r="AA566" s="292"/>
      <c r="AB566" s="301"/>
      <c r="AC566" s="301"/>
      <c r="AD566" s="301"/>
      <c r="AE566" s="448"/>
      <c r="AF566" s="287">
        <f t="shared" si="207"/>
        <v>5.5909869805108565</v>
      </c>
      <c r="AG566" s="287">
        <f t="shared" si="208"/>
        <v>5.6594822157596214</v>
      </c>
      <c r="AH566" s="288"/>
      <c r="AI566" s="288"/>
      <c r="AK566" s="286">
        <f t="shared" si="209"/>
        <v>888.78634977733213</v>
      </c>
      <c r="AL566" s="286">
        <f t="shared" si="210"/>
        <v>907.78634977733213</v>
      </c>
      <c r="AM566" s="287">
        <f t="shared" si="211"/>
        <v>6.7898568801711798</v>
      </c>
      <c r="AN566" s="287">
        <f t="shared" si="212"/>
        <v>6.8110090533124126</v>
      </c>
      <c r="AO566" s="288"/>
      <c r="AP566" s="288"/>
      <c r="AR566" s="286">
        <f t="shared" si="213"/>
        <v>480.88709703521903</v>
      </c>
      <c r="AS566" s="286">
        <f t="shared" si="214"/>
        <v>491.1672446161964</v>
      </c>
      <c r="AT566" s="287">
        <f t="shared" si="215"/>
        <v>6.1756325170549147</v>
      </c>
      <c r="AU566" s="287">
        <f t="shared" si="216"/>
        <v>6.1967846901961474</v>
      </c>
      <c r="AV566" s="299"/>
      <c r="AW566" s="299"/>
      <c r="AX566" s="286"/>
      <c r="AY566" s="286"/>
      <c r="AZ566" s="286"/>
      <c r="BA566" s="286"/>
      <c r="BB566" s="287"/>
      <c r="BC566" s="287"/>
      <c r="BD566" s="288"/>
      <c r="BE566" s="288"/>
    </row>
    <row r="567" spans="1:57" s="298" customFormat="1" x14ac:dyDescent="0.2">
      <c r="A567" s="290" t="s">
        <v>71</v>
      </c>
      <c r="B567" s="290" t="s">
        <v>35</v>
      </c>
      <c r="C567" s="425" t="s">
        <v>41</v>
      </c>
      <c r="D567" s="381" t="s">
        <v>319</v>
      </c>
      <c r="E567" s="387">
        <v>7.5</v>
      </c>
      <c r="F567" s="387">
        <f t="shared" si="205"/>
        <v>2.3564000000000003</v>
      </c>
      <c r="G567" s="387">
        <v>1.37</v>
      </c>
      <c r="H567" s="387">
        <v>49.2</v>
      </c>
      <c r="I567" s="387">
        <v>23.57</v>
      </c>
      <c r="J567" s="387">
        <v>113</v>
      </c>
      <c r="K567" s="383">
        <v>7</v>
      </c>
      <c r="L567" s="383">
        <v>4</v>
      </c>
      <c r="M567" s="383" t="s">
        <v>104</v>
      </c>
      <c r="N567" s="313">
        <v>289</v>
      </c>
      <c r="O567" s="295">
        <f t="shared" si="206"/>
        <v>402</v>
      </c>
      <c r="P567" s="295"/>
      <c r="Q567" s="295"/>
      <c r="R567" s="293">
        <f t="shared" si="217"/>
        <v>3.0137527074704766</v>
      </c>
      <c r="S567" s="292">
        <v>1.1200000000000001</v>
      </c>
      <c r="T567" s="301" t="s">
        <v>37</v>
      </c>
      <c r="U567" s="295"/>
      <c r="V567" s="290"/>
      <c r="W567" s="290"/>
      <c r="X567" s="290"/>
      <c r="Y567" s="292">
        <v>1.1200000000000001</v>
      </c>
      <c r="Z567" s="301" t="s">
        <v>37</v>
      </c>
      <c r="AA567" s="292"/>
      <c r="AB567" s="301"/>
      <c r="AC567" s="301"/>
      <c r="AD567" s="301"/>
      <c r="AE567" s="448"/>
      <c r="AF567" s="287">
        <f t="shared" si="207"/>
        <v>5.6664266881124323</v>
      </c>
      <c r="AG567" s="287">
        <f t="shared" si="208"/>
        <v>5.9964520886190211</v>
      </c>
      <c r="AH567" s="288"/>
      <c r="AI567" s="288"/>
      <c r="AK567" s="286">
        <f t="shared" si="209"/>
        <v>870.9745324589677</v>
      </c>
      <c r="AL567" s="286">
        <f t="shared" si="210"/>
        <v>983.9745324589677</v>
      </c>
      <c r="AM567" s="287">
        <f t="shared" si="211"/>
        <v>6.7696127369978898</v>
      </c>
      <c r="AN567" s="287">
        <f t="shared" si="212"/>
        <v>6.891600015069927</v>
      </c>
      <c r="AO567" s="288"/>
      <c r="AP567" s="288"/>
      <c r="AR567" s="286">
        <f t="shared" si="213"/>
        <v>379.79416154575398</v>
      </c>
      <c r="AS567" s="286">
        <f t="shared" si="214"/>
        <v>429.06855322458534</v>
      </c>
      <c r="AT567" s="287">
        <f t="shared" si="215"/>
        <v>5.9396294258159896</v>
      </c>
      <c r="AU567" s="287">
        <f t="shared" si="216"/>
        <v>6.0616167038880269</v>
      </c>
      <c r="AV567" s="299"/>
      <c r="AW567" s="299"/>
      <c r="AX567" s="286"/>
      <c r="AY567" s="286"/>
      <c r="AZ567" s="286"/>
      <c r="BA567" s="286"/>
      <c r="BB567" s="287"/>
      <c r="BC567" s="287"/>
      <c r="BD567" s="288"/>
      <c r="BE567" s="288"/>
    </row>
    <row r="568" spans="1:57" s="298" customFormat="1" x14ac:dyDescent="0.2">
      <c r="A568" s="290" t="s">
        <v>71</v>
      </c>
      <c r="B568" s="290" t="s">
        <v>35</v>
      </c>
      <c r="C568" s="425" t="s">
        <v>41</v>
      </c>
      <c r="D568" s="381" t="s">
        <v>319</v>
      </c>
      <c r="E568" s="387">
        <v>7.6</v>
      </c>
      <c r="F568" s="387">
        <f t="shared" si="205"/>
        <v>0.84279999999999999</v>
      </c>
      <c r="G568" s="387">
        <v>0.49</v>
      </c>
      <c r="H568" s="387">
        <v>55.4</v>
      </c>
      <c r="I568" s="387">
        <v>35.26</v>
      </c>
      <c r="J568" s="387">
        <v>24</v>
      </c>
      <c r="K568" s="383">
        <v>7</v>
      </c>
      <c r="L568" s="383">
        <v>4</v>
      </c>
      <c r="M568" s="383" t="s">
        <v>104</v>
      </c>
      <c r="N568" s="313">
        <v>587</v>
      </c>
      <c r="O568" s="295">
        <f t="shared" si="206"/>
        <v>611</v>
      </c>
      <c r="P568" s="295"/>
      <c r="Q568" s="295"/>
      <c r="R568" s="293">
        <f t="shared" si="217"/>
        <v>3.3163669767810902</v>
      </c>
      <c r="S568" s="292">
        <v>1.1200000000000001</v>
      </c>
      <c r="T568" s="301" t="s">
        <v>37</v>
      </c>
      <c r="U568" s="295"/>
      <c r="V568" s="290"/>
      <c r="W568" s="290"/>
      <c r="X568" s="290"/>
      <c r="Y568" s="292">
        <v>1.1200000000000001</v>
      </c>
      <c r="Z568" s="301" t="s">
        <v>37</v>
      </c>
      <c r="AA568" s="292"/>
      <c r="AB568" s="301"/>
      <c r="AC568" s="301"/>
      <c r="AD568" s="301"/>
      <c r="AE568" s="448"/>
      <c r="AF568" s="287">
        <f t="shared" si="207"/>
        <v>6.3750248198280968</v>
      </c>
      <c r="AG568" s="287">
        <f t="shared" si="208"/>
        <v>6.4150969591715956</v>
      </c>
      <c r="AH568" s="288"/>
      <c r="AI568" s="288"/>
      <c r="AK568" s="286">
        <f t="shared" si="209"/>
        <v>1946.7074153705</v>
      </c>
      <c r="AL568" s="286">
        <f t="shared" si="210"/>
        <v>1970.7074153705</v>
      </c>
      <c r="AM568" s="287">
        <f t="shared" si="211"/>
        <v>7.5738947194884192</v>
      </c>
      <c r="AN568" s="287">
        <f t="shared" si="212"/>
        <v>7.5861478513698799</v>
      </c>
      <c r="AO568" s="288"/>
      <c r="AP568" s="288"/>
      <c r="AR568" s="286">
        <f t="shared" si="213"/>
        <v>540.66724359884881</v>
      </c>
      <c r="AS568" s="286">
        <f t="shared" si="214"/>
        <v>547.33286460790157</v>
      </c>
      <c r="AT568" s="287">
        <f t="shared" si="215"/>
        <v>6.2928040130822316</v>
      </c>
      <c r="AU568" s="287">
        <f t="shared" si="216"/>
        <v>6.3050571449636932</v>
      </c>
      <c r="AV568" s="299"/>
      <c r="AW568" s="299"/>
      <c r="AX568" s="286"/>
      <c r="AY568" s="286"/>
      <c r="AZ568" s="286"/>
      <c r="BA568" s="286"/>
      <c r="BB568" s="287"/>
      <c r="BC568" s="287"/>
      <c r="BD568" s="288"/>
      <c r="BE568" s="288"/>
    </row>
    <row r="569" spans="1:57" s="298" customFormat="1" x14ac:dyDescent="0.2">
      <c r="A569" s="290" t="s">
        <v>71</v>
      </c>
      <c r="B569" s="290" t="s">
        <v>35</v>
      </c>
      <c r="C569" s="425" t="s">
        <v>41</v>
      </c>
      <c r="D569" s="381" t="s">
        <v>319</v>
      </c>
      <c r="E569" s="387">
        <v>7.6</v>
      </c>
      <c r="F569" s="387">
        <f t="shared" si="205"/>
        <v>0.91160000000000008</v>
      </c>
      <c r="G569" s="387">
        <v>0.53</v>
      </c>
      <c r="H569" s="387">
        <v>19.8</v>
      </c>
      <c r="I569" s="387">
        <v>13.35</v>
      </c>
      <c r="J569" s="387">
        <v>18</v>
      </c>
      <c r="K569" s="383">
        <v>7</v>
      </c>
      <c r="L569" s="383">
        <v>4</v>
      </c>
      <c r="M569" s="383" t="s">
        <v>104</v>
      </c>
      <c r="N569" s="313">
        <v>96</v>
      </c>
      <c r="O569" s="295">
        <f t="shared" si="206"/>
        <v>114</v>
      </c>
      <c r="P569" s="295"/>
      <c r="Q569" s="295"/>
      <c r="R569" s="293">
        <f t="shared" si="217"/>
        <v>3.3163669767810902</v>
      </c>
      <c r="S569" s="292">
        <v>1.1200000000000001</v>
      </c>
      <c r="T569" s="301" t="s">
        <v>37</v>
      </c>
      <c r="U569" s="295"/>
      <c r="V569" s="290"/>
      <c r="W569" s="290"/>
      <c r="X569" s="290"/>
      <c r="Y569" s="292">
        <v>1.1200000000000001</v>
      </c>
      <c r="Z569" s="301" t="s">
        <v>37</v>
      </c>
      <c r="AA569" s="292"/>
      <c r="AB569" s="301"/>
      <c r="AC569" s="301"/>
      <c r="AD569" s="301"/>
      <c r="AE569" s="448"/>
      <c r="AF569" s="287">
        <f t="shared" si="207"/>
        <v>4.5643481914678361</v>
      </c>
      <c r="AG569" s="287">
        <f t="shared" si="208"/>
        <v>4.7361984483944957</v>
      </c>
      <c r="AH569" s="288"/>
      <c r="AI569" s="288"/>
      <c r="AK569" s="286">
        <f t="shared" si="209"/>
        <v>318.37122977098466</v>
      </c>
      <c r="AL569" s="286">
        <f t="shared" si="210"/>
        <v>336.37122977098466</v>
      </c>
      <c r="AM569" s="287">
        <f t="shared" si="211"/>
        <v>5.7632180911281594</v>
      </c>
      <c r="AN569" s="287">
        <f t="shared" si="212"/>
        <v>5.818215400573953</v>
      </c>
      <c r="AO569" s="288"/>
      <c r="AP569" s="288"/>
      <c r="AR569" s="286">
        <f t="shared" si="213"/>
        <v>262.40998577747808</v>
      </c>
      <c r="AS569" s="286">
        <f t="shared" si="214"/>
        <v>277.24606172376349</v>
      </c>
      <c r="AT569" s="287">
        <f t="shared" si="215"/>
        <v>5.5699081119002534</v>
      </c>
      <c r="AU569" s="287">
        <f t="shared" si="216"/>
        <v>5.624905421346047</v>
      </c>
      <c r="AV569" s="299"/>
      <c r="AW569" s="299"/>
      <c r="AX569" s="286"/>
      <c r="AY569" s="286"/>
      <c r="AZ569" s="286"/>
      <c r="BA569" s="286"/>
      <c r="BB569" s="287"/>
      <c r="BC569" s="287"/>
      <c r="BD569" s="288"/>
      <c r="BE569" s="288"/>
    </row>
    <row r="570" spans="1:57" s="336" customFormat="1" x14ac:dyDescent="0.2">
      <c r="A570" s="326" t="s">
        <v>71</v>
      </c>
      <c r="B570" s="326" t="s">
        <v>35</v>
      </c>
      <c r="C570" s="428" t="s">
        <v>41</v>
      </c>
      <c r="D570" s="391" t="s">
        <v>319</v>
      </c>
      <c r="E570" s="361">
        <v>7.7</v>
      </c>
      <c r="F570" s="361">
        <f t="shared" si="205"/>
        <v>0.53320000000000001</v>
      </c>
      <c r="G570" s="361">
        <v>0.31</v>
      </c>
      <c r="H570" s="361">
        <v>17.2</v>
      </c>
      <c r="I570" s="361">
        <v>13.27</v>
      </c>
      <c r="J570" s="361">
        <v>11</v>
      </c>
      <c r="K570" s="394">
        <v>7</v>
      </c>
      <c r="L570" s="394">
        <v>4</v>
      </c>
      <c r="M570" s="394" t="s">
        <v>104</v>
      </c>
      <c r="N570" s="317">
        <v>304</v>
      </c>
      <c r="O570" s="231">
        <f t="shared" si="206"/>
        <v>315</v>
      </c>
      <c r="P570" s="231"/>
      <c r="Q570" s="231"/>
      <c r="R570" s="318">
        <f t="shared" si="217"/>
        <v>3.6644562419294178</v>
      </c>
      <c r="S570" s="328">
        <v>1.1200000000000001</v>
      </c>
      <c r="T570" s="314" t="s">
        <v>37</v>
      </c>
      <c r="U570" s="231"/>
      <c r="V570" s="326"/>
      <c r="W570" s="326"/>
      <c r="X570" s="326"/>
      <c r="Y570" s="328">
        <v>1.1200000000000001</v>
      </c>
      <c r="Z570" s="314" t="s">
        <v>37</v>
      </c>
      <c r="AA570" s="328"/>
      <c r="AB570" s="314"/>
      <c r="AC570" s="314"/>
      <c r="AD570" s="314"/>
      <c r="AE570" s="443"/>
      <c r="AF570" s="334">
        <f t="shared" si="207"/>
        <v>5.7170277014062219</v>
      </c>
      <c r="AG570" s="334">
        <f t="shared" si="208"/>
        <v>5.7525726388256331</v>
      </c>
      <c r="AH570" s="335"/>
      <c r="AI570" s="335"/>
      <c r="AK570" s="337">
        <f t="shared" si="209"/>
        <v>1113.994697546543</v>
      </c>
      <c r="AL570" s="337">
        <f t="shared" si="210"/>
        <v>1124.994697546543</v>
      </c>
      <c r="AM570" s="334">
        <f t="shared" si="211"/>
        <v>7.0157076606433542</v>
      </c>
      <c r="AN570" s="334">
        <f t="shared" si="212"/>
        <v>7.025533601335451</v>
      </c>
      <c r="AO570" s="335"/>
      <c r="AP570" s="335"/>
      <c r="AR570" s="337">
        <f t="shared" si="213"/>
        <v>924.38576795252163</v>
      </c>
      <c r="AS570" s="337">
        <f t="shared" si="214"/>
        <v>933.51349851521843</v>
      </c>
      <c r="AT570" s="334">
        <f t="shared" si="215"/>
        <v>6.8291294822978479</v>
      </c>
      <c r="AU570" s="334">
        <f t="shared" si="216"/>
        <v>6.8389554229899447</v>
      </c>
      <c r="AV570" s="338"/>
      <c r="AW570" s="338"/>
      <c r="AX570" s="337"/>
      <c r="AY570" s="337"/>
      <c r="AZ570" s="337"/>
      <c r="BA570" s="337"/>
      <c r="BB570" s="334"/>
      <c r="BC570" s="334"/>
      <c r="BD570" s="335"/>
      <c r="BE570" s="335"/>
    </row>
    <row r="571" spans="1:57" s="298" customFormat="1" x14ac:dyDescent="0.2">
      <c r="A571" s="290" t="s">
        <v>71</v>
      </c>
      <c r="B571" s="290" t="s">
        <v>35</v>
      </c>
      <c r="C571" s="425" t="s">
        <v>73</v>
      </c>
      <c r="D571" s="381" t="s">
        <v>312</v>
      </c>
      <c r="E571" s="387">
        <v>4.55</v>
      </c>
      <c r="F571" s="387">
        <f t="shared" si="205"/>
        <v>7.8259999999999996</v>
      </c>
      <c r="G571" s="387">
        <v>4.55</v>
      </c>
      <c r="H571" s="387"/>
      <c r="I571" s="387">
        <v>7.4</v>
      </c>
      <c r="J571" s="387">
        <v>3</v>
      </c>
      <c r="K571" s="383">
        <v>10</v>
      </c>
      <c r="L571" s="383">
        <v>30</v>
      </c>
      <c r="M571" s="383" t="s">
        <v>93</v>
      </c>
      <c r="N571" s="313">
        <v>10</v>
      </c>
      <c r="O571" s="295">
        <f t="shared" si="206"/>
        <v>13</v>
      </c>
      <c r="P571" s="295"/>
      <c r="Q571" s="295"/>
      <c r="R571" s="293">
        <f t="shared" si="217"/>
        <v>1.0323869407729069</v>
      </c>
      <c r="S571" s="292">
        <v>1.1200000000000001</v>
      </c>
      <c r="T571" s="301" t="s">
        <v>37</v>
      </c>
      <c r="U571" s="295"/>
      <c r="V571" s="290"/>
      <c r="W571" s="290"/>
      <c r="X571" s="290"/>
      <c r="Y571" s="292">
        <v>1.1200000000000001</v>
      </c>
      <c r="Z571" s="301" t="s">
        <v>37</v>
      </c>
      <c r="AA571" s="292"/>
      <c r="AB571" s="301"/>
      <c r="AC571" s="301"/>
      <c r="AD571" s="301"/>
      <c r="AE571" s="448"/>
      <c r="AF571" s="239">
        <f t="shared" si="207"/>
        <v>2.3025850929940459</v>
      </c>
      <c r="AG571" s="239">
        <f t="shared" si="208"/>
        <v>2.5649493574615367</v>
      </c>
      <c r="AH571" s="240"/>
      <c r="AI571" s="240"/>
      <c r="AK571" s="286">
        <f t="shared" si="209"/>
        <v>10.32386940772907</v>
      </c>
      <c r="AL571" s="286">
        <f t="shared" si="210"/>
        <v>13.32386940772907</v>
      </c>
      <c r="AM571" s="239">
        <f t="shared" si="211"/>
        <v>2.3344586323894077</v>
      </c>
      <c r="AN571" s="239">
        <f t="shared" si="212"/>
        <v>2.5895571190021838</v>
      </c>
      <c r="AO571" s="240"/>
      <c r="AP571" s="240"/>
      <c r="AR571" s="286">
        <f t="shared" si="213"/>
        <v>16.477394379715676</v>
      </c>
      <c r="AS571" s="286">
        <f t="shared" si="214"/>
        <v>21.26553932681653</v>
      </c>
      <c r="AT571" s="239">
        <f t="shared" si="215"/>
        <v>2.8019894039539723</v>
      </c>
      <c r="AU571" s="239">
        <f t="shared" si="216"/>
        <v>3.0570878905667485</v>
      </c>
      <c r="AV571" s="299"/>
      <c r="AW571" s="299"/>
      <c r="AX571" s="499">
        <f>GEOMEAN(AR571:AR572)</f>
        <v>70.738834408036979</v>
      </c>
      <c r="AY571" s="499">
        <f>GEOMEAN(AS571:AS572)</f>
        <v>81.768573022437124</v>
      </c>
      <c r="AZ571" s="499">
        <f>MIN(AX571:AX572)</f>
        <v>70.738834408036979</v>
      </c>
      <c r="BA571" s="499">
        <f>MIN(AY571:AY572)</f>
        <v>81.768573022437124</v>
      </c>
      <c r="BB571" s="500">
        <f>LN(AZ571)</f>
        <v>4.2589947065145983</v>
      </c>
      <c r="BC571" s="500">
        <f>LN(BA571)</f>
        <v>4.4038929769079669</v>
      </c>
      <c r="BD571" s="240"/>
      <c r="BE571" s="240"/>
    </row>
    <row r="572" spans="1:57" s="336" customFormat="1" x14ac:dyDescent="0.2">
      <c r="A572" s="326" t="s">
        <v>71</v>
      </c>
      <c r="B572" s="326" t="s">
        <v>35</v>
      </c>
      <c r="C572" s="428" t="s">
        <v>73</v>
      </c>
      <c r="D572" s="391" t="s">
        <v>312</v>
      </c>
      <c r="E572" s="361">
        <v>8.1</v>
      </c>
      <c r="F572" s="361">
        <f t="shared" si="205"/>
        <v>13.931999999999999</v>
      </c>
      <c r="G572" s="361">
        <v>8.1</v>
      </c>
      <c r="H572" s="361"/>
      <c r="I572" s="361">
        <v>19.600000000000001</v>
      </c>
      <c r="J572" s="361">
        <v>20</v>
      </c>
      <c r="K572" s="394">
        <v>10</v>
      </c>
      <c r="L572" s="394">
        <v>30</v>
      </c>
      <c r="M572" s="394" t="s">
        <v>93</v>
      </c>
      <c r="N572" s="317">
        <v>100</v>
      </c>
      <c r="O572" s="231">
        <f t="shared" ref="O572:O603" si="218">N572+J572</f>
        <v>120</v>
      </c>
      <c r="P572" s="231"/>
      <c r="Q572" s="231"/>
      <c r="R572" s="318">
        <f t="shared" si="217"/>
        <v>5.6645902709881231</v>
      </c>
      <c r="S572" s="328">
        <v>1.1200000000000001</v>
      </c>
      <c r="T572" s="314" t="s">
        <v>37</v>
      </c>
      <c r="U572" s="231"/>
      <c r="V572" s="326"/>
      <c r="W572" s="326"/>
      <c r="X572" s="326"/>
      <c r="Y572" s="328">
        <v>1.1200000000000001</v>
      </c>
      <c r="Z572" s="314" t="s">
        <v>37</v>
      </c>
      <c r="AA572" s="328"/>
      <c r="AB572" s="314"/>
      <c r="AC572" s="314"/>
      <c r="AD572" s="314"/>
      <c r="AE572" s="443"/>
      <c r="AF572" s="334">
        <f t="shared" ref="AF572:AF603" si="219">LN(N572)</f>
        <v>4.6051701859880918</v>
      </c>
      <c r="AG572" s="334">
        <f t="shared" ref="AG572:AG603" si="220">LN(O572)</f>
        <v>4.7874917427820458</v>
      </c>
      <c r="AH572" s="335"/>
      <c r="AI572" s="335"/>
      <c r="AK572" s="337">
        <f t="shared" ref="AK572:AK603" si="221">N572*R572</f>
        <v>566.45902709881227</v>
      </c>
      <c r="AL572" s="337">
        <f t="shared" ref="AL572:AL603" si="222">AK572+J572</f>
        <v>586.45902709881227</v>
      </c>
      <c r="AM572" s="334">
        <f t="shared" ref="AM572:AM603" si="223">LN(AK572)</f>
        <v>6.3394047514601697</v>
      </c>
      <c r="AN572" s="334">
        <f t="shared" ref="AN572:AN603" si="224">LN(AL572)</f>
        <v>6.3741028056341298</v>
      </c>
      <c r="AO572" s="335"/>
      <c r="AP572" s="335"/>
      <c r="AR572" s="337">
        <f t="shared" ref="AR572:AR603" si="225">AK572*(eCEC/$I572)^$S572</f>
        <v>303.6877420114298</v>
      </c>
      <c r="AS572" s="337">
        <f t="shared" ref="AS572:AS603" si="226">AL572*(eCEC/$I572)^$Y572</f>
        <v>314.41006180803731</v>
      </c>
      <c r="AT572" s="334">
        <f t="shared" ref="AT572:AT603" si="227">LN(AR572)</f>
        <v>5.7160000090752252</v>
      </c>
      <c r="AU572" s="334">
        <f t="shared" ref="AU572:AU603" si="228">LN(AS572)</f>
        <v>5.7506980632491853</v>
      </c>
      <c r="AV572" s="338"/>
      <c r="AW572" s="338"/>
      <c r="AX572" s="337"/>
      <c r="AY572" s="337"/>
      <c r="AZ572" s="337"/>
      <c r="BA572" s="337"/>
      <c r="BB572" s="334"/>
      <c r="BC572" s="334"/>
      <c r="BD572" s="335"/>
      <c r="BE572" s="335"/>
    </row>
    <row r="573" spans="1:57" s="298" customFormat="1" ht="14.25" x14ac:dyDescent="0.2">
      <c r="A573" s="290" t="s">
        <v>71</v>
      </c>
      <c r="B573" s="290" t="s">
        <v>35</v>
      </c>
      <c r="C573" s="425" t="s">
        <v>39</v>
      </c>
      <c r="D573" s="381" t="s">
        <v>318</v>
      </c>
      <c r="E573" s="387">
        <v>7.2</v>
      </c>
      <c r="F573" s="387">
        <f t="shared" ref="F573:F600" si="229">G573*1.72</f>
        <v>3.9903999999999997</v>
      </c>
      <c r="G573" s="387">
        <v>2.3199999999999998</v>
      </c>
      <c r="H573" s="387"/>
      <c r="I573" s="387">
        <v>13</v>
      </c>
      <c r="J573" s="501">
        <v>14</v>
      </c>
      <c r="K573" s="383">
        <v>60</v>
      </c>
      <c r="L573" s="383">
        <v>110</v>
      </c>
      <c r="M573" s="383" t="s">
        <v>391</v>
      </c>
      <c r="N573" s="313">
        <v>453</v>
      </c>
      <c r="O573" s="295">
        <f t="shared" si="218"/>
        <v>467</v>
      </c>
      <c r="P573" s="295"/>
      <c r="Q573" s="295"/>
      <c r="R573" s="293">
        <v>1</v>
      </c>
      <c r="S573" s="292">
        <v>1.1200000000000001</v>
      </c>
      <c r="T573" s="301" t="s">
        <v>37</v>
      </c>
      <c r="U573" s="295"/>
      <c r="V573" s="290"/>
      <c r="W573" s="290"/>
      <c r="X573" s="290"/>
      <c r="Y573" s="292">
        <v>1.1200000000000001</v>
      </c>
      <c r="Z573" s="301" t="s">
        <v>37</v>
      </c>
      <c r="AA573" s="292"/>
      <c r="AB573" s="301"/>
      <c r="AC573" s="301"/>
      <c r="AD573" s="301"/>
      <c r="AE573" s="448"/>
      <c r="AF573" s="239">
        <f t="shared" si="219"/>
        <v>6.1158921254830343</v>
      </c>
      <c r="AG573" s="239">
        <f t="shared" si="220"/>
        <v>6.1463292576688975</v>
      </c>
      <c r="AH573" s="240"/>
      <c r="AI573" s="240"/>
      <c r="AK573" s="286">
        <f t="shared" si="221"/>
        <v>453</v>
      </c>
      <c r="AL573" s="286">
        <f t="shared" si="222"/>
        <v>467</v>
      </c>
      <c r="AM573" s="239">
        <f t="shared" si="223"/>
        <v>6.1158921254830343</v>
      </c>
      <c r="AN573" s="239">
        <f t="shared" si="224"/>
        <v>6.1463292576688975</v>
      </c>
      <c r="AO573" s="240"/>
      <c r="AP573" s="240"/>
      <c r="AR573" s="286">
        <f t="shared" si="225"/>
        <v>384.65130281986205</v>
      </c>
      <c r="AS573" s="286">
        <f t="shared" si="226"/>
        <v>396.53898105270548</v>
      </c>
      <c r="AT573" s="239">
        <f t="shared" si="227"/>
        <v>5.9523372169260167</v>
      </c>
      <c r="AU573" s="239">
        <f t="shared" si="228"/>
        <v>5.9827743491118799</v>
      </c>
      <c r="AV573" s="299"/>
      <c r="AW573" s="299"/>
      <c r="AX573" s="499">
        <f>GEOMEAN(AR573:AR587)</f>
        <v>73.772499313478335</v>
      </c>
      <c r="AY573" s="499">
        <f>GEOMEAN(AS573:AS587)</f>
        <v>89.758586961120457</v>
      </c>
      <c r="AZ573" s="499">
        <f>MIN(AX573:AX587)</f>
        <v>73.772499313478335</v>
      </c>
      <c r="BA573" s="499">
        <f>MIN(AY573:AY587)</f>
        <v>89.758586961120457</v>
      </c>
      <c r="BB573" s="500">
        <f>LN(AZ573)</f>
        <v>4.3009860241308751</v>
      </c>
      <c r="BC573" s="500">
        <f>LN(BA573)</f>
        <v>4.4971236992387134</v>
      </c>
      <c r="BD573" s="240"/>
      <c r="BE573" s="240"/>
    </row>
    <row r="574" spans="1:57" s="298" customFormat="1" ht="14.25" x14ac:dyDescent="0.2">
      <c r="A574" s="290" t="s">
        <v>71</v>
      </c>
      <c r="B574" s="290" t="s">
        <v>35</v>
      </c>
      <c r="C574" s="425" t="s">
        <v>39</v>
      </c>
      <c r="D574" s="381" t="s">
        <v>318</v>
      </c>
      <c r="E574" s="387">
        <v>5.5</v>
      </c>
      <c r="F574" s="387">
        <f t="shared" si="229"/>
        <v>1.3932</v>
      </c>
      <c r="G574" s="387">
        <v>0.81</v>
      </c>
      <c r="H574" s="387"/>
      <c r="I574" s="387">
        <v>6</v>
      </c>
      <c r="J574" s="501">
        <v>14</v>
      </c>
      <c r="K574" s="383">
        <v>60</v>
      </c>
      <c r="L574" s="383">
        <v>110</v>
      </c>
      <c r="M574" s="383" t="s">
        <v>391</v>
      </c>
      <c r="N574" s="313">
        <v>43</v>
      </c>
      <c r="O574" s="295">
        <f t="shared" si="218"/>
        <v>57</v>
      </c>
      <c r="P574" s="295"/>
      <c r="Q574" s="295"/>
      <c r="R574" s="293">
        <v>1</v>
      </c>
      <c r="S574" s="292">
        <v>1.1200000000000001</v>
      </c>
      <c r="T574" s="301" t="s">
        <v>37</v>
      </c>
      <c r="U574" s="295"/>
      <c r="V574" s="290"/>
      <c r="W574" s="290"/>
      <c r="X574" s="290"/>
      <c r="Y574" s="292">
        <v>1.1200000000000001</v>
      </c>
      <c r="Z574" s="301" t="s">
        <v>37</v>
      </c>
      <c r="AA574" s="292"/>
      <c r="AB574" s="301"/>
      <c r="AC574" s="301"/>
      <c r="AD574" s="301"/>
      <c r="AE574" s="448"/>
      <c r="AF574" s="287">
        <f t="shared" si="219"/>
        <v>3.7612001156935624</v>
      </c>
      <c r="AG574" s="287">
        <f t="shared" si="220"/>
        <v>4.0430512678345503</v>
      </c>
      <c r="AH574" s="288"/>
      <c r="AI574" s="288"/>
      <c r="AK574" s="286">
        <f t="shared" si="221"/>
        <v>43</v>
      </c>
      <c r="AL574" s="286">
        <f t="shared" si="222"/>
        <v>57</v>
      </c>
      <c r="AM574" s="287">
        <f t="shared" si="223"/>
        <v>3.7612001156935624</v>
      </c>
      <c r="AN574" s="287">
        <f t="shared" si="224"/>
        <v>4.0430512678345503</v>
      </c>
      <c r="AO574" s="288"/>
      <c r="AP574" s="288"/>
      <c r="AR574" s="286">
        <f t="shared" si="225"/>
        <v>86.800977398825935</v>
      </c>
      <c r="AS574" s="286">
        <f t="shared" si="226"/>
        <v>115.06176073797857</v>
      </c>
      <c r="AT574" s="287">
        <f t="shared" si="227"/>
        <v>4.4636178819580445</v>
      </c>
      <c r="AU574" s="287">
        <f t="shared" si="228"/>
        <v>4.7454690340990329</v>
      </c>
      <c r="AV574" s="299"/>
      <c r="AW574" s="299"/>
      <c r="AX574" s="286"/>
      <c r="AY574" s="286"/>
      <c r="AZ574" s="286"/>
      <c r="BA574" s="286"/>
      <c r="BB574" s="287"/>
      <c r="BC574" s="287"/>
      <c r="BD574" s="288"/>
      <c r="BE574" s="288"/>
    </row>
    <row r="575" spans="1:57" s="298" customFormat="1" ht="14.25" x14ac:dyDescent="0.2">
      <c r="A575" s="290" t="s">
        <v>71</v>
      </c>
      <c r="B575" s="290" t="s">
        <v>35</v>
      </c>
      <c r="C575" s="425" t="s">
        <v>39</v>
      </c>
      <c r="D575" s="381" t="s">
        <v>318</v>
      </c>
      <c r="E575" s="387">
        <v>5.5</v>
      </c>
      <c r="F575" s="387">
        <f t="shared" si="229"/>
        <v>1.3932</v>
      </c>
      <c r="G575" s="387">
        <v>0.81</v>
      </c>
      <c r="H575" s="387"/>
      <c r="I575" s="387">
        <v>6</v>
      </c>
      <c r="J575" s="501">
        <v>14</v>
      </c>
      <c r="K575" s="383">
        <v>60</v>
      </c>
      <c r="L575" s="383">
        <v>110</v>
      </c>
      <c r="M575" s="383" t="s">
        <v>391</v>
      </c>
      <c r="N575" s="313">
        <v>47</v>
      </c>
      <c r="O575" s="295">
        <f t="shared" si="218"/>
        <v>61</v>
      </c>
      <c r="P575" s="295"/>
      <c r="Q575" s="295"/>
      <c r="R575" s="293">
        <v>1</v>
      </c>
      <c r="S575" s="292">
        <v>1.1200000000000001</v>
      </c>
      <c r="T575" s="301" t="s">
        <v>37</v>
      </c>
      <c r="U575" s="295"/>
      <c r="V575" s="290"/>
      <c r="W575" s="290"/>
      <c r="X575" s="290"/>
      <c r="Y575" s="292">
        <v>1.1200000000000001</v>
      </c>
      <c r="Z575" s="301" t="s">
        <v>37</v>
      </c>
      <c r="AA575" s="292"/>
      <c r="AB575" s="301"/>
      <c r="AC575" s="301"/>
      <c r="AD575" s="301"/>
      <c r="AE575" s="448"/>
      <c r="AF575" s="287">
        <f t="shared" si="219"/>
        <v>3.8501476017100584</v>
      </c>
      <c r="AG575" s="287">
        <f t="shared" si="220"/>
        <v>4.1108738641733114</v>
      </c>
      <c r="AH575" s="288"/>
      <c r="AI575" s="288"/>
      <c r="AK575" s="286">
        <f t="shared" si="221"/>
        <v>47</v>
      </c>
      <c r="AL575" s="286">
        <f t="shared" si="222"/>
        <v>61</v>
      </c>
      <c r="AM575" s="287">
        <f t="shared" si="223"/>
        <v>3.8501476017100584</v>
      </c>
      <c r="AN575" s="287">
        <f t="shared" si="224"/>
        <v>4.1108738641733114</v>
      </c>
      <c r="AO575" s="288"/>
      <c r="AP575" s="288"/>
      <c r="AR575" s="286">
        <f t="shared" si="225"/>
        <v>94.875486924298116</v>
      </c>
      <c r="AS575" s="286">
        <f t="shared" si="226"/>
        <v>123.13627026345075</v>
      </c>
      <c r="AT575" s="287">
        <f t="shared" si="227"/>
        <v>4.552565367974541</v>
      </c>
      <c r="AU575" s="287">
        <f t="shared" si="228"/>
        <v>4.813291630437794</v>
      </c>
      <c r="AV575" s="299"/>
      <c r="AW575" s="299"/>
      <c r="AX575" s="286"/>
      <c r="AY575" s="286"/>
      <c r="AZ575" s="286"/>
      <c r="BA575" s="286"/>
      <c r="BB575" s="287"/>
      <c r="BC575" s="287"/>
      <c r="BD575" s="288"/>
      <c r="BE575" s="288"/>
    </row>
    <row r="576" spans="1:57" s="298" customFormat="1" ht="14.25" x14ac:dyDescent="0.2">
      <c r="A576" s="290" t="s">
        <v>71</v>
      </c>
      <c r="B576" s="290" t="s">
        <v>35</v>
      </c>
      <c r="C576" s="425" t="s">
        <v>39</v>
      </c>
      <c r="D576" s="381" t="s">
        <v>318</v>
      </c>
      <c r="E576" s="387">
        <v>6.3</v>
      </c>
      <c r="F576" s="387">
        <f t="shared" si="229"/>
        <v>1.3932</v>
      </c>
      <c r="G576" s="387">
        <v>0.81</v>
      </c>
      <c r="H576" s="387"/>
      <c r="I576" s="387">
        <v>6</v>
      </c>
      <c r="J576" s="501">
        <v>14</v>
      </c>
      <c r="K576" s="383">
        <v>60</v>
      </c>
      <c r="L576" s="383">
        <v>110</v>
      </c>
      <c r="M576" s="383" t="s">
        <v>391</v>
      </c>
      <c r="N576" s="313">
        <v>64</v>
      </c>
      <c r="O576" s="295">
        <f t="shared" si="218"/>
        <v>78</v>
      </c>
      <c r="P576" s="295"/>
      <c r="Q576" s="295"/>
      <c r="R576" s="293">
        <v>1</v>
      </c>
      <c r="S576" s="292">
        <v>1.1200000000000001</v>
      </c>
      <c r="T576" s="301" t="s">
        <v>37</v>
      </c>
      <c r="U576" s="295"/>
      <c r="V576" s="290"/>
      <c r="W576" s="290"/>
      <c r="X576" s="290"/>
      <c r="Y576" s="292">
        <v>1.1200000000000001</v>
      </c>
      <c r="Z576" s="301" t="s">
        <v>37</v>
      </c>
      <c r="AA576" s="292"/>
      <c r="AB576" s="301"/>
      <c r="AC576" s="301"/>
      <c r="AD576" s="301"/>
      <c r="AE576" s="448"/>
      <c r="AF576" s="287">
        <f t="shared" si="219"/>
        <v>4.1588830833596715</v>
      </c>
      <c r="AG576" s="287">
        <f t="shared" si="220"/>
        <v>4.3567088266895917</v>
      </c>
      <c r="AH576" s="288"/>
      <c r="AI576" s="288"/>
      <c r="AK576" s="286">
        <f t="shared" si="221"/>
        <v>64</v>
      </c>
      <c r="AL576" s="286">
        <f t="shared" si="222"/>
        <v>78</v>
      </c>
      <c r="AM576" s="287">
        <f t="shared" si="223"/>
        <v>4.1588830833596715</v>
      </c>
      <c r="AN576" s="287">
        <f t="shared" si="224"/>
        <v>4.3567088266895917</v>
      </c>
      <c r="AO576" s="288"/>
      <c r="AP576" s="288"/>
      <c r="AR576" s="286">
        <f t="shared" si="225"/>
        <v>129.19215240755489</v>
      </c>
      <c r="AS576" s="286">
        <f t="shared" si="226"/>
        <v>157.45293574670751</v>
      </c>
      <c r="AT576" s="287">
        <f t="shared" si="227"/>
        <v>4.8613008496241541</v>
      </c>
      <c r="AU576" s="287">
        <f t="shared" si="228"/>
        <v>5.0591265929540743</v>
      </c>
      <c r="AV576" s="299"/>
      <c r="AW576" s="299"/>
      <c r="AX576" s="286"/>
      <c r="AY576" s="286"/>
      <c r="AZ576" s="286"/>
      <c r="BA576" s="286"/>
      <c r="BB576" s="287"/>
      <c r="BC576" s="287"/>
      <c r="BD576" s="288"/>
      <c r="BE576" s="288"/>
    </row>
    <row r="577" spans="1:57" s="298" customFormat="1" ht="14.25" x14ac:dyDescent="0.2">
      <c r="A577" s="290" t="s">
        <v>71</v>
      </c>
      <c r="B577" s="290" t="s">
        <v>35</v>
      </c>
      <c r="C577" s="425" t="s">
        <v>39</v>
      </c>
      <c r="D577" s="381" t="s">
        <v>318</v>
      </c>
      <c r="E577" s="387">
        <v>6.2</v>
      </c>
      <c r="F577" s="387">
        <f t="shared" si="229"/>
        <v>1.3932</v>
      </c>
      <c r="G577" s="387">
        <v>0.81</v>
      </c>
      <c r="H577" s="387"/>
      <c r="I577" s="387">
        <v>6</v>
      </c>
      <c r="J577" s="501">
        <v>14</v>
      </c>
      <c r="K577" s="383">
        <v>60</v>
      </c>
      <c r="L577" s="383">
        <v>110</v>
      </c>
      <c r="M577" s="383" t="s">
        <v>391</v>
      </c>
      <c r="N577" s="313">
        <v>53</v>
      </c>
      <c r="O577" s="295">
        <f t="shared" si="218"/>
        <v>67</v>
      </c>
      <c r="P577" s="295"/>
      <c r="Q577" s="295"/>
      <c r="R577" s="293">
        <v>1</v>
      </c>
      <c r="S577" s="292">
        <v>1.1200000000000001</v>
      </c>
      <c r="T577" s="301" t="s">
        <v>37</v>
      </c>
      <c r="U577" s="295"/>
      <c r="V577" s="290"/>
      <c r="W577" s="290"/>
      <c r="X577" s="290"/>
      <c r="Y577" s="292">
        <v>1.1200000000000001</v>
      </c>
      <c r="Z577" s="301" t="s">
        <v>37</v>
      </c>
      <c r="AA577" s="292"/>
      <c r="AB577" s="301"/>
      <c r="AC577" s="301"/>
      <c r="AD577" s="301"/>
      <c r="AE577" s="448"/>
      <c r="AF577" s="287">
        <f t="shared" si="219"/>
        <v>3.970291913552122</v>
      </c>
      <c r="AG577" s="287">
        <f t="shared" si="220"/>
        <v>4.2046926193909657</v>
      </c>
      <c r="AH577" s="288"/>
      <c r="AI577" s="288"/>
      <c r="AK577" s="286">
        <f t="shared" si="221"/>
        <v>53</v>
      </c>
      <c r="AL577" s="286">
        <f t="shared" si="222"/>
        <v>67</v>
      </c>
      <c r="AM577" s="287">
        <f t="shared" si="223"/>
        <v>3.970291913552122</v>
      </c>
      <c r="AN577" s="287">
        <f t="shared" si="224"/>
        <v>4.2046926193909657</v>
      </c>
      <c r="AO577" s="288"/>
      <c r="AP577" s="288"/>
      <c r="AR577" s="286">
        <f t="shared" si="225"/>
        <v>106.98725121250639</v>
      </c>
      <c r="AS577" s="286">
        <f t="shared" si="226"/>
        <v>135.24803455165903</v>
      </c>
      <c r="AT577" s="287">
        <f t="shared" si="227"/>
        <v>4.6727096798166041</v>
      </c>
      <c r="AU577" s="287">
        <f t="shared" si="228"/>
        <v>4.9071103856554483</v>
      </c>
      <c r="AV577" s="299"/>
      <c r="AW577" s="299"/>
      <c r="AX577" s="286"/>
      <c r="AY577" s="286"/>
      <c r="AZ577" s="286"/>
      <c r="BA577" s="286"/>
      <c r="BB577" s="287"/>
      <c r="BC577" s="287"/>
      <c r="BD577" s="288"/>
      <c r="BE577" s="288"/>
    </row>
    <row r="578" spans="1:57" s="298" customFormat="1" ht="14.25" x14ac:dyDescent="0.2">
      <c r="A578" s="290" t="s">
        <v>71</v>
      </c>
      <c r="B578" s="290" t="s">
        <v>35</v>
      </c>
      <c r="C578" s="425" t="s">
        <v>39</v>
      </c>
      <c r="D578" s="381" t="s">
        <v>318</v>
      </c>
      <c r="E578" s="387">
        <v>5.2</v>
      </c>
      <c r="F578" s="387">
        <f t="shared" si="229"/>
        <v>4.0935999999999995</v>
      </c>
      <c r="G578" s="387">
        <v>2.38</v>
      </c>
      <c r="H578" s="387"/>
      <c r="I578" s="387">
        <v>11.7</v>
      </c>
      <c r="J578" s="501">
        <v>14</v>
      </c>
      <c r="K578" s="383">
        <v>60</v>
      </c>
      <c r="L578" s="383">
        <v>110</v>
      </c>
      <c r="M578" s="383" t="s">
        <v>391</v>
      </c>
      <c r="N578" s="313">
        <v>49</v>
      </c>
      <c r="O578" s="295">
        <f t="shared" si="218"/>
        <v>63</v>
      </c>
      <c r="P578" s="295"/>
      <c r="Q578" s="295"/>
      <c r="R578" s="293">
        <v>1</v>
      </c>
      <c r="S578" s="292">
        <v>1.1200000000000001</v>
      </c>
      <c r="T578" s="301" t="s">
        <v>37</v>
      </c>
      <c r="U578" s="295"/>
      <c r="V578" s="290"/>
      <c r="W578" s="290"/>
      <c r="X578" s="290"/>
      <c r="Y578" s="292">
        <v>1.1200000000000001</v>
      </c>
      <c r="Z578" s="301" t="s">
        <v>37</v>
      </c>
      <c r="AA578" s="292"/>
      <c r="AB578" s="301"/>
      <c r="AC578" s="301"/>
      <c r="AD578" s="301"/>
      <c r="AE578" s="448"/>
      <c r="AF578" s="287">
        <f t="shared" si="219"/>
        <v>3.8918202981106265</v>
      </c>
      <c r="AG578" s="287">
        <f t="shared" si="220"/>
        <v>4.1431347263915326</v>
      </c>
      <c r="AH578" s="288"/>
      <c r="AI578" s="288"/>
      <c r="AK578" s="286">
        <f t="shared" si="221"/>
        <v>49</v>
      </c>
      <c r="AL578" s="286">
        <f t="shared" si="222"/>
        <v>63</v>
      </c>
      <c r="AM578" s="287">
        <f t="shared" si="223"/>
        <v>3.8918202981106265</v>
      </c>
      <c r="AN578" s="287">
        <f t="shared" si="224"/>
        <v>4.1431347263915326</v>
      </c>
      <c r="AO578" s="288"/>
      <c r="AP578" s="288"/>
      <c r="AR578" s="286">
        <f t="shared" si="225"/>
        <v>46.818066609312638</v>
      </c>
      <c r="AS578" s="286">
        <f t="shared" si="226"/>
        <v>60.194657069116246</v>
      </c>
      <c r="AT578" s="287">
        <f t="shared" si="227"/>
        <v>3.8462691670903748</v>
      </c>
      <c r="AU578" s="287">
        <f t="shared" si="228"/>
        <v>4.0975835953712805</v>
      </c>
      <c r="AV578" s="299"/>
      <c r="AW578" s="299"/>
      <c r="AX578" s="286"/>
      <c r="AY578" s="286"/>
      <c r="AZ578" s="286"/>
      <c r="BA578" s="286"/>
      <c r="BB578" s="287"/>
      <c r="BC578" s="287"/>
      <c r="BD578" s="288"/>
      <c r="BE578" s="288"/>
    </row>
    <row r="579" spans="1:57" s="298" customFormat="1" ht="14.25" x14ac:dyDescent="0.2">
      <c r="A579" s="290" t="s">
        <v>71</v>
      </c>
      <c r="B579" s="290" t="s">
        <v>35</v>
      </c>
      <c r="C579" s="425" t="s">
        <v>39</v>
      </c>
      <c r="D579" s="381" t="s">
        <v>318</v>
      </c>
      <c r="E579" s="387">
        <v>5.0999999999999996</v>
      </c>
      <c r="F579" s="387">
        <f t="shared" si="229"/>
        <v>4.0935999999999995</v>
      </c>
      <c r="G579" s="387">
        <v>2.38</v>
      </c>
      <c r="H579" s="387"/>
      <c r="I579" s="387">
        <v>11.7</v>
      </c>
      <c r="J579" s="501">
        <v>14</v>
      </c>
      <c r="K579" s="383">
        <v>60</v>
      </c>
      <c r="L579" s="383">
        <v>110</v>
      </c>
      <c r="M579" s="383" t="s">
        <v>391</v>
      </c>
      <c r="N579" s="313">
        <v>238</v>
      </c>
      <c r="O579" s="295">
        <f t="shared" si="218"/>
        <v>252</v>
      </c>
      <c r="P579" s="295"/>
      <c r="Q579" s="295"/>
      <c r="R579" s="293">
        <v>1</v>
      </c>
      <c r="S579" s="292">
        <v>1.1200000000000001</v>
      </c>
      <c r="T579" s="301" t="s">
        <v>37</v>
      </c>
      <c r="U579" s="295"/>
      <c r="V579" s="290"/>
      <c r="W579" s="290"/>
      <c r="X579" s="290"/>
      <c r="Y579" s="292">
        <v>1.1200000000000001</v>
      </c>
      <c r="Z579" s="301" t="s">
        <v>37</v>
      </c>
      <c r="AA579" s="292"/>
      <c r="AB579" s="301"/>
      <c r="AC579" s="301"/>
      <c r="AD579" s="301"/>
      <c r="AE579" s="448"/>
      <c r="AF579" s="287">
        <f t="shared" si="219"/>
        <v>5.472270673671475</v>
      </c>
      <c r="AG579" s="287">
        <f t="shared" si="220"/>
        <v>5.5294290875114234</v>
      </c>
      <c r="AH579" s="288"/>
      <c r="AI579" s="288"/>
      <c r="AK579" s="286">
        <f t="shared" si="221"/>
        <v>238</v>
      </c>
      <c r="AL579" s="286">
        <f t="shared" si="222"/>
        <v>252</v>
      </c>
      <c r="AM579" s="287">
        <f t="shared" si="223"/>
        <v>5.472270673671475</v>
      </c>
      <c r="AN579" s="287">
        <f t="shared" si="224"/>
        <v>5.5294290875114234</v>
      </c>
      <c r="AO579" s="288"/>
      <c r="AP579" s="288"/>
      <c r="AR579" s="286">
        <f t="shared" si="225"/>
        <v>227.40203781666136</v>
      </c>
      <c r="AS579" s="286">
        <f t="shared" si="226"/>
        <v>240.77862827646499</v>
      </c>
      <c r="AT579" s="287">
        <f t="shared" si="227"/>
        <v>5.4267195426512229</v>
      </c>
      <c r="AU579" s="287">
        <f t="shared" si="228"/>
        <v>5.4838779564911713</v>
      </c>
      <c r="AV579" s="299"/>
      <c r="AW579" s="299"/>
      <c r="AX579" s="286"/>
      <c r="AY579" s="286"/>
      <c r="AZ579" s="286"/>
      <c r="BA579" s="286"/>
      <c r="BB579" s="287"/>
      <c r="BC579" s="287"/>
      <c r="BD579" s="288"/>
      <c r="BE579" s="288"/>
    </row>
    <row r="580" spans="1:57" s="298" customFormat="1" ht="14.25" x14ac:dyDescent="0.2">
      <c r="A580" s="290" t="s">
        <v>71</v>
      </c>
      <c r="B580" s="290" t="s">
        <v>35</v>
      </c>
      <c r="C580" s="425" t="s">
        <v>39</v>
      </c>
      <c r="D580" s="381" t="s">
        <v>318</v>
      </c>
      <c r="E580" s="387">
        <v>6.4</v>
      </c>
      <c r="F580" s="387">
        <f t="shared" si="229"/>
        <v>4.0935999999999995</v>
      </c>
      <c r="G580" s="387">
        <v>2.38</v>
      </c>
      <c r="H580" s="387"/>
      <c r="I580" s="387">
        <v>11.7</v>
      </c>
      <c r="J580" s="501">
        <v>14</v>
      </c>
      <c r="K580" s="383">
        <v>60</v>
      </c>
      <c r="L580" s="383">
        <v>110</v>
      </c>
      <c r="M580" s="383" t="s">
        <v>391</v>
      </c>
      <c r="N580" s="313">
        <v>238</v>
      </c>
      <c r="O580" s="295">
        <f t="shared" si="218"/>
        <v>252</v>
      </c>
      <c r="P580" s="295"/>
      <c r="Q580" s="295"/>
      <c r="R580" s="293">
        <v>1</v>
      </c>
      <c r="S580" s="292">
        <v>1.1200000000000001</v>
      </c>
      <c r="T580" s="301" t="s">
        <v>37</v>
      </c>
      <c r="U580" s="295"/>
      <c r="V580" s="290"/>
      <c r="W580" s="290"/>
      <c r="X580" s="290"/>
      <c r="Y580" s="292">
        <v>1.1200000000000001</v>
      </c>
      <c r="Z580" s="301" t="s">
        <v>37</v>
      </c>
      <c r="AA580" s="292"/>
      <c r="AB580" s="301"/>
      <c r="AC580" s="301"/>
      <c r="AD580" s="301"/>
      <c r="AE580" s="448"/>
      <c r="AF580" s="287">
        <f t="shared" si="219"/>
        <v>5.472270673671475</v>
      </c>
      <c r="AG580" s="287">
        <f t="shared" si="220"/>
        <v>5.5294290875114234</v>
      </c>
      <c r="AH580" s="288"/>
      <c r="AI580" s="288"/>
      <c r="AK580" s="286">
        <f t="shared" si="221"/>
        <v>238</v>
      </c>
      <c r="AL580" s="286">
        <f t="shared" si="222"/>
        <v>252</v>
      </c>
      <c r="AM580" s="287">
        <f t="shared" si="223"/>
        <v>5.472270673671475</v>
      </c>
      <c r="AN580" s="287">
        <f t="shared" si="224"/>
        <v>5.5294290875114234</v>
      </c>
      <c r="AO580" s="288"/>
      <c r="AP580" s="288"/>
      <c r="AR580" s="286">
        <f t="shared" si="225"/>
        <v>227.40203781666136</v>
      </c>
      <c r="AS580" s="286">
        <f t="shared" si="226"/>
        <v>240.77862827646499</v>
      </c>
      <c r="AT580" s="287">
        <f t="shared" si="227"/>
        <v>5.4267195426512229</v>
      </c>
      <c r="AU580" s="287">
        <f t="shared" si="228"/>
        <v>5.4838779564911713</v>
      </c>
      <c r="AV580" s="299"/>
      <c r="AW580" s="299"/>
      <c r="AX580" s="286"/>
      <c r="AY580" s="286"/>
      <c r="AZ580" s="286"/>
      <c r="BA580" s="286"/>
      <c r="BB580" s="287"/>
      <c r="BC580" s="287"/>
      <c r="BD580" s="288"/>
      <c r="BE580" s="288"/>
    </row>
    <row r="581" spans="1:57" s="298" customFormat="1" ht="14.25" x14ac:dyDescent="0.2">
      <c r="A581" s="290" t="s">
        <v>71</v>
      </c>
      <c r="B581" s="290" t="s">
        <v>35</v>
      </c>
      <c r="C581" s="425" t="s">
        <v>39</v>
      </c>
      <c r="D581" s="381" t="s">
        <v>353</v>
      </c>
      <c r="E581" s="387">
        <v>6.1</v>
      </c>
      <c r="F581" s="387">
        <f t="shared" si="229"/>
        <v>4.0935999999999995</v>
      </c>
      <c r="G581" s="387">
        <v>2.38</v>
      </c>
      <c r="H581" s="387"/>
      <c r="I581" s="387">
        <v>11.7</v>
      </c>
      <c r="J581" s="501">
        <v>14</v>
      </c>
      <c r="K581" s="383">
        <v>60</v>
      </c>
      <c r="L581" s="383">
        <v>110</v>
      </c>
      <c r="M581" s="383" t="s">
        <v>391</v>
      </c>
      <c r="N581" s="313">
        <v>253</v>
      </c>
      <c r="O581" s="295">
        <f t="shared" si="218"/>
        <v>267</v>
      </c>
      <c r="P581" s="295"/>
      <c r="Q581" s="295"/>
      <c r="R581" s="293">
        <v>1</v>
      </c>
      <c r="S581" s="292">
        <v>1.1200000000000001</v>
      </c>
      <c r="T581" s="301" t="s">
        <v>37</v>
      </c>
      <c r="U581" s="295"/>
      <c r="V581" s="290"/>
      <c r="W581" s="290"/>
      <c r="X581" s="290"/>
      <c r="Y581" s="292">
        <v>1.1200000000000001</v>
      </c>
      <c r="Z581" s="301" t="s">
        <v>37</v>
      </c>
      <c r="AA581" s="292"/>
      <c r="AB581" s="301"/>
      <c r="AC581" s="301"/>
      <c r="AD581" s="301"/>
      <c r="AE581" s="448"/>
      <c r="AF581" s="287">
        <f t="shared" si="219"/>
        <v>5.5333894887275203</v>
      </c>
      <c r="AG581" s="287">
        <f t="shared" si="220"/>
        <v>5.5872486584002496</v>
      </c>
      <c r="AH581" s="288"/>
      <c r="AI581" s="288"/>
      <c r="AK581" s="286">
        <f t="shared" si="221"/>
        <v>253</v>
      </c>
      <c r="AL581" s="286">
        <f t="shared" si="222"/>
        <v>267</v>
      </c>
      <c r="AM581" s="287">
        <f t="shared" si="223"/>
        <v>5.5333894887275203</v>
      </c>
      <c r="AN581" s="287">
        <f t="shared" si="224"/>
        <v>5.5872486584002496</v>
      </c>
      <c r="AO581" s="288"/>
      <c r="AP581" s="288"/>
      <c r="AR581" s="286">
        <f t="shared" si="225"/>
        <v>241.73409902359381</v>
      </c>
      <c r="AS581" s="286">
        <f t="shared" si="226"/>
        <v>255.11068948339741</v>
      </c>
      <c r="AT581" s="287">
        <f t="shared" si="227"/>
        <v>5.4878383577072682</v>
      </c>
      <c r="AU581" s="287">
        <f t="shared" si="228"/>
        <v>5.5416975273799975</v>
      </c>
      <c r="AV581" s="299"/>
      <c r="AW581" s="299"/>
      <c r="AX581" s="286"/>
      <c r="AY581" s="286"/>
      <c r="AZ581" s="286"/>
      <c r="BA581" s="286"/>
      <c r="BB581" s="287"/>
      <c r="BC581" s="287"/>
      <c r="BD581" s="288"/>
      <c r="BE581" s="288"/>
    </row>
    <row r="582" spans="1:57" s="298" customFormat="1" ht="14.25" x14ac:dyDescent="0.2">
      <c r="A582" s="290" t="s">
        <v>71</v>
      </c>
      <c r="B582" s="290" t="s">
        <v>35</v>
      </c>
      <c r="C582" s="425" t="s">
        <v>39</v>
      </c>
      <c r="D582" s="381" t="s">
        <v>318</v>
      </c>
      <c r="E582" s="387">
        <v>5.6</v>
      </c>
      <c r="F582" s="387">
        <f t="shared" si="229"/>
        <v>1.5996000000000001</v>
      </c>
      <c r="G582" s="387">
        <v>0.93</v>
      </c>
      <c r="H582" s="387">
        <v>12</v>
      </c>
      <c r="I582" s="387">
        <v>15</v>
      </c>
      <c r="J582" s="387">
        <v>10</v>
      </c>
      <c r="K582" s="383">
        <v>0</v>
      </c>
      <c r="L582" s="383">
        <v>150</v>
      </c>
      <c r="M582" s="383" t="s">
        <v>391</v>
      </c>
      <c r="N582" s="313">
        <v>66</v>
      </c>
      <c r="O582" s="295">
        <f t="shared" si="218"/>
        <v>76</v>
      </c>
      <c r="P582" s="295"/>
      <c r="Q582" s="295"/>
      <c r="R582" s="293">
        <v>1</v>
      </c>
      <c r="S582" s="292">
        <v>1.1200000000000001</v>
      </c>
      <c r="T582" s="301" t="s">
        <v>37</v>
      </c>
      <c r="U582" s="296"/>
      <c r="V582" s="297"/>
      <c r="W582" s="297"/>
      <c r="X582" s="297"/>
      <c r="Y582" s="292">
        <v>1.1200000000000001</v>
      </c>
      <c r="Z582" s="301" t="s">
        <v>37</v>
      </c>
      <c r="AA582" s="292"/>
      <c r="AB582" s="301"/>
      <c r="AC582" s="301"/>
      <c r="AD582" s="301"/>
      <c r="AE582" s="448"/>
      <c r="AF582" s="287">
        <f t="shared" si="219"/>
        <v>4.1896547420264252</v>
      </c>
      <c r="AG582" s="287">
        <f t="shared" si="220"/>
        <v>4.3307333402863311</v>
      </c>
      <c r="AH582" s="288"/>
      <c r="AI582" s="288"/>
      <c r="AK582" s="286">
        <f t="shared" si="221"/>
        <v>66</v>
      </c>
      <c r="AL582" s="286">
        <f t="shared" si="222"/>
        <v>76</v>
      </c>
      <c r="AM582" s="287">
        <f t="shared" si="223"/>
        <v>4.1896547420264252</v>
      </c>
      <c r="AN582" s="287">
        <f t="shared" si="224"/>
        <v>4.3307333402863311</v>
      </c>
      <c r="AO582" s="288"/>
      <c r="AP582" s="288"/>
      <c r="AR582" s="286">
        <f t="shared" si="225"/>
        <v>47.742734037384295</v>
      </c>
      <c r="AS582" s="286">
        <f t="shared" si="226"/>
        <v>54.976481618806162</v>
      </c>
      <c r="AT582" s="287">
        <f t="shared" si="227"/>
        <v>3.8658268885918541</v>
      </c>
      <c r="AU582" s="287">
        <f t="shared" si="228"/>
        <v>4.0069054868517595</v>
      </c>
      <c r="AV582" s="299"/>
      <c r="AW582" s="299"/>
      <c r="AX582" s="286"/>
      <c r="AY582" s="286"/>
      <c r="AZ582" s="286"/>
      <c r="BA582" s="286"/>
      <c r="BB582" s="287"/>
      <c r="BC582" s="287"/>
      <c r="BD582" s="288"/>
      <c r="BE582" s="288"/>
    </row>
    <row r="583" spans="1:57" s="298" customFormat="1" ht="14.25" x14ac:dyDescent="0.2">
      <c r="A583" s="290" t="s">
        <v>71</v>
      </c>
      <c r="B583" s="290" t="s">
        <v>35</v>
      </c>
      <c r="C583" s="425" t="s">
        <v>39</v>
      </c>
      <c r="D583" s="381" t="s">
        <v>318</v>
      </c>
      <c r="E583" s="387">
        <v>5.4</v>
      </c>
      <c r="F583" s="387">
        <f t="shared" si="229"/>
        <v>2.4079999999999999</v>
      </c>
      <c r="G583" s="387">
        <v>1.4</v>
      </c>
      <c r="H583" s="387">
        <v>40</v>
      </c>
      <c r="I583" s="387">
        <v>21</v>
      </c>
      <c r="J583" s="387">
        <v>26</v>
      </c>
      <c r="K583" s="383">
        <v>0</v>
      </c>
      <c r="L583" s="383">
        <v>150</v>
      </c>
      <c r="M583" s="383" t="s">
        <v>391</v>
      </c>
      <c r="N583" s="313">
        <v>45</v>
      </c>
      <c r="O583" s="295">
        <f t="shared" si="218"/>
        <v>71</v>
      </c>
      <c r="P583" s="295"/>
      <c r="Q583" s="295"/>
      <c r="R583" s="293">
        <v>1</v>
      </c>
      <c r="S583" s="292">
        <v>1.1200000000000001</v>
      </c>
      <c r="T583" s="301" t="s">
        <v>37</v>
      </c>
      <c r="U583" s="296"/>
      <c r="V583" s="297"/>
      <c r="W583" s="297"/>
      <c r="X583" s="297"/>
      <c r="Y583" s="292">
        <v>1.1200000000000001</v>
      </c>
      <c r="Z583" s="301" t="s">
        <v>37</v>
      </c>
      <c r="AA583" s="292"/>
      <c r="AB583" s="301"/>
      <c r="AC583" s="301"/>
      <c r="AD583" s="301"/>
      <c r="AE583" s="448"/>
      <c r="AF583" s="287">
        <f t="shared" si="219"/>
        <v>3.8066624897703196</v>
      </c>
      <c r="AG583" s="287">
        <f t="shared" si="220"/>
        <v>4.2626798770413155</v>
      </c>
      <c r="AH583" s="288"/>
      <c r="AI583" s="288"/>
      <c r="AK583" s="286">
        <f t="shared" si="221"/>
        <v>45</v>
      </c>
      <c r="AL583" s="286">
        <f t="shared" si="222"/>
        <v>71</v>
      </c>
      <c r="AM583" s="287">
        <f t="shared" si="223"/>
        <v>3.8066624897703196</v>
      </c>
      <c r="AN583" s="287">
        <f t="shared" si="224"/>
        <v>4.2626798770413155</v>
      </c>
      <c r="AO583" s="288"/>
      <c r="AP583" s="288"/>
      <c r="AR583" s="286">
        <f t="shared" si="225"/>
        <v>22.331220713263853</v>
      </c>
      <c r="AS583" s="286">
        <f t="shared" si="226"/>
        <v>35.233703792038526</v>
      </c>
      <c r="AT583" s="287">
        <f t="shared" si="227"/>
        <v>3.1059857313199899</v>
      </c>
      <c r="AU583" s="287">
        <f t="shared" si="228"/>
        <v>3.5620031185909853</v>
      </c>
      <c r="AV583" s="299"/>
      <c r="AW583" s="299"/>
      <c r="AX583" s="286"/>
      <c r="AY583" s="286"/>
      <c r="AZ583" s="286"/>
      <c r="BA583" s="286"/>
      <c r="BB583" s="287"/>
      <c r="BC583" s="287"/>
      <c r="BD583" s="288"/>
      <c r="BE583" s="288"/>
    </row>
    <row r="584" spans="1:57" s="298" customFormat="1" ht="14.25" x14ac:dyDescent="0.2">
      <c r="A584" s="290" t="s">
        <v>71</v>
      </c>
      <c r="B584" s="290" t="s">
        <v>35</v>
      </c>
      <c r="C584" s="425" t="s">
        <v>39</v>
      </c>
      <c r="D584" s="381" t="s">
        <v>318</v>
      </c>
      <c r="E584" s="387">
        <v>5.2</v>
      </c>
      <c r="F584" s="387">
        <f t="shared" si="229"/>
        <v>3.1992000000000003</v>
      </c>
      <c r="G584" s="387">
        <v>1.86</v>
      </c>
      <c r="H584" s="387">
        <v>58</v>
      </c>
      <c r="I584" s="387">
        <v>33</v>
      </c>
      <c r="J584" s="387">
        <v>46</v>
      </c>
      <c r="K584" s="383">
        <v>0</v>
      </c>
      <c r="L584" s="383">
        <v>150</v>
      </c>
      <c r="M584" s="383" t="s">
        <v>391</v>
      </c>
      <c r="N584" s="313">
        <v>47</v>
      </c>
      <c r="O584" s="295">
        <f t="shared" si="218"/>
        <v>93</v>
      </c>
      <c r="P584" s="295"/>
      <c r="Q584" s="295"/>
      <c r="R584" s="293">
        <v>1</v>
      </c>
      <c r="S584" s="292">
        <v>1.1200000000000001</v>
      </c>
      <c r="T584" s="301" t="s">
        <v>37</v>
      </c>
      <c r="U584" s="296"/>
      <c r="V584" s="297"/>
      <c r="W584" s="297"/>
      <c r="X584" s="297"/>
      <c r="Y584" s="292">
        <v>1.1200000000000001</v>
      </c>
      <c r="Z584" s="301" t="s">
        <v>37</v>
      </c>
      <c r="AA584" s="292"/>
      <c r="AB584" s="301"/>
      <c r="AC584" s="301"/>
      <c r="AD584" s="301"/>
      <c r="AE584" s="448"/>
      <c r="AF584" s="287">
        <f t="shared" si="219"/>
        <v>3.8501476017100584</v>
      </c>
      <c r="AG584" s="287">
        <f t="shared" si="220"/>
        <v>4.5325994931532563</v>
      </c>
      <c r="AH584" s="288"/>
      <c r="AI584" s="288"/>
      <c r="AK584" s="286">
        <f t="shared" si="221"/>
        <v>47</v>
      </c>
      <c r="AL584" s="286">
        <f t="shared" si="222"/>
        <v>93</v>
      </c>
      <c r="AM584" s="287">
        <f t="shared" si="223"/>
        <v>3.8501476017100584</v>
      </c>
      <c r="AN584" s="287">
        <f t="shared" si="224"/>
        <v>4.5325994931532563</v>
      </c>
      <c r="AO584" s="288"/>
      <c r="AP584" s="288"/>
      <c r="AR584" s="286">
        <f t="shared" si="225"/>
        <v>14.058785525541847</v>
      </c>
      <c r="AS584" s="286">
        <f t="shared" si="226"/>
        <v>27.81844795479557</v>
      </c>
      <c r="AT584" s="287">
        <f t="shared" si="227"/>
        <v>2.6432475046675044</v>
      </c>
      <c r="AU584" s="287">
        <f t="shared" si="228"/>
        <v>3.3256993961107018</v>
      </c>
      <c r="AV584" s="299"/>
      <c r="AW584" s="299"/>
      <c r="AX584" s="286"/>
      <c r="AY584" s="286"/>
      <c r="AZ584" s="286"/>
      <c r="BA584" s="286"/>
      <c r="BB584" s="287"/>
      <c r="BC584" s="287"/>
      <c r="BD584" s="288"/>
      <c r="BE584" s="288"/>
    </row>
    <row r="585" spans="1:57" s="298" customFormat="1" ht="14.25" x14ac:dyDescent="0.2">
      <c r="A585" s="290" t="s">
        <v>71</v>
      </c>
      <c r="B585" s="290" t="s">
        <v>35</v>
      </c>
      <c r="C585" s="425" t="s">
        <v>39</v>
      </c>
      <c r="D585" s="381" t="s">
        <v>318</v>
      </c>
      <c r="E585" s="387">
        <v>5</v>
      </c>
      <c r="F585" s="387">
        <f t="shared" si="229"/>
        <v>3.4055999999999997</v>
      </c>
      <c r="G585" s="387">
        <v>1.98</v>
      </c>
      <c r="H585" s="387">
        <v>4</v>
      </c>
      <c r="I585" s="387">
        <v>9</v>
      </c>
      <c r="J585" s="387">
        <v>2</v>
      </c>
      <c r="K585" s="383">
        <v>0</v>
      </c>
      <c r="L585" s="383">
        <v>150</v>
      </c>
      <c r="M585" s="383" t="s">
        <v>391</v>
      </c>
      <c r="N585" s="313">
        <v>16</v>
      </c>
      <c r="O585" s="295">
        <f t="shared" si="218"/>
        <v>18</v>
      </c>
      <c r="P585" s="295"/>
      <c r="Q585" s="295"/>
      <c r="R585" s="293">
        <v>1</v>
      </c>
      <c r="S585" s="292">
        <v>1.1200000000000001</v>
      </c>
      <c r="T585" s="301" t="s">
        <v>37</v>
      </c>
      <c r="U585" s="296"/>
      <c r="V585" s="297"/>
      <c r="W585" s="297"/>
      <c r="X585" s="297"/>
      <c r="Y585" s="292">
        <v>1.1200000000000001</v>
      </c>
      <c r="Z585" s="301" t="s">
        <v>37</v>
      </c>
      <c r="AA585" s="292"/>
      <c r="AB585" s="301"/>
      <c r="AC585" s="301"/>
      <c r="AD585" s="301"/>
      <c r="AE585" s="448"/>
      <c r="AF585" s="287">
        <f t="shared" si="219"/>
        <v>2.7725887222397811</v>
      </c>
      <c r="AG585" s="287">
        <f t="shared" si="220"/>
        <v>2.8903717578961645</v>
      </c>
      <c r="AH585" s="288"/>
      <c r="AI585" s="288"/>
      <c r="AK585" s="286">
        <f t="shared" si="221"/>
        <v>16</v>
      </c>
      <c r="AL585" s="286">
        <f t="shared" si="222"/>
        <v>18</v>
      </c>
      <c r="AM585" s="287">
        <f t="shared" si="223"/>
        <v>2.7725887222397811</v>
      </c>
      <c r="AN585" s="287">
        <f t="shared" si="224"/>
        <v>2.8903717578961645</v>
      </c>
      <c r="AO585" s="288"/>
      <c r="AP585" s="288"/>
      <c r="AR585" s="286">
        <f t="shared" si="225"/>
        <v>20.509446141877813</v>
      </c>
      <c r="AS585" s="286">
        <f t="shared" si="226"/>
        <v>23.07312690961254</v>
      </c>
      <c r="AT585" s="287">
        <f t="shared" si="227"/>
        <v>3.0208855674231194</v>
      </c>
      <c r="AU585" s="287">
        <f t="shared" si="228"/>
        <v>3.1386686030795028</v>
      </c>
      <c r="AV585" s="299"/>
      <c r="AW585" s="299"/>
      <c r="AX585" s="286"/>
      <c r="AY585" s="286"/>
      <c r="AZ585" s="286"/>
      <c r="BA585" s="286"/>
      <c r="BB585" s="287"/>
      <c r="BC585" s="287"/>
      <c r="BD585" s="288"/>
      <c r="BE585" s="288"/>
    </row>
    <row r="586" spans="1:57" s="298" customFormat="1" ht="14.25" x14ac:dyDescent="0.2">
      <c r="A586" s="290" t="s">
        <v>71</v>
      </c>
      <c r="B586" s="290" t="s">
        <v>35</v>
      </c>
      <c r="C586" s="425" t="s">
        <v>39</v>
      </c>
      <c r="D586" s="381" t="s">
        <v>318</v>
      </c>
      <c r="E586" s="387">
        <v>5.4</v>
      </c>
      <c r="F586" s="387">
        <f t="shared" si="229"/>
        <v>6.7940000000000005</v>
      </c>
      <c r="G586" s="387">
        <v>3.95</v>
      </c>
      <c r="H586" s="387">
        <v>5</v>
      </c>
      <c r="I586" s="387">
        <v>19</v>
      </c>
      <c r="J586" s="387">
        <v>1</v>
      </c>
      <c r="K586" s="383">
        <v>0</v>
      </c>
      <c r="L586" s="383">
        <v>150</v>
      </c>
      <c r="M586" s="383" t="s">
        <v>391</v>
      </c>
      <c r="N586" s="313">
        <v>40</v>
      </c>
      <c r="O586" s="295">
        <f t="shared" si="218"/>
        <v>41</v>
      </c>
      <c r="P586" s="295"/>
      <c r="Q586" s="295"/>
      <c r="R586" s="293">
        <v>1</v>
      </c>
      <c r="S586" s="292">
        <v>1.1200000000000001</v>
      </c>
      <c r="T586" s="301" t="s">
        <v>37</v>
      </c>
      <c r="U586" s="296"/>
      <c r="V586" s="297"/>
      <c r="W586" s="297"/>
      <c r="X586" s="297"/>
      <c r="Y586" s="292">
        <v>1.1200000000000001</v>
      </c>
      <c r="Z586" s="301" t="s">
        <v>37</v>
      </c>
      <c r="AA586" s="292"/>
      <c r="AB586" s="301"/>
      <c r="AC586" s="301"/>
      <c r="AD586" s="301"/>
      <c r="AE586" s="448"/>
      <c r="AF586" s="287">
        <f t="shared" si="219"/>
        <v>3.6888794541139363</v>
      </c>
      <c r="AG586" s="287">
        <f t="shared" si="220"/>
        <v>3.713572066704308</v>
      </c>
      <c r="AH586" s="288"/>
      <c r="AI586" s="288"/>
      <c r="AK586" s="286">
        <f t="shared" si="221"/>
        <v>40</v>
      </c>
      <c r="AL586" s="286">
        <f t="shared" si="222"/>
        <v>41</v>
      </c>
      <c r="AM586" s="287">
        <f t="shared" si="223"/>
        <v>3.6888794541139363</v>
      </c>
      <c r="AN586" s="287">
        <f t="shared" si="224"/>
        <v>3.713572066704308</v>
      </c>
      <c r="AO586" s="288"/>
      <c r="AP586" s="288"/>
      <c r="AR586" s="286">
        <f t="shared" si="225"/>
        <v>22.204526605623414</v>
      </c>
      <c r="AS586" s="286">
        <f t="shared" si="226"/>
        <v>22.759639770764</v>
      </c>
      <c r="AT586" s="287">
        <f t="shared" si="227"/>
        <v>3.1002961692474265</v>
      </c>
      <c r="AU586" s="287">
        <f t="shared" si="228"/>
        <v>3.1249887818377982</v>
      </c>
      <c r="AV586" s="299"/>
      <c r="AW586" s="299"/>
      <c r="AX586" s="286"/>
      <c r="AY586" s="286"/>
      <c r="AZ586" s="286"/>
      <c r="BA586" s="286"/>
      <c r="BB586" s="287"/>
      <c r="BC586" s="287"/>
      <c r="BD586" s="288"/>
      <c r="BE586" s="288"/>
    </row>
    <row r="587" spans="1:57" s="336" customFormat="1" x14ac:dyDescent="0.2">
      <c r="A587" s="326" t="s">
        <v>71</v>
      </c>
      <c r="B587" s="326" t="s">
        <v>35</v>
      </c>
      <c r="C587" s="428" t="s">
        <v>39</v>
      </c>
      <c r="D587" s="391" t="s">
        <v>312</v>
      </c>
      <c r="E587" s="361">
        <v>7.5</v>
      </c>
      <c r="F587" s="361">
        <f>G587*1.72</f>
        <v>2.3048000000000002</v>
      </c>
      <c r="G587" s="361">
        <v>1.34</v>
      </c>
      <c r="H587" s="361">
        <v>9</v>
      </c>
      <c r="I587" s="361">
        <v>14.6</v>
      </c>
      <c r="J587" s="361">
        <v>8</v>
      </c>
      <c r="K587" s="394">
        <v>60</v>
      </c>
      <c r="L587" s="394" t="s">
        <v>354</v>
      </c>
      <c r="M587" s="394" t="s">
        <v>93</v>
      </c>
      <c r="N587" s="317">
        <v>80</v>
      </c>
      <c r="O587" s="231">
        <f t="shared" si="218"/>
        <v>88</v>
      </c>
      <c r="P587" s="231"/>
      <c r="Q587" s="231"/>
      <c r="R587" s="318">
        <v>1</v>
      </c>
      <c r="S587" s="328">
        <v>1.1200000000000001</v>
      </c>
      <c r="T587" s="314" t="s">
        <v>37</v>
      </c>
      <c r="U587" s="330"/>
      <c r="V587" s="331"/>
      <c r="W587" s="331"/>
      <c r="X587" s="331"/>
      <c r="Y587" s="328">
        <v>1.1200000000000001</v>
      </c>
      <c r="Z587" s="314" t="s">
        <v>37</v>
      </c>
      <c r="AA587" s="328"/>
      <c r="AB587" s="314"/>
      <c r="AC587" s="314"/>
      <c r="AD587" s="314"/>
      <c r="AE587" s="443"/>
      <c r="AF587" s="334">
        <f t="shared" si="219"/>
        <v>4.3820266346738812</v>
      </c>
      <c r="AG587" s="334">
        <f t="shared" si="220"/>
        <v>4.4773368144782069</v>
      </c>
      <c r="AH587" s="335"/>
      <c r="AI587" s="335"/>
      <c r="AK587" s="337">
        <f t="shared" si="221"/>
        <v>80</v>
      </c>
      <c r="AL587" s="337">
        <f t="shared" si="222"/>
        <v>88</v>
      </c>
      <c r="AM587" s="334">
        <f t="shared" si="223"/>
        <v>4.3820266346738812</v>
      </c>
      <c r="AN587" s="334">
        <f t="shared" si="224"/>
        <v>4.4773368144782069</v>
      </c>
      <c r="AO587" s="335"/>
      <c r="AP587" s="335"/>
      <c r="AR587" s="337">
        <f t="shared" si="225"/>
        <v>59.648612901299849</v>
      </c>
      <c r="AS587" s="337">
        <f t="shared" si="226"/>
        <v>65.61347419142983</v>
      </c>
      <c r="AT587" s="334">
        <f t="shared" si="227"/>
        <v>4.0884708943137795</v>
      </c>
      <c r="AU587" s="334">
        <f t="shared" si="228"/>
        <v>4.1837810741181043</v>
      </c>
      <c r="AV587" s="338"/>
      <c r="AW587" s="338"/>
      <c r="AX587" s="168"/>
      <c r="AY587" s="168"/>
      <c r="AZ587" s="337"/>
      <c r="BA587" s="337"/>
      <c r="BB587" s="334"/>
      <c r="BC587" s="334"/>
      <c r="BD587" s="335"/>
      <c r="BE587" s="335"/>
    </row>
    <row r="588" spans="1:57" s="298" customFormat="1" ht="14.25" x14ac:dyDescent="0.2">
      <c r="A588" s="290" t="s">
        <v>71</v>
      </c>
      <c r="B588" s="290" t="s">
        <v>35</v>
      </c>
      <c r="C588" s="425" t="s">
        <v>75</v>
      </c>
      <c r="D588" s="381" t="s">
        <v>355</v>
      </c>
      <c r="E588" s="387">
        <v>7.6</v>
      </c>
      <c r="F588" s="387">
        <f t="shared" si="229"/>
        <v>3.9903999999999997</v>
      </c>
      <c r="G588" s="387">
        <v>2.3199999999999998</v>
      </c>
      <c r="H588" s="387"/>
      <c r="I588" s="387">
        <v>13</v>
      </c>
      <c r="J588" s="501">
        <v>14</v>
      </c>
      <c r="K588" s="383">
        <v>180</v>
      </c>
      <c r="L588" s="383">
        <v>83</v>
      </c>
      <c r="M588" s="383" t="s">
        <v>392</v>
      </c>
      <c r="N588" s="313">
        <v>371</v>
      </c>
      <c r="O588" s="295">
        <f t="shared" si="218"/>
        <v>385</v>
      </c>
      <c r="P588" s="295"/>
      <c r="Q588" s="295"/>
      <c r="R588" s="293">
        <v>1</v>
      </c>
      <c r="S588" s="292">
        <v>1.1200000000000001</v>
      </c>
      <c r="T588" s="301" t="s">
        <v>37</v>
      </c>
      <c r="U588" s="295"/>
      <c r="V588" s="290"/>
      <c r="W588" s="290"/>
      <c r="X588" s="290"/>
      <c r="Y588" s="292">
        <v>1.1200000000000001</v>
      </c>
      <c r="Z588" s="301" t="s">
        <v>37</v>
      </c>
      <c r="AA588" s="292"/>
      <c r="AB588" s="301"/>
      <c r="AC588" s="301"/>
      <c r="AD588" s="301"/>
      <c r="AE588" s="448"/>
      <c r="AF588" s="239">
        <f t="shared" si="219"/>
        <v>5.916202062607435</v>
      </c>
      <c r="AG588" s="239">
        <f t="shared" si="220"/>
        <v>5.9532433342877846</v>
      </c>
      <c r="AH588" s="240"/>
      <c r="AI588" s="240"/>
      <c r="AK588" s="286">
        <f t="shared" si="221"/>
        <v>371</v>
      </c>
      <c r="AL588" s="286">
        <f t="shared" si="222"/>
        <v>385</v>
      </c>
      <c r="AM588" s="239">
        <f t="shared" si="223"/>
        <v>5.916202062607435</v>
      </c>
      <c r="AN588" s="239">
        <f t="shared" si="224"/>
        <v>5.9532433342877846</v>
      </c>
      <c r="AO588" s="240"/>
      <c r="AP588" s="240"/>
      <c r="AR588" s="286">
        <f t="shared" si="225"/>
        <v>315.0234731703506</v>
      </c>
      <c r="AS588" s="286">
        <f t="shared" si="226"/>
        <v>326.91115140319403</v>
      </c>
      <c r="AT588" s="239">
        <f t="shared" si="227"/>
        <v>5.7526471540504174</v>
      </c>
      <c r="AU588" s="239">
        <f t="shared" si="228"/>
        <v>5.789688425730767</v>
      </c>
      <c r="AV588" s="299"/>
      <c r="AW588" s="299"/>
      <c r="AX588" s="265">
        <f>GEOMEAN(AR588:AR596)</f>
        <v>92.717621365807616</v>
      </c>
      <c r="AY588" s="265">
        <f>GEOMEAN(AS588:AS596)</f>
        <v>114.6099312076928</v>
      </c>
      <c r="AZ588" s="265">
        <f>MIN(AX588:AX596)</f>
        <v>92.717621365807616</v>
      </c>
      <c r="BA588" s="265">
        <f>MIN(AY588:AY596)</f>
        <v>114.6099312076928</v>
      </c>
      <c r="BB588" s="239">
        <f>LN(AZ588)</f>
        <v>4.5295585447529847</v>
      </c>
      <c r="BC588" s="239">
        <f>LN(BA588)</f>
        <v>4.7415344602788911</v>
      </c>
      <c r="BD588" s="240"/>
      <c r="BE588" s="240"/>
    </row>
    <row r="589" spans="1:57" s="298" customFormat="1" ht="14.25" x14ac:dyDescent="0.2">
      <c r="A589" s="290" t="s">
        <v>71</v>
      </c>
      <c r="B589" s="290" t="s">
        <v>35</v>
      </c>
      <c r="C589" s="425" t="s">
        <v>75</v>
      </c>
      <c r="D589" s="381" t="s">
        <v>355</v>
      </c>
      <c r="E589" s="387">
        <v>7.2</v>
      </c>
      <c r="F589" s="387">
        <f t="shared" si="229"/>
        <v>3.9903999999999997</v>
      </c>
      <c r="G589" s="387">
        <v>2.3199999999999998</v>
      </c>
      <c r="H589" s="387"/>
      <c r="I589" s="387">
        <v>13</v>
      </c>
      <c r="J589" s="501">
        <v>14</v>
      </c>
      <c r="K589" s="383">
        <v>180</v>
      </c>
      <c r="L589" s="383">
        <v>83</v>
      </c>
      <c r="M589" s="383" t="s">
        <v>392</v>
      </c>
      <c r="N589" s="313">
        <v>383</v>
      </c>
      <c r="O589" s="295">
        <f t="shared" si="218"/>
        <v>397</v>
      </c>
      <c r="P589" s="295"/>
      <c r="Q589" s="295"/>
      <c r="R589" s="293">
        <v>1</v>
      </c>
      <c r="S589" s="292">
        <v>1.1200000000000001</v>
      </c>
      <c r="T589" s="301" t="s">
        <v>37</v>
      </c>
      <c r="U589" s="295"/>
      <c r="V589" s="290"/>
      <c r="W589" s="290"/>
      <c r="X589" s="290"/>
      <c r="Y589" s="292">
        <v>1.1200000000000001</v>
      </c>
      <c r="Z589" s="301" t="s">
        <v>37</v>
      </c>
      <c r="AA589" s="292"/>
      <c r="AB589" s="301"/>
      <c r="AC589" s="301"/>
      <c r="AD589" s="301"/>
      <c r="AE589" s="448"/>
      <c r="AF589" s="287">
        <f t="shared" si="219"/>
        <v>5.9480349891806457</v>
      </c>
      <c r="AG589" s="287">
        <f t="shared" si="220"/>
        <v>5.9839362806871907</v>
      </c>
      <c r="AH589" s="288"/>
      <c r="AI589" s="288"/>
      <c r="AK589" s="286">
        <f t="shared" si="221"/>
        <v>383</v>
      </c>
      <c r="AL589" s="286">
        <f t="shared" si="222"/>
        <v>397</v>
      </c>
      <c r="AM589" s="287">
        <f t="shared" si="223"/>
        <v>5.9480349891806457</v>
      </c>
      <c r="AN589" s="287">
        <f t="shared" si="224"/>
        <v>5.9839362806871907</v>
      </c>
      <c r="AO589" s="288"/>
      <c r="AP589" s="288"/>
      <c r="AR589" s="286">
        <f t="shared" si="225"/>
        <v>325.21291165564497</v>
      </c>
      <c r="AS589" s="286">
        <f t="shared" si="226"/>
        <v>337.1005898884884</v>
      </c>
      <c r="AT589" s="287">
        <f t="shared" si="227"/>
        <v>5.784480080623629</v>
      </c>
      <c r="AU589" s="287">
        <f t="shared" si="228"/>
        <v>5.8203813721301731</v>
      </c>
      <c r="AV589" s="299"/>
      <c r="AW589" s="299"/>
      <c r="AX589" s="286"/>
      <c r="AY589" s="286"/>
      <c r="AZ589" s="286"/>
      <c r="BA589" s="286"/>
      <c r="BB589" s="287"/>
      <c r="BC589" s="287"/>
      <c r="BD589" s="288"/>
      <c r="BE589" s="288"/>
    </row>
    <row r="590" spans="1:57" s="298" customFormat="1" ht="14.25" x14ac:dyDescent="0.2">
      <c r="A590" s="290" t="s">
        <v>71</v>
      </c>
      <c r="B590" s="290" t="s">
        <v>35</v>
      </c>
      <c r="C590" s="425" t="s">
        <v>75</v>
      </c>
      <c r="D590" s="381" t="s">
        <v>355</v>
      </c>
      <c r="E590" s="387">
        <v>5.5</v>
      </c>
      <c r="F590" s="387">
        <f t="shared" si="229"/>
        <v>1.3932</v>
      </c>
      <c r="G590" s="387">
        <v>0.81</v>
      </c>
      <c r="H590" s="387"/>
      <c r="I590" s="387">
        <v>6</v>
      </c>
      <c r="J590" s="501">
        <v>14</v>
      </c>
      <c r="K590" s="383">
        <v>180</v>
      </c>
      <c r="L590" s="383">
        <v>83</v>
      </c>
      <c r="M590" s="383" t="s">
        <v>392</v>
      </c>
      <c r="N590" s="313">
        <v>36</v>
      </c>
      <c r="O590" s="295">
        <f t="shared" si="218"/>
        <v>50</v>
      </c>
      <c r="P590" s="295"/>
      <c r="Q590" s="295"/>
      <c r="R590" s="293">
        <v>1</v>
      </c>
      <c r="S590" s="292">
        <v>1.1200000000000001</v>
      </c>
      <c r="T590" s="301" t="s">
        <v>37</v>
      </c>
      <c r="U590" s="295"/>
      <c r="V590" s="290"/>
      <c r="W590" s="290"/>
      <c r="X590" s="290"/>
      <c r="Y590" s="292">
        <v>1.1200000000000001</v>
      </c>
      <c r="Z590" s="301" t="s">
        <v>37</v>
      </c>
      <c r="AA590" s="292"/>
      <c r="AB590" s="301"/>
      <c r="AC590" s="301"/>
      <c r="AD590" s="301"/>
      <c r="AE590" s="448"/>
      <c r="AF590" s="287">
        <f t="shared" si="219"/>
        <v>3.5835189384561099</v>
      </c>
      <c r="AG590" s="287">
        <f t="shared" si="220"/>
        <v>3.912023005428146</v>
      </c>
      <c r="AH590" s="288"/>
      <c r="AI590" s="288"/>
      <c r="AK590" s="286">
        <f t="shared" si="221"/>
        <v>36</v>
      </c>
      <c r="AL590" s="286">
        <f t="shared" si="222"/>
        <v>50</v>
      </c>
      <c r="AM590" s="287">
        <f t="shared" si="223"/>
        <v>3.5835189384561099</v>
      </c>
      <c r="AN590" s="287">
        <f t="shared" si="224"/>
        <v>3.912023005428146</v>
      </c>
      <c r="AO590" s="288"/>
      <c r="AP590" s="288"/>
      <c r="AR590" s="286">
        <f t="shared" si="225"/>
        <v>72.670585729249623</v>
      </c>
      <c r="AS590" s="286">
        <f t="shared" si="226"/>
        <v>100.93136906840226</v>
      </c>
      <c r="AT590" s="287">
        <f t="shared" si="227"/>
        <v>4.2859367047205925</v>
      </c>
      <c r="AU590" s="287">
        <f t="shared" si="228"/>
        <v>4.6144407716926281</v>
      </c>
      <c r="AV590" s="299"/>
      <c r="AW590" s="299"/>
      <c r="AX590" s="286"/>
      <c r="AY590" s="286"/>
      <c r="AZ590" s="286"/>
      <c r="BA590" s="286"/>
      <c r="BB590" s="287"/>
      <c r="BC590" s="287"/>
      <c r="BD590" s="288"/>
      <c r="BE590" s="288"/>
    </row>
    <row r="591" spans="1:57" s="298" customFormat="1" ht="14.25" x14ac:dyDescent="0.2">
      <c r="A591" s="290" t="s">
        <v>71</v>
      </c>
      <c r="B591" s="290" t="s">
        <v>35</v>
      </c>
      <c r="C591" s="425" t="s">
        <v>75</v>
      </c>
      <c r="D591" s="381" t="s">
        <v>355</v>
      </c>
      <c r="E591" s="387">
        <v>6.3</v>
      </c>
      <c r="F591" s="387">
        <f t="shared" si="229"/>
        <v>1.3932</v>
      </c>
      <c r="G591" s="387">
        <v>0.81</v>
      </c>
      <c r="H591" s="387"/>
      <c r="I591" s="387">
        <v>6</v>
      </c>
      <c r="J591" s="501">
        <v>14</v>
      </c>
      <c r="K591" s="383">
        <v>180</v>
      </c>
      <c r="L591" s="383">
        <v>83</v>
      </c>
      <c r="M591" s="383" t="s">
        <v>392</v>
      </c>
      <c r="N591" s="313">
        <v>44</v>
      </c>
      <c r="O591" s="295">
        <f t="shared" si="218"/>
        <v>58</v>
      </c>
      <c r="P591" s="295"/>
      <c r="Q591" s="295"/>
      <c r="R591" s="293">
        <v>1</v>
      </c>
      <c r="S591" s="292">
        <v>1.1200000000000001</v>
      </c>
      <c r="T591" s="301" t="s">
        <v>37</v>
      </c>
      <c r="U591" s="295"/>
      <c r="V591" s="290"/>
      <c r="W591" s="290"/>
      <c r="X591" s="290"/>
      <c r="Y591" s="292">
        <v>1.1200000000000001</v>
      </c>
      <c r="Z591" s="301" t="s">
        <v>37</v>
      </c>
      <c r="AA591" s="292"/>
      <c r="AB591" s="301"/>
      <c r="AC591" s="301"/>
      <c r="AD591" s="301"/>
      <c r="AE591" s="448"/>
      <c r="AF591" s="287">
        <f t="shared" si="219"/>
        <v>3.784189633918261</v>
      </c>
      <c r="AG591" s="287">
        <f t="shared" si="220"/>
        <v>4.0604430105464191</v>
      </c>
      <c r="AH591" s="288"/>
      <c r="AI591" s="288"/>
      <c r="AK591" s="286">
        <f t="shared" si="221"/>
        <v>44</v>
      </c>
      <c r="AL591" s="286">
        <f t="shared" si="222"/>
        <v>58</v>
      </c>
      <c r="AM591" s="287">
        <f t="shared" si="223"/>
        <v>3.784189633918261</v>
      </c>
      <c r="AN591" s="287">
        <f t="shared" si="224"/>
        <v>4.0604430105464191</v>
      </c>
      <c r="AO591" s="288"/>
      <c r="AP591" s="288"/>
      <c r="AR591" s="286">
        <f t="shared" si="225"/>
        <v>88.819604780193984</v>
      </c>
      <c r="AS591" s="286">
        <f t="shared" si="226"/>
        <v>117.08038811934662</v>
      </c>
      <c r="AT591" s="287">
        <f t="shared" si="227"/>
        <v>4.4866074001827432</v>
      </c>
      <c r="AU591" s="287">
        <f t="shared" si="228"/>
        <v>4.7628607768109017</v>
      </c>
      <c r="AV591" s="299"/>
      <c r="AW591" s="299"/>
      <c r="AX591" s="286"/>
      <c r="AY591" s="286"/>
      <c r="AZ591" s="286"/>
      <c r="BA591" s="286"/>
      <c r="BB591" s="287"/>
      <c r="BC591" s="287"/>
      <c r="BD591" s="288"/>
      <c r="BE591" s="288"/>
    </row>
    <row r="592" spans="1:57" s="298" customFormat="1" ht="14.25" x14ac:dyDescent="0.2">
      <c r="A592" s="290" t="s">
        <v>71</v>
      </c>
      <c r="B592" s="290" t="s">
        <v>35</v>
      </c>
      <c r="C592" s="425" t="s">
        <v>75</v>
      </c>
      <c r="D592" s="381" t="s">
        <v>355</v>
      </c>
      <c r="E592" s="387">
        <v>6.2</v>
      </c>
      <c r="F592" s="387">
        <f t="shared" si="229"/>
        <v>1.3932</v>
      </c>
      <c r="G592" s="387">
        <v>0.81</v>
      </c>
      <c r="H592" s="387"/>
      <c r="I592" s="387">
        <v>6</v>
      </c>
      <c r="J592" s="501">
        <v>14</v>
      </c>
      <c r="K592" s="383">
        <v>180</v>
      </c>
      <c r="L592" s="383">
        <v>83</v>
      </c>
      <c r="M592" s="383" t="s">
        <v>392</v>
      </c>
      <c r="N592" s="313">
        <v>39</v>
      </c>
      <c r="O592" s="295">
        <f t="shared" si="218"/>
        <v>53</v>
      </c>
      <c r="P592" s="295"/>
      <c r="Q592" s="295"/>
      <c r="R592" s="293">
        <v>1</v>
      </c>
      <c r="S592" s="292">
        <v>1.1200000000000001</v>
      </c>
      <c r="T592" s="301" t="s">
        <v>37</v>
      </c>
      <c r="U592" s="295"/>
      <c r="V592" s="290"/>
      <c r="W592" s="290"/>
      <c r="X592" s="290"/>
      <c r="Y592" s="292">
        <v>1.1200000000000001</v>
      </c>
      <c r="Z592" s="301" t="s">
        <v>37</v>
      </c>
      <c r="AA592" s="292"/>
      <c r="AB592" s="301"/>
      <c r="AC592" s="301"/>
      <c r="AD592" s="301"/>
      <c r="AE592" s="448"/>
      <c r="AF592" s="287">
        <f t="shared" si="219"/>
        <v>3.6635616461296463</v>
      </c>
      <c r="AG592" s="287">
        <f t="shared" si="220"/>
        <v>3.970291913552122</v>
      </c>
      <c r="AH592" s="288"/>
      <c r="AI592" s="288"/>
      <c r="AK592" s="286">
        <f t="shared" si="221"/>
        <v>39</v>
      </c>
      <c r="AL592" s="286">
        <f t="shared" si="222"/>
        <v>53</v>
      </c>
      <c r="AM592" s="287">
        <f t="shared" si="223"/>
        <v>3.6635616461296463</v>
      </c>
      <c r="AN592" s="287">
        <f t="shared" si="224"/>
        <v>3.970291913552122</v>
      </c>
      <c r="AO592" s="288"/>
      <c r="AP592" s="288"/>
      <c r="AR592" s="286">
        <f t="shared" si="225"/>
        <v>78.726467873353755</v>
      </c>
      <c r="AS592" s="286">
        <f t="shared" si="226"/>
        <v>106.98725121250639</v>
      </c>
      <c r="AT592" s="287">
        <f t="shared" si="227"/>
        <v>4.3659794123941289</v>
      </c>
      <c r="AU592" s="287">
        <f t="shared" si="228"/>
        <v>4.6727096798166041</v>
      </c>
      <c r="AV592" s="299"/>
      <c r="AW592" s="299"/>
      <c r="AX592" s="286"/>
      <c r="AY592" s="286"/>
      <c r="AZ592" s="286"/>
      <c r="BA592" s="286"/>
      <c r="BB592" s="287"/>
      <c r="BC592" s="287"/>
      <c r="BD592" s="288"/>
      <c r="BE592" s="288"/>
    </row>
    <row r="593" spans="1:57" s="298" customFormat="1" ht="14.25" x14ac:dyDescent="0.2">
      <c r="A593" s="290" t="s">
        <v>71</v>
      </c>
      <c r="B593" s="290" t="s">
        <v>35</v>
      </c>
      <c r="C593" s="425" t="s">
        <v>75</v>
      </c>
      <c r="D593" s="381" t="s">
        <v>355</v>
      </c>
      <c r="E593" s="387">
        <v>5.2</v>
      </c>
      <c r="F593" s="387">
        <f t="shared" si="229"/>
        <v>4.0935999999999995</v>
      </c>
      <c r="G593" s="387">
        <v>2.38</v>
      </c>
      <c r="H593" s="387"/>
      <c r="I593" s="387">
        <v>11.7</v>
      </c>
      <c r="J593" s="501">
        <v>14</v>
      </c>
      <c r="K593" s="383">
        <v>180</v>
      </c>
      <c r="L593" s="383">
        <v>83</v>
      </c>
      <c r="M593" s="383" t="s">
        <v>392</v>
      </c>
      <c r="N593" s="313">
        <v>34</v>
      </c>
      <c r="O593" s="295">
        <f t="shared" si="218"/>
        <v>48</v>
      </c>
      <c r="P593" s="295"/>
      <c r="Q593" s="295"/>
      <c r="R593" s="293">
        <v>1</v>
      </c>
      <c r="S593" s="292">
        <v>1.1200000000000001</v>
      </c>
      <c r="T593" s="301" t="s">
        <v>37</v>
      </c>
      <c r="U593" s="295"/>
      <c r="V593" s="290"/>
      <c r="W593" s="290"/>
      <c r="X593" s="290"/>
      <c r="Y593" s="292">
        <v>1.1200000000000001</v>
      </c>
      <c r="Z593" s="301" t="s">
        <v>37</v>
      </c>
      <c r="AA593" s="292"/>
      <c r="AB593" s="301"/>
      <c r="AC593" s="301"/>
      <c r="AD593" s="301"/>
      <c r="AE593" s="448"/>
      <c r="AF593" s="287">
        <f t="shared" si="219"/>
        <v>3.5263605246161616</v>
      </c>
      <c r="AG593" s="287">
        <f t="shared" si="220"/>
        <v>3.8712010109078911</v>
      </c>
      <c r="AH593" s="288"/>
      <c r="AI593" s="288"/>
      <c r="AK593" s="286">
        <f t="shared" si="221"/>
        <v>34</v>
      </c>
      <c r="AL593" s="286">
        <f t="shared" si="222"/>
        <v>48</v>
      </c>
      <c r="AM593" s="287">
        <f t="shared" si="223"/>
        <v>3.5263605246161616</v>
      </c>
      <c r="AN593" s="287">
        <f t="shared" si="224"/>
        <v>3.8712010109078911</v>
      </c>
      <c r="AO593" s="288"/>
      <c r="AP593" s="288"/>
      <c r="AR593" s="286">
        <f t="shared" si="225"/>
        <v>32.486005402380194</v>
      </c>
      <c r="AS593" s="286">
        <f t="shared" si="226"/>
        <v>45.862595862183809</v>
      </c>
      <c r="AT593" s="287">
        <f t="shared" si="227"/>
        <v>3.4808093935959095</v>
      </c>
      <c r="AU593" s="287">
        <f t="shared" si="228"/>
        <v>3.825649879887639</v>
      </c>
      <c r="AV593" s="299"/>
      <c r="AW593" s="299"/>
      <c r="AX593" s="286"/>
      <c r="AY593" s="286"/>
      <c r="AZ593" s="286"/>
      <c r="BA593" s="286"/>
      <c r="BB593" s="287"/>
      <c r="BC593" s="287"/>
      <c r="BD593" s="288"/>
      <c r="BE593" s="288"/>
    </row>
    <row r="594" spans="1:57" s="298" customFormat="1" ht="14.25" x14ac:dyDescent="0.2">
      <c r="A594" s="290" t="s">
        <v>71</v>
      </c>
      <c r="B594" s="290" t="s">
        <v>35</v>
      </c>
      <c r="C594" s="425" t="s">
        <v>75</v>
      </c>
      <c r="D594" s="381" t="s">
        <v>355</v>
      </c>
      <c r="E594" s="387">
        <v>5.0999999999999996</v>
      </c>
      <c r="F594" s="387">
        <f t="shared" si="229"/>
        <v>4.0935999999999995</v>
      </c>
      <c r="G594" s="387">
        <v>2.38</v>
      </c>
      <c r="H594" s="387"/>
      <c r="I594" s="387">
        <v>11.7</v>
      </c>
      <c r="J594" s="501">
        <v>14</v>
      </c>
      <c r="K594" s="383">
        <v>180</v>
      </c>
      <c r="L594" s="383">
        <v>83</v>
      </c>
      <c r="M594" s="383" t="s">
        <v>392</v>
      </c>
      <c r="N594" s="313">
        <v>41</v>
      </c>
      <c r="O594" s="295">
        <f t="shared" si="218"/>
        <v>55</v>
      </c>
      <c r="P594" s="295"/>
      <c r="Q594" s="295"/>
      <c r="R594" s="293">
        <v>1</v>
      </c>
      <c r="S594" s="292">
        <v>1.1200000000000001</v>
      </c>
      <c r="T594" s="301" t="s">
        <v>37</v>
      </c>
      <c r="U594" s="295"/>
      <c r="V594" s="290"/>
      <c r="W594" s="290"/>
      <c r="X594" s="290"/>
      <c r="Y594" s="292">
        <v>1.1200000000000001</v>
      </c>
      <c r="Z594" s="301" t="s">
        <v>37</v>
      </c>
      <c r="AA594" s="292"/>
      <c r="AB594" s="301"/>
      <c r="AC594" s="301"/>
      <c r="AD594" s="301"/>
      <c r="AE594" s="448"/>
      <c r="AF594" s="287">
        <f t="shared" si="219"/>
        <v>3.713572066704308</v>
      </c>
      <c r="AG594" s="287">
        <f t="shared" si="220"/>
        <v>4.0073331852324712</v>
      </c>
      <c r="AH594" s="288"/>
      <c r="AI594" s="288"/>
      <c r="AK594" s="286">
        <f t="shared" si="221"/>
        <v>41</v>
      </c>
      <c r="AL594" s="286">
        <f t="shared" si="222"/>
        <v>55</v>
      </c>
      <c r="AM594" s="287">
        <f t="shared" si="223"/>
        <v>3.713572066704308</v>
      </c>
      <c r="AN594" s="287">
        <f t="shared" si="224"/>
        <v>4.0073331852324712</v>
      </c>
      <c r="AO594" s="288"/>
      <c r="AP594" s="288"/>
      <c r="AR594" s="286">
        <f t="shared" si="225"/>
        <v>39.174300632281998</v>
      </c>
      <c r="AS594" s="286">
        <f t="shared" si="226"/>
        <v>52.550891092085614</v>
      </c>
      <c r="AT594" s="287">
        <f t="shared" si="227"/>
        <v>3.6680209356840558</v>
      </c>
      <c r="AU594" s="287">
        <f t="shared" si="228"/>
        <v>3.9617820542122191</v>
      </c>
      <c r="AV594" s="299"/>
      <c r="AW594" s="299"/>
      <c r="AX594" s="286"/>
      <c r="AY594" s="286"/>
      <c r="AZ594" s="286"/>
      <c r="BA594" s="286"/>
      <c r="BB594" s="287"/>
      <c r="BC594" s="287"/>
      <c r="BD594" s="288"/>
      <c r="BE594" s="288"/>
    </row>
    <row r="595" spans="1:57" s="298" customFormat="1" ht="14.25" x14ac:dyDescent="0.2">
      <c r="A595" s="290" t="s">
        <v>71</v>
      </c>
      <c r="B595" s="290" t="s">
        <v>35</v>
      </c>
      <c r="C595" s="425" t="s">
        <v>75</v>
      </c>
      <c r="D595" s="381" t="s">
        <v>355</v>
      </c>
      <c r="E595" s="387">
        <v>6.4</v>
      </c>
      <c r="F595" s="387">
        <f t="shared" si="229"/>
        <v>4.0935999999999995</v>
      </c>
      <c r="G595" s="387">
        <v>2.38</v>
      </c>
      <c r="H595" s="387"/>
      <c r="I595" s="387">
        <v>11.7</v>
      </c>
      <c r="J595" s="501">
        <v>14</v>
      </c>
      <c r="K595" s="383">
        <v>180</v>
      </c>
      <c r="L595" s="383">
        <v>83</v>
      </c>
      <c r="M595" s="383" t="s">
        <v>392</v>
      </c>
      <c r="N595" s="313">
        <v>92</v>
      </c>
      <c r="O595" s="295">
        <f t="shared" si="218"/>
        <v>106</v>
      </c>
      <c r="P595" s="295"/>
      <c r="Q595" s="295"/>
      <c r="R595" s="293">
        <v>1</v>
      </c>
      <c r="S595" s="292">
        <v>1.1200000000000001</v>
      </c>
      <c r="T595" s="301" t="s">
        <v>37</v>
      </c>
      <c r="U595" s="295"/>
      <c r="V595" s="290"/>
      <c r="W595" s="290"/>
      <c r="X595" s="290"/>
      <c r="Y595" s="292">
        <v>1.1200000000000001</v>
      </c>
      <c r="Z595" s="301" t="s">
        <v>37</v>
      </c>
      <c r="AA595" s="292"/>
      <c r="AB595" s="301"/>
      <c r="AC595" s="301"/>
      <c r="AD595" s="301"/>
      <c r="AE595" s="448"/>
      <c r="AF595" s="287">
        <f t="shared" si="219"/>
        <v>4.5217885770490405</v>
      </c>
      <c r="AG595" s="287">
        <f t="shared" si="220"/>
        <v>4.6634390941120669</v>
      </c>
      <c r="AH595" s="288"/>
      <c r="AI595" s="288"/>
      <c r="AK595" s="286">
        <f t="shared" si="221"/>
        <v>92</v>
      </c>
      <c r="AL595" s="286">
        <f t="shared" si="222"/>
        <v>106</v>
      </c>
      <c r="AM595" s="287">
        <f t="shared" si="223"/>
        <v>4.5217885770490405</v>
      </c>
      <c r="AN595" s="287">
        <f t="shared" si="224"/>
        <v>4.6634390941120669</v>
      </c>
      <c r="AO595" s="288"/>
      <c r="AP595" s="288"/>
      <c r="AR595" s="286">
        <f t="shared" si="225"/>
        <v>87.903308735852292</v>
      </c>
      <c r="AS595" s="286">
        <f t="shared" si="226"/>
        <v>101.2798991956559</v>
      </c>
      <c r="AT595" s="287">
        <f t="shared" si="227"/>
        <v>4.4762374460287884</v>
      </c>
      <c r="AU595" s="287">
        <f t="shared" si="228"/>
        <v>4.6178879630918148</v>
      </c>
      <c r="AV595" s="299"/>
      <c r="AW595" s="299"/>
      <c r="AX595" s="286"/>
      <c r="AY595" s="286"/>
      <c r="AZ595" s="286"/>
      <c r="BA595" s="286"/>
      <c r="BB595" s="287"/>
      <c r="BC595" s="287"/>
      <c r="BD595" s="288"/>
      <c r="BE595" s="288"/>
    </row>
    <row r="596" spans="1:57" s="336" customFormat="1" ht="14.25" x14ac:dyDescent="0.2">
      <c r="A596" s="326" t="s">
        <v>71</v>
      </c>
      <c r="B596" s="326" t="s">
        <v>35</v>
      </c>
      <c r="C596" s="428" t="s">
        <v>75</v>
      </c>
      <c r="D596" s="391" t="s">
        <v>355</v>
      </c>
      <c r="E596" s="361">
        <v>6.1</v>
      </c>
      <c r="F596" s="361">
        <f t="shared" si="229"/>
        <v>4.0935999999999995</v>
      </c>
      <c r="G596" s="361">
        <v>2.38</v>
      </c>
      <c r="H596" s="361"/>
      <c r="I596" s="361">
        <v>11.7</v>
      </c>
      <c r="J596" s="502">
        <v>14</v>
      </c>
      <c r="K596" s="394">
        <v>180</v>
      </c>
      <c r="L596" s="394">
        <v>83</v>
      </c>
      <c r="M596" s="394" t="s">
        <v>392</v>
      </c>
      <c r="N596" s="317">
        <v>91</v>
      </c>
      <c r="O596" s="231">
        <f t="shared" si="218"/>
        <v>105</v>
      </c>
      <c r="P596" s="295"/>
      <c r="Q596" s="295"/>
      <c r="R596" s="293">
        <v>1</v>
      </c>
      <c r="S596" s="328">
        <v>1.1200000000000001</v>
      </c>
      <c r="T596" s="314" t="s">
        <v>37</v>
      </c>
      <c r="U596" s="231"/>
      <c r="V596" s="326"/>
      <c r="W596" s="326"/>
      <c r="X596" s="326"/>
      <c r="Y596" s="328">
        <v>1.1200000000000001</v>
      </c>
      <c r="Z596" s="314" t="s">
        <v>37</v>
      </c>
      <c r="AA596" s="328"/>
      <c r="AB596" s="314"/>
      <c r="AC596" s="314"/>
      <c r="AD596" s="314"/>
      <c r="AE596" s="443"/>
      <c r="AF596" s="334">
        <f t="shared" si="219"/>
        <v>4.5108595065168497</v>
      </c>
      <c r="AG596" s="334">
        <f t="shared" si="220"/>
        <v>4.6539603501575231</v>
      </c>
      <c r="AH596" s="335"/>
      <c r="AI596" s="335"/>
      <c r="AK596" s="337">
        <f t="shared" si="221"/>
        <v>91</v>
      </c>
      <c r="AL596" s="337">
        <f t="shared" si="222"/>
        <v>105</v>
      </c>
      <c r="AM596" s="334">
        <f t="shared" si="223"/>
        <v>4.5108595065168497</v>
      </c>
      <c r="AN596" s="334">
        <f t="shared" si="224"/>
        <v>4.6539603501575231</v>
      </c>
      <c r="AO596" s="335"/>
      <c r="AP596" s="335"/>
      <c r="AR596" s="337">
        <f t="shared" si="225"/>
        <v>86.947837988723464</v>
      </c>
      <c r="AS596" s="337">
        <f t="shared" si="226"/>
        <v>100.32442844852707</v>
      </c>
      <c r="AT596" s="334">
        <f t="shared" si="227"/>
        <v>4.4653083754965985</v>
      </c>
      <c r="AU596" s="334">
        <f t="shared" si="228"/>
        <v>4.6084092191372719</v>
      </c>
      <c r="AV596" s="338"/>
      <c r="AW596" s="338"/>
      <c r="AX596" s="337"/>
      <c r="AY596" s="337"/>
      <c r="AZ596" s="337"/>
      <c r="BA596" s="337"/>
      <c r="BB596" s="334"/>
      <c r="BC596" s="334"/>
      <c r="BD596" s="335"/>
      <c r="BE596" s="335"/>
    </row>
    <row r="597" spans="1:57" s="460" customFormat="1" x14ac:dyDescent="0.2">
      <c r="A597" s="459" t="s">
        <v>71</v>
      </c>
      <c r="B597" s="459" t="s">
        <v>35</v>
      </c>
      <c r="C597" s="503" t="s">
        <v>76</v>
      </c>
      <c r="D597" s="381" t="s">
        <v>74</v>
      </c>
      <c r="E597" s="432">
        <v>7.5</v>
      </c>
      <c r="F597" s="432">
        <f t="shared" si="229"/>
        <v>2.3048000000000002</v>
      </c>
      <c r="G597" s="432">
        <v>1.34</v>
      </c>
      <c r="H597" s="432">
        <v>9</v>
      </c>
      <c r="I597" s="432">
        <v>14.6</v>
      </c>
      <c r="J597" s="432">
        <v>8</v>
      </c>
      <c r="K597" s="383">
        <v>60</v>
      </c>
      <c r="L597" s="383">
        <v>30</v>
      </c>
      <c r="M597" s="383" t="s">
        <v>93</v>
      </c>
      <c r="N597" s="504">
        <v>80</v>
      </c>
      <c r="O597" s="248">
        <f t="shared" si="218"/>
        <v>88</v>
      </c>
      <c r="P597" s="248"/>
      <c r="Q597" s="248"/>
      <c r="R597" s="505">
        <f t="shared" ref="R597:R660" si="230">1+EXP(1.4*(E597-7))</f>
        <v>3.0137527074704766</v>
      </c>
      <c r="S597" s="506">
        <v>1.1200000000000001</v>
      </c>
      <c r="T597" s="507" t="s">
        <v>37</v>
      </c>
      <c r="U597" s="508"/>
      <c r="V597" s="509"/>
      <c r="W597" s="509"/>
      <c r="X597" s="509"/>
      <c r="Y597" s="506">
        <v>1.1200000000000001</v>
      </c>
      <c r="Z597" s="507" t="s">
        <v>37</v>
      </c>
      <c r="AA597" s="506"/>
      <c r="AB597" s="507"/>
      <c r="AC597" s="507"/>
      <c r="AD597" s="507"/>
      <c r="AE597" s="510"/>
      <c r="AF597" s="247">
        <f t="shared" si="219"/>
        <v>4.3820266346738812</v>
      </c>
      <c r="AG597" s="247">
        <f t="shared" si="220"/>
        <v>4.4773368144782069</v>
      </c>
      <c r="AH597" s="252"/>
      <c r="AI597" s="252"/>
      <c r="AK597" s="511">
        <f t="shared" si="221"/>
        <v>241.10021659763814</v>
      </c>
      <c r="AL597" s="511">
        <f t="shared" si="222"/>
        <v>249.10021659763814</v>
      </c>
      <c r="AM597" s="247">
        <f t="shared" si="223"/>
        <v>5.4852126835593396</v>
      </c>
      <c r="AN597" s="247">
        <f t="shared" si="224"/>
        <v>5.5178552917885844</v>
      </c>
      <c r="AO597" s="252"/>
      <c r="AP597" s="252"/>
      <c r="AR597" s="511">
        <f t="shared" si="225"/>
        <v>179.76616862815084</v>
      </c>
      <c r="AS597" s="511">
        <f t="shared" si="226"/>
        <v>185.73102991828083</v>
      </c>
      <c r="AT597" s="247">
        <f t="shared" si="227"/>
        <v>5.1916569431992379</v>
      </c>
      <c r="AU597" s="247">
        <f t="shared" si="228"/>
        <v>5.2242995514284827</v>
      </c>
      <c r="AV597" s="512"/>
      <c r="AW597" s="512"/>
      <c r="AX597" s="461">
        <f t="shared" ref="AX597:AY600" si="231">GEOMEAN(AR597)</f>
        <v>179.76616862815084</v>
      </c>
      <c r="AY597" s="461">
        <f t="shared" si="231"/>
        <v>185.73102991828083</v>
      </c>
      <c r="AZ597" s="461">
        <f t="shared" ref="AZ597:BA600" si="232">MIN(AX597)</f>
        <v>179.76616862815084</v>
      </c>
      <c r="BA597" s="461">
        <f t="shared" si="232"/>
        <v>185.73102991828083</v>
      </c>
      <c r="BB597" s="247">
        <f t="shared" ref="BB597:BC601" si="233">LN(AZ597)</f>
        <v>5.1916569431992379</v>
      </c>
      <c r="BC597" s="247">
        <f t="shared" si="233"/>
        <v>5.2242995514284827</v>
      </c>
      <c r="BD597" s="252"/>
      <c r="BE597" s="252"/>
    </row>
    <row r="598" spans="1:57" s="460" customFormat="1" x14ac:dyDescent="0.2">
      <c r="A598" s="459" t="s">
        <v>71</v>
      </c>
      <c r="B598" s="459" t="s">
        <v>35</v>
      </c>
      <c r="C598" s="503" t="s">
        <v>77</v>
      </c>
      <c r="D598" s="431" t="s">
        <v>74</v>
      </c>
      <c r="E598" s="432">
        <v>8.3000000000000007</v>
      </c>
      <c r="F598" s="432">
        <f t="shared" si="229"/>
        <v>0.48160000000000003</v>
      </c>
      <c r="G598" s="432">
        <v>0.28000000000000003</v>
      </c>
      <c r="H598" s="432">
        <v>24</v>
      </c>
      <c r="I598" s="432">
        <v>12.6</v>
      </c>
      <c r="J598" s="513">
        <v>14</v>
      </c>
      <c r="K598" s="434">
        <v>7</v>
      </c>
      <c r="L598" s="434" t="s">
        <v>354</v>
      </c>
      <c r="M598" s="434" t="s">
        <v>104</v>
      </c>
      <c r="N598" s="504">
        <v>46</v>
      </c>
      <c r="O598" s="248">
        <f t="shared" si="218"/>
        <v>60</v>
      </c>
      <c r="P598" s="248"/>
      <c r="Q598" s="248"/>
      <c r="R598" s="505">
        <f t="shared" si="230"/>
        <v>7.1718584498835591</v>
      </c>
      <c r="S598" s="506">
        <v>1.1200000000000001</v>
      </c>
      <c r="T598" s="507" t="s">
        <v>37</v>
      </c>
      <c r="U598" s="508"/>
      <c r="V598" s="509"/>
      <c r="W598" s="509"/>
      <c r="X598" s="509"/>
      <c r="Y598" s="506">
        <v>1.1200000000000001</v>
      </c>
      <c r="Z598" s="507" t="s">
        <v>37</v>
      </c>
      <c r="AA598" s="506"/>
      <c r="AB598" s="507"/>
      <c r="AC598" s="507"/>
      <c r="AD598" s="507"/>
      <c r="AE598" s="510"/>
      <c r="AF598" s="247">
        <f t="shared" si="219"/>
        <v>3.8286413964890951</v>
      </c>
      <c r="AG598" s="247">
        <f t="shared" si="220"/>
        <v>4.0943445622221004</v>
      </c>
      <c r="AH598" s="252"/>
      <c r="AI598" s="252"/>
      <c r="AK598" s="511">
        <f t="shared" si="221"/>
        <v>329.90548869464374</v>
      </c>
      <c r="AL598" s="511">
        <f t="shared" si="222"/>
        <v>343.90548869464374</v>
      </c>
      <c r="AM598" s="247">
        <f t="shared" si="223"/>
        <v>5.798806215545798</v>
      </c>
      <c r="AN598" s="247">
        <f t="shared" si="224"/>
        <v>5.8403668774581217</v>
      </c>
      <c r="AO598" s="252"/>
      <c r="AP598" s="252"/>
      <c r="AR598" s="511">
        <f t="shared" si="225"/>
        <v>290.10825769392943</v>
      </c>
      <c r="AS598" s="511">
        <f t="shared" si="226"/>
        <v>302.41940663475322</v>
      </c>
      <c r="AT598" s="247">
        <f t="shared" si="227"/>
        <v>5.6702541557133772</v>
      </c>
      <c r="AU598" s="247">
        <f t="shared" si="228"/>
        <v>5.7118148176257009</v>
      </c>
      <c r="AV598" s="512"/>
      <c r="AW598" s="512"/>
      <c r="AX598" s="461">
        <f t="shared" si="231"/>
        <v>290.10825769392943</v>
      </c>
      <c r="AY598" s="461">
        <f t="shared" si="231"/>
        <v>302.41940663475322</v>
      </c>
      <c r="AZ598" s="461">
        <f t="shared" si="232"/>
        <v>290.10825769392943</v>
      </c>
      <c r="BA598" s="461">
        <f t="shared" si="232"/>
        <v>302.41940663475322</v>
      </c>
      <c r="BB598" s="247">
        <f t="shared" si="233"/>
        <v>5.6702541557133772</v>
      </c>
      <c r="BC598" s="247">
        <f t="shared" si="233"/>
        <v>5.7118148176257009</v>
      </c>
      <c r="BD598" s="252"/>
      <c r="BE598" s="252"/>
    </row>
    <row r="599" spans="1:57" s="460" customFormat="1" x14ac:dyDescent="0.2">
      <c r="A599" s="459" t="s">
        <v>71</v>
      </c>
      <c r="B599" s="459" t="s">
        <v>35</v>
      </c>
      <c r="C599" s="503" t="s">
        <v>78</v>
      </c>
      <c r="D599" s="431" t="s">
        <v>74</v>
      </c>
      <c r="E599" s="432">
        <v>8.3000000000000007</v>
      </c>
      <c r="F599" s="432">
        <f t="shared" si="229"/>
        <v>0.48160000000000003</v>
      </c>
      <c r="G599" s="432">
        <v>0.28000000000000003</v>
      </c>
      <c r="H599" s="432">
        <v>24</v>
      </c>
      <c r="I599" s="432">
        <v>12.6</v>
      </c>
      <c r="J599" s="513">
        <v>14</v>
      </c>
      <c r="K599" s="434">
        <v>7</v>
      </c>
      <c r="L599" s="434">
        <v>56</v>
      </c>
      <c r="M599" s="434" t="s">
        <v>104</v>
      </c>
      <c r="N599" s="504">
        <v>84</v>
      </c>
      <c r="O599" s="248">
        <f t="shared" si="218"/>
        <v>98</v>
      </c>
      <c r="P599" s="248"/>
      <c r="Q599" s="248"/>
      <c r="R599" s="505">
        <f t="shared" si="230"/>
        <v>7.1718584498835591</v>
      </c>
      <c r="S599" s="506">
        <v>1.1200000000000001</v>
      </c>
      <c r="T599" s="507" t="s">
        <v>37</v>
      </c>
      <c r="U599" s="508"/>
      <c r="V599" s="509"/>
      <c r="W599" s="509"/>
      <c r="X599" s="509"/>
      <c r="Y599" s="506">
        <v>1.1200000000000001</v>
      </c>
      <c r="Z599" s="507" t="s">
        <v>37</v>
      </c>
      <c r="AA599" s="506"/>
      <c r="AB599" s="507"/>
      <c r="AC599" s="507"/>
      <c r="AD599" s="507"/>
      <c r="AE599" s="510"/>
      <c r="AF599" s="247">
        <f t="shared" si="219"/>
        <v>4.4308167988433134</v>
      </c>
      <c r="AG599" s="247">
        <f t="shared" si="220"/>
        <v>4.5849674786705723</v>
      </c>
      <c r="AH599" s="252"/>
      <c r="AI599" s="252"/>
      <c r="AK599" s="511">
        <f t="shared" si="221"/>
        <v>602.43610979021901</v>
      </c>
      <c r="AL599" s="511">
        <f t="shared" si="222"/>
        <v>616.43610979021901</v>
      </c>
      <c r="AM599" s="247">
        <f t="shared" si="223"/>
        <v>6.4009816179000163</v>
      </c>
      <c r="AN599" s="247">
        <f t="shared" si="224"/>
        <v>6.4239546834793364</v>
      </c>
      <c r="AO599" s="252"/>
      <c r="AP599" s="252"/>
      <c r="AR599" s="511">
        <f t="shared" si="225"/>
        <v>529.76290535413204</v>
      </c>
      <c r="AS599" s="511">
        <f t="shared" si="226"/>
        <v>542.07405429495577</v>
      </c>
      <c r="AT599" s="247">
        <f t="shared" si="227"/>
        <v>6.2724295580675955</v>
      </c>
      <c r="AU599" s="247">
        <f t="shared" si="228"/>
        <v>6.2954026236469165</v>
      </c>
      <c r="AV599" s="512"/>
      <c r="AW599" s="512"/>
      <c r="AX599" s="461">
        <f t="shared" si="231"/>
        <v>529.76290535413204</v>
      </c>
      <c r="AY599" s="461">
        <f t="shared" si="231"/>
        <v>542.07405429495577</v>
      </c>
      <c r="AZ599" s="461">
        <f t="shared" si="232"/>
        <v>529.76290535413204</v>
      </c>
      <c r="BA599" s="461">
        <f t="shared" si="232"/>
        <v>542.07405429495577</v>
      </c>
      <c r="BB599" s="247">
        <f t="shared" si="233"/>
        <v>6.2724295580675955</v>
      </c>
      <c r="BC599" s="247">
        <f t="shared" si="233"/>
        <v>6.2954026236469165</v>
      </c>
      <c r="BD599" s="252"/>
      <c r="BE599" s="252"/>
    </row>
    <row r="600" spans="1:57" s="336" customFormat="1" x14ac:dyDescent="0.2">
      <c r="A600" s="326" t="s">
        <v>71</v>
      </c>
      <c r="B600" s="326" t="s">
        <v>35</v>
      </c>
      <c r="C600" s="428" t="s">
        <v>40</v>
      </c>
      <c r="D600" s="391" t="s">
        <v>312</v>
      </c>
      <c r="E600" s="361">
        <v>6</v>
      </c>
      <c r="F600" s="361">
        <f t="shared" si="229"/>
        <v>2.9239999999999999</v>
      </c>
      <c r="G600" s="361">
        <v>1.7</v>
      </c>
      <c r="H600" s="361"/>
      <c r="I600" s="361">
        <v>31</v>
      </c>
      <c r="J600" s="361">
        <v>19</v>
      </c>
      <c r="K600" s="514" t="s">
        <v>356</v>
      </c>
      <c r="L600" s="394" t="s">
        <v>357</v>
      </c>
      <c r="M600" s="394" t="s">
        <v>104</v>
      </c>
      <c r="N600" s="317">
        <v>110</v>
      </c>
      <c r="O600" s="231">
        <f t="shared" si="218"/>
        <v>129</v>
      </c>
      <c r="P600" s="231"/>
      <c r="Q600" s="231"/>
      <c r="R600" s="318">
        <f t="shared" si="230"/>
        <v>1.2465969639416066</v>
      </c>
      <c r="S600" s="328">
        <v>1.1200000000000001</v>
      </c>
      <c r="T600" s="314" t="s">
        <v>37</v>
      </c>
      <c r="U600" s="231"/>
      <c r="V600" s="326"/>
      <c r="W600" s="326"/>
      <c r="X600" s="326"/>
      <c r="Y600" s="328">
        <v>1.1200000000000001</v>
      </c>
      <c r="Z600" s="314" t="s">
        <v>37</v>
      </c>
      <c r="AA600" s="328"/>
      <c r="AB600" s="314"/>
      <c r="AC600" s="314"/>
      <c r="AD600" s="314"/>
      <c r="AE600" s="443"/>
      <c r="AF600" s="166">
        <f t="shared" si="219"/>
        <v>4.7004803657924166</v>
      </c>
      <c r="AG600" s="166">
        <f t="shared" si="220"/>
        <v>4.8598124043616719</v>
      </c>
      <c r="AH600" s="169"/>
      <c r="AI600" s="169"/>
      <c r="AK600" s="337">
        <f t="shared" si="221"/>
        <v>137.12566603357672</v>
      </c>
      <c r="AL600" s="337">
        <f t="shared" si="222"/>
        <v>156.12566603357672</v>
      </c>
      <c r="AM600" s="166">
        <f t="shared" si="223"/>
        <v>4.9208977757108672</v>
      </c>
      <c r="AN600" s="166">
        <f t="shared" si="224"/>
        <v>5.0506612344643553</v>
      </c>
      <c r="AO600" s="169"/>
      <c r="AP600" s="169"/>
      <c r="AR600" s="337">
        <f t="shared" si="225"/>
        <v>43.992557790505252</v>
      </c>
      <c r="AS600" s="337">
        <f t="shared" si="226"/>
        <v>50.088124158182403</v>
      </c>
      <c r="AT600" s="166">
        <f t="shared" si="227"/>
        <v>3.7840204784874074</v>
      </c>
      <c r="AU600" s="166">
        <f t="shared" si="228"/>
        <v>3.9137839372408956</v>
      </c>
      <c r="AV600" s="338"/>
      <c r="AW600" s="338"/>
      <c r="AX600" s="461">
        <f t="shared" si="231"/>
        <v>43.992557790505252</v>
      </c>
      <c r="AY600" s="461">
        <f t="shared" si="231"/>
        <v>50.088124158182403</v>
      </c>
      <c r="AZ600" s="461">
        <f t="shared" si="232"/>
        <v>43.992557790505252</v>
      </c>
      <c r="BA600" s="461">
        <f t="shared" si="232"/>
        <v>50.088124158182403</v>
      </c>
      <c r="BB600" s="247">
        <f t="shared" si="233"/>
        <v>3.7840204784874074</v>
      </c>
      <c r="BC600" s="247">
        <f t="shared" si="233"/>
        <v>3.9137839372408956</v>
      </c>
      <c r="BD600" s="169"/>
      <c r="BE600" s="169"/>
    </row>
    <row r="601" spans="1:57" s="298" customFormat="1" x14ac:dyDescent="0.2">
      <c r="A601" s="290" t="s">
        <v>71</v>
      </c>
      <c r="B601" s="290" t="s">
        <v>35</v>
      </c>
      <c r="C601" s="425" t="s">
        <v>79</v>
      </c>
      <c r="D601" s="381" t="s">
        <v>358</v>
      </c>
      <c r="E601" s="387">
        <v>4.9000000000000004</v>
      </c>
      <c r="F601" s="387"/>
      <c r="G601" s="387"/>
      <c r="H601" s="387"/>
      <c r="I601" s="387">
        <v>8</v>
      </c>
      <c r="J601" s="387">
        <v>16</v>
      </c>
      <c r="K601" s="383">
        <v>0</v>
      </c>
      <c r="L601" s="383">
        <v>63</v>
      </c>
      <c r="M601" s="383" t="s">
        <v>104</v>
      </c>
      <c r="N601" s="313">
        <v>18</v>
      </c>
      <c r="O601" s="295">
        <f t="shared" si="218"/>
        <v>34</v>
      </c>
      <c r="P601" s="295"/>
      <c r="Q601" s="295"/>
      <c r="R601" s="293">
        <f t="shared" si="230"/>
        <v>1.0528657287383505</v>
      </c>
      <c r="S601" s="292">
        <v>1.1200000000000001</v>
      </c>
      <c r="T601" s="301" t="s">
        <v>37</v>
      </c>
      <c r="U601" s="295"/>
      <c r="V601" s="290"/>
      <c r="W601" s="290"/>
      <c r="X601" s="290"/>
      <c r="Y601" s="292">
        <v>1.1200000000000001</v>
      </c>
      <c r="Z601" s="301" t="s">
        <v>37</v>
      </c>
      <c r="AA601" s="292"/>
      <c r="AB601" s="301"/>
      <c r="AC601" s="301"/>
      <c r="AD601" s="301"/>
      <c r="AE601" s="448"/>
      <c r="AF601" s="239">
        <f t="shared" si="219"/>
        <v>2.8903717578961645</v>
      </c>
      <c r="AG601" s="239">
        <f t="shared" si="220"/>
        <v>3.5263605246161616</v>
      </c>
      <c r="AH601" s="240"/>
      <c r="AI601" s="240"/>
      <c r="AK601" s="286">
        <f t="shared" si="221"/>
        <v>18.951583117290308</v>
      </c>
      <c r="AL601" s="286">
        <f t="shared" si="222"/>
        <v>34.951583117290312</v>
      </c>
      <c r="AM601" s="239">
        <f t="shared" si="223"/>
        <v>2.9418874698485276</v>
      </c>
      <c r="AN601" s="239">
        <f t="shared" si="224"/>
        <v>3.5539637642860127</v>
      </c>
      <c r="AO601" s="240"/>
      <c r="AP601" s="240"/>
      <c r="AR601" s="286">
        <f t="shared" si="225"/>
        <v>27.718534777413772</v>
      </c>
      <c r="AS601" s="286">
        <f t="shared" si="226"/>
        <v>51.12009198209924</v>
      </c>
      <c r="AT601" s="239">
        <f t="shared" si="227"/>
        <v>3.3221013149670151</v>
      </c>
      <c r="AU601" s="239">
        <f t="shared" si="228"/>
        <v>3.9341776094045002</v>
      </c>
      <c r="AV601" s="299"/>
      <c r="AW601" s="299"/>
      <c r="AX601" s="499">
        <f>GEOMEAN(AR601:AR605)</f>
        <v>127.97206904122839</v>
      </c>
      <c r="AY601" s="499">
        <f>GEOMEAN(AS601:AS605)</f>
        <v>151.78836099610436</v>
      </c>
      <c r="AZ601" s="499">
        <f>MIN(AX601:AX605)</f>
        <v>127.97206904122839</v>
      </c>
      <c r="BA601" s="499">
        <f>MIN(AY601:AY605)</f>
        <v>151.78836099610436</v>
      </c>
      <c r="BB601" s="500">
        <f t="shared" si="233"/>
        <v>4.8518120294928133</v>
      </c>
      <c r="BC601" s="500">
        <f t="shared" si="233"/>
        <v>5.0224871887420388</v>
      </c>
      <c r="BD601" s="240"/>
      <c r="BE601" s="240"/>
    </row>
    <row r="602" spans="1:57" s="298" customFormat="1" x14ac:dyDescent="0.2">
      <c r="A602" s="290" t="s">
        <v>71</v>
      </c>
      <c r="B602" s="290" t="s">
        <v>35</v>
      </c>
      <c r="C602" s="425" t="s">
        <v>79</v>
      </c>
      <c r="D602" s="381" t="s">
        <v>358</v>
      </c>
      <c r="E602" s="387">
        <v>5.6</v>
      </c>
      <c r="F602" s="387"/>
      <c r="G602" s="387"/>
      <c r="H602" s="387"/>
      <c r="I602" s="387">
        <v>41</v>
      </c>
      <c r="J602" s="387">
        <v>17</v>
      </c>
      <c r="K602" s="383">
        <v>0</v>
      </c>
      <c r="L602" s="383">
        <v>63</v>
      </c>
      <c r="M602" s="383" t="s">
        <v>104</v>
      </c>
      <c r="N602" s="313">
        <v>153</v>
      </c>
      <c r="O602" s="295">
        <f t="shared" si="218"/>
        <v>170</v>
      </c>
      <c r="P602" s="295"/>
      <c r="Q602" s="295"/>
      <c r="R602" s="293">
        <f t="shared" si="230"/>
        <v>1.1408584209210448</v>
      </c>
      <c r="S602" s="292">
        <v>1.1200000000000001</v>
      </c>
      <c r="T602" s="301" t="s">
        <v>37</v>
      </c>
      <c r="U602" s="295"/>
      <c r="V602" s="290"/>
      <c r="W602" s="290"/>
      <c r="X602" s="290"/>
      <c r="Y602" s="292">
        <v>1.1200000000000001</v>
      </c>
      <c r="Z602" s="301" t="s">
        <v>37</v>
      </c>
      <c r="AA602" s="292"/>
      <c r="AB602" s="301"/>
      <c r="AC602" s="301"/>
      <c r="AD602" s="301"/>
      <c r="AE602" s="448"/>
      <c r="AF602" s="287">
        <f t="shared" si="219"/>
        <v>5.0304379213924353</v>
      </c>
      <c r="AG602" s="287">
        <f t="shared" si="220"/>
        <v>5.1357984370502621</v>
      </c>
      <c r="AH602" s="288"/>
      <c r="AI602" s="288"/>
      <c r="AK602" s="286">
        <f t="shared" si="221"/>
        <v>174.55133840091986</v>
      </c>
      <c r="AL602" s="286">
        <f t="shared" si="222"/>
        <v>191.55133840091986</v>
      </c>
      <c r="AM602" s="287">
        <f t="shared" si="223"/>
        <v>5.1622189012439046</v>
      </c>
      <c r="AN602" s="287">
        <f t="shared" si="224"/>
        <v>5.2551558583366553</v>
      </c>
      <c r="AO602" s="288"/>
      <c r="AP602" s="288"/>
      <c r="AR602" s="286">
        <f t="shared" si="225"/>
        <v>40.944052364033681</v>
      </c>
      <c r="AS602" s="286">
        <f t="shared" si="226"/>
        <v>44.931698042177075</v>
      </c>
      <c r="AT602" s="287">
        <f t="shared" si="227"/>
        <v>3.7122065583349837</v>
      </c>
      <c r="AU602" s="287">
        <f t="shared" si="228"/>
        <v>3.8051435154277349</v>
      </c>
      <c r="AV602" s="299"/>
      <c r="AW602" s="299"/>
      <c r="AX602" s="286"/>
      <c r="AY602" s="286"/>
      <c r="AZ602" s="286"/>
      <c r="BA602" s="286"/>
      <c r="BB602" s="287"/>
      <c r="BC602" s="287"/>
      <c r="BD602" s="288"/>
      <c r="BE602" s="288"/>
    </row>
    <row r="603" spans="1:57" s="298" customFormat="1" x14ac:dyDescent="0.2">
      <c r="A603" s="290" t="s">
        <v>71</v>
      </c>
      <c r="B603" s="290" t="s">
        <v>35</v>
      </c>
      <c r="C603" s="425" t="s">
        <v>79</v>
      </c>
      <c r="D603" s="381" t="s">
        <v>358</v>
      </c>
      <c r="E603" s="387">
        <v>7.7</v>
      </c>
      <c r="F603" s="387"/>
      <c r="G603" s="387"/>
      <c r="H603" s="387"/>
      <c r="I603" s="387">
        <v>10</v>
      </c>
      <c r="J603" s="387">
        <v>26</v>
      </c>
      <c r="K603" s="383">
        <v>0</v>
      </c>
      <c r="L603" s="383">
        <v>63</v>
      </c>
      <c r="M603" s="383" t="s">
        <v>104</v>
      </c>
      <c r="N603" s="313">
        <v>257</v>
      </c>
      <c r="O603" s="295">
        <f t="shared" si="218"/>
        <v>283</v>
      </c>
      <c r="P603" s="295"/>
      <c r="Q603" s="295"/>
      <c r="R603" s="293">
        <f t="shared" si="230"/>
        <v>3.6644562419294178</v>
      </c>
      <c r="S603" s="292">
        <v>1.1200000000000001</v>
      </c>
      <c r="T603" s="301" t="s">
        <v>37</v>
      </c>
      <c r="U603" s="295"/>
      <c r="V603" s="290"/>
      <c r="W603" s="290"/>
      <c r="X603" s="290"/>
      <c r="Y603" s="292">
        <v>1.1200000000000001</v>
      </c>
      <c r="Z603" s="301" t="s">
        <v>37</v>
      </c>
      <c r="AA603" s="292"/>
      <c r="AB603" s="301"/>
      <c r="AC603" s="301"/>
      <c r="AD603" s="301"/>
      <c r="AE603" s="448"/>
      <c r="AF603" s="287">
        <f t="shared" si="219"/>
        <v>5.5490760848952201</v>
      </c>
      <c r="AG603" s="287">
        <f t="shared" si="220"/>
        <v>5.6454468976432377</v>
      </c>
      <c r="AH603" s="288"/>
      <c r="AI603" s="288"/>
      <c r="AK603" s="286">
        <f t="shared" si="221"/>
        <v>941.76525417586038</v>
      </c>
      <c r="AL603" s="286">
        <f t="shared" si="222"/>
        <v>967.76525417586038</v>
      </c>
      <c r="AM603" s="287">
        <f t="shared" si="223"/>
        <v>6.8477560441323524</v>
      </c>
      <c r="AN603" s="287">
        <f t="shared" si="224"/>
        <v>6.8749895518505655</v>
      </c>
      <c r="AO603" s="288"/>
      <c r="AP603" s="288"/>
      <c r="AR603" s="286">
        <f t="shared" si="225"/>
        <v>1072.8233656361792</v>
      </c>
      <c r="AS603" s="286">
        <f t="shared" si="226"/>
        <v>1102.4415824719131</v>
      </c>
      <c r="AT603" s="287">
        <f t="shared" si="227"/>
        <v>6.9780491117789252</v>
      </c>
      <c r="AU603" s="287">
        <f t="shared" si="228"/>
        <v>7.0052826194971374</v>
      </c>
      <c r="AV603" s="299"/>
      <c r="AW603" s="299"/>
      <c r="AX603" s="286"/>
      <c r="AY603" s="286"/>
      <c r="AZ603" s="286"/>
      <c r="BA603" s="286"/>
      <c r="BB603" s="287"/>
      <c r="BC603" s="287"/>
      <c r="BD603" s="288"/>
      <c r="BE603" s="288"/>
    </row>
    <row r="604" spans="1:57" s="298" customFormat="1" x14ac:dyDescent="0.2">
      <c r="A604" s="290" t="s">
        <v>71</v>
      </c>
      <c r="B604" s="290" t="s">
        <v>35</v>
      </c>
      <c r="C604" s="425" t="s">
        <v>79</v>
      </c>
      <c r="D604" s="381" t="s">
        <v>358</v>
      </c>
      <c r="E604" s="387">
        <v>6.6</v>
      </c>
      <c r="F604" s="387"/>
      <c r="G604" s="387"/>
      <c r="H604" s="387"/>
      <c r="I604" s="387">
        <v>20</v>
      </c>
      <c r="J604" s="387">
        <v>21</v>
      </c>
      <c r="K604" s="383">
        <v>0</v>
      </c>
      <c r="L604" s="383">
        <v>63</v>
      </c>
      <c r="M604" s="383" t="s">
        <v>104</v>
      </c>
      <c r="N604" s="313">
        <v>422</v>
      </c>
      <c r="O604" s="295">
        <f t="shared" ref="O604:O635" si="234">N604+J604</f>
        <v>443</v>
      </c>
      <c r="P604" s="295"/>
      <c r="Q604" s="295"/>
      <c r="R604" s="293">
        <f t="shared" si="230"/>
        <v>1.5712090638488148</v>
      </c>
      <c r="S604" s="292">
        <v>1.1200000000000001</v>
      </c>
      <c r="T604" s="301" t="s">
        <v>37</v>
      </c>
      <c r="U604" s="295"/>
      <c r="V604" s="290"/>
      <c r="W604" s="290"/>
      <c r="X604" s="290"/>
      <c r="Y604" s="292">
        <v>1.1200000000000001</v>
      </c>
      <c r="Z604" s="301" t="s">
        <v>37</v>
      </c>
      <c r="AA604" s="292"/>
      <c r="AB604" s="301"/>
      <c r="AC604" s="301"/>
      <c r="AD604" s="301"/>
      <c r="AE604" s="448"/>
      <c r="AF604" s="287">
        <f t="shared" ref="AF604:AF635" si="235">LN(N604)</f>
        <v>6.045005314036012</v>
      </c>
      <c r="AG604" s="287">
        <f t="shared" ref="AG604:AG635" si="236">LN(O604)</f>
        <v>6.0935697700451357</v>
      </c>
      <c r="AH604" s="288"/>
      <c r="AI604" s="288"/>
      <c r="AK604" s="286">
        <f t="shared" ref="AK604:AK635" si="237">N604*R604</f>
        <v>663.05022494419984</v>
      </c>
      <c r="AL604" s="286">
        <f t="shared" ref="AL604:AL635" si="238">AK604+J604</f>
        <v>684.05022494419984</v>
      </c>
      <c r="AM604" s="287">
        <f t="shared" ref="AM604:AM635" si="239">LN(AK604)</f>
        <v>6.4968507413803183</v>
      </c>
      <c r="AN604" s="287">
        <f t="shared" ref="AN604:AN635" si="240">LN(AL604)</f>
        <v>6.5280313432078199</v>
      </c>
      <c r="AO604" s="288"/>
      <c r="AP604" s="288"/>
      <c r="AR604" s="286">
        <f t="shared" ref="AR604:AR635" si="241">AK604*(eCEC/$I604)^$S604</f>
        <v>347.51887038607288</v>
      </c>
      <c r="AS604" s="286">
        <f t="shared" ref="AS604:AS635" si="242">AL604*(eCEC/$I604)^$Y604</f>
        <v>358.5254216299424</v>
      </c>
      <c r="AT604" s="287">
        <f t="shared" ref="AT604:AT635" si="243">LN(AR604)</f>
        <v>5.8508189667997526</v>
      </c>
      <c r="AU604" s="287">
        <f t="shared" ref="AU604:AU635" si="244">LN(AS604)</f>
        <v>5.8819995686272541</v>
      </c>
      <c r="AV604" s="299"/>
      <c r="AW604" s="299"/>
      <c r="AX604" s="286"/>
      <c r="AY604" s="286"/>
      <c r="AZ604" s="286"/>
      <c r="BA604" s="286"/>
      <c r="BB604" s="287"/>
      <c r="BC604" s="287"/>
      <c r="BD604" s="288"/>
      <c r="BE604" s="288"/>
    </row>
    <row r="605" spans="1:57" s="336" customFormat="1" x14ac:dyDescent="0.2">
      <c r="A605" s="326" t="s">
        <v>71</v>
      </c>
      <c r="B605" s="326" t="s">
        <v>35</v>
      </c>
      <c r="C605" s="428" t="s">
        <v>79</v>
      </c>
      <c r="D605" s="381" t="s">
        <v>358</v>
      </c>
      <c r="E605" s="361">
        <v>8.3000000000000007</v>
      </c>
      <c r="F605" s="361">
        <f>G605*1.72</f>
        <v>2.9927999999999999</v>
      </c>
      <c r="G605" s="361">
        <v>1.74</v>
      </c>
      <c r="H605" s="361">
        <v>45</v>
      </c>
      <c r="I605" s="361">
        <v>34.700000000000003</v>
      </c>
      <c r="J605" s="361">
        <v>27</v>
      </c>
      <c r="K605" s="394">
        <v>60</v>
      </c>
      <c r="L605" s="394">
        <v>40</v>
      </c>
      <c r="M605" s="394" t="s">
        <v>93</v>
      </c>
      <c r="N605" s="317">
        <v>40</v>
      </c>
      <c r="O605" s="231">
        <f t="shared" si="234"/>
        <v>67</v>
      </c>
      <c r="P605" s="231"/>
      <c r="Q605" s="231"/>
      <c r="R605" s="318">
        <f t="shared" si="230"/>
        <v>7.1718584498835591</v>
      </c>
      <c r="S605" s="328">
        <v>1.1200000000000001</v>
      </c>
      <c r="T605" s="314" t="s">
        <v>37</v>
      </c>
      <c r="U605" s="330"/>
      <c r="V605" s="331"/>
      <c r="W605" s="331"/>
      <c r="X605" s="331"/>
      <c r="Y605" s="328">
        <v>1.1200000000000001</v>
      </c>
      <c r="Z605" s="314" t="s">
        <v>37</v>
      </c>
      <c r="AA605" s="328"/>
      <c r="AB605" s="314"/>
      <c r="AC605" s="314"/>
      <c r="AD605" s="314"/>
      <c r="AE605" s="443"/>
      <c r="AF605" s="334">
        <f t="shared" si="235"/>
        <v>3.6888794541139363</v>
      </c>
      <c r="AG605" s="334">
        <f t="shared" si="236"/>
        <v>4.2046926193909657</v>
      </c>
      <c r="AH605" s="335"/>
      <c r="AI605" s="335"/>
      <c r="AK605" s="337">
        <f t="shared" si="237"/>
        <v>286.87433799534239</v>
      </c>
      <c r="AL605" s="337">
        <f t="shared" si="238"/>
        <v>313.87433799534239</v>
      </c>
      <c r="AM605" s="334">
        <f t="shared" si="239"/>
        <v>5.6590442731706387</v>
      </c>
      <c r="AN605" s="334">
        <f t="shared" si="240"/>
        <v>5.748992708340813</v>
      </c>
      <c r="AO605" s="335"/>
      <c r="AP605" s="335"/>
      <c r="AR605" s="337">
        <f t="shared" si="241"/>
        <v>81.11632175706508</v>
      </c>
      <c r="AS605" s="337">
        <f t="shared" si="242"/>
        <v>88.750816716583955</v>
      </c>
      <c r="AT605" s="334">
        <f t="shared" si="243"/>
        <v>4.3958841955833918</v>
      </c>
      <c r="AU605" s="334">
        <f t="shared" si="244"/>
        <v>4.4858326307535652</v>
      </c>
      <c r="AV605" s="338"/>
      <c r="AW605" s="338"/>
      <c r="AX605" s="265"/>
      <c r="AY605" s="265"/>
      <c r="AZ605" s="337"/>
      <c r="BA605" s="337"/>
      <c r="BB605" s="334"/>
      <c r="BC605" s="334"/>
      <c r="BD605" s="335"/>
      <c r="BE605" s="335"/>
    </row>
    <row r="606" spans="1:57" s="298" customFormat="1" x14ac:dyDescent="0.2">
      <c r="A606" s="290" t="s">
        <v>71</v>
      </c>
      <c r="B606" s="290" t="s">
        <v>35</v>
      </c>
      <c r="C606" s="425" t="s">
        <v>80</v>
      </c>
      <c r="D606" s="453" t="s">
        <v>74</v>
      </c>
      <c r="E606" s="387">
        <v>7.9</v>
      </c>
      <c r="F606" s="387"/>
      <c r="G606" s="387"/>
      <c r="H606" s="387">
        <v>26.6</v>
      </c>
      <c r="I606" s="300">
        <f>(30+4.4*E606)*(H606/100)+(-34.66+29.72*E606)*(F606/100)</f>
        <v>17.226160000000004</v>
      </c>
      <c r="J606" s="387">
        <v>54</v>
      </c>
      <c r="K606" s="454">
        <v>0</v>
      </c>
      <c r="L606" s="454">
        <v>45</v>
      </c>
      <c r="M606" s="454" t="s">
        <v>104</v>
      </c>
      <c r="N606" s="313">
        <v>119</v>
      </c>
      <c r="O606" s="295">
        <f t="shared" si="234"/>
        <v>173</v>
      </c>
      <c r="P606" s="295"/>
      <c r="Q606" s="295"/>
      <c r="R606" s="293">
        <f t="shared" si="230"/>
        <v>4.5254214873653833</v>
      </c>
      <c r="S606" s="292">
        <v>1.1200000000000001</v>
      </c>
      <c r="T606" s="301" t="s">
        <v>37</v>
      </c>
      <c r="U606" s="296"/>
      <c r="V606" s="297"/>
      <c r="W606" s="297"/>
      <c r="X606" s="297"/>
      <c r="Y606" s="292">
        <v>1.1200000000000001</v>
      </c>
      <c r="Z606" s="301" t="s">
        <v>37</v>
      </c>
      <c r="AA606" s="292"/>
      <c r="AB606" s="301"/>
      <c r="AC606" s="301"/>
      <c r="AD606" s="301"/>
      <c r="AE606" s="448"/>
      <c r="AF606" s="239">
        <f t="shared" si="235"/>
        <v>4.7791234931115296</v>
      </c>
      <c r="AG606" s="239">
        <f t="shared" si="236"/>
        <v>5.1532915944977793</v>
      </c>
      <c r="AH606" s="240"/>
      <c r="AI606" s="240"/>
      <c r="AK606" s="286">
        <f t="shared" si="237"/>
        <v>538.52515699648063</v>
      </c>
      <c r="AL606" s="286">
        <f t="shared" si="238"/>
        <v>592.52515699648063</v>
      </c>
      <c r="AM606" s="239">
        <f t="shared" si="239"/>
        <v>6.2888342123046543</v>
      </c>
      <c r="AN606" s="239">
        <f t="shared" si="240"/>
        <v>6.3843933311737153</v>
      </c>
      <c r="AO606" s="240"/>
      <c r="AP606" s="240"/>
      <c r="AR606" s="286">
        <f t="shared" si="241"/>
        <v>333.62644084200775</v>
      </c>
      <c r="AS606" s="286">
        <f t="shared" si="242"/>
        <v>367.08045421799966</v>
      </c>
      <c r="AT606" s="239">
        <f t="shared" si="243"/>
        <v>5.8100219264624817</v>
      </c>
      <c r="AU606" s="239">
        <f t="shared" si="244"/>
        <v>5.9055810453315427</v>
      </c>
      <c r="AV606" s="299"/>
      <c r="AW606" s="299"/>
      <c r="AX606" s="499">
        <f>GEOMEAN(AR606:AR607)</f>
        <v>189.25452197003278</v>
      </c>
      <c r="AY606" s="499">
        <f>GEOMEAN(AS606:AS607)</f>
        <v>229.00301379889837</v>
      </c>
      <c r="AZ606" s="499">
        <f>MIN(AX606:AX607)</f>
        <v>189.25452197003278</v>
      </c>
      <c r="BA606" s="499">
        <f>MIN(AY606:AY607)</f>
        <v>229.00301379889837</v>
      </c>
      <c r="BB606" s="500">
        <f>LN(AZ606)</f>
        <v>5.2430927861934329</v>
      </c>
      <c r="BC606" s="500">
        <f>LN(BA606)</f>
        <v>5.4337351641615177</v>
      </c>
      <c r="BD606" s="240"/>
      <c r="BE606" s="240"/>
    </row>
    <row r="607" spans="1:57" s="353" customFormat="1" ht="13.5" thickBot="1" x14ac:dyDescent="0.25">
      <c r="A607" s="339" t="s">
        <v>71</v>
      </c>
      <c r="B607" s="339" t="s">
        <v>35</v>
      </c>
      <c r="C607" s="515" t="s">
        <v>80</v>
      </c>
      <c r="D607" s="413" t="s">
        <v>74</v>
      </c>
      <c r="E607" s="418">
        <v>8.1999999999999993</v>
      </c>
      <c r="F607" s="418">
        <f>G607*1.72</f>
        <v>1.204</v>
      </c>
      <c r="G607" s="418">
        <v>0.7</v>
      </c>
      <c r="H607" s="418">
        <v>15.1</v>
      </c>
      <c r="I607" s="414">
        <f>(30+4.4*E607)*(H607/100)+(-34.66+29.72*E607)*(F607/100)</f>
        <v>12.49496976</v>
      </c>
      <c r="J607" s="418">
        <v>40</v>
      </c>
      <c r="K607" s="437">
        <v>0</v>
      </c>
      <c r="L607" s="437">
        <v>45</v>
      </c>
      <c r="M607" s="437" t="s">
        <v>104</v>
      </c>
      <c r="N607" s="439">
        <v>19</v>
      </c>
      <c r="O607" s="345">
        <f t="shared" si="234"/>
        <v>59</v>
      </c>
      <c r="P607" s="345"/>
      <c r="Q607" s="345"/>
      <c r="R607" s="342">
        <f t="shared" si="230"/>
        <v>6.3655559711219682</v>
      </c>
      <c r="S607" s="341">
        <v>1.1200000000000001</v>
      </c>
      <c r="T607" s="490" t="s">
        <v>37</v>
      </c>
      <c r="U607" s="343"/>
      <c r="V607" s="346"/>
      <c r="W607" s="346"/>
      <c r="X607" s="346"/>
      <c r="Y607" s="341">
        <v>1.1200000000000001</v>
      </c>
      <c r="Z607" s="490" t="s">
        <v>37</v>
      </c>
      <c r="AA607" s="341"/>
      <c r="AB607" s="490"/>
      <c r="AC607" s="490"/>
      <c r="AD607" s="490"/>
      <c r="AE607" s="516"/>
      <c r="AF607" s="351">
        <f t="shared" si="235"/>
        <v>2.9444389791664403</v>
      </c>
      <c r="AG607" s="351">
        <f t="shared" si="236"/>
        <v>4.0775374439057197</v>
      </c>
      <c r="AH607" s="352"/>
      <c r="AI607" s="352"/>
      <c r="AK607" s="354">
        <f t="shared" si="237"/>
        <v>120.9455634513174</v>
      </c>
      <c r="AL607" s="354">
        <f t="shared" si="238"/>
        <v>160.94556345131741</v>
      </c>
      <c r="AM607" s="351">
        <f t="shared" si="239"/>
        <v>4.7953405555343105</v>
      </c>
      <c r="AN607" s="351">
        <f t="shared" si="240"/>
        <v>5.0810661926014191</v>
      </c>
      <c r="AO607" s="352"/>
      <c r="AP607" s="352"/>
      <c r="AR607" s="354">
        <f t="shared" si="241"/>
        <v>107.35742046017046</v>
      </c>
      <c r="AS607" s="354">
        <f t="shared" si="242"/>
        <v>142.8634505770614</v>
      </c>
      <c r="AT607" s="351">
        <f t="shared" si="243"/>
        <v>4.676163645924384</v>
      </c>
      <c r="AU607" s="351">
        <f t="shared" si="244"/>
        <v>4.9618892829914927</v>
      </c>
      <c r="AV607" s="355"/>
      <c r="AW607" s="355"/>
      <c r="AX607" s="354"/>
      <c r="AY607" s="354"/>
      <c r="AZ607" s="354"/>
      <c r="BA607" s="354"/>
      <c r="BB607" s="351"/>
      <c r="BC607" s="351"/>
      <c r="BD607" s="352"/>
      <c r="BE607" s="352"/>
    </row>
    <row r="608" spans="1:57" s="298" customFormat="1" ht="13.5" thickTop="1" x14ac:dyDescent="0.2">
      <c r="A608" s="290" t="s">
        <v>71</v>
      </c>
      <c r="B608" s="290" t="s">
        <v>49</v>
      </c>
      <c r="C608" s="425" t="s">
        <v>57</v>
      </c>
      <c r="D608" s="381" t="s">
        <v>328</v>
      </c>
      <c r="E608" s="387">
        <v>3.6</v>
      </c>
      <c r="F608" s="387">
        <f t="shared" ref="F608:F622" si="245">G608*1.72</f>
        <v>2.9756</v>
      </c>
      <c r="G608" s="387">
        <v>1.73</v>
      </c>
      <c r="H608" s="387">
        <v>0.4</v>
      </c>
      <c r="I608" s="387">
        <v>1.84</v>
      </c>
      <c r="J608" s="387">
        <v>1</v>
      </c>
      <c r="K608" s="383">
        <v>7</v>
      </c>
      <c r="L608" s="383">
        <v>28</v>
      </c>
      <c r="M608" s="383" t="s">
        <v>104</v>
      </c>
      <c r="N608" s="426">
        <v>36.4</v>
      </c>
      <c r="O608" s="295">
        <f t="shared" si="234"/>
        <v>37.4</v>
      </c>
      <c r="P608" s="295"/>
      <c r="Q608" s="295"/>
      <c r="R608" s="293">
        <f t="shared" si="230"/>
        <v>1.008565609397498</v>
      </c>
      <c r="S608" s="292">
        <v>1.17</v>
      </c>
      <c r="T608" s="301" t="s">
        <v>37</v>
      </c>
      <c r="U608" s="295"/>
      <c r="V608" s="290"/>
      <c r="W608" s="290"/>
      <c r="X608" s="290"/>
      <c r="Y608" s="292">
        <v>1.17</v>
      </c>
      <c r="Z608" s="301" t="s">
        <v>37</v>
      </c>
      <c r="AA608" s="292"/>
      <c r="AB608" s="301"/>
      <c r="AC608" s="301"/>
      <c r="AD608" s="301"/>
      <c r="AE608" s="448"/>
      <c r="AF608" s="239">
        <f t="shared" si="235"/>
        <v>3.5945687746426951</v>
      </c>
      <c r="AG608" s="239">
        <f t="shared" si="236"/>
        <v>3.6216707044204863</v>
      </c>
      <c r="AH608" s="240"/>
      <c r="AI608" s="240"/>
      <c r="AK608" s="286">
        <f t="shared" si="237"/>
        <v>36.711788182068922</v>
      </c>
      <c r="AL608" s="286">
        <f t="shared" si="238"/>
        <v>37.711788182068922</v>
      </c>
      <c r="AM608" s="239">
        <f t="shared" si="239"/>
        <v>3.6030979073566929</v>
      </c>
      <c r="AN608" s="239">
        <f t="shared" si="240"/>
        <v>3.6299727294530575</v>
      </c>
      <c r="AO608" s="240"/>
      <c r="AP608" s="240"/>
      <c r="AR608" s="286">
        <f t="shared" si="241"/>
        <v>304.84592036049048</v>
      </c>
      <c r="AS608" s="286">
        <f t="shared" si="242"/>
        <v>313.14968150796261</v>
      </c>
      <c r="AT608" s="239">
        <f t="shared" si="243"/>
        <v>5.7198064698155031</v>
      </c>
      <c r="AU608" s="239">
        <f t="shared" si="244"/>
        <v>5.7466812919118677</v>
      </c>
      <c r="AV608" s="299"/>
      <c r="AW608" s="299"/>
      <c r="AX608" s="265">
        <f>GEOMEAN(AR608:AR623)</f>
        <v>417.13229041284819</v>
      </c>
      <c r="AY608" s="265">
        <f>GEOMEAN(AS608:AS623)</f>
        <v>435.73941639769657</v>
      </c>
      <c r="AZ608" s="265">
        <f>MIN(AX608:AX623)</f>
        <v>417.13229041284819</v>
      </c>
      <c r="BA608" s="265">
        <f>MIN(AY608:AY623)</f>
        <v>435.73941639769657</v>
      </c>
      <c r="BB608" s="239">
        <f>LN(AZ608)</f>
        <v>6.0334034146840976</v>
      </c>
      <c r="BC608" s="239">
        <f>LN(BA608)</f>
        <v>6.0770443958612113</v>
      </c>
      <c r="BD608" s="240"/>
      <c r="BE608" s="240"/>
    </row>
    <row r="609" spans="1:57" s="298" customFormat="1" x14ac:dyDescent="0.2">
      <c r="A609" s="290" t="s">
        <v>71</v>
      </c>
      <c r="B609" s="290" t="s">
        <v>49</v>
      </c>
      <c r="C609" s="425" t="s">
        <v>57</v>
      </c>
      <c r="D609" s="381" t="s">
        <v>328</v>
      </c>
      <c r="E609" s="387">
        <v>4.0999999999999996</v>
      </c>
      <c r="F609" s="387">
        <f t="shared" si="245"/>
        <v>56.845999999999997</v>
      </c>
      <c r="G609" s="387">
        <v>33.049999999999997</v>
      </c>
      <c r="H609" s="387">
        <v>34</v>
      </c>
      <c r="I609" s="387">
        <v>52.75</v>
      </c>
      <c r="J609" s="387">
        <v>26</v>
      </c>
      <c r="K609" s="383">
        <v>7</v>
      </c>
      <c r="L609" s="383">
        <v>28</v>
      </c>
      <c r="M609" s="383" t="s">
        <v>104</v>
      </c>
      <c r="N609" s="313">
        <v>558</v>
      </c>
      <c r="O609" s="295">
        <f t="shared" si="234"/>
        <v>584</v>
      </c>
      <c r="P609" s="295"/>
      <c r="Q609" s="295"/>
      <c r="R609" s="293">
        <f t="shared" si="230"/>
        <v>1.0172490191153463</v>
      </c>
      <c r="S609" s="292">
        <v>1.17</v>
      </c>
      <c r="T609" s="301" t="s">
        <v>37</v>
      </c>
      <c r="U609" s="295"/>
      <c r="V609" s="290"/>
      <c r="W609" s="290"/>
      <c r="X609" s="290"/>
      <c r="Y609" s="292">
        <v>1.17</v>
      </c>
      <c r="Z609" s="301" t="s">
        <v>37</v>
      </c>
      <c r="AA609" s="292"/>
      <c r="AB609" s="301"/>
      <c r="AC609" s="301"/>
      <c r="AD609" s="301"/>
      <c r="AE609" s="448"/>
      <c r="AF609" s="287">
        <f t="shared" si="235"/>
        <v>6.3243589623813108</v>
      </c>
      <c r="AG609" s="287">
        <f t="shared" si="236"/>
        <v>6.3699009828282271</v>
      </c>
      <c r="AH609" s="288"/>
      <c r="AI609" s="288"/>
      <c r="AK609" s="286">
        <f t="shared" si="237"/>
        <v>567.62495266636324</v>
      </c>
      <c r="AL609" s="286">
        <f t="shared" si="238"/>
        <v>593.62495266636324</v>
      </c>
      <c r="AM609" s="287">
        <f t="shared" si="239"/>
        <v>6.34146090602919</v>
      </c>
      <c r="AN609" s="287">
        <f t="shared" si="240"/>
        <v>6.3862477271326865</v>
      </c>
      <c r="AO609" s="288"/>
      <c r="AP609" s="288"/>
      <c r="AR609" s="286">
        <f t="shared" si="241"/>
        <v>92.933629178656872</v>
      </c>
      <c r="AS609" s="286">
        <f t="shared" si="242"/>
        <v>97.190444083101909</v>
      </c>
      <c r="AT609" s="287">
        <f t="shared" si="243"/>
        <v>4.5318855736277213</v>
      </c>
      <c r="AU609" s="287">
        <f t="shared" si="244"/>
        <v>4.5766723947312178</v>
      </c>
      <c r="AV609" s="299"/>
      <c r="AW609" s="299"/>
      <c r="AX609" s="286"/>
      <c r="AY609" s="286"/>
      <c r="AZ609" s="286"/>
      <c r="BA609" s="286"/>
      <c r="BB609" s="287"/>
      <c r="BC609" s="287"/>
      <c r="BD609" s="288"/>
      <c r="BE609" s="288"/>
    </row>
    <row r="610" spans="1:57" s="298" customFormat="1" x14ac:dyDescent="0.2">
      <c r="A610" s="290" t="s">
        <v>71</v>
      </c>
      <c r="B610" s="290" t="s">
        <v>49</v>
      </c>
      <c r="C610" s="425" t="s">
        <v>57</v>
      </c>
      <c r="D610" s="381" t="s">
        <v>328</v>
      </c>
      <c r="E610" s="387">
        <v>4.0999999999999996</v>
      </c>
      <c r="F610" s="387">
        <f t="shared" si="245"/>
        <v>0.43</v>
      </c>
      <c r="G610" s="387">
        <v>0.25</v>
      </c>
      <c r="H610" s="387">
        <v>25.3</v>
      </c>
      <c r="I610" s="387">
        <v>8.39</v>
      </c>
      <c r="J610" s="387">
        <v>16</v>
      </c>
      <c r="K610" s="383">
        <v>7</v>
      </c>
      <c r="L610" s="383">
        <v>28</v>
      </c>
      <c r="M610" s="383" t="s">
        <v>104</v>
      </c>
      <c r="N610" s="313">
        <v>120</v>
      </c>
      <c r="O610" s="295">
        <f t="shared" si="234"/>
        <v>136</v>
      </c>
      <c r="P610" s="295"/>
      <c r="Q610" s="295"/>
      <c r="R610" s="293">
        <f t="shared" si="230"/>
        <v>1.0172490191153463</v>
      </c>
      <c r="S610" s="292">
        <v>1.17</v>
      </c>
      <c r="T610" s="301" t="s">
        <v>37</v>
      </c>
      <c r="U610" s="295"/>
      <c r="V610" s="290"/>
      <c r="W610" s="290"/>
      <c r="X610" s="290"/>
      <c r="Y610" s="292">
        <v>1.17</v>
      </c>
      <c r="Z610" s="301" t="s">
        <v>37</v>
      </c>
      <c r="AA610" s="292"/>
      <c r="AB610" s="301"/>
      <c r="AC610" s="301"/>
      <c r="AD610" s="301"/>
      <c r="AE610" s="448"/>
      <c r="AF610" s="287">
        <f t="shared" si="235"/>
        <v>4.7874917427820458</v>
      </c>
      <c r="AG610" s="287">
        <f t="shared" si="236"/>
        <v>4.9126548857360524</v>
      </c>
      <c r="AH610" s="288"/>
      <c r="AI610" s="288"/>
      <c r="AK610" s="286">
        <f t="shared" si="237"/>
        <v>122.06988229384154</v>
      </c>
      <c r="AL610" s="286">
        <f t="shared" si="238"/>
        <v>138.06988229384154</v>
      </c>
      <c r="AM610" s="287">
        <f t="shared" si="239"/>
        <v>4.804593686429925</v>
      </c>
      <c r="AN610" s="287">
        <f t="shared" si="240"/>
        <v>4.9277599504169531</v>
      </c>
      <c r="AO610" s="288"/>
      <c r="AP610" s="288"/>
      <c r="AR610" s="286">
        <f t="shared" si="241"/>
        <v>171.75869551422045</v>
      </c>
      <c r="AS610" s="286">
        <f t="shared" si="242"/>
        <v>194.27153059349348</v>
      </c>
      <c r="AT610" s="287">
        <f t="shared" si="243"/>
        <v>5.1460905587246168</v>
      </c>
      <c r="AU610" s="287">
        <f t="shared" si="244"/>
        <v>5.2692568227116459</v>
      </c>
      <c r="AV610" s="299"/>
      <c r="AW610" s="299"/>
      <c r="AX610" s="286"/>
      <c r="AY610" s="286"/>
      <c r="AZ610" s="286"/>
      <c r="BA610" s="286"/>
      <c r="BB610" s="287"/>
      <c r="BC610" s="287"/>
      <c r="BD610" s="288"/>
      <c r="BE610" s="288"/>
    </row>
    <row r="611" spans="1:57" s="298" customFormat="1" x14ac:dyDescent="0.2">
      <c r="A611" s="290" t="s">
        <v>71</v>
      </c>
      <c r="B611" s="290" t="s">
        <v>49</v>
      </c>
      <c r="C611" s="425" t="s">
        <v>57</v>
      </c>
      <c r="D611" s="381" t="s">
        <v>328</v>
      </c>
      <c r="E611" s="387">
        <v>4.2</v>
      </c>
      <c r="F611" s="387">
        <f t="shared" si="245"/>
        <v>21.534399999999998</v>
      </c>
      <c r="G611" s="387">
        <v>12.52</v>
      </c>
      <c r="H611" s="387">
        <v>12.7</v>
      </c>
      <c r="I611" s="387">
        <v>11.91</v>
      </c>
      <c r="J611" s="387">
        <v>3</v>
      </c>
      <c r="K611" s="383">
        <v>7</v>
      </c>
      <c r="L611" s="383">
        <v>28</v>
      </c>
      <c r="M611" s="383" t="s">
        <v>104</v>
      </c>
      <c r="N611" s="313">
        <v>527</v>
      </c>
      <c r="O611" s="295">
        <f t="shared" si="234"/>
        <v>530</v>
      </c>
      <c r="P611" s="295"/>
      <c r="Q611" s="295"/>
      <c r="R611" s="293">
        <f t="shared" si="230"/>
        <v>1.0198410947443703</v>
      </c>
      <c r="S611" s="292">
        <v>1.17</v>
      </c>
      <c r="T611" s="301" t="s">
        <v>37</v>
      </c>
      <c r="U611" s="295"/>
      <c r="V611" s="290"/>
      <c r="W611" s="290"/>
      <c r="X611" s="290"/>
      <c r="Y611" s="292">
        <v>1.17</v>
      </c>
      <c r="Z611" s="301" t="s">
        <v>37</v>
      </c>
      <c r="AA611" s="292"/>
      <c r="AB611" s="301"/>
      <c r="AC611" s="301"/>
      <c r="AD611" s="301"/>
      <c r="AE611" s="448"/>
      <c r="AF611" s="287">
        <f t="shared" si="235"/>
        <v>6.2672005485413624</v>
      </c>
      <c r="AG611" s="287">
        <f t="shared" si="236"/>
        <v>6.2728770065461674</v>
      </c>
      <c r="AH611" s="288"/>
      <c r="AI611" s="288"/>
      <c r="AK611" s="286">
        <f t="shared" si="237"/>
        <v>537.45625693028319</v>
      </c>
      <c r="AL611" s="286">
        <f t="shared" si="238"/>
        <v>540.45625693028319</v>
      </c>
      <c r="AM611" s="287">
        <f t="shared" si="239"/>
        <v>6.2868473742347994</v>
      </c>
      <c r="AN611" s="287">
        <f t="shared" si="240"/>
        <v>6.292413703055411</v>
      </c>
      <c r="AO611" s="288"/>
      <c r="AP611" s="288"/>
      <c r="AR611" s="286">
        <f t="shared" si="241"/>
        <v>501.92411701972713</v>
      </c>
      <c r="AS611" s="286">
        <f t="shared" si="242"/>
        <v>504.72578195830187</v>
      </c>
      <c r="AT611" s="287">
        <f t="shared" si="243"/>
        <v>6.2184489469504216</v>
      </c>
      <c r="AU611" s="287">
        <f t="shared" si="244"/>
        <v>6.2240152757710332</v>
      </c>
      <c r="AV611" s="299"/>
      <c r="AW611" s="299"/>
      <c r="AX611" s="286"/>
      <c r="AY611" s="286"/>
      <c r="AZ611" s="286"/>
      <c r="BA611" s="286"/>
      <c r="BB611" s="287"/>
      <c r="BC611" s="287"/>
      <c r="BD611" s="288"/>
      <c r="BE611" s="288"/>
    </row>
    <row r="612" spans="1:57" s="298" customFormat="1" x14ac:dyDescent="0.2">
      <c r="A612" s="290" t="s">
        <v>71</v>
      </c>
      <c r="B612" s="290" t="s">
        <v>49</v>
      </c>
      <c r="C612" s="425" t="s">
        <v>57</v>
      </c>
      <c r="D612" s="381" t="s">
        <v>328</v>
      </c>
      <c r="E612" s="387">
        <v>4.5</v>
      </c>
      <c r="F612" s="387">
        <f t="shared" si="245"/>
        <v>2.2704</v>
      </c>
      <c r="G612" s="387">
        <v>1.32</v>
      </c>
      <c r="H612" s="387">
        <v>1.5</v>
      </c>
      <c r="I612" s="387">
        <v>1.84</v>
      </c>
      <c r="J612" s="387">
        <v>1</v>
      </c>
      <c r="K612" s="383">
        <v>7</v>
      </c>
      <c r="L612" s="383">
        <v>28</v>
      </c>
      <c r="M612" s="383" t="s">
        <v>104</v>
      </c>
      <c r="N612" s="313">
        <v>104</v>
      </c>
      <c r="O612" s="295">
        <f t="shared" si="234"/>
        <v>105</v>
      </c>
      <c r="P612" s="295"/>
      <c r="Q612" s="295"/>
      <c r="R612" s="293">
        <f t="shared" si="230"/>
        <v>1.0301973834223186</v>
      </c>
      <c r="S612" s="292">
        <v>1.17</v>
      </c>
      <c r="T612" s="301" t="s">
        <v>37</v>
      </c>
      <c r="U612" s="295"/>
      <c r="V612" s="290"/>
      <c r="W612" s="290"/>
      <c r="X612" s="290"/>
      <c r="Y612" s="292">
        <v>1.17</v>
      </c>
      <c r="Z612" s="301" t="s">
        <v>37</v>
      </c>
      <c r="AA612" s="292"/>
      <c r="AB612" s="301"/>
      <c r="AC612" s="301"/>
      <c r="AD612" s="301"/>
      <c r="AE612" s="448"/>
      <c r="AF612" s="287">
        <f t="shared" si="235"/>
        <v>4.6443908991413725</v>
      </c>
      <c r="AG612" s="287">
        <f t="shared" si="236"/>
        <v>4.6539603501575231</v>
      </c>
      <c r="AH612" s="288"/>
      <c r="AI612" s="288"/>
      <c r="AK612" s="286">
        <f t="shared" si="237"/>
        <v>107.14052787592114</v>
      </c>
      <c r="AL612" s="286">
        <f t="shared" si="238"/>
        <v>108.14052787592114</v>
      </c>
      <c r="AM612" s="287">
        <f t="shared" si="239"/>
        <v>4.6741413174139934</v>
      </c>
      <c r="AN612" s="287">
        <f t="shared" si="240"/>
        <v>4.6834315653541987</v>
      </c>
      <c r="AO612" s="288"/>
      <c r="AP612" s="288"/>
      <c r="AR612" s="286">
        <f t="shared" si="241"/>
        <v>889.66935269572889</v>
      </c>
      <c r="AS612" s="286">
        <f t="shared" si="242"/>
        <v>897.97311384320096</v>
      </c>
      <c r="AT612" s="287">
        <f t="shared" si="243"/>
        <v>6.7908498798728036</v>
      </c>
      <c r="AU612" s="287">
        <f t="shared" si="244"/>
        <v>6.8001401278130089</v>
      </c>
      <c r="AV612" s="299"/>
      <c r="AW612" s="299"/>
      <c r="AX612" s="286"/>
      <c r="AY612" s="286"/>
      <c r="AZ612" s="286"/>
      <c r="BA612" s="286"/>
      <c r="BB612" s="287"/>
      <c r="BC612" s="287"/>
      <c r="BD612" s="288"/>
      <c r="BE612" s="288"/>
    </row>
    <row r="613" spans="1:57" s="298" customFormat="1" x14ac:dyDescent="0.2">
      <c r="A613" s="290" t="s">
        <v>71</v>
      </c>
      <c r="B613" s="290" t="s">
        <v>49</v>
      </c>
      <c r="C613" s="425" t="s">
        <v>57</v>
      </c>
      <c r="D613" s="381" t="s">
        <v>328</v>
      </c>
      <c r="E613" s="387">
        <v>5.6</v>
      </c>
      <c r="F613" s="387">
        <f t="shared" si="245"/>
        <v>1.7027999999999999</v>
      </c>
      <c r="G613" s="387">
        <v>0.99</v>
      </c>
      <c r="H613" s="387">
        <v>46.9</v>
      </c>
      <c r="I613" s="387">
        <v>19.260000000000002</v>
      </c>
      <c r="J613" s="387">
        <v>19</v>
      </c>
      <c r="K613" s="383">
        <v>7</v>
      </c>
      <c r="L613" s="383">
        <v>28</v>
      </c>
      <c r="M613" s="383" t="s">
        <v>104</v>
      </c>
      <c r="N613" s="313">
        <v>101</v>
      </c>
      <c r="O613" s="295">
        <f t="shared" si="234"/>
        <v>120</v>
      </c>
      <c r="P613" s="295"/>
      <c r="Q613" s="295"/>
      <c r="R613" s="293">
        <f t="shared" si="230"/>
        <v>1.1408584209210448</v>
      </c>
      <c r="S613" s="292">
        <v>1.17</v>
      </c>
      <c r="T613" s="301" t="s">
        <v>37</v>
      </c>
      <c r="U613" s="295"/>
      <c r="V613" s="290"/>
      <c r="W613" s="290"/>
      <c r="X613" s="290"/>
      <c r="Y613" s="292">
        <v>1.17</v>
      </c>
      <c r="Z613" s="301" t="s">
        <v>37</v>
      </c>
      <c r="AA613" s="292"/>
      <c r="AB613" s="301"/>
      <c r="AC613" s="301"/>
      <c r="AD613" s="301"/>
      <c r="AE613" s="448"/>
      <c r="AF613" s="287">
        <f t="shared" si="235"/>
        <v>4.6151205168412597</v>
      </c>
      <c r="AG613" s="287">
        <f t="shared" si="236"/>
        <v>4.7874917427820458</v>
      </c>
      <c r="AH613" s="288"/>
      <c r="AI613" s="288"/>
      <c r="AK613" s="286">
        <f t="shared" si="237"/>
        <v>115.22670051302553</v>
      </c>
      <c r="AL613" s="286">
        <f t="shared" si="238"/>
        <v>134.22670051302555</v>
      </c>
      <c r="AM613" s="287">
        <f t="shared" si="239"/>
        <v>4.746901496692729</v>
      </c>
      <c r="AN613" s="287">
        <f t="shared" si="240"/>
        <v>4.8995301653513126</v>
      </c>
      <c r="AO613" s="288"/>
      <c r="AP613" s="288"/>
      <c r="AR613" s="286">
        <f t="shared" si="241"/>
        <v>61.322094021252155</v>
      </c>
      <c r="AS613" s="286">
        <f t="shared" si="242"/>
        <v>71.433637450130291</v>
      </c>
      <c r="AT613" s="287">
        <f t="shared" si="243"/>
        <v>4.1161402024951093</v>
      </c>
      <c r="AU613" s="287">
        <f t="shared" si="244"/>
        <v>4.2687688711536929</v>
      </c>
      <c r="AV613" s="299"/>
      <c r="AW613" s="299"/>
      <c r="AX613" s="286"/>
      <c r="AY613" s="286"/>
      <c r="AZ613" s="286"/>
      <c r="BA613" s="286"/>
      <c r="BB613" s="287"/>
      <c r="BC613" s="287"/>
      <c r="BD613" s="288"/>
      <c r="BE613" s="288"/>
    </row>
    <row r="614" spans="1:57" s="298" customFormat="1" x14ac:dyDescent="0.2">
      <c r="A614" s="290" t="s">
        <v>71</v>
      </c>
      <c r="B614" s="290" t="s">
        <v>49</v>
      </c>
      <c r="C614" s="425" t="s">
        <v>57</v>
      </c>
      <c r="D614" s="381" t="s">
        <v>328</v>
      </c>
      <c r="E614" s="387">
        <v>5.6</v>
      </c>
      <c r="F614" s="387">
        <f t="shared" si="245"/>
        <v>2.2876000000000003</v>
      </c>
      <c r="G614" s="387">
        <v>1.33</v>
      </c>
      <c r="H614" s="387">
        <v>4.3</v>
      </c>
      <c r="I614" s="387">
        <v>4.91</v>
      </c>
      <c r="J614" s="387">
        <v>3</v>
      </c>
      <c r="K614" s="383">
        <v>7</v>
      </c>
      <c r="L614" s="383">
        <v>28</v>
      </c>
      <c r="M614" s="383" t="s">
        <v>104</v>
      </c>
      <c r="N614" s="313">
        <v>180</v>
      </c>
      <c r="O614" s="295">
        <f t="shared" si="234"/>
        <v>183</v>
      </c>
      <c r="P614" s="295"/>
      <c r="Q614" s="295"/>
      <c r="R614" s="293">
        <f t="shared" si="230"/>
        <v>1.1408584209210448</v>
      </c>
      <c r="S614" s="292">
        <v>1.17</v>
      </c>
      <c r="T614" s="301" t="s">
        <v>37</v>
      </c>
      <c r="U614" s="295"/>
      <c r="V614" s="290"/>
      <c r="W614" s="290"/>
      <c r="X614" s="290"/>
      <c r="Y614" s="292">
        <v>1.17</v>
      </c>
      <c r="Z614" s="301" t="s">
        <v>37</v>
      </c>
      <c r="AA614" s="292"/>
      <c r="AB614" s="301"/>
      <c r="AC614" s="301"/>
      <c r="AD614" s="301"/>
      <c r="AE614" s="448"/>
      <c r="AF614" s="287">
        <f t="shared" si="235"/>
        <v>5.1929568508902104</v>
      </c>
      <c r="AG614" s="287">
        <f t="shared" si="236"/>
        <v>5.2094861528414214</v>
      </c>
      <c r="AH614" s="288"/>
      <c r="AI614" s="288"/>
      <c r="AK614" s="286">
        <f t="shared" si="237"/>
        <v>205.35451576578808</v>
      </c>
      <c r="AL614" s="286">
        <f t="shared" si="238"/>
        <v>208.35451576578808</v>
      </c>
      <c r="AM614" s="287">
        <f t="shared" si="239"/>
        <v>5.3247378307416797</v>
      </c>
      <c r="AN614" s="287">
        <f t="shared" si="240"/>
        <v>5.3392410315754537</v>
      </c>
      <c r="AO614" s="288"/>
      <c r="AP614" s="288"/>
      <c r="AR614" s="286">
        <f t="shared" si="241"/>
        <v>540.81734662999816</v>
      </c>
      <c r="AS614" s="286">
        <f t="shared" si="242"/>
        <v>548.71808372282374</v>
      </c>
      <c r="AT614" s="287">
        <f t="shared" si="243"/>
        <v>6.293081600083414</v>
      </c>
      <c r="AU614" s="287">
        <f t="shared" si="244"/>
        <v>6.307584800917188</v>
      </c>
      <c r="AV614" s="299"/>
      <c r="AW614" s="299"/>
      <c r="AX614" s="286"/>
      <c r="AY614" s="286"/>
      <c r="AZ614" s="286"/>
      <c r="BA614" s="286"/>
      <c r="BB614" s="287"/>
      <c r="BC614" s="287"/>
      <c r="BD614" s="288"/>
      <c r="BE614" s="288"/>
    </row>
    <row r="615" spans="1:57" s="298" customFormat="1" x14ac:dyDescent="0.2">
      <c r="A615" s="290" t="s">
        <v>71</v>
      </c>
      <c r="B615" s="290" t="s">
        <v>49</v>
      </c>
      <c r="C615" s="425" t="s">
        <v>57</v>
      </c>
      <c r="D615" s="381" t="s">
        <v>328</v>
      </c>
      <c r="E615" s="387">
        <v>6.1</v>
      </c>
      <c r="F615" s="387">
        <f t="shared" si="245"/>
        <v>7.3959999999999999</v>
      </c>
      <c r="G615" s="387">
        <v>4.3</v>
      </c>
      <c r="H615" s="387">
        <v>35.299999999999997</v>
      </c>
      <c r="I615" s="387">
        <v>28.87</v>
      </c>
      <c r="J615" s="387">
        <v>39</v>
      </c>
      <c r="K615" s="383">
        <v>7</v>
      </c>
      <c r="L615" s="383">
        <v>28</v>
      </c>
      <c r="M615" s="383" t="s">
        <v>104</v>
      </c>
      <c r="N615" s="313">
        <v>622</v>
      </c>
      <c r="O615" s="295">
        <f t="shared" si="234"/>
        <v>661</v>
      </c>
      <c r="P615" s="295"/>
      <c r="Q615" s="295"/>
      <c r="R615" s="293">
        <f t="shared" si="230"/>
        <v>1.2836540264997702</v>
      </c>
      <c r="S615" s="292">
        <v>1.17</v>
      </c>
      <c r="T615" s="301" t="s">
        <v>37</v>
      </c>
      <c r="U615" s="295"/>
      <c r="V615" s="290"/>
      <c r="W615" s="290"/>
      <c r="X615" s="290"/>
      <c r="Y615" s="292">
        <v>1.17</v>
      </c>
      <c r="Z615" s="301" t="s">
        <v>37</v>
      </c>
      <c r="AA615" s="292"/>
      <c r="AB615" s="301"/>
      <c r="AC615" s="301"/>
      <c r="AD615" s="301"/>
      <c r="AE615" s="448"/>
      <c r="AF615" s="287">
        <f t="shared" si="235"/>
        <v>6.4329400927391793</v>
      </c>
      <c r="AG615" s="287">
        <f t="shared" si="236"/>
        <v>6.4937538398516859</v>
      </c>
      <c r="AH615" s="288"/>
      <c r="AI615" s="288"/>
      <c r="AK615" s="286">
        <f t="shared" si="237"/>
        <v>798.43280448285714</v>
      </c>
      <c r="AL615" s="286">
        <f t="shared" si="238"/>
        <v>837.43280448285714</v>
      </c>
      <c r="AM615" s="287">
        <f t="shared" si="239"/>
        <v>6.6826508119323043</v>
      </c>
      <c r="AN615" s="287">
        <f t="shared" si="240"/>
        <v>6.7303410270270412</v>
      </c>
      <c r="AO615" s="288"/>
      <c r="AP615" s="288"/>
      <c r="AR615" s="286">
        <f t="shared" si="241"/>
        <v>264.62284626107521</v>
      </c>
      <c r="AS615" s="286">
        <f t="shared" si="242"/>
        <v>277.54853136098336</v>
      </c>
      <c r="AT615" s="287">
        <f t="shared" si="243"/>
        <v>5.5783055905879939</v>
      </c>
      <c r="AU615" s="287">
        <f t="shared" si="244"/>
        <v>5.6259958056827299</v>
      </c>
      <c r="AV615" s="299"/>
      <c r="AW615" s="299"/>
      <c r="AX615" s="286"/>
      <c r="AY615" s="286"/>
      <c r="AZ615" s="286"/>
      <c r="BA615" s="286"/>
      <c r="BB615" s="287"/>
      <c r="BC615" s="287"/>
      <c r="BD615" s="288"/>
      <c r="BE615" s="288"/>
    </row>
    <row r="616" spans="1:57" s="298" customFormat="1" x14ac:dyDescent="0.2">
      <c r="A616" s="290" t="s">
        <v>71</v>
      </c>
      <c r="B616" s="290" t="s">
        <v>49</v>
      </c>
      <c r="C616" s="425" t="s">
        <v>57</v>
      </c>
      <c r="D616" s="381" t="s">
        <v>328</v>
      </c>
      <c r="E616" s="387">
        <v>6.7</v>
      </c>
      <c r="F616" s="387">
        <f t="shared" si="245"/>
        <v>1.8748</v>
      </c>
      <c r="G616" s="387">
        <v>1.0900000000000001</v>
      </c>
      <c r="H616" s="387">
        <v>9.6</v>
      </c>
      <c r="I616" s="387">
        <v>7.8</v>
      </c>
      <c r="J616" s="387">
        <v>11</v>
      </c>
      <c r="K616" s="383">
        <v>7</v>
      </c>
      <c r="L616" s="383">
        <v>28</v>
      </c>
      <c r="M616" s="383" t="s">
        <v>104</v>
      </c>
      <c r="N616" s="313">
        <v>269</v>
      </c>
      <c r="O616" s="295">
        <f t="shared" si="234"/>
        <v>280</v>
      </c>
      <c r="P616" s="295"/>
      <c r="Q616" s="295"/>
      <c r="R616" s="293">
        <f t="shared" si="230"/>
        <v>1.657046819815057</v>
      </c>
      <c r="S616" s="292">
        <v>1.17</v>
      </c>
      <c r="T616" s="301" t="s">
        <v>37</v>
      </c>
      <c r="U616" s="295"/>
      <c r="V616" s="290"/>
      <c r="W616" s="290"/>
      <c r="X616" s="290"/>
      <c r="Y616" s="292">
        <v>1.17</v>
      </c>
      <c r="Z616" s="301" t="s">
        <v>37</v>
      </c>
      <c r="AA616" s="292"/>
      <c r="AB616" s="301"/>
      <c r="AC616" s="301"/>
      <c r="AD616" s="301"/>
      <c r="AE616" s="448"/>
      <c r="AF616" s="287">
        <f t="shared" si="235"/>
        <v>5.5947113796018391</v>
      </c>
      <c r="AG616" s="287">
        <f t="shared" si="236"/>
        <v>5.6347896031692493</v>
      </c>
      <c r="AH616" s="288"/>
      <c r="AI616" s="288"/>
      <c r="AK616" s="286">
        <f t="shared" si="237"/>
        <v>445.74559453025034</v>
      </c>
      <c r="AL616" s="286">
        <f t="shared" si="238"/>
        <v>456.74559453025034</v>
      </c>
      <c r="AM616" s="287">
        <f t="shared" si="239"/>
        <v>6.099748373419593</v>
      </c>
      <c r="AN616" s="287">
        <f t="shared" si="240"/>
        <v>6.1241265499576327</v>
      </c>
      <c r="AO616" s="288"/>
      <c r="AP616" s="288"/>
      <c r="AR616" s="286">
        <f t="shared" si="241"/>
        <v>683.043048579215</v>
      </c>
      <c r="AS616" s="286">
        <f t="shared" si="242"/>
        <v>699.89901670670588</v>
      </c>
      <c r="AT616" s="287">
        <f t="shared" si="243"/>
        <v>6.5265578862510605</v>
      </c>
      <c r="AU616" s="287">
        <f t="shared" si="244"/>
        <v>6.5509360627891002</v>
      </c>
      <c r="AV616" s="299"/>
      <c r="AW616" s="299"/>
      <c r="AX616" s="286"/>
      <c r="AY616" s="286"/>
      <c r="AZ616" s="286"/>
      <c r="BA616" s="286"/>
      <c r="BB616" s="287"/>
      <c r="BC616" s="287"/>
      <c r="BD616" s="288"/>
      <c r="BE616" s="288"/>
    </row>
    <row r="617" spans="1:57" s="298" customFormat="1" x14ac:dyDescent="0.2">
      <c r="A617" s="290" t="s">
        <v>71</v>
      </c>
      <c r="B617" s="290" t="s">
        <v>49</v>
      </c>
      <c r="C617" s="425" t="s">
        <v>57</v>
      </c>
      <c r="D617" s="381" t="s">
        <v>328</v>
      </c>
      <c r="E617" s="387">
        <v>7</v>
      </c>
      <c r="F617" s="387">
        <f t="shared" si="245"/>
        <v>0.77400000000000002</v>
      </c>
      <c r="G617" s="387">
        <v>0.45</v>
      </c>
      <c r="H617" s="387">
        <v>33.200000000000003</v>
      </c>
      <c r="I617" s="387">
        <v>12.85</v>
      </c>
      <c r="J617" s="387">
        <v>81</v>
      </c>
      <c r="K617" s="383">
        <v>7</v>
      </c>
      <c r="L617" s="383">
        <v>28</v>
      </c>
      <c r="M617" s="383" t="s">
        <v>104</v>
      </c>
      <c r="N617" s="313">
        <v>384</v>
      </c>
      <c r="O617" s="295">
        <f t="shared" si="234"/>
        <v>465</v>
      </c>
      <c r="P617" s="295"/>
      <c r="Q617" s="295"/>
      <c r="R617" s="293">
        <f t="shared" si="230"/>
        <v>2</v>
      </c>
      <c r="S617" s="292">
        <v>1.17</v>
      </c>
      <c r="T617" s="301" t="s">
        <v>37</v>
      </c>
      <c r="U617" s="295"/>
      <c r="V617" s="290"/>
      <c r="W617" s="290"/>
      <c r="X617" s="290"/>
      <c r="Y617" s="292">
        <v>1.17</v>
      </c>
      <c r="Z617" s="301" t="s">
        <v>37</v>
      </c>
      <c r="AA617" s="292"/>
      <c r="AB617" s="301"/>
      <c r="AC617" s="301"/>
      <c r="AD617" s="301"/>
      <c r="AE617" s="448"/>
      <c r="AF617" s="287">
        <f t="shared" si="235"/>
        <v>5.9506425525877269</v>
      </c>
      <c r="AG617" s="287">
        <f t="shared" si="236"/>
        <v>6.1420374055873559</v>
      </c>
      <c r="AH617" s="288"/>
      <c r="AI617" s="288"/>
      <c r="AK617" s="286">
        <f t="shared" si="237"/>
        <v>768</v>
      </c>
      <c r="AL617" s="286">
        <f t="shared" si="238"/>
        <v>849</v>
      </c>
      <c r="AM617" s="287">
        <f t="shared" si="239"/>
        <v>6.6437897331476723</v>
      </c>
      <c r="AN617" s="287">
        <f t="shared" si="240"/>
        <v>6.7440591863113477</v>
      </c>
      <c r="AO617" s="288"/>
      <c r="AP617" s="288"/>
      <c r="AR617" s="286">
        <f t="shared" si="241"/>
        <v>656.23027422724931</v>
      </c>
      <c r="AS617" s="286">
        <f t="shared" si="242"/>
        <v>725.44206096215453</v>
      </c>
      <c r="AT617" s="287">
        <f t="shared" si="243"/>
        <v>6.4865117551336908</v>
      </c>
      <c r="AU617" s="287">
        <f t="shared" si="244"/>
        <v>6.5867812082973662</v>
      </c>
      <c r="AV617" s="299"/>
      <c r="AW617" s="299"/>
      <c r="AX617" s="286"/>
      <c r="AY617" s="286"/>
      <c r="AZ617" s="286"/>
      <c r="BA617" s="286"/>
      <c r="BB617" s="287"/>
      <c r="BC617" s="287"/>
      <c r="BD617" s="288"/>
      <c r="BE617" s="288"/>
    </row>
    <row r="618" spans="1:57" s="298" customFormat="1" x14ac:dyDescent="0.2">
      <c r="A618" s="290" t="s">
        <v>71</v>
      </c>
      <c r="B618" s="290" t="s">
        <v>49</v>
      </c>
      <c r="C618" s="425" t="s">
        <v>57</v>
      </c>
      <c r="D618" s="381" t="s">
        <v>328</v>
      </c>
      <c r="E618" s="387">
        <v>7.6</v>
      </c>
      <c r="F618" s="387">
        <f t="shared" si="245"/>
        <v>1.9607999999999999</v>
      </c>
      <c r="G618" s="387">
        <v>1.1399999999999999</v>
      </c>
      <c r="H618" s="387">
        <v>19.899999999999999</v>
      </c>
      <c r="I618" s="387">
        <v>19.440000000000001</v>
      </c>
      <c r="J618" s="387">
        <v>19</v>
      </c>
      <c r="K618" s="383">
        <v>7</v>
      </c>
      <c r="L618" s="383">
        <v>28</v>
      </c>
      <c r="M618" s="383" t="s">
        <v>104</v>
      </c>
      <c r="N618" s="313">
        <v>662</v>
      </c>
      <c r="O618" s="295">
        <f t="shared" si="234"/>
        <v>681</v>
      </c>
      <c r="P618" s="295"/>
      <c r="Q618" s="295"/>
      <c r="R618" s="293">
        <f t="shared" si="230"/>
        <v>3.3163669767810902</v>
      </c>
      <c r="S618" s="292">
        <v>1.17</v>
      </c>
      <c r="T618" s="301" t="s">
        <v>37</v>
      </c>
      <c r="U618" s="295"/>
      <c r="V618" s="290"/>
      <c r="W618" s="290"/>
      <c r="X618" s="290"/>
      <c r="Y618" s="292">
        <v>1.17</v>
      </c>
      <c r="Z618" s="301" t="s">
        <v>37</v>
      </c>
      <c r="AA618" s="292"/>
      <c r="AB618" s="301"/>
      <c r="AC618" s="301"/>
      <c r="AD618" s="301"/>
      <c r="AE618" s="448"/>
      <c r="AF618" s="287">
        <f t="shared" si="235"/>
        <v>6.4952655559370083</v>
      </c>
      <c r="AG618" s="287">
        <f t="shared" si="236"/>
        <v>6.523562306149512</v>
      </c>
      <c r="AH618" s="288"/>
      <c r="AI618" s="288"/>
      <c r="AK618" s="286">
        <f t="shared" si="237"/>
        <v>2195.4349386290819</v>
      </c>
      <c r="AL618" s="286">
        <f t="shared" si="238"/>
        <v>2214.4349386290819</v>
      </c>
      <c r="AM618" s="287">
        <f t="shared" si="239"/>
        <v>7.6941354555973307</v>
      </c>
      <c r="AN618" s="287">
        <f t="shared" si="240"/>
        <v>7.7027525432202504</v>
      </c>
      <c r="AO618" s="288"/>
      <c r="AP618" s="288"/>
      <c r="AR618" s="286">
        <f t="shared" si="241"/>
        <v>1155.7333562987023</v>
      </c>
      <c r="AS618" s="286">
        <f t="shared" si="242"/>
        <v>1165.7354444422879</v>
      </c>
      <c r="AT618" s="287">
        <f t="shared" si="243"/>
        <v>7.0524903619848045</v>
      </c>
      <c r="AU618" s="287">
        <f t="shared" si="244"/>
        <v>7.0611074496077242</v>
      </c>
      <c r="AV618" s="299"/>
      <c r="AW618" s="299"/>
      <c r="AX618" s="286"/>
      <c r="AY618" s="286"/>
      <c r="AZ618" s="286"/>
      <c r="BA618" s="286"/>
      <c r="BB618" s="287"/>
      <c r="BC618" s="287"/>
      <c r="BD618" s="288"/>
      <c r="BE618" s="288"/>
    </row>
    <row r="619" spans="1:57" s="298" customFormat="1" x14ac:dyDescent="0.2">
      <c r="A619" s="290" t="s">
        <v>71</v>
      </c>
      <c r="B619" s="290" t="s">
        <v>49</v>
      </c>
      <c r="C619" s="425" t="s">
        <v>57</v>
      </c>
      <c r="D619" s="381" t="s">
        <v>328</v>
      </c>
      <c r="E619" s="387">
        <v>7.5</v>
      </c>
      <c r="F619" s="387">
        <f t="shared" si="245"/>
        <v>2.3564000000000003</v>
      </c>
      <c r="G619" s="387">
        <v>1.37</v>
      </c>
      <c r="H619" s="387">
        <v>49.2</v>
      </c>
      <c r="I619" s="387">
        <v>23.57</v>
      </c>
      <c r="J619" s="387">
        <v>113</v>
      </c>
      <c r="K619" s="383">
        <v>7</v>
      </c>
      <c r="L619" s="383">
        <v>28</v>
      </c>
      <c r="M619" s="383" t="s">
        <v>93</v>
      </c>
      <c r="N619" s="313">
        <v>828</v>
      </c>
      <c r="O619" s="295">
        <f t="shared" si="234"/>
        <v>941</v>
      </c>
      <c r="P619" s="295"/>
      <c r="Q619" s="295"/>
      <c r="R619" s="293">
        <f t="shared" si="230"/>
        <v>3.0137527074704766</v>
      </c>
      <c r="S619" s="292">
        <v>1.17</v>
      </c>
      <c r="T619" s="301" t="s">
        <v>37</v>
      </c>
      <c r="U619" s="295"/>
      <c r="V619" s="290"/>
      <c r="W619" s="290"/>
      <c r="X619" s="290"/>
      <c r="Y619" s="292">
        <v>1.17</v>
      </c>
      <c r="Z619" s="301" t="s">
        <v>37</v>
      </c>
      <c r="AA619" s="292"/>
      <c r="AB619" s="301"/>
      <c r="AC619" s="301"/>
      <c r="AD619" s="301"/>
      <c r="AE619" s="448"/>
      <c r="AF619" s="287">
        <f t="shared" si="235"/>
        <v>6.7190131543852596</v>
      </c>
      <c r="AG619" s="287">
        <f t="shared" si="236"/>
        <v>6.8469431395853793</v>
      </c>
      <c r="AH619" s="288"/>
      <c r="AI619" s="288"/>
      <c r="AK619" s="286">
        <f t="shared" si="237"/>
        <v>2495.3872417855546</v>
      </c>
      <c r="AL619" s="286">
        <f t="shared" si="238"/>
        <v>2608.3872417855546</v>
      </c>
      <c r="AM619" s="287">
        <f t="shared" si="239"/>
        <v>7.8221992032707179</v>
      </c>
      <c r="AN619" s="287">
        <f t="shared" si="240"/>
        <v>7.8664873943038778</v>
      </c>
      <c r="AO619" s="288"/>
      <c r="AP619" s="288"/>
      <c r="AR619" s="286">
        <f t="shared" si="241"/>
        <v>1048.5495064682241</v>
      </c>
      <c r="AS619" s="286">
        <f t="shared" si="242"/>
        <v>1096.0315534414735</v>
      </c>
      <c r="AT619" s="287">
        <f t="shared" si="243"/>
        <v>6.9551630656967678</v>
      </c>
      <c r="AU619" s="287">
        <f t="shared" si="244"/>
        <v>6.9994512567299285</v>
      </c>
      <c r="AV619" s="299"/>
      <c r="AW619" s="299"/>
      <c r="AX619" s="286"/>
      <c r="AY619" s="286"/>
      <c r="AZ619" s="286"/>
      <c r="BA619" s="286"/>
      <c r="BB619" s="287"/>
      <c r="BC619" s="287"/>
      <c r="BD619" s="288"/>
      <c r="BE619" s="288"/>
    </row>
    <row r="620" spans="1:57" s="298" customFormat="1" x14ac:dyDescent="0.2">
      <c r="A620" s="290" t="s">
        <v>71</v>
      </c>
      <c r="B620" s="290" t="s">
        <v>49</v>
      </c>
      <c r="C620" s="425" t="s">
        <v>57</v>
      </c>
      <c r="D620" s="381" t="s">
        <v>328</v>
      </c>
      <c r="E620" s="387">
        <v>7.6</v>
      </c>
      <c r="F620" s="387">
        <f t="shared" si="245"/>
        <v>0.84279999999999999</v>
      </c>
      <c r="G620" s="387">
        <v>0.49</v>
      </c>
      <c r="H620" s="387">
        <v>55.4</v>
      </c>
      <c r="I620" s="387">
        <v>35.26</v>
      </c>
      <c r="J620" s="387">
        <v>24</v>
      </c>
      <c r="K620" s="383">
        <v>7</v>
      </c>
      <c r="L620" s="383">
        <v>28</v>
      </c>
      <c r="M620" s="383" t="s">
        <v>104</v>
      </c>
      <c r="N620" s="313">
        <v>1100</v>
      </c>
      <c r="O620" s="295">
        <f t="shared" si="234"/>
        <v>1124</v>
      </c>
      <c r="P620" s="295"/>
      <c r="Q620" s="295"/>
      <c r="R620" s="293">
        <f t="shared" si="230"/>
        <v>3.3163669767810902</v>
      </c>
      <c r="S620" s="292">
        <v>1.17</v>
      </c>
      <c r="T620" s="301" t="s">
        <v>37</v>
      </c>
      <c r="U620" s="295"/>
      <c r="V620" s="290"/>
      <c r="W620" s="290"/>
      <c r="X620" s="290"/>
      <c r="Y620" s="292">
        <v>1.17</v>
      </c>
      <c r="Z620" s="301" t="s">
        <v>37</v>
      </c>
      <c r="AA620" s="292"/>
      <c r="AB620" s="301"/>
      <c r="AC620" s="301"/>
      <c r="AD620" s="301"/>
      <c r="AE620" s="448"/>
      <c r="AF620" s="287">
        <f t="shared" si="235"/>
        <v>7.0030654587864616</v>
      </c>
      <c r="AG620" s="287">
        <f t="shared" si="236"/>
        <v>7.0246490304536362</v>
      </c>
      <c r="AH620" s="288"/>
      <c r="AI620" s="288"/>
      <c r="AK620" s="286">
        <f t="shared" si="237"/>
        <v>3648.0036744591994</v>
      </c>
      <c r="AL620" s="286">
        <f t="shared" si="238"/>
        <v>3672.0036744591994</v>
      </c>
      <c r="AM620" s="287">
        <f t="shared" si="239"/>
        <v>8.201935358446784</v>
      </c>
      <c r="AN620" s="287">
        <f t="shared" si="240"/>
        <v>8.2084927524095974</v>
      </c>
      <c r="AO620" s="288"/>
      <c r="AP620" s="288"/>
      <c r="AR620" s="286">
        <f t="shared" si="241"/>
        <v>956.85618442035263</v>
      </c>
      <c r="AS620" s="286">
        <f t="shared" si="242"/>
        <v>963.15128455604338</v>
      </c>
      <c r="AT620" s="287">
        <f t="shared" si="243"/>
        <v>6.8636531026474641</v>
      </c>
      <c r="AU620" s="287">
        <f t="shared" si="244"/>
        <v>6.8702104966102766</v>
      </c>
      <c r="AV620" s="299"/>
      <c r="AW620" s="299"/>
      <c r="AX620" s="286"/>
      <c r="AY620" s="286"/>
      <c r="AZ620" s="286"/>
      <c r="BA620" s="286"/>
      <c r="BB620" s="287"/>
      <c r="BC620" s="287"/>
      <c r="BD620" s="288"/>
      <c r="BE620" s="288"/>
    </row>
    <row r="621" spans="1:57" s="298" customFormat="1" x14ac:dyDescent="0.2">
      <c r="A621" s="290" t="s">
        <v>71</v>
      </c>
      <c r="B621" s="290" t="s">
        <v>49</v>
      </c>
      <c r="C621" s="425" t="s">
        <v>57</v>
      </c>
      <c r="D621" s="381" t="s">
        <v>328</v>
      </c>
      <c r="E621" s="387">
        <v>7.6</v>
      </c>
      <c r="F621" s="387">
        <f t="shared" si="245"/>
        <v>0.91160000000000008</v>
      </c>
      <c r="G621" s="387">
        <v>0.53</v>
      </c>
      <c r="H621" s="387">
        <v>19.8</v>
      </c>
      <c r="I621" s="387">
        <v>13.35</v>
      </c>
      <c r="J621" s="387">
        <v>18</v>
      </c>
      <c r="K621" s="383">
        <v>7</v>
      </c>
      <c r="L621" s="383">
        <v>28</v>
      </c>
      <c r="M621" s="383" t="s">
        <v>104</v>
      </c>
      <c r="N621" s="426">
        <v>61.7</v>
      </c>
      <c r="O621" s="295">
        <f t="shared" si="234"/>
        <v>79.7</v>
      </c>
      <c r="P621" s="295"/>
      <c r="Q621" s="295"/>
      <c r="R621" s="293">
        <f t="shared" si="230"/>
        <v>3.3163669767810902</v>
      </c>
      <c r="S621" s="292">
        <v>1.17</v>
      </c>
      <c r="T621" s="301" t="s">
        <v>37</v>
      </c>
      <c r="U621" s="295"/>
      <c r="V621" s="290"/>
      <c r="W621" s="290"/>
      <c r="X621" s="290"/>
      <c r="Y621" s="292">
        <v>1.17</v>
      </c>
      <c r="Z621" s="301" t="s">
        <v>37</v>
      </c>
      <c r="AA621" s="292"/>
      <c r="AB621" s="301"/>
      <c r="AC621" s="301"/>
      <c r="AD621" s="301"/>
      <c r="AE621" s="448"/>
      <c r="AF621" s="287">
        <f t="shared" si="235"/>
        <v>4.1222839309113422</v>
      </c>
      <c r="AG621" s="287">
        <f t="shared" si="236"/>
        <v>4.3782695857961693</v>
      </c>
      <c r="AH621" s="288"/>
      <c r="AI621" s="288"/>
      <c r="AK621" s="286">
        <f t="shared" si="237"/>
        <v>204.61984246739328</v>
      </c>
      <c r="AL621" s="286">
        <f t="shared" si="238"/>
        <v>222.61984246739328</v>
      </c>
      <c r="AM621" s="287">
        <f t="shared" si="239"/>
        <v>5.3211538305716646</v>
      </c>
      <c r="AN621" s="287">
        <f t="shared" si="240"/>
        <v>5.4054655744347571</v>
      </c>
      <c r="AO621" s="288"/>
      <c r="AP621" s="288"/>
      <c r="AR621" s="286">
        <f t="shared" si="241"/>
        <v>167.20388592467233</v>
      </c>
      <c r="AS621" s="286">
        <f t="shared" si="242"/>
        <v>181.91247874906423</v>
      </c>
      <c r="AT621" s="287">
        <f t="shared" si="243"/>
        <v>5.119213941556799</v>
      </c>
      <c r="AU621" s="287">
        <f t="shared" si="244"/>
        <v>5.2035256854198915</v>
      </c>
      <c r="AV621" s="299"/>
      <c r="AW621" s="299"/>
      <c r="AX621" s="286"/>
      <c r="AY621" s="286"/>
      <c r="AZ621" s="286"/>
      <c r="BA621" s="286"/>
      <c r="BB621" s="287"/>
      <c r="BC621" s="287"/>
      <c r="BD621" s="288"/>
      <c r="BE621" s="288"/>
    </row>
    <row r="622" spans="1:57" s="298" customFormat="1" x14ac:dyDescent="0.2">
      <c r="A622" s="290" t="s">
        <v>71</v>
      </c>
      <c r="B622" s="290" t="s">
        <v>49</v>
      </c>
      <c r="C622" s="425" t="s">
        <v>57</v>
      </c>
      <c r="D622" s="381" t="s">
        <v>328</v>
      </c>
      <c r="E622" s="387">
        <v>7.7</v>
      </c>
      <c r="F622" s="387">
        <f t="shared" si="245"/>
        <v>0.53320000000000001</v>
      </c>
      <c r="G622" s="387">
        <v>0.31</v>
      </c>
      <c r="H622" s="387">
        <v>17.2</v>
      </c>
      <c r="I622" s="387">
        <v>13.27</v>
      </c>
      <c r="J622" s="387">
        <v>11</v>
      </c>
      <c r="K622" s="383">
        <v>7</v>
      </c>
      <c r="L622" s="383">
        <v>28</v>
      </c>
      <c r="M622" s="383" t="s">
        <v>104</v>
      </c>
      <c r="N622" s="313">
        <v>562</v>
      </c>
      <c r="O622" s="295">
        <f t="shared" si="234"/>
        <v>573</v>
      </c>
      <c r="P622" s="295"/>
      <c r="Q622" s="295"/>
      <c r="R622" s="293">
        <f t="shared" si="230"/>
        <v>3.6644562419294178</v>
      </c>
      <c r="S622" s="292">
        <v>1.17</v>
      </c>
      <c r="T622" s="301" t="s">
        <v>37</v>
      </c>
      <c r="U622" s="295"/>
      <c r="V622" s="290"/>
      <c r="W622" s="290"/>
      <c r="X622" s="290"/>
      <c r="Y622" s="292">
        <v>1.17</v>
      </c>
      <c r="Z622" s="301" t="s">
        <v>37</v>
      </c>
      <c r="AA622" s="292"/>
      <c r="AB622" s="301"/>
      <c r="AC622" s="301"/>
      <c r="AD622" s="301"/>
      <c r="AE622" s="448"/>
      <c r="AF622" s="287">
        <f t="shared" si="235"/>
        <v>6.3315018498936908</v>
      </c>
      <c r="AG622" s="287">
        <f t="shared" si="236"/>
        <v>6.3508857167147399</v>
      </c>
      <c r="AH622" s="288"/>
      <c r="AI622" s="288"/>
      <c r="AK622" s="286">
        <f t="shared" si="237"/>
        <v>2059.4244079643327</v>
      </c>
      <c r="AL622" s="286">
        <f t="shared" si="238"/>
        <v>2070.4244079643327</v>
      </c>
      <c r="AM622" s="287">
        <f t="shared" si="239"/>
        <v>7.630181809130824</v>
      </c>
      <c r="AN622" s="287">
        <f t="shared" si="240"/>
        <v>7.635508893246139</v>
      </c>
      <c r="AO622" s="288"/>
      <c r="AP622" s="288"/>
      <c r="AR622" s="286">
        <f t="shared" si="241"/>
        <v>1694.7224292048904</v>
      </c>
      <c r="AS622" s="286">
        <f t="shared" si="242"/>
        <v>1703.7744471615392</v>
      </c>
      <c r="AT622" s="287">
        <f t="shared" si="243"/>
        <v>7.4352742478234646</v>
      </c>
      <c r="AU622" s="287">
        <f t="shared" si="244"/>
        <v>7.4406013319387805</v>
      </c>
      <c r="AV622" s="299"/>
      <c r="AW622" s="299"/>
      <c r="AX622" s="286"/>
      <c r="AY622" s="286"/>
      <c r="AZ622" s="286"/>
      <c r="BA622" s="286"/>
      <c r="BB622" s="287"/>
      <c r="BC622" s="287"/>
      <c r="BD622" s="288"/>
      <c r="BE622" s="288"/>
    </row>
    <row r="623" spans="1:57" s="336" customFormat="1" x14ac:dyDescent="0.2">
      <c r="A623" s="326" t="s">
        <v>71</v>
      </c>
      <c r="B623" s="326" t="s">
        <v>49</v>
      </c>
      <c r="C623" s="428" t="s">
        <v>57</v>
      </c>
      <c r="D623" s="391" t="s">
        <v>328</v>
      </c>
      <c r="E623" s="361">
        <v>6</v>
      </c>
      <c r="F623" s="361">
        <v>10</v>
      </c>
      <c r="G623" s="361">
        <v>5.8</v>
      </c>
      <c r="H623" s="361">
        <v>20</v>
      </c>
      <c r="I623" s="393">
        <f t="shared" ref="I623" si="246">(30+4.4*E623)*(0/100)+(-34.66+29.72*E623)*(F623/100)</f>
        <v>14.366</v>
      </c>
      <c r="J623" s="502">
        <v>0</v>
      </c>
      <c r="K623" s="394">
        <v>0</v>
      </c>
      <c r="L623" s="394">
        <v>28</v>
      </c>
      <c r="M623" s="394" t="s">
        <v>93</v>
      </c>
      <c r="N623" s="317">
        <v>320</v>
      </c>
      <c r="O623" s="231">
        <f t="shared" si="234"/>
        <v>320</v>
      </c>
      <c r="P623" s="231"/>
      <c r="Q623" s="231"/>
      <c r="R623" s="318">
        <f t="shared" si="230"/>
        <v>1.2465969639416066</v>
      </c>
      <c r="S623" s="328">
        <v>1.17</v>
      </c>
      <c r="T623" s="314" t="s">
        <v>37</v>
      </c>
      <c r="U623" s="231"/>
      <c r="V623" s="326"/>
      <c r="W623" s="326"/>
      <c r="X623" s="326"/>
      <c r="Y623" s="328">
        <v>1.17</v>
      </c>
      <c r="Z623" s="314" t="s">
        <v>37</v>
      </c>
      <c r="AA623" s="328"/>
      <c r="AB623" s="314"/>
      <c r="AC623" s="314"/>
      <c r="AD623" s="314"/>
      <c r="AE623" s="443"/>
      <c r="AF623" s="334">
        <f t="shared" si="235"/>
        <v>5.768320995793772</v>
      </c>
      <c r="AG623" s="334">
        <f t="shared" si="236"/>
        <v>5.768320995793772</v>
      </c>
      <c r="AH623" s="335"/>
      <c r="AI623" s="335"/>
      <c r="AK623" s="337">
        <f t="shared" si="237"/>
        <v>398.91102846131412</v>
      </c>
      <c r="AL623" s="337">
        <f t="shared" si="238"/>
        <v>398.91102846131412</v>
      </c>
      <c r="AM623" s="334">
        <f t="shared" si="239"/>
        <v>5.9887384057122235</v>
      </c>
      <c r="AN623" s="334">
        <f t="shared" si="240"/>
        <v>5.9887384057122235</v>
      </c>
      <c r="AO623" s="335"/>
      <c r="AP623" s="335"/>
      <c r="AR623" s="337">
        <f t="shared" si="241"/>
        <v>299.16086887272849</v>
      </c>
      <c r="AS623" s="337">
        <f t="shared" si="242"/>
        <v>299.16086887272849</v>
      </c>
      <c r="AT623" s="334">
        <f t="shared" si="243"/>
        <v>5.7009814516939263</v>
      </c>
      <c r="AU623" s="334">
        <f t="shared" si="244"/>
        <v>5.7009814516939263</v>
      </c>
      <c r="AV623" s="338"/>
      <c r="AW623" s="338"/>
      <c r="AX623" s="337"/>
      <c r="AY623" s="337"/>
      <c r="AZ623" s="337"/>
      <c r="BA623" s="337"/>
      <c r="BB623" s="334"/>
      <c r="BC623" s="334"/>
      <c r="BD623" s="335"/>
      <c r="BE623" s="335"/>
    </row>
    <row r="624" spans="1:57" s="336" customFormat="1" x14ac:dyDescent="0.2">
      <c r="A624" s="326" t="s">
        <v>71</v>
      </c>
      <c r="B624" s="326" t="s">
        <v>49</v>
      </c>
      <c r="C624" s="428" t="s">
        <v>58</v>
      </c>
      <c r="D624" s="381" t="s">
        <v>328</v>
      </c>
      <c r="E624" s="361">
        <v>5.5</v>
      </c>
      <c r="F624" s="361">
        <f t="shared" ref="F624:F640" si="247">G624*1.72</f>
        <v>3.9559999999999995</v>
      </c>
      <c r="G624" s="361">
        <v>2.2999999999999998</v>
      </c>
      <c r="H624" s="361">
        <v>5</v>
      </c>
      <c r="I624" s="393">
        <f>(30+4.4*E624)*(H624/100)+(-34.66+29.72*E624)*(F624/100)</f>
        <v>7.8053279999999994</v>
      </c>
      <c r="J624" s="361">
        <v>6</v>
      </c>
      <c r="K624" s="394">
        <v>1</v>
      </c>
      <c r="L624" s="394">
        <v>21</v>
      </c>
      <c r="M624" s="394" t="s">
        <v>104</v>
      </c>
      <c r="N624" s="317">
        <v>173</v>
      </c>
      <c r="O624" s="231">
        <f t="shared" si="234"/>
        <v>179</v>
      </c>
      <c r="P624" s="231"/>
      <c r="Q624" s="231"/>
      <c r="R624" s="318">
        <f t="shared" si="230"/>
        <v>1.1224564282529819</v>
      </c>
      <c r="S624" s="328">
        <v>1.17</v>
      </c>
      <c r="T624" s="314" t="s">
        <v>37</v>
      </c>
      <c r="U624" s="231"/>
      <c r="V624" s="326"/>
      <c r="W624" s="326"/>
      <c r="X624" s="326"/>
      <c r="Y624" s="328">
        <v>1.17</v>
      </c>
      <c r="Z624" s="314" t="s">
        <v>37</v>
      </c>
      <c r="AA624" s="328"/>
      <c r="AB624" s="314"/>
      <c r="AC624" s="314"/>
      <c r="AD624" s="314"/>
      <c r="AE624" s="443"/>
      <c r="AF624" s="166">
        <f t="shared" si="235"/>
        <v>5.1532915944977793</v>
      </c>
      <c r="AG624" s="166">
        <f t="shared" si="236"/>
        <v>5.1873858058407549</v>
      </c>
      <c r="AH624" s="169"/>
      <c r="AI624" s="169"/>
      <c r="AK624" s="337">
        <f t="shared" si="237"/>
        <v>194.18496208776585</v>
      </c>
      <c r="AL624" s="337">
        <f t="shared" si="238"/>
        <v>200.18496208776585</v>
      </c>
      <c r="AM624" s="166">
        <f t="shared" si="239"/>
        <v>5.2688111176775339</v>
      </c>
      <c r="AN624" s="166">
        <f t="shared" si="240"/>
        <v>5.2992417496131647</v>
      </c>
      <c r="AO624" s="169"/>
      <c r="AP624" s="169"/>
      <c r="AR624" s="337">
        <f t="shared" si="241"/>
        <v>297.32377702421337</v>
      </c>
      <c r="AS624" s="337">
        <f t="shared" si="242"/>
        <v>306.51059892311508</v>
      </c>
      <c r="AT624" s="166">
        <f t="shared" si="243"/>
        <v>5.6948217033423028</v>
      </c>
      <c r="AU624" s="166">
        <f t="shared" si="244"/>
        <v>5.7252523352779345</v>
      </c>
      <c r="AV624" s="338"/>
      <c r="AW624" s="338"/>
      <c r="AX624" s="168">
        <f>GEOMEAN(AR624)</f>
        <v>297.32377702421337</v>
      </c>
      <c r="AY624" s="168">
        <f>GEOMEAN(AS624)</f>
        <v>306.51059892311508</v>
      </c>
      <c r="AZ624" s="168">
        <f>MIN(AX624)</f>
        <v>297.32377702421337</v>
      </c>
      <c r="BA624" s="168">
        <f>MIN(AY624)</f>
        <v>306.51059892311508</v>
      </c>
      <c r="BB624" s="166">
        <f>LN(AZ624)</f>
        <v>5.6948217033423028</v>
      </c>
      <c r="BC624" s="166">
        <f>LN(BA624)</f>
        <v>5.7252523352779345</v>
      </c>
      <c r="BD624" s="169"/>
      <c r="BE624" s="169"/>
    </row>
    <row r="625" spans="1:57" s="298" customFormat="1" x14ac:dyDescent="0.2">
      <c r="A625" s="290" t="s">
        <v>71</v>
      </c>
      <c r="B625" s="290" t="s">
        <v>49</v>
      </c>
      <c r="C625" s="425" t="s">
        <v>53</v>
      </c>
      <c r="D625" s="381" t="s">
        <v>324</v>
      </c>
      <c r="E625" s="387">
        <v>3.6</v>
      </c>
      <c r="F625" s="387">
        <f t="shared" si="247"/>
        <v>2.9756</v>
      </c>
      <c r="G625" s="387">
        <v>1.73</v>
      </c>
      <c r="H625" s="387">
        <v>0.4</v>
      </c>
      <c r="I625" s="387">
        <v>1.84</v>
      </c>
      <c r="J625" s="387">
        <v>1</v>
      </c>
      <c r="K625" s="383">
        <v>7</v>
      </c>
      <c r="L625" s="383">
        <v>28</v>
      </c>
      <c r="M625" s="383" t="s">
        <v>104</v>
      </c>
      <c r="N625" s="426">
        <v>49.8</v>
      </c>
      <c r="O625" s="295">
        <f t="shared" si="234"/>
        <v>50.8</v>
      </c>
      <c r="P625" s="295"/>
      <c r="Q625" s="295"/>
      <c r="R625" s="293">
        <f t="shared" si="230"/>
        <v>1.008565609397498</v>
      </c>
      <c r="S625" s="292">
        <v>0.94</v>
      </c>
      <c r="T625" s="301" t="s">
        <v>37</v>
      </c>
      <c r="U625" s="295"/>
      <c r="V625" s="290"/>
      <c r="W625" s="290"/>
      <c r="X625" s="290"/>
      <c r="Y625" s="292">
        <v>0.95</v>
      </c>
      <c r="Z625" s="301" t="s">
        <v>37</v>
      </c>
      <c r="AA625" s="292"/>
      <c r="AB625" s="301"/>
      <c r="AC625" s="301"/>
      <c r="AD625" s="301"/>
      <c r="AE625" s="448"/>
      <c r="AF625" s="239">
        <f t="shared" si="235"/>
        <v>3.9080149840306073</v>
      </c>
      <c r="AG625" s="239">
        <f t="shared" si="236"/>
        <v>3.9278963545844361</v>
      </c>
      <c r="AH625" s="240"/>
      <c r="AI625" s="240"/>
      <c r="AK625" s="286">
        <f t="shared" si="237"/>
        <v>50.226567347995392</v>
      </c>
      <c r="AL625" s="286">
        <f t="shared" si="238"/>
        <v>51.226567347995392</v>
      </c>
      <c r="AM625" s="239">
        <f t="shared" si="239"/>
        <v>3.9165441167446051</v>
      </c>
      <c r="AN625" s="239">
        <f t="shared" si="240"/>
        <v>3.9362582909823094</v>
      </c>
      <c r="AO625" s="240"/>
      <c r="AP625" s="240"/>
      <c r="AR625" s="286">
        <f t="shared" si="241"/>
        <v>275.10355135789172</v>
      </c>
      <c r="AS625" s="286">
        <f t="shared" si="242"/>
        <v>285.70313367690528</v>
      </c>
      <c r="AT625" s="239">
        <f t="shared" si="243"/>
        <v>5.6171475771815977</v>
      </c>
      <c r="AU625" s="239">
        <f t="shared" si="244"/>
        <v>5.6549532775941644</v>
      </c>
      <c r="AV625" s="299"/>
      <c r="AW625" s="299"/>
      <c r="AX625" s="499">
        <f>GEOMEAN(AR625:AR641)</f>
        <v>284.97153645688087</v>
      </c>
      <c r="AY625" s="499">
        <f>GEOMEAN(AS625:AS641)</f>
        <v>302.58679925125779</v>
      </c>
      <c r="AZ625" s="499">
        <f>MIN(AX625:AX641)</f>
        <v>284.97153645688087</v>
      </c>
      <c r="BA625" s="499">
        <f>MIN(AY625:AY641)</f>
        <v>302.58679925125779</v>
      </c>
      <c r="BB625" s="500">
        <f>LN(AZ625)</f>
        <v>5.6523893031999828</v>
      </c>
      <c r="BC625" s="500">
        <f>LN(BA625)</f>
        <v>5.7123681759851612</v>
      </c>
      <c r="BD625" s="240"/>
      <c r="BE625" s="240"/>
    </row>
    <row r="626" spans="1:57" s="298" customFormat="1" x14ac:dyDescent="0.2">
      <c r="A626" s="290" t="s">
        <v>71</v>
      </c>
      <c r="B626" s="290" t="s">
        <v>49</v>
      </c>
      <c r="C626" s="425" t="s">
        <v>53</v>
      </c>
      <c r="D626" s="381" t="s">
        <v>324</v>
      </c>
      <c r="E626" s="387">
        <v>4.0999999999999996</v>
      </c>
      <c r="F626" s="387">
        <f t="shared" si="247"/>
        <v>56.845999999999997</v>
      </c>
      <c r="G626" s="387">
        <v>33.049999999999997</v>
      </c>
      <c r="H626" s="387">
        <v>34</v>
      </c>
      <c r="I626" s="387">
        <v>52.75</v>
      </c>
      <c r="J626" s="387">
        <v>26</v>
      </c>
      <c r="K626" s="383">
        <v>7</v>
      </c>
      <c r="L626" s="383">
        <v>28</v>
      </c>
      <c r="M626" s="383" t="s">
        <v>104</v>
      </c>
      <c r="N626" s="313">
        <v>1110</v>
      </c>
      <c r="O626" s="295">
        <f t="shared" si="234"/>
        <v>1136</v>
      </c>
      <c r="P626" s="295"/>
      <c r="Q626" s="295"/>
      <c r="R626" s="293">
        <f t="shared" si="230"/>
        <v>1.0172490191153463</v>
      </c>
      <c r="S626" s="292">
        <v>0.94</v>
      </c>
      <c r="T626" s="301" t="s">
        <v>37</v>
      </c>
      <c r="U626" s="295"/>
      <c r="V626" s="290"/>
      <c r="W626" s="290"/>
      <c r="X626" s="290"/>
      <c r="Y626" s="292">
        <v>0.95</v>
      </c>
      <c r="Z626" s="301" t="s">
        <v>37</v>
      </c>
      <c r="AA626" s="292"/>
      <c r="AB626" s="301"/>
      <c r="AC626" s="301"/>
      <c r="AD626" s="301"/>
      <c r="AE626" s="448"/>
      <c r="AF626" s="287">
        <f t="shared" si="235"/>
        <v>7.0121152943063798</v>
      </c>
      <c r="AG626" s="287">
        <f t="shared" si="236"/>
        <v>7.035268599281097</v>
      </c>
      <c r="AH626" s="288"/>
      <c r="AI626" s="288"/>
      <c r="AK626" s="286">
        <f t="shared" si="237"/>
        <v>1129.1464112180342</v>
      </c>
      <c r="AL626" s="286">
        <f t="shared" si="238"/>
        <v>1155.1464112180342</v>
      </c>
      <c r="AM626" s="287">
        <f t="shared" si="239"/>
        <v>7.029217237954259</v>
      </c>
      <c r="AN626" s="287">
        <f t="shared" si="240"/>
        <v>7.0519823778814859</v>
      </c>
      <c r="AO626" s="288"/>
      <c r="AP626" s="288"/>
      <c r="AR626" s="286">
        <f t="shared" si="241"/>
        <v>263.84726384969019</v>
      </c>
      <c r="AS626" s="286">
        <f t="shared" si="242"/>
        <v>265.7800464826567</v>
      </c>
      <c r="AT626" s="287">
        <f t="shared" si="243"/>
        <v>5.5753703897000868</v>
      </c>
      <c r="AU626" s="287">
        <f t="shared" si="244"/>
        <v>5.5826690737948228</v>
      </c>
      <c r="AV626" s="299"/>
      <c r="AW626" s="299"/>
      <c r="AX626" s="286"/>
      <c r="AY626" s="286"/>
      <c r="AZ626" s="286"/>
      <c r="BA626" s="286"/>
      <c r="BB626" s="287"/>
      <c r="BC626" s="287"/>
      <c r="BD626" s="288"/>
      <c r="BE626" s="288"/>
    </row>
    <row r="627" spans="1:57" s="298" customFormat="1" x14ac:dyDescent="0.2">
      <c r="A627" s="290" t="s">
        <v>71</v>
      </c>
      <c r="B627" s="290" t="s">
        <v>49</v>
      </c>
      <c r="C627" s="425" t="s">
        <v>53</v>
      </c>
      <c r="D627" s="381" t="s">
        <v>324</v>
      </c>
      <c r="E627" s="387">
        <v>4.0999999999999996</v>
      </c>
      <c r="F627" s="387">
        <f t="shared" si="247"/>
        <v>0.43</v>
      </c>
      <c r="G627" s="387">
        <v>0.25</v>
      </c>
      <c r="H627" s="387">
        <v>25.3</v>
      </c>
      <c r="I627" s="387">
        <v>8.39</v>
      </c>
      <c r="J627" s="387">
        <v>16</v>
      </c>
      <c r="K627" s="383">
        <v>7</v>
      </c>
      <c r="L627" s="383">
        <v>28</v>
      </c>
      <c r="M627" s="383" t="s">
        <v>104</v>
      </c>
      <c r="N627" s="426">
        <v>54.5</v>
      </c>
      <c r="O627" s="295">
        <f t="shared" si="234"/>
        <v>70.5</v>
      </c>
      <c r="P627" s="295"/>
      <c r="Q627" s="295"/>
      <c r="R627" s="293">
        <f t="shared" si="230"/>
        <v>1.0172490191153463</v>
      </c>
      <c r="S627" s="292">
        <v>0.94</v>
      </c>
      <c r="T627" s="301" t="s">
        <v>37</v>
      </c>
      <c r="U627" s="295"/>
      <c r="V627" s="290"/>
      <c r="W627" s="290"/>
      <c r="X627" s="290"/>
      <c r="Y627" s="292">
        <v>0.95</v>
      </c>
      <c r="Z627" s="301" t="s">
        <v>37</v>
      </c>
      <c r="AA627" s="292"/>
      <c r="AB627" s="301"/>
      <c r="AC627" s="301"/>
      <c r="AD627" s="301"/>
      <c r="AE627" s="448"/>
      <c r="AF627" s="287">
        <f t="shared" si="235"/>
        <v>3.9982007016691985</v>
      </c>
      <c r="AG627" s="287">
        <f t="shared" si="236"/>
        <v>4.255612709818223</v>
      </c>
      <c r="AH627" s="288"/>
      <c r="AI627" s="288"/>
      <c r="AK627" s="286">
        <f t="shared" si="237"/>
        <v>55.440071541786374</v>
      </c>
      <c r="AL627" s="286">
        <f t="shared" si="238"/>
        <v>71.440071541786381</v>
      </c>
      <c r="AM627" s="287">
        <f t="shared" si="239"/>
        <v>4.0153026453170773</v>
      </c>
      <c r="AN627" s="287">
        <f t="shared" si="240"/>
        <v>4.2688589379925235</v>
      </c>
      <c r="AO627" s="288"/>
      <c r="AP627" s="288"/>
      <c r="AR627" s="286">
        <f t="shared" si="241"/>
        <v>72.942222402366625</v>
      </c>
      <c r="AS627" s="286">
        <f t="shared" si="242"/>
        <v>94.268088014605482</v>
      </c>
      <c r="AT627" s="287">
        <f t="shared" si="243"/>
        <v>4.2896676538273431</v>
      </c>
      <c r="AU627" s="287">
        <f t="shared" si="244"/>
        <v>4.5461427231890683</v>
      </c>
      <c r="AV627" s="299"/>
      <c r="AW627" s="299"/>
      <c r="AX627" s="286"/>
      <c r="AY627" s="286"/>
      <c r="AZ627" s="286"/>
      <c r="BA627" s="286"/>
      <c r="BB627" s="287"/>
      <c r="BC627" s="287"/>
      <c r="BD627" s="288"/>
      <c r="BE627" s="288"/>
    </row>
    <row r="628" spans="1:57" s="298" customFormat="1" x14ac:dyDescent="0.2">
      <c r="A628" s="290" t="s">
        <v>71</v>
      </c>
      <c r="B628" s="290" t="s">
        <v>49</v>
      </c>
      <c r="C628" s="425" t="s">
        <v>53</v>
      </c>
      <c r="D628" s="381" t="s">
        <v>324</v>
      </c>
      <c r="E628" s="387">
        <v>4.2</v>
      </c>
      <c r="F628" s="387">
        <f t="shared" si="247"/>
        <v>21.534399999999998</v>
      </c>
      <c r="G628" s="387">
        <v>12.52</v>
      </c>
      <c r="H628" s="387">
        <v>12.7</v>
      </c>
      <c r="I628" s="387">
        <v>11.91</v>
      </c>
      <c r="J628" s="387">
        <v>3</v>
      </c>
      <c r="K628" s="383">
        <v>7</v>
      </c>
      <c r="L628" s="383">
        <v>28</v>
      </c>
      <c r="M628" s="383" t="s">
        <v>104</v>
      </c>
      <c r="N628" s="313">
        <v>362</v>
      </c>
      <c r="O628" s="295">
        <f t="shared" si="234"/>
        <v>365</v>
      </c>
      <c r="P628" s="295"/>
      <c r="Q628" s="295"/>
      <c r="R628" s="293">
        <f t="shared" si="230"/>
        <v>1.0198410947443703</v>
      </c>
      <c r="S628" s="292">
        <v>0.94</v>
      </c>
      <c r="T628" s="301" t="s">
        <v>37</v>
      </c>
      <c r="U628" s="295"/>
      <c r="V628" s="290"/>
      <c r="W628" s="290"/>
      <c r="X628" s="290"/>
      <c r="Y628" s="292">
        <v>0.95</v>
      </c>
      <c r="Z628" s="301" t="s">
        <v>37</v>
      </c>
      <c r="AA628" s="292"/>
      <c r="AB628" s="301"/>
      <c r="AC628" s="301"/>
      <c r="AD628" s="301"/>
      <c r="AE628" s="448"/>
      <c r="AF628" s="287">
        <f t="shared" si="235"/>
        <v>5.8916442118257715</v>
      </c>
      <c r="AG628" s="287">
        <f t="shared" si="236"/>
        <v>5.8998973535824915</v>
      </c>
      <c r="AH628" s="288"/>
      <c r="AI628" s="288"/>
      <c r="AK628" s="286">
        <f t="shared" si="237"/>
        <v>369.18247629746207</v>
      </c>
      <c r="AL628" s="286">
        <f t="shared" si="238"/>
        <v>372.18247629746207</v>
      </c>
      <c r="AM628" s="287">
        <f t="shared" si="239"/>
        <v>5.9112910375192076</v>
      </c>
      <c r="AN628" s="287">
        <f t="shared" si="240"/>
        <v>5.9193842616851216</v>
      </c>
      <c r="AO628" s="288"/>
      <c r="AP628" s="288"/>
      <c r="AR628" s="286">
        <f t="shared" si="241"/>
        <v>349.44229995112482</v>
      </c>
      <c r="AS628" s="286">
        <f t="shared" si="242"/>
        <v>352.07600554660002</v>
      </c>
      <c r="AT628" s="287">
        <f t="shared" si="243"/>
        <v>5.8563384549146651</v>
      </c>
      <c r="AU628" s="287">
        <f t="shared" si="244"/>
        <v>5.8638470771379776</v>
      </c>
      <c r="AV628" s="299"/>
      <c r="AW628" s="299"/>
      <c r="AX628" s="286"/>
      <c r="AY628" s="286"/>
      <c r="AZ628" s="286"/>
      <c r="BA628" s="286"/>
      <c r="BB628" s="287"/>
      <c r="BC628" s="287"/>
      <c r="BD628" s="288"/>
      <c r="BE628" s="288"/>
    </row>
    <row r="629" spans="1:57" s="298" customFormat="1" x14ac:dyDescent="0.2">
      <c r="A629" s="290" t="s">
        <v>71</v>
      </c>
      <c r="B629" s="290" t="s">
        <v>49</v>
      </c>
      <c r="C629" s="425" t="s">
        <v>53</v>
      </c>
      <c r="D629" s="381" t="s">
        <v>324</v>
      </c>
      <c r="E629" s="387">
        <v>4.5</v>
      </c>
      <c r="F629" s="387">
        <f t="shared" si="247"/>
        <v>2.2704</v>
      </c>
      <c r="G629" s="387">
        <v>1.32</v>
      </c>
      <c r="H629" s="387">
        <v>1.5</v>
      </c>
      <c r="I629" s="387">
        <v>1.84</v>
      </c>
      <c r="J629" s="387">
        <v>1</v>
      </c>
      <c r="K629" s="383">
        <v>7</v>
      </c>
      <c r="L629" s="383">
        <v>28</v>
      </c>
      <c r="M629" s="383" t="s">
        <v>104</v>
      </c>
      <c r="N629" s="426">
        <v>46.5</v>
      </c>
      <c r="O629" s="295">
        <f t="shared" si="234"/>
        <v>47.5</v>
      </c>
      <c r="P629" s="295"/>
      <c r="Q629" s="295"/>
      <c r="R629" s="293">
        <f t="shared" si="230"/>
        <v>1.0301973834223186</v>
      </c>
      <c r="S629" s="292">
        <v>0.94</v>
      </c>
      <c r="T629" s="301" t="s">
        <v>37</v>
      </c>
      <c r="U629" s="295"/>
      <c r="V629" s="290"/>
      <c r="W629" s="290"/>
      <c r="X629" s="290"/>
      <c r="Y629" s="292">
        <v>0.95</v>
      </c>
      <c r="Z629" s="301" t="s">
        <v>37</v>
      </c>
      <c r="AA629" s="292"/>
      <c r="AB629" s="301"/>
      <c r="AC629" s="301"/>
      <c r="AD629" s="301"/>
      <c r="AE629" s="448"/>
      <c r="AF629" s="287">
        <f t="shared" si="235"/>
        <v>3.8394523125933104</v>
      </c>
      <c r="AG629" s="287">
        <f t="shared" si="236"/>
        <v>3.8607297110405954</v>
      </c>
      <c r="AH629" s="288"/>
      <c r="AI629" s="288"/>
      <c r="AK629" s="286">
        <f t="shared" si="237"/>
        <v>47.904178329137814</v>
      </c>
      <c r="AL629" s="286">
        <f t="shared" si="238"/>
        <v>48.904178329137814</v>
      </c>
      <c r="AM629" s="287">
        <f t="shared" si="239"/>
        <v>3.8692027308659314</v>
      </c>
      <c r="AN629" s="287">
        <f t="shared" si="240"/>
        <v>3.8898628392341266</v>
      </c>
      <c r="AO629" s="288"/>
      <c r="AP629" s="288"/>
      <c r="AR629" s="286">
        <f t="shared" si="241"/>
        <v>262.38324215786855</v>
      </c>
      <c r="AS629" s="286">
        <f t="shared" si="242"/>
        <v>272.75060035963219</v>
      </c>
      <c r="AT629" s="287">
        <f t="shared" si="243"/>
        <v>5.5698061913029244</v>
      </c>
      <c r="AU629" s="287">
        <f t="shared" si="244"/>
        <v>5.6085578258459812</v>
      </c>
      <c r="AV629" s="299"/>
      <c r="AW629" s="299"/>
      <c r="AX629" s="286"/>
      <c r="AY629" s="286"/>
      <c r="AZ629" s="286"/>
      <c r="BA629" s="286"/>
      <c r="BB629" s="287"/>
      <c r="BC629" s="287"/>
      <c r="BD629" s="288"/>
      <c r="BE629" s="288"/>
    </row>
    <row r="630" spans="1:57" s="298" customFormat="1" x14ac:dyDescent="0.2">
      <c r="A630" s="290" t="s">
        <v>71</v>
      </c>
      <c r="B630" s="290" t="s">
        <v>49</v>
      </c>
      <c r="C630" s="425" t="s">
        <v>53</v>
      </c>
      <c r="D630" s="381" t="s">
        <v>324</v>
      </c>
      <c r="E630" s="387">
        <v>5.0999999999999996</v>
      </c>
      <c r="F630" s="387">
        <f t="shared" si="247"/>
        <v>4.2484000000000002</v>
      </c>
      <c r="G630" s="387">
        <v>2.4700000000000002</v>
      </c>
      <c r="H630" s="387">
        <v>3.9</v>
      </c>
      <c r="I630" s="387">
        <v>4.3099999999999996</v>
      </c>
      <c r="J630" s="387">
        <v>2</v>
      </c>
      <c r="K630" s="383">
        <v>7</v>
      </c>
      <c r="L630" s="383">
        <v>28</v>
      </c>
      <c r="M630" s="383" t="s">
        <v>104</v>
      </c>
      <c r="N630" s="313">
        <v>182</v>
      </c>
      <c r="O630" s="295">
        <f t="shared" si="234"/>
        <v>184</v>
      </c>
      <c r="P630" s="295"/>
      <c r="Q630" s="295"/>
      <c r="R630" s="293">
        <f t="shared" si="230"/>
        <v>1.0699482217446554</v>
      </c>
      <c r="S630" s="292">
        <v>0.94</v>
      </c>
      <c r="T630" s="301" t="s">
        <v>37</v>
      </c>
      <c r="U630" s="295"/>
      <c r="V630" s="290"/>
      <c r="W630" s="290"/>
      <c r="X630" s="290"/>
      <c r="Y630" s="292">
        <v>0.95</v>
      </c>
      <c r="Z630" s="301" t="s">
        <v>37</v>
      </c>
      <c r="AA630" s="292"/>
      <c r="AB630" s="301"/>
      <c r="AC630" s="301"/>
      <c r="AD630" s="301"/>
      <c r="AE630" s="448"/>
      <c r="AF630" s="287">
        <f t="shared" si="235"/>
        <v>5.2040066870767951</v>
      </c>
      <c r="AG630" s="287">
        <f t="shared" si="236"/>
        <v>5.2149357576089859</v>
      </c>
      <c r="AH630" s="288"/>
      <c r="AI630" s="288"/>
      <c r="AK630" s="286">
        <f t="shared" si="237"/>
        <v>194.7305763575273</v>
      </c>
      <c r="AL630" s="286">
        <f t="shared" si="238"/>
        <v>196.7305763575273</v>
      </c>
      <c r="AM630" s="287">
        <f t="shared" si="239"/>
        <v>5.2716169434868876</v>
      </c>
      <c r="AN630" s="287">
        <f t="shared" si="240"/>
        <v>5.2818351599719184</v>
      </c>
      <c r="AO630" s="288"/>
      <c r="AP630" s="288"/>
      <c r="AR630" s="286">
        <f t="shared" si="241"/>
        <v>479.20017470560089</v>
      </c>
      <c r="AS630" s="286">
        <f t="shared" si="242"/>
        <v>488.78192590635678</v>
      </c>
      <c r="AT630" s="287">
        <f t="shared" si="243"/>
        <v>6.1721184113788041</v>
      </c>
      <c r="AU630" s="287">
        <f t="shared" si="244"/>
        <v>6.1919164307137491</v>
      </c>
      <c r="AV630" s="299"/>
      <c r="AW630" s="299"/>
      <c r="AX630" s="286"/>
      <c r="AY630" s="286"/>
      <c r="AZ630" s="286"/>
      <c r="BA630" s="286"/>
      <c r="BB630" s="287"/>
      <c r="BC630" s="287"/>
      <c r="BD630" s="288"/>
      <c r="BE630" s="288"/>
    </row>
    <row r="631" spans="1:57" s="298" customFormat="1" x14ac:dyDescent="0.2">
      <c r="A631" s="290" t="s">
        <v>71</v>
      </c>
      <c r="B631" s="290" t="s">
        <v>49</v>
      </c>
      <c r="C631" s="425" t="s">
        <v>53</v>
      </c>
      <c r="D631" s="381" t="s">
        <v>324</v>
      </c>
      <c r="E631" s="387">
        <v>5.6</v>
      </c>
      <c r="F631" s="387">
        <f t="shared" si="247"/>
        <v>1.7027999999999999</v>
      </c>
      <c r="G631" s="387">
        <v>0.99</v>
      </c>
      <c r="H631" s="387">
        <v>46.9</v>
      </c>
      <c r="I631" s="387">
        <v>19.260000000000002</v>
      </c>
      <c r="J631" s="387">
        <v>19</v>
      </c>
      <c r="K631" s="383">
        <v>7</v>
      </c>
      <c r="L631" s="383">
        <v>28</v>
      </c>
      <c r="M631" s="383" t="s">
        <v>104</v>
      </c>
      <c r="N631" s="313">
        <v>230</v>
      </c>
      <c r="O631" s="295">
        <f t="shared" si="234"/>
        <v>249</v>
      </c>
      <c r="P631" s="295"/>
      <c r="Q631" s="295"/>
      <c r="R631" s="293">
        <f t="shared" si="230"/>
        <v>1.1408584209210448</v>
      </c>
      <c r="S631" s="292">
        <v>0.94</v>
      </c>
      <c r="T631" s="301" t="s">
        <v>37</v>
      </c>
      <c r="U631" s="295"/>
      <c r="V631" s="290"/>
      <c r="W631" s="290"/>
      <c r="X631" s="290"/>
      <c r="Y631" s="292">
        <v>0.95</v>
      </c>
      <c r="Z631" s="301" t="s">
        <v>37</v>
      </c>
      <c r="AA631" s="292"/>
      <c r="AB631" s="301"/>
      <c r="AC631" s="301"/>
      <c r="AD631" s="301"/>
      <c r="AE631" s="448"/>
      <c r="AF631" s="287">
        <f t="shared" si="235"/>
        <v>5.4380793089231956</v>
      </c>
      <c r="AG631" s="287">
        <f t="shared" si="236"/>
        <v>5.5174528964647074</v>
      </c>
      <c r="AH631" s="288"/>
      <c r="AI631" s="288"/>
      <c r="AK631" s="286">
        <f t="shared" si="237"/>
        <v>262.39743681184029</v>
      </c>
      <c r="AL631" s="286">
        <f t="shared" si="238"/>
        <v>281.39743681184029</v>
      </c>
      <c r="AM631" s="287">
        <f t="shared" si="239"/>
        <v>5.5698602887746649</v>
      </c>
      <c r="AN631" s="287">
        <f t="shared" si="240"/>
        <v>5.639768035938876</v>
      </c>
      <c r="AO631" s="288"/>
      <c r="AP631" s="288"/>
      <c r="AR631" s="286">
        <f t="shared" si="241"/>
        <v>158.07898363548875</v>
      </c>
      <c r="AS631" s="286">
        <f t="shared" si="242"/>
        <v>168.61389050973852</v>
      </c>
      <c r="AT631" s="287">
        <f t="shared" si="243"/>
        <v>5.063094804547517</v>
      </c>
      <c r="AU631" s="287">
        <f t="shared" si="244"/>
        <v>5.1276114295390993</v>
      </c>
      <c r="AV631" s="299"/>
      <c r="AW631" s="299"/>
      <c r="AX631" s="286"/>
      <c r="AY631" s="286"/>
      <c r="AZ631" s="286"/>
      <c r="BA631" s="286"/>
      <c r="BB631" s="287"/>
      <c r="BC631" s="287"/>
      <c r="BD631" s="288"/>
      <c r="BE631" s="288"/>
    </row>
    <row r="632" spans="1:57" s="298" customFormat="1" x14ac:dyDescent="0.2">
      <c r="A632" s="290" t="s">
        <v>71</v>
      </c>
      <c r="B632" s="290" t="s">
        <v>49</v>
      </c>
      <c r="C632" s="425" t="s">
        <v>53</v>
      </c>
      <c r="D632" s="381" t="s">
        <v>324</v>
      </c>
      <c r="E632" s="387">
        <v>5.6</v>
      </c>
      <c r="F632" s="387">
        <f t="shared" si="247"/>
        <v>2.2876000000000003</v>
      </c>
      <c r="G632" s="387">
        <v>1.33</v>
      </c>
      <c r="H632" s="387">
        <v>4.3</v>
      </c>
      <c r="I632" s="387">
        <v>4.91</v>
      </c>
      <c r="J632" s="387">
        <v>3</v>
      </c>
      <c r="K632" s="383">
        <v>7</v>
      </c>
      <c r="L632" s="383">
        <v>28</v>
      </c>
      <c r="M632" s="383" t="s">
        <v>104</v>
      </c>
      <c r="N632" s="426">
        <v>66.099999999999994</v>
      </c>
      <c r="O632" s="295">
        <f t="shared" si="234"/>
        <v>69.099999999999994</v>
      </c>
      <c r="P632" s="295"/>
      <c r="Q632" s="295"/>
      <c r="R632" s="293">
        <f t="shared" si="230"/>
        <v>1.1408584209210448</v>
      </c>
      <c r="S632" s="292">
        <v>0.94</v>
      </c>
      <c r="T632" s="301" t="s">
        <v>37</v>
      </c>
      <c r="U632" s="295"/>
      <c r="V632" s="290"/>
      <c r="W632" s="290"/>
      <c r="X632" s="290"/>
      <c r="Y632" s="292">
        <v>0.95</v>
      </c>
      <c r="Z632" s="301" t="s">
        <v>37</v>
      </c>
      <c r="AA632" s="292"/>
      <c r="AB632" s="301"/>
      <c r="AC632" s="301"/>
      <c r="AD632" s="301"/>
      <c r="AE632" s="448"/>
      <c r="AF632" s="287">
        <f t="shared" si="235"/>
        <v>4.1911687468576408</v>
      </c>
      <c r="AG632" s="287">
        <f t="shared" si="236"/>
        <v>4.2355547307736243</v>
      </c>
      <c r="AH632" s="288"/>
      <c r="AI632" s="288"/>
      <c r="AK632" s="286">
        <f t="shared" si="237"/>
        <v>75.410741622881062</v>
      </c>
      <c r="AL632" s="286">
        <f t="shared" si="238"/>
        <v>78.410741622881062</v>
      </c>
      <c r="AM632" s="287">
        <f t="shared" si="239"/>
        <v>4.3229497267091102</v>
      </c>
      <c r="AN632" s="287">
        <f t="shared" si="240"/>
        <v>4.3619609284672132</v>
      </c>
      <c r="AO632" s="288"/>
      <c r="AP632" s="288"/>
      <c r="AR632" s="286">
        <f t="shared" si="241"/>
        <v>164.17539190173414</v>
      </c>
      <c r="AS632" s="286">
        <f t="shared" si="242"/>
        <v>172.12534534402707</v>
      </c>
      <c r="AT632" s="287">
        <f t="shared" si="243"/>
        <v>5.1009353191716995</v>
      </c>
      <c r="AU632" s="287">
        <f t="shared" si="244"/>
        <v>5.1482229634028096</v>
      </c>
      <c r="AV632" s="299"/>
      <c r="AW632" s="299"/>
      <c r="AX632" s="286"/>
      <c r="AY632" s="286"/>
      <c r="AZ632" s="286"/>
      <c r="BA632" s="286"/>
      <c r="BB632" s="287"/>
      <c r="BC632" s="287"/>
      <c r="BD632" s="288"/>
      <c r="BE632" s="288"/>
    </row>
    <row r="633" spans="1:57" s="298" customFormat="1" x14ac:dyDescent="0.2">
      <c r="A633" s="290" t="s">
        <v>71</v>
      </c>
      <c r="B633" s="290" t="s">
        <v>49</v>
      </c>
      <c r="C633" s="425" t="s">
        <v>53</v>
      </c>
      <c r="D633" s="381" t="s">
        <v>324</v>
      </c>
      <c r="E633" s="387">
        <v>6.1</v>
      </c>
      <c r="F633" s="387">
        <f t="shared" si="247"/>
        <v>7.3959999999999999</v>
      </c>
      <c r="G633" s="387">
        <v>4.3</v>
      </c>
      <c r="H633" s="387">
        <v>35.299999999999997</v>
      </c>
      <c r="I633" s="387">
        <v>28.87</v>
      </c>
      <c r="J633" s="387">
        <v>39</v>
      </c>
      <c r="K633" s="383">
        <v>7</v>
      </c>
      <c r="L633" s="383">
        <v>28</v>
      </c>
      <c r="M633" s="383" t="s">
        <v>104</v>
      </c>
      <c r="N633" s="313">
        <v>151</v>
      </c>
      <c r="O633" s="295">
        <f t="shared" si="234"/>
        <v>190</v>
      </c>
      <c r="P633" s="295"/>
      <c r="Q633" s="295"/>
      <c r="R633" s="293">
        <f t="shared" si="230"/>
        <v>1.2836540264997702</v>
      </c>
      <c r="S633" s="292">
        <v>0.94</v>
      </c>
      <c r="T633" s="301" t="s">
        <v>37</v>
      </c>
      <c r="U633" s="295"/>
      <c r="V633" s="290"/>
      <c r="W633" s="290"/>
      <c r="X633" s="290"/>
      <c r="Y633" s="292">
        <v>0.95</v>
      </c>
      <c r="Z633" s="301" t="s">
        <v>37</v>
      </c>
      <c r="AA633" s="292"/>
      <c r="AB633" s="301"/>
      <c r="AC633" s="301"/>
      <c r="AD633" s="301"/>
      <c r="AE633" s="448"/>
      <c r="AF633" s="287">
        <f t="shared" si="235"/>
        <v>5.0172798368149243</v>
      </c>
      <c r="AG633" s="287">
        <f t="shared" si="236"/>
        <v>5.2470240721604862</v>
      </c>
      <c r="AH633" s="288"/>
      <c r="AI633" s="288"/>
      <c r="AK633" s="286">
        <f t="shared" si="237"/>
        <v>193.83175800146532</v>
      </c>
      <c r="AL633" s="286">
        <f t="shared" si="238"/>
        <v>232.83175800146532</v>
      </c>
      <c r="AM633" s="287">
        <f t="shared" si="239"/>
        <v>5.2669905560080492</v>
      </c>
      <c r="AN633" s="287">
        <f t="shared" si="240"/>
        <v>5.4503161240853251</v>
      </c>
      <c r="AO633" s="288"/>
      <c r="AP633" s="288"/>
      <c r="AR633" s="286">
        <f t="shared" si="241"/>
        <v>79.817185603900413</v>
      </c>
      <c r="AS633" s="286">
        <f t="shared" si="242"/>
        <v>94.976126474026174</v>
      </c>
      <c r="AT633" s="287">
        <f t="shared" si="243"/>
        <v>4.3797388397143298</v>
      </c>
      <c r="AU633" s="287">
        <f t="shared" si="244"/>
        <v>4.5536255597459272</v>
      </c>
      <c r="AV633" s="299"/>
      <c r="AW633" s="299"/>
      <c r="AX633" s="286"/>
      <c r="AY633" s="286"/>
      <c r="AZ633" s="286"/>
      <c r="BA633" s="286"/>
      <c r="BB633" s="287"/>
      <c r="BC633" s="287"/>
      <c r="BD633" s="288"/>
      <c r="BE633" s="288"/>
    </row>
    <row r="634" spans="1:57" s="298" customFormat="1" x14ac:dyDescent="0.2">
      <c r="A634" s="290" t="s">
        <v>71</v>
      </c>
      <c r="B634" s="290" t="s">
        <v>49</v>
      </c>
      <c r="C634" s="425" t="s">
        <v>53</v>
      </c>
      <c r="D634" s="381" t="s">
        <v>324</v>
      </c>
      <c r="E634" s="387">
        <v>6.7</v>
      </c>
      <c r="F634" s="387">
        <f t="shared" si="247"/>
        <v>1.8748</v>
      </c>
      <c r="G634" s="387">
        <v>1.0900000000000001</v>
      </c>
      <c r="H634" s="387">
        <v>9.6</v>
      </c>
      <c r="I634" s="387">
        <v>7.8</v>
      </c>
      <c r="J634" s="387">
        <v>11</v>
      </c>
      <c r="K634" s="383">
        <v>7</v>
      </c>
      <c r="L634" s="383">
        <v>28</v>
      </c>
      <c r="M634" s="383" t="s">
        <v>104</v>
      </c>
      <c r="N634" s="313">
        <v>172</v>
      </c>
      <c r="O634" s="295">
        <f t="shared" si="234"/>
        <v>183</v>
      </c>
      <c r="P634" s="295"/>
      <c r="Q634" s="295"/>
      <c r="R634" s="293">
        <f t="shared" si="230"/>
        <v>1.657046819815057</v>
      </c>
      <c r="S634" s="292">
        <v>0.94</v>
      </c>
      <c r="T634" s="301" t="s">
        <v>37</v>
      </c>
      <c r="U634" s="295"/>
      <c r="V634" s="290"/>
      <c r="W634" s="290"/>
      <c r="X634" s="290"/>
      <c r="Y634" s="292">
        <v>0.95</v>
      </c>
      <c r="Z634" s="301" t="s">
        <v>37</v>
      </c>
      <c r="AA634" s="292"/>
      <c r="AB634" s="301"/>
      <c r="AC634" s="301"/>
      <c r="AD634" s="301"/>
      <c r="AE634" s="448"/>
      <c r="AF634" s="287">
        <f t="shared" si="235"/>
        <v>5.1474944768134527</v>
      </c>
      <c r="AG634" s="287">
        <f t="shared" si="236"/>
        <v>5.2094861528414214</v>
      </c>
      <c r="AH634" s="288"/>
      <c r="AI634" s="288"/>
      <c r="AK634" s="286">
        <f t="shared" si="237"/>
        <v>285.01205300818981</v>
      </c>
      <c r="AL634" s="286">
        <f t="shared" si="238"/>
        <v>296.01205300818981</v>
      </c>
      <c r="AM634" s="287">
        <f t="shared" si="239"/>
        <v>5.6525314706312066</v>
      </c>
      <c r="AN634" s="287">
        <f t="shared" si="240"/>
        <v>5.6904001731173022</v>
      </c>
      <c r="AO634" s="288"/>
      <c r="AP634" s="288"/>
      <c r="AR634" s="286">
        <f t="shared" si="241"/>
        <v>401.59264690806435</v>
      </c>
      <c r="AS634" s="286">
        <f t="shared" si="242"/>
        <v>418.61636579933156</v>
      </c>
      <c r="AT634" s="287">
        <f t="shared" si="243"/>
        <v>5.9954382587180266</v>
      </c>
      <c r="AU634" s="287">
        <f t="shared" si="244"/>
        <v>6.036954905758237</v>
      </c>
      <c r="AV634" s="299"/>
      <c r="AW634" s="299"/>
      <c r="AX634" s="286"/>
      <c r="AY634" s="286"/>
      <c r="AZ634" s="286"/>
      <c r="BA634" s="286"/>
      <c r="BB634" s="287"/>
      <c r="BC634" s="287"/>
      <c r="BD634" s="288"/>
      <c r="BE634" s="288"/>
    </row>
    <row r="635" spans="1:57" s="298" customFormat="1" x14ac:dyDescent="0.2">
      <c r="A635" s="290" t="s">
        <v>71</v>
      </c>
      <c r="B635" s="290" t="s">
        <v>49</v>
      </c>
      <c r="C635" s="425" t="s">
        <v>53</v>
      </c>
      <c r="D635" s="381" t="s">
        <v>324</v>
      </c>
      <c r="E635" s="387">
        <v>7</v>
      </c>
      <c r="F635" s="387">
        <f t="shared" si="247"/>
        <v>0.77400000000000002</v>
      </c>
      <c r="G635" s="387">
        <v>0.45</v>
      </c>
      <c r="H635" s="387">
        <v>33.200000000000003</v>
      </c>
      <c r="I635" s="387">
        <v>12.85</v>
      </c>
      <c r="J635" s="387">
        <v>81</v>
      </c>
      <c r="K635" s="383">
        <v>7</v>
      </c>
      <c r="L635" s="383">
        <v>28</v>
      </c>
      <c r="M635" s="383" t="s">
        <v>93</v>
      </c>
      <c r="N635" s="313">
        <v>297</v>
      </c>
      <c r="O635" s="295">
        <f t="shared" si="234"/>
        <v>378</v>
      </c>
      <c r="P635" s="295"/>
      <c r="Q635" s="295"/>
      <c r="R635" s="293">
        <f t="shared" si="230"/>
        <v>2</v>
      </c>
      <c r="S635" s="292">
        <v>0.94</v>
      </c>
      <c r="T635" s="301" t="s">
        <v>37</v>
      </c>
      <c r="U635" s="295"/>
      <c r="V635" s="290"/>
      <c r="W635" s="290"/>
      <c r="X635" s="290"/>
      <c r="Y635" s="292">
        <v>0.95</v>
      </c>
      <c r="Z635" s="301" t="s">
        <v>37</v>
      </c>
      <c r="AA635" s="292"/>
      <c r="AB635" s="301"/>
      <c r="AC635" s="301"/>
      <c r="AD635" s="301"/>
      <c r="AE635" s="448"/>
      <c r="AF635" s="287">
        <f t="shared" si="235"/>
        <v>5.6937321388026998</v>
      </c>
      <c r="AG635" s="287">
        <f t="shared" si="236"/>
        <v>5.934894195619588</v>
      </c>
      <c r="AH635" s="288"/>
      <c r="AI635" s="288"/>
      <c r="AK635" s="286">
        <f t="shared" si="237"/>
        <v>594</v>
      </c>
      <c r="AL635" s="286">
        <f t="shared" si="238"/>
        <v>675</v>
      </c>
      <c r="AM635" s="287">
        <f t="shared" si="239"/>
        <v>6.3868793193626452</v>
      </c>
      <c r="AN635" s="287">
        <f t="shared" si="240"/>
        <v>6.5147126908725301</v>
      </c>
      <c r="AO635" s="288"/>
      <c r="AP635" s="288"/>
      <c r="AR635" s="286">
        <f t="shared" si="241"/>
        <v>523.49068395643008</v>
      </c>
      <c r="AS635" s="286">
        <f t="shared" si="242"/>
        <v>594.07664899504687</v>
      </c>
      <c r="AT635" s="287">
        <f t="shared" si="243"/>
        <v>6.2605192344625236</v>
      </c>
      <c r="AU635" s="287">
        <f t="shared" si="244"/>
        <v>6.3870083497500669</v>
      </c>
      <c r="AV635" s="299"/>
      <c r="AW635" s="299"/>
      <c r="AX635" s="286"/>
      <c r="AY635" s="286"/>
      <c r="AZ635" s="286"/>
      <c r="BA635" s="286"/>
      <c r="BB635" s="287"/>
      <c r="BC635" s="287"/>
      <c r="BD635" s="288"/>
      <c r="BE635" s="288"/>
    </row>
    <row r="636" spans="1:57" s="298" customFormat="1" x14ac:dyDescent="0.2">
      <c r="A636" s="290" t="s">
        <v>71</v>
      </c>
      <c r="B636" s="290" t="s">
        <v>49</v>
      </c>
      <c r="C636" s="425" t="s">
        <v>53</v>
      </c>
      <c r="D636" s="381" t="s">
        <v>324</v>
      </c>
      <c r="E636" s="387">
        <v>7.6</v>
      </c>
      <c r="F636" s="387">
        <f t="shared" si="247"/>
        <v>1.9607999999999999</v>
      </c>
      <c r="G636" s="387">
        <v>1.1399999999999999</v>
      </c>
      <c r="H636" s="387">
        <v>19.899999999999999</v>
      </c>
      <c r="I636" s="387">
        <v>19.440000000000001</v>
      </c>
      <c r="J636" s="387">
        <v>19</v>
      </c>
      <c r="K636" s="383">
        <v>7</v>
      </c>
      <c r="L636" s="383">
        <v>28</v>
      </c>
      <c r="M636" s="383" t="s">
        <v>104</v>
      </c>
      <c r="N636" s="313">
        <v>233</v>
      </c>
      <c r="O636" s="295">
        <f t="shared" ref="O636:O667" si="248">N636+J636</f>
        <v>252</v>
      </c>
      <c r="P636" s="295"/>
      <c r="Q636" s="295"/>
      <c r="R636" s="293">
        <f t="shared" si="230"/>
        <v>3.3163669767810902</v>
      </c>
      <c r="S636" s="292">
        <v>0.94</v>
      </c>
      <c r="T636" s="301" t="s">
        <v>37</v>
      </c>
      <c r="U636" s="295"/>
      <c r="V636" s="290"/>
      <c r="W636" s="290"/>
      <c r="X636" s="290"/>
      <c r="Y636" s="292">
        <v>0.95</v>
      </c>
      <c r="Z636" s="301" t="s">
        <v>37</v>
      </c>
      <c r="AA636" s="292"/>
      <c r="AB636" s="301"/>
      <c r="AC636" s="301"/>
      <c r="AD636" s="301"/>
      <c r="AE636" s="448"/>
      <c r="AF636" s="287">
        <f t="shared" ref="AF636:AF667" si="249">LN(N636)</f>
        <v>5.4510384535657002</v>
      </c>
      <c r="AG636" s="287">
        <f t="shared" ref="AG636:AG667" si="250">LN(O636)</f>
        <v>5.5294290875114234</v>
      </c>
      <c r="AH636" s="288"/>
      <c r="AI636" s="288"/>
      <c r="AK636" s="286">
        <f t="shared" ref="AK636:AK667" si="251">N636*R636</f>
        <v>772.71350558999404</v>
      </c>
      <c r="AL636" s="286">
        <f t="shared" ref="AL636:AL667" si="252">AK636+J636</f>
        <v>791.71350558999404</v>
      </c>
      <c r="AM636" s="287">
        <f t="shared" ref="AM636:AM667" si="253">LN(AK636)</f>
        <v>6.6499083532260235</v>
      </c>
      <c r="AN636" s="287">
        <f t="shared" ref="AN636:AN667" si="254">LN(AL636)</f>
        <v>6.6741995910062366</v>
      </c>
      <c r="AO636" s="288"/>
      <c r="AP636" s="288"/>
      <c r="AR636" s="286">
        <f t="shared" ref="AR636:AR667" si="255">AK636*(eCEC/$I636)^$S636</f>
        <v>461.4614967937531</v>
      </c>
      <c r="AS636" s="286">
        <f t="shared" ref="AS636:AS667" si="256">AL636*(eCEC/$I636)^$Y636</f>
        <v>470.22237051874185</v>
      </c>
      <c r="AT636" s="287">
        <f t="shared" ref="AT636:AT667" si="257">LN(AR636)</f>
        <v>6.1343986198963014</v>
      </c>
      <c r="AU636" s="287">
        <f t="shared" ref="AU636:AU667" si="258">LN(AS636)</f>
        <v>6.1532057115772627</v>
      </c>
      <c r="AV636" s="299"/>
      <c r="AW636" s="299"/>
      <c r="AX636" s="286"/>
      <c r="AY636" s="286"/>
      <c r="AZ636" s="286"/>
      <c r="BA636" s="286"/>
      <c r="BB636" s="287"/>
      <c r="BC636" s="287"/>
      <c r="BD636" s="288"/>
      <c r="BE636" s="288"/>
    </row>
    <row r="637" spans="1:57" s="298" customFormat="1" x14ac:dyDescent="0.2">
      <c r="A637" s="290" t="s">
        <v>71</v>
      </c>
      <c r="B637" s="290" t="s">
        <v>49</v>
      </c>
      <c r="C637" s="425" t="s">
        <v>53</v>
      </c>
      <c r="D637" s="381" t="s">
        <v>324</v>
      </c>
      <c r="E637" s="387">
        <v>7.5</v>
      </c>
      <c r="F637" s="387">
        <f t="shared" si="247"/>
        <v>2.3564000000000003</v>
      </c>
      <c r="G637" s="387">
        <v>1.37</v>
      </c>
      <c r="H637" s="387">
        <v>49.2</v>
      </c>
      <c r="I637" s="387">
        <v>23.57</v>
      </c>
      <c r="J637" s="387">
        <v>113</v>
      </c>
      <c r="K637" s="383">
        <v>7</v>
      </c>
      <c r="L637" s="383">
        <v>28</v>
      </c>
      <c r="M637" s="383" t="s">
        <v>104</v>
      </c>
      <c r="N637" s="313">
        <v>239</v>
      </c>
      <c r="O637" s="295">
        <f t="shared" si="248"/>
        <v>352</v>
      </c>
      <c r="P637" s="295"/>
      <c r="Q637" s="295"/>
      <c r="R637" s="293">
        <f t="shared" si="230"/>
        <v>3.0137527074704766</v>
      </c>
      <c r="S637" s="292">
        <v>0.94</v>
      </c>
      <c r="T637" s="301" t="s">
        <v>37</v>
      </c>
      <c r="U637" s="295"/>
      <c r="V637" s="290"/>
      <c r="W637" s="290"/>
      <c r="X637" s="290"/>
      <c r="Y637" s="292">
        <v>0.95</v>
      </c>
      <c r="Z637" s="301" t="s">
        <v>37</v>
      </c>
      <c r="AA637" s="292"/>
      <c r="AB637" s="301"/>
      <c r="AC637" s="301"/>
      <c r="AD637" s="301"/>
      <c r="AE637" s="448"/>
      <c r="AF637" s="287">
        <f t="shared" si="249"/>
        <v>5.476463551931511</v>
      </c>
      <c r="AG637" s="287">
        <f t="shared" si="250"/>
        <v>5.8636311755980968</v>
      </c>
      <c r="AH637" s="288"/>
      <c r="AI637" s="288"/>
      <c r="AK637" s="286">
        <f t="shared" si="251"/>
        <v>720.28689708544391</v>
      </c>
      <c r="AL637" s="286">
        <f t="shared" si="252"/>
        <v>833.28689708544391</v>
      </c>
      <c r="AM637" s="287">
        <f t="shared" si="253"/>
        <v>6.5796496008169685</v>
      </c>
      <c r="AN637" s="287">
        <f t="shared" si="254"/>
        <v>6.7253779971381036</v>
      </c>
      <c r="AO637" s="288"/>
      <c r="AP637" s="288"/>
      <c r="AR637" s="286">
        <f t="shared" si="255"/>
        <v>358.90454603308683</v>
      </c>
      <c r="AS637" s="286">
        <f t="shared" si="256"/>
        <v>412.14461526654799</v>
      </c>
      <c r="AT637" s="287">
        <f t="shared" si="257"/>
        <v>5.8830564646464447</v>
      </c>
      <c r="AU637" s="287">
        <f t="shared" si="258"/>
        <v>6.0213742956891698</v>
      </c>
      <c r="AV637" s="299"/>
      <c r="AW637" s="299"/>
      <c r="AX637" s="286"/>
      <c r="AY637" s="286"/>
      <c r="AZ637" s="286"/>
      <c r="BA637" s="286"/>
      <c r="BB637" s="287"/>
      <c r="BC637" s="287"/>
      <c r="BD637" s="288"/>
      <c r="BE637" s="288"/>
    </row>
    <row r="638" spans="1:57" s="298" customFormat="1" x14ac:dyDescent="0.2">
      <c r="A638" s="290" t="s">
        <v>71</v>
      </c>
      <c r="B638" s="290" t="s">
        <v>49</v>
      </c>
      <c r="C638" s="425" t="s">
        <v>53</v>
      </c>
      <c r="D638" s="381" t="s">
        <v>324</v>
      </c>
      <c r="E638" s="387">
        <v>7.6</v>
      </c>
      <c r="F638" s="387">
        <f t="shared" si="247"/>
        <v>0.84279999999999999</v>
      </c>
      <c r="G638" s="387">
        <v>0.49</v>
      </c>
      <c r="H638" s="387">
        <v>55.4</v>
      </c>
      <c r="I638" s="387">
        <v>35.26</v>
      </c>
      <c r="J638" s="387">
        <v>24</v>
      </c>
      <c r="K638" s="383">
        <v>7</v>
      </c>
      <c r="L638" s="383">
        <v>28</v>
      </c>
      <c r="M638" s="383" t="s">
        <v>93</v>
      </c>
      <c r="N638" s="313">
        <v>490</v>
      </c>
      <c r="O638" s="295">
        <f t="shared" si="248"/>
        <v>514</v>
      </c>
      <c r="P638" s="295"/>
      <c r="Q638" s="295"/>
      <c r="R638" s="293">
        <f t="shared" si="230"/>
        <v>3.3163669767810902</v>
      </c>
      <c r="S638" s="292">
        <v>0.94</v>
      </c>
      <c r="T638" s="301" t="s">
        <v>37</v>
      </c>
      <c r="U638" s="295"/>
      <c r="V638" s="290"/>
      <c r="W638" s="290"/>
      <c r="X638" s="290"/>
      <c r="Y638" s="292">
        <v>0.95</v>
      </c>
      <c r="Z638" s="301" t="s">
        <v>37</v>
      </c>
      <c r="AA638" s="292"/>
      <c r="AB638" s="301"/>
      <c r="AC638" s="301"/>
      <c r="AD638" s="301"/>
      <c r="AE638" s="448"/>
      <c r="AF638" s="287">
        <f t="shared" si="249"/>
        <v>6.1944053911046719</v>
      </c>
      <c r="AG638" s="287">
        <f t="shared" si="250"/>
        <v>6.2422232654551655</v>
      </c>
      <c r="AH638" s="288"/>
      <c r="AI638" s="288"/>
      <c r="AK638" s="286">
        <f t="shared" si="251"/>
        <v>1625.0198186227342</v>
      </c>
      <c r="AL638" s="286">
        <f t="shared" si="252"/>
        <v>1649.0198186227342</v>
      </c>
      <c r="AM638" s="287">
        <f t="shared" si="253"/>
        <v>7.3932752907649952</v>
      </c>
      <c r="AN638" s="287">
        <f t="shared" si="254"/>
        <v>7.407936341057864</v>
      </c>
      <c r="AO638" s="288"/>
      <c r="AP638" s="288"/>
      <c r="AR638" s="286">
        <f t="shared" si="255"/>
        <v>554.50407857524272</v>
      </c>
      <c r="AS638" s="286">
        <f t="shared" si="256"/>
        <v>556.29398393012059</v>
      </c>
      <c r="AT638" s="287">
        <f t="shared" si="257"/>
        <v>6.3180741621740877</v>
      </c>
      <c r="AU638" s="287">
        <f t="shared" si="258"/>
        <v>6.3212969025883305</v>
      </c>
      <c r="AV638" s="299"/>
      <c r="AW638" s="299"/>
      <c r="AX638" s="286"/>
      <c r="AY638" s="286"/>
      <c r="AZ638" s="286"/>
      <c r="BA638" s="286"/>
      <c r="BB638" s="287"/>
      <c r="BC638" s="287"/>
      <c r="BD638" s="288"/>
      <c r="BE638" s="288"/>
    </row>
    <row r="639" spans="1:57" s="298" customFormat="1" x14ac:dyDescent="0.2">
      <c r="A639" s="290" t="s">
        <v>71</v>
      </c>
      <c r="B639" s="290" t="s">
        <v>49</v>
      </c>
      <c r="C639" s="425" t="s">
        <v>53</v>
      </c>
      <c r="D639" s="381" t="s">
        <v>324</v>
      </c>
      <c r="E639" s="387">
        <v>7.6</v>
      </c>
      <c r="F639" s="387">
        <f t="shared" si="247"/>
        <v>0.91160000000000008</v>
      </c>
      <c r="G639" s="387">
        <v>0.53</v>
      </c>
      <c r="H639" s="387">
        <v>19.8</v>
      </c>
      <c r="I639" s="387">
        <v>13.35</v>
      </c>
      <c r="J639" s="387">
        <v>18</v>
      </c>
      <c r="K639" s="383">
        <v>7</v>
      </c>
      <c r="L639" s="383">
        <v>28</v>
      </c>
      <c r="M639" s="383" t="s">
        <v>104</v>
      </c>
      <c r="N639" s="313">
        <v>186</v>
      </c>
      <c r="O639" s="295">
        <f t="shared" si="248"/>
        <v>204</v>
      </c>
      <c r="P639" s="295"/>
      <c r="Q639" s="295"/>
      <c r="R639" s="293">
        <f t="shared" si="230"/>
        <v>3.3163669767810902</v>
      </c>
      <c r="S639" s="292">
        <v>0.94</v>
      </c>
      <c r="T639" s="301" t="s">
        <v>37</v>
      </c>
      <c r="U639" s="295"/>
      <c r="V639" s="290"/>
      <c r="W639" s="290"/>
      <c r="X639" s="290"/>
      <c r="Y639" s="292">
        <v>0.95</v>
      </c>
      <c r="Z639" s="301" t="s">
        <v>37</v>
      </c>
      <c r="AA639" s="292"/>
      <c r="AB639" s="301"/>
      <c r="AC639" s="301"/>
      <c r="AD639" s="301"/>
      <c r="AE639" s="448"/>
      <c r="AF639" s="287">
        <f t="shared" si="249"/>
        <v>5.2257466737132017</v>
      </c>
      <c r="AG639" s="287">
        <f t="shared" si="250"/>
        <v>5.3181199938442161</v>
      </c>
      <c r="AH639" s="288"/>
      <c r="AI639" s="288"/>
      <c r="AK639" s="286">
        <f t="shared" si="251"/>
        <v>616.84425768128278</v>
      </c>
      <c r="AL639" s="286">
        <f t="shared" si="252"/>
        <v>634.84425768128278</v>
      </c>
      <c r="AM639" s="287">
        <f t="shared" si="253"/>
        <v>6.4246165733735241</v>
      </c>
      <c r="AN639" s="287">
        <f t="shared" si="254"/>
        <v>6.4533797053166388</v>
      </c>
      <c r="AO639" s="288"/>
      <c r="AP639" s="288"/>
      <c r="AR639" s="286">
        <f t="shared" si="255"/>
        <v>524.46267871682653</v>
      </c>
      <c r="AS639" s="286">
        <f t="shared" si="256"/>
        <v>538.83608724588328</v>
      </c>
      <c r="AT639" s="287">
        <f t="shared" si="257"/>
        <v>6.2623742693786744</v>
      </c>
      <c r="AU639" s="287">
        <f t="shared" si="258"/>
        <v>6.2894114193643977</v>
      </c>
      <c r="AV639" s="299"/>
      <c r="AW639" s="299"/>
      <c r="AX639" s="286"/>
      <c r="AY639" s="286"/>
      <c r="AZ639" s="286"/>
      <c r="BA639" s="286"/>
      <c r="BB639" s="287"/>
      <c r="BC639" s="287"/>
      <c r="BD639" s="288"/>
      <c r="BE639" s="288"/>
    </row>
    <row r="640" spans="1:57" s="298" customFormat="1" x14ac:dyDescent="0.2">
      <c r="A640" s="290" t="s">
        <v>71</v>
      </c>
      <c r="B640" s="290" t="s">
        <v>49</v>
      </c>
      <c r="C640" s="425" t="s">
        <v>53</v>
      </c>
      <c r="D640" s="381" t="s">
        <v>324</v>
      </c>
      <c r="E640" s="387">
        <v>7.7</v>
      </c>
      <c r="F640" s="387">
        <f t="shared" si="247"/>
        <v>0.53320000000000001</v>
      </c>
      <c r="G640" s="387">
        <v>0.31</v>
      </c>
      <c r="H640" s="387">
        <v>17.2</v>
      </c>
      <c r="I640" s="387">
        <v>13.27</v>
      </c>
      <c r="J640" s="387">
        <v>11</v>
      </c>
      <c r="K640" s="383">
        <v>7</v>
      </c>
      <c r="L640" s="383">
        <v>28</v>
      </c>
      <c r="M640" s="383" t="s">
        <v>104</v>
      </c>
      <c r="N640" s="313">
        <v>198</v>
      </c>
      <c r="O640" s="295">
        <f t="shared" si="248"/>
        <v>209</v>
      </c>
      <c r="P640" s="295"/>
      <c r="Q640" s="295"/>
      <c r="R640" s="293">
        <f t="shared" si="230"/>
        <v>3.6644562419294178</v>
      </c>
      <c r="S640" s="292">
        <v>0.94</v>
      </c>
      <c r="T640" s="301" t="s">
        <v>37</v>
      </c>
      <c r="U640" s="295"/>
      <c r="V640" s="290"/>
      <c r="W640" s="290"/>
      <c r="X640" s="290"/>
      <c r="Y640" s="292">
        <v>0.95</v>
      </c>
      <c r="Z640" s="301" t="s">
        <v>37</v>
      </c>
      <c r="AA640" s="292"/>
      <c r="AB640" s="301"/>
      <c r="AC640" s="301"/>
      <c r="AD640" s="301"/>
      <c r="AE640" s="448"/>
      <c r="AF640" s="287">
        <f t="shared" si="249"/>
        <v>5.2882670306945352</v>
      </c>
      <c r="AG640" s="287">
        <f t="shared" si="250"/>
        <v>5.3423342519648109</v>
      </c>
      <c r="AH640" s="288"/>
      <c r="AI640" s="288"/>
      <c r="AK640" s="286">
        <f t="shared" si="251"/>
        <v>725.56233590202476</v>
      </c>
      <c r="AL640" s="286">
        <f t="shared" si="252"/>
        <v>736.56233590202476</v>
      </c>
      <c r="AM640" s="287">
        <f t="shared" si="253"/>
        <v>6.5869469899316684</v>
      </c>
      <c r="AN640" s="287">
        <f t="shared" si="254"/>
        <v>6.6019938703414898</v>
      </c>
      <c r="AO640" s="288"/>
      <c r="AP640" s="288"/>
      <c r="AR640" s="286">
        <f t="shared" si="255"/>
        <v>620.39389464041847</v>
      </c>
      <c r="AS640" s="286">
        <f t="shared" si="256"/>
        <v>628.75117743125804</v>
      </c>
      <c r="AT640" s="287">
        <f t="shared" si="257"/>
        <v>6.4303545902488324</v>
      </c>
      <c r="AU640" s="287">
        <f t="shared" si="258"/>
        <v>6.4437355940662835</v>
      </c>
      <c r="AV640" s="299"/>
      <c r="AW640" s="299"/>
      <c r="AX640" s="286"/>
      <c r="AY640" s="286"/>
      <c r="AZ640" s="286"/>
      <c r="BA640" s="286"/>
      <c r="BB640" s="287"/>
      <c r="BC640" s="287"/>
      <c r="BD640" s="288"/>
      <c r="BE640" s="288"/>
    </row>
    <row r="641" spans="1:57" s="336" customFormat="1" x14ac:dyDescent="0.2">
      <c r="A641" s="326" t="s">
        <v>71</v>
      </c>
      <c r="B641" s="326" t="s">
        <v>49</v>
      </c>
      <c r="C641" s="428" t="s">
        <v>53</v>
      </c>
      <c r="D641" s="391" t="s">
        <v>324</v>
      </c>
      <c r="E641" s="361">
        <v>6</v>
      </c>
      <c r="F641" s="361">
        <v>10</v>
      </c>
      <c r="G641" s="361">
        <v>5.8</v>
      </c>
      <c r="H641" s="361">
        <v>20</v>
      </c>
      <c r="I641" s="393">
        <f t="shared" ref="I641:I642" si="259">(30+4.4*E641)*(0/100)+(-34.66+29.72*E641)*(F641/100)</f>
        <v>14.366</v>
      </c>
      <c r="J641" s="502">
        <v>0</v>
      </c>
      <c r="K641" s="394">
        <v>0</v>
      </c>
      <c r="L641" s="394">
        <v>21</v>
      </c>
      <c r="M641" s="394" t="s">
        <v>93</v>
      </c>
      <c r="N641" s="317">
        <v>180</v>
      </c>
      <c r="O641" s="231">
        <f t="shared" si="248"/>
        <v>180</v>
      </c>
      <c r="P641" s="231"/>
      <c r="Q641" s="231"/>
      <c r="R641" s="318">
        <f t="shared" si="230"/>
        <v>1.2465969639416066</v>
      </c>
      <c r="S641" s="328">
        <v>0.94</v>
      </c>
      <c r="T641" s="314" t="s">
        <v>37</v>
      </c>
      <c r="U641" s="330"/>
      <c r="V641" s="331"/>
      <c r="W641" s="331"/>
      <c r="X641" s="331"/>
      <c r="Y641" s="328">
        <v>0.95</v>
      </c>
      <c r="Z641" s="314" t="s">
        <v>37</v>
      </c>
      <c r="AA641" s="328"/>
      <c r="AB641" s="314"/>
      <c r="AC641" s="314"/>
      <c r="AD641" s="314"/>
      <c r="AE641" s="443"/>
      <c r="AF641" s="334">
        <f t="shared" si="249"/>
        <v>5.1929568508902104</v>
      </c>
      <c r="AG641" s="334">
        <f t="shared" si="250"/>
        <v>5.1929568508902104</v>
      </c>
      <c r="AH641" s="335"/>
      <c r="AI641" s="335"/>
      <c r="AK641" s="337">
        <f t="shared" si="251"/>
        <v>224.38745350948918</v>
      </c>
      <c r="AL641" s="337">
        <f t="shared" si="252"/>
        <v>224.38745350948918</v>
      </c>
      <c r="AM641" s="334">
        <f t="shared" si="253"/>
        <v>5.413374260808661</v>
      </c>
      <c r="AN641" s="334">
        <f t="shared" si="254"/>
        <v>5.413374260808661</v>
      </c>
      <c r="AO641" s="335"/>
      <c r="AP641" s="335"/>
      <c r="AR641" s="337">
        <f t="shared" si="255"/>
        <v>178.07145692530676</v>
      </c>
      <c r="AS641" s="337">
        <f t="shared" si="256"/>
        <v>177.63403522721475</v>
      </c>
      <c r="AT641" s="334">
        <f t="shared" si="257"/>
        <v>5.182184913135842</v>
      </c>
      <c r="AU641" s="334">
        <f t="shared" si="258"/>
        <v>5.1797254519903859</v>
      </c>
      <c r="AV641" s="338"/>
      <c r="AW641" s="338"/>
      <c r="AX641" s="337"/>
      <c r="AY641" s="337"/>
      <c r="AZ641" s="337"/>
      <c r="BA641" s="337"/>
      <c r="BB641" s="334"/>
      <c r="BC641" s="334"/>
      <c r="BD641" s="335"/>
      <c r="BE641" s="335"/>
    </row>
    <row r="642" spans="1:57" s="460" customFormat="1" x14ac:dyDescent="0.2">
      <c r="A642" s="459" t="s">
        <v>71</v>
      </c>
      <c r="B642" s="459" t="s">
        <v>49</v>
      </c>
      <c r="C642" s="503" t="s">
        <v>81</v>
      </c>
      <c r="D642" s="391" t="s">
        <v>328</v>
      </c>
      <c r="E642" s="432">
        <v>6</v>
      </c>
      <c r="F642" s="432">
        <v>10</v>
      </c>
      <c r="G642" s="432">
        <v>5.8</v>
      </c>
      <c r="H642" s="361">
        <v>20</v>
      </c>
      <c r="I642" s="393">
        <f t="shared" si="259"/>
        <v>14.366</v>
      </c>
      <c r="J642" s="513">
        <v>0</v>
      </c>
      <c r="K642" s="434">
        <v>0</v>
      </c>
      <c r="L642" s="434">
        <v>42</v>
      </c>
      <c r="M642" s="434" t="s">
        <v>93</v>
      </c>
      <c r="N642" s="504">
        <v>180</v>
      </c>
      <c r="O642" s="248">
        <f t="shared" si="248"/>
        <v>180</v>
      </c>
      <c r="P642" s="248"/>
      <c r="Q642" s="248"/>
      <c r="R642" s="505">
        <f t="shared" si="230"/>
        <v>1.2465969639416066</v>
      </c>
      <c r="S642" s="506">
        <v>0.94</v>
      </c>
      <c r="T642" s="507" t="s">
        <v>37</v>
      </c>
      <c r="U642" s="508"/>
      <c r="V642" s="509"/>
      <c r="W642" s="509"/>
      <c r="X642" s="509"/>
      <c r="Y642" s="506">
        <v>0.95</v>
      </c>
      <c r="Z642" s="507" t="s">
        <v>37</v>
      </c>
      <c r="AA642" s="506"/>
      <c r="AB642" s="507"/>
      <c r="AC642" s="507"/>
      <c r="AD642" s="507"/>
      <c r="AE642" s="510"/>
      <c r="AF642" s="247">
        <f t="shared" si="249"/>
        <v>5.1929568508902104</v>
      </c>
      <c r="AG642" s="247">
        <f t="shared" si="250"/>
        <v>5.1929568508902104</v>
      </c>
      <c r="AH642" s="252"/>
      <c r="AI642" s="252"/>
      <c r="AK642" s="511">
        <f t="shared" si="251"/>
        <v>224.38745350948918</v>
      </c>
      <c r="AL642" s="511">
        <f t="shared" si="252"/>
        <v>224.38745350948918</v>
      </c>
      <c r="AM642" s="247">
        <f t="shared" si="253"/>
        <v>5.413374260808661</v>
      </c>
      <c r="AN642" s="247">
        <f t="shared" si="254"/>
        <v>5.413374260808661</v>
      </c>
      <c r="AO642" s="252"/>
      <c r="AP642" s="252"/>
      <c r="AR642" s="511">
        <f t="shared" si="255"/>
        <v>178.07145692530676</v>
      </c>
      <c r="AS642" s="511">
        <f t="shared" si="256"/>
        <v>177.63403522721475</v>
      </c>
      <c r="AT642" s="247">
        <f t="shared" si="257"/>
        <v>5.182184913135842</v>
      </c>
      <c r="AU642" s="247">
        <f t="shared" si="258"/>
        <v>5.1797254519903859</v>
      </c>
      <c r="AV642" s="512"/>
      <c r="AW642" s="512"/>
      <c r="AX642" s="461">
        <f t="shared" ref="AX642:AY644" si="260">GEOMEAN(AR642)</f>
        <v>178.07145692530676</v>
      </c>
      <c r="AY642" s="461">
        <f t="shared" si="260"/>
        <v>177.63403522721475</v>
      </c>
      <c r="AZ642" s="461">
        <f t="shared" ref="AZ642:BA644" si="261">MIN(AX642)</f>
        <v>178.07145692530676</v>
      </c>
      <c r="BA642" s="461">
        <f t="shared" si="261"/>
        <v>177.63403522721475</v>
      </c>
      <c r="BB642" s="247">
        <f t="shared" ref="BB642:BC644" si="262">LN(AZ642)</f>
        <v>5.182184913135842</v>
      </c>
      <c r="BC642" s="247">
        <f t="shared" si="262"/>
        <v>5.1797254519903859</v>
      </c>
      <c r="BD642" s="252"/>
      <c r="BE642" s="252"/>
    </row>
    <row r="643" spans="1:57" s="460" customFormat="1" x14ac:dyDescent="0.2">
      <c r="A643" s="459" t="s">
        <v>71</v>
      </c>
      <c r="B643" s="459" t="s">
        <v>49</v>
      </c>
      <c r="C643" s="503" t="s">
        <v>82</v>
      </c>
      <c r="D643" s="391" t="s">
        <v>324</v>
      </c>
      <c r="E643" s="432">
        <v>5.5</v>
      </c>
      <c r="F643" s="432">
        <f>G643*1.72</f>
        <v>3.9559999999999995</v>
      </c>
      <c r="G643" s="432">
        <v>2.2999999999999998</v>
      </c>
      <c r="H643" s="432">
        <v>5</v>
      </c>
      <c r="I643" s="433">
        <f>(30+4.4*E643)*(H643/100)+(-34.66+29.72*E643)*(F643/100)</f>
        <v>7.8053279999999994</v>
      </c>
      <c r="J643" s="432">
        <v>6</v>
      </c>
      <c r="K643" s="394">
        <v>1</v>
      </c>
      <c r="L643" s="394">
        <v>28</v>
      </c>
      <c r="M643" s="394" t="s">
        <v>104</v>
      </c>
      <c r="N643" s="504">
        <v>85</v>
      </c>
      <c r="O643" s="248">
        <f t="shared" si="248"/>
        <v>91</v>
      </c>
      <c r="P643" s="248"/>
      <c r="Q643" s="248"/>
      <c r="R643" s="505">
        <f t="shared" si="230"/>
        <v>1.1224564282529819</v>
      </c>
      <c r="S643" s="506">
        <v>0.94</v>
      </c>
      <c r="T643" s="507" t="s">
        <v>37</v>
      </c>
      <c r="U643" s="508"/>
      <c r="V643" s="509"/>
      <c r="W643" s="509"/>
      <c r="X643" s="509"/>
      <c r="Y643" s="506">
        <v>0.95</v>
      </c>
      <c r="Z643" s="507" t="s">
        <v>37</v>
      </c>
      <c r="AA643" s="506"/>
      <c r="AB643" s="507"/>
      <c r="AC643" s="507"/>
      <c r="AD643" s="507"/>
      <c r="AE643" s="510"/>
      <c r="AF643" s="247">
        <f t="shared" si="249"/>
        <v>4.4426512564903167</v>
      </c>
      <c r="AG643" s="247">
        <f t="shared" si="250"/>
        <v>4.5108595065168497</v>
      </c>
      <c r="AH643" s="252"/>
      <c r="AI643" s="252"/>
      <c r="AK643" s="511">
        <f t="shared" si="251"/>
        <v>95.408796401503452</v>
      </c>
      <c r="AL643" s="511">
        <f t="shared" si="252"/>
        <v>101.40879640150345</v>
      </c>
      <c r="AM643" s="247">
        <f t="shared" si="253"/>
        <v>4.5581707796700712</v>
      </c>
      <c r="AN643" s="247">
        <f t="shared" si="254"/>
        <v>4.6191598369162907</v>
      </c>
      <c r="AO643" s="252"/>
      <c r="AP643" s="252"/>
      <c r="AR643" s="511">
        <f t="shared" si="255"/>
        <v>134.34830177126057</v>
      </c>
      <c r="AS643" s="511">
        <f t="shared" si="256"/>
        <v>143.31799003348377</v>
      </c>
      <c r="AT643" s="247">
        <f t="shared" si="257"/>
        <v>4.9004356946486043</v>
      </c>
      <c r="AU643" s="247">
        <f t="shared" si="258"/>
        <v>4.9650658680116164</v>
      </c>
      <c r="AV643" s="512"/>
      <c r="AW643" s="512"/>
      <c r="AX643" s="461">
        <f t="shared" si="260"/>
        <v>134.34830177126057</v>
      </c>
      <c r="AY643" s="461">
        <f t="shared" si="260"/>
        <v>143.31799003348377</v>
      </c>
      <c r="AZ643" s="461">
        <f t="shared" si="261"/>
        <v>134.34830177126057</v>
      </c>
      <c r="BA643" s="461">
        <f t="shared" si="261"/>
        <v>143.31799003348377</v>
      </c>
      <c r="BB643" s="247">
        <f t="shared" si="262"/>
        <v>4.9004356946486043</v>
      </c>
      <c r="BC643" s="247">
        <f t="shared" si="262"/>
        <v>4.9650658680116164</v>
      </c>
      <c r="BD643" s="252"/>
      <c r="BE643" s="252"/>
    </row>
    <row r="644" spans="1:57" s="530" customFormat="1" ht="13.5" thickBot="1" x14ac:dyDescent="0.25">
      <c r="A644" s="517" t="s">
        <v>71</v>
      </c>
      <c r="B644" s="517" t="s">
        <v>49</v>
      </c>
      <c r="C644" s="518" t="s">
        <v>54</v>
      </c>
      <c r="D644" s="519" t="s">
        <v>36</v>
      </c>
      <c r="E644" s="520">
        <v>7.3</v>
      </c>
      <c r="F644" s="520">
        <v>8</v>
      </c>
      <c r="G644" s="520">
        <v>4.6500000000000004</v>
      </c>
      <c r="H644" s="520">
        <v>17</v>
      </c>
      <c r="I644" s="521">
        <f>(30+4.4*E644)*(H644/100)+(-34.66+29.72*E644)*(F644/100)</f>
        <v>25.144080000000002</v>
      </c>
      <c r="J644" s="520">
        <v>17</v>
      </c>
      <c r="K644" s="522">
        <v>0</v>
      </c>
      <c r="L644" s="522">
        <v>84</v>
      </c>
      <c r="M644" s="522" t="s">
        <v>104</v>
      </c>
      <c r="N644" s="523">
        <v>842</v>
      </c>
      <c r="O644" s="243">
        <f t="shared" si="248"/>
        <v>859</v>
      </c>
      <c r="P644" s="243"/>
      <c r="Q644" s="243"/>
      <c r="R644" s="524">
        <f t="shared" si="230"/>
        <v>2.5219615556186334</v>
      </c>
      <c r="S644" s="525">
        <v>0.94</v>
      </c>
      <c r="T644" s="526" t="s">
        <v>37</v>
      </c>
      <c r="U644" s="527"/>
      <c r="V644" s="528"/>
      <c r="W644" s="528"/>
      <c r="X644" s="528"/>
      <c r="Y644" s="525">
        <v>0.95</v>
      </c>
      <c r="Z644" s="526" t="s">
        <v>37</v>
      </c>
      <c r="AA644" s="525"/>
      <c r="AB644" s="526"/>
      <c r="AC644" s="526"/>
      <c r="AD644" s="526"/>
      <c r="AE644" s="529"/>
      <c r="AF644" s="180">
        <f t="shared" si="249"/>
        <v>6.7357800142423265</v>
      </c>
      <c r="AG644" s="180">
        <f t="shared" si="250"/>
        <v>6.7557689219842549</v>
      </c>
      <c r="AH644" s="183"/>
      <c r="AI644" s="183"/>
      <c r="AK644" s="531">
        <f t="shared" si="251"/>
        <v>2123.4916298308895</v>
      </c>
      <c r="AL644" s="531">
        <f t="shared" si="252"/>
        <v>2140.4916298308895</v>
      </c>
      <c r="AM644" s="180">
        <f t="shared" si="253"/>
        <v>7.6608170080600804</v>
      </c>
      <c r="AN644" s="180">
        <f t="shared" si="254"/>
        <v>7.6687908151970188</v>
      </c>
      <c r="AO644" s="183"/>
      <c r="AP644" s="183"/>
      <c r="AR644" s="531">
        <f t="shared" si="255"/>
        <v>995.70892761838809</v>
      </c>
      <c r="AS644" s="531">
        <f t="shared" si="256"/>
        <v>995.62605245466887</v>
      </c>
      <c r="AT644" s="180">
        <f t="shared" si="257"/>
        <v>6.9034549735267747</v>
      </c>
      <c r="AU644" s="180">
        <f t="shared" si="258"/>
        <v>6.9033717377431456</v>
      </c>
      <c r="AV644" s="532"/>
      <c r="AW644" s="532"/>
      <c r="AX644" s="182">
        <f t="shared" si="260"/>
        <v>995.70892761838809</v>
      </c>
      <c r="AY644" s="182">
        <f t="shared" si="260"/>
        <v>995.62605245466887</v>
      </c>
      <c r="AZ644" s="182">
        <f t="shared" si="261"/>
        <v>995.70892761838809</v>
      </c>
      <c r="BA644" s="182">
        <f t="shared" si="261"/>
        <v>995.62605245466887</v>
      </c>
      <c r="BB644" s="180">
        <f t="shared" si="262"/>
        <v>6.9034549735267747</v>
      </c>
      <c r="BC644" s="180">
        <f t="shared" si="262"/>
        <v>6.9033717377431456</v>
      </c>
      <c r="BD644" s="183"/>
      <c r="BE644" s="183"/>
    </row>
    <row r="645" spans="1:57" s="298" customFormat="1" ht="13.5" thickTop="1" x14ac:dyDescent="0.2">
      <c r="A645" s="290" t="s">
        <v>71</v>
      </c>
      <c r="B645" s="290" t="s">
        <v>260</v>
      </c>
      <c r="C645" s="290" t="s">
        <v>341</v>
      </c>
      <c r="D645" s="381" t="s">
        <v>303</v>
      </c>
      <c r="E645" s="387">
        <v>4.0999999999999996</v>
      </c>
      <c r="F645" s="387">
        <f t="shared" ref="F645:F687" si="263">G645*1.72</f>
        <v>56.845999999999997</v>
      </c>
      <c r="G645" s="387">
        <v>33.049999999999997</v>
      </c>
      <c r="H645" s="387">
        <v>34</v>
      </c>
      <c r="I645" s="387">
        <v>52.75</v>
      </c>
      <c r="J645" s="387">
        <v>26</v>
      </c>
      <c r="K645" s="383">
        <v>7</v>
      </c>
      <c r="L645" s="383">
        <v>14</v>
      </c>
      <c r="M645" s="383" t="s">
        <v>104</v>
      </c>
      <c r="N645" s="387">
        <v>170</v>
      </c>
      <c r="O645" s="295">
        <f t="shared" si="248"/>
        <v>196</v>
      </c>
      <c r="P645" s="295"/>
      <c r="Q645" s="295"/>
      <c r="R645" s="293">
        <f t="shared" si="230"/>
        <v>1.0172490191153463</v>
      </c>
      <c r="S645" s="295">
        <v>0.99</v>
      </c>
      <c r="T645" s="290" t="s">
        <v>37</v>
      </c>
      <c r="U645" s="295"/>
      <c r="V645" s="290"/>
      <c r="W645" s="290"/>
      <c r="X645" s="290"/>
      <c r="Y645" s="292">
        <v>1</v>
      </c>
      <c r="Z645" s="301" t="s">
        <v>37</v>
      </c>
      <c r="AA645" s="292"/>
      <c r="AB645" s="301"/>
      <c r="AC645" s="301"/>
      <c r="AD645" s="301"/>
      <c r="AE645" s="448"/>
      <c r="AF645" s="239">
        <f t="shared" si="249"/>
        <v>5.1357984370502621</v>
      </c>
      <c r="AG645" s="239">
        <f t="shared" si="250"/>
        <v>5.2781146592305168</v>
      </c>
      <c r="AH645" s="240"/>
      <c r="AI645" s="240"/>
      <c r="AK645" s="286">
        <f t="shared" si="251"/>
        <v>172.93233324960886</v>
      </c>
      <c r="AL645" s="286">
        <f t="shared" si="252"/>
        <v>198.93233324960886</v>
      </c>
      <c r="AM645" s="239">
        <f t="shared" si="253"/>
        <v>5.1529003806981404</v>
      </c>
      <c r="AN645" s="239">
        <f t="shared" si="254"/>
        <v>5.2929647329782865</v>
      </c>
      <c r="AO645" s="240"/>
      <c r="AP645" s="240"/>
      <c r="AR645" s="286">
        <f t="shared" si="255"/>
        <v>37.401890575185213</v>
      </c>
      <c r="AS645" s="286">
        <f t="shared" si="256"/>
        <v>42.364855962580684</v>
      </c>
      <c r="AT645" s="239">
        <f t="shared" si="257"/>
        <v>3.6217212532815131</v>
      </c>
      <c r="AU645" s="239">
        <f t="shared" si="258"/>
        <v>3.7463191497291675</v>
      </c>
      <c r="AV645" s="299"/>
      <c r="AW645" s="299"/>
      <c r="AX645" s="265">
        <f>GEOMEAN(AR645:AR654)</f>
        <v>156.49867918316258</v>
      </c>
      <c r="AY645" s="265">
        <f>GEOMEAN(AS645:AS654)</f>
        <v>173.06399115225707</v>
      </c>
      <c r="AZ645" s="265">
        <f>MIN(AX645:AX654)</f>
        <v>156.49867918316258</v>
      </c>
      <c r="BA645" s="265">
        <f>MIN(AY645:AY654)</f>
        <v>173.06399115225707</v>
      </c>
      <c r="BB645" s="239">
        <f>LN(AZ645)</f>
        <v>5.0530475702203921</v>
      </c>
      <c r="BC645" s="239">
        <f>LN(BA645)</f>
        <v>5.1536614171584567</v>
      </c>
      <c r="BD645" s="240"/>
      <c r="BE645" s="240"/>
    </row>
    <row r="646" spans="1:57" s="298" customFormat="1" x14ac:dyDescent="0.2">
      <c r="A646" s="290" t="s">
        <v>71</v>
      </c>
      <c r="B646" s="290" t="s">
        <v>260</v>
      </c>
      <c r="C646" s="290" t="s">
        <v>341</v>
      </c>
      <c r="D646" s="381" t="s">
        <v>303</v>
      </c>
      <c r="E646" s="387">
        <v>4.2</v>
      </c>
      <c r="F646" s="387">
        <f t="shared" si="263"/>
        <v>21.534399999999998</v>
      </c>
      <c r="G646" s="387">
        <v>12.52</v>
      </c>
      <c r="H646" s="387">
        <v>12.7</v>
      </c>
      <c r="I646" s="387">
        <v>11.91</v>
      </c>
      <c r="J646" s="387">
        <v>3</v>
      </c>
      <c r="K646" s="383">
        <v>7</v>
      </c>
      <c r="L646" s="383">
        <v>14</v>
      </c>
      <c r="M646" s="383" t="s">
        <v>104</v>
      </c>
      <c r="N646" s="387">
        <v>111</v>
      </c>
      <c r="O646" s="295">
        <f t="shared" si="248"/>
        <v>114</v>
      </c>
      <c r="P646" s="295"/>
      <c r="Q646" s="295"/>
      <c r="R646" s="293">
        <f t="shared" si="230"/>
        <v>1.0198410947443703</v>
      </c>
      <c r="S646" s="295">
        <v>0.99</v>
      </c>
      <c r="T646" s="290" t="s">
        <v>37</v>
      </c>
      <c r="U646" s="295"/>
      <c r="V646" s="290"/>
      <c r="W646" s="290"/>
      <c r="X646" s="290"/>
      <c r="Y646" s="292">
        <v>1</v>
      </c>
      <c r="Z646" s="301" t="s">
        <v>37</v>
      </c>
      <c r="AA646" s="292"/>
      <c r="AB646" s="301"/>
      <c r="AC646" s="301"/>
      <c r="AD646" s="301"/>
      <c r="AE646" s="448"/>
      <c r="AF646" s="287">
        <f t="shared" si="249"/>
        <v>4.7095302013123339</v>
      </c>
      <c r="AG646" s="287">
        <f t="shared" si="250"/>
        <v>4.7361984483944957</v>
      </c>
      <c r="AH646" s="288"/>
      <c r="AI646" s="288"/>
      <c r="AK646" s="286">
        <f t="shared" si="251"/>
        <v>113.2023615166251</v>
      </c>
      <c r="AL646" s="286">
        <f t="shared" si="252"/>
        <v>116.2023615166251</v>
      </c>
      <c r="AM646" s="287">
        <f t="shared" si="253"/>
        <v>4.7291770270057709</v>
      </c>
      <c r="AN646" s="287">
        <f t="shared" si="254"/>
        <v>4.755333167073827</v>
      </c>
      <c r="AO646" s="288"/>
      <c r="AP646" s="288"/>
      <c r="AR646" s="286">
        <f t="shared" si="255"/>
        <v>106.83669297352222</v>
      </c>
      <c r="AS646" s="286">
        <f t="shared" si="256"/>
        <v>109.60390164309919</v>
      </c>
      <c r="AT646" s="287">
        <f t="shared" si="257"/>
        <v>4.6713014346882202</v>
      </c>
      <c r="AU646" s="287">
        <f t="shared" si="258"/>
        <v>4.6968729728136749</v>
      </c>
      <c r="AV646" s="299"/>
      <c r="AW646" s="299"/>
      <c r="AX646" s="286"/>
      <c r="AY646" s="286"/>
      <c r="AZ646" s="286"/>
      <c r="BA646" s="286"/>
      <c r="BB646" s="287"/>
      <c r="BC646" s="287"/>
      <c r="BD646" s="288"/>
      <c r="BE646" s="288"/>
    </row>
    <row r="647" spans="1:57" s="298" customFormat="1" x14ac:dyDescent="0.2">
      <c r="A647" s="290" t="s">
        <v>71</v>
      </c>
      <c r="B647" s="290" t="s">
        <v>260</v>
      </c>
      <c r="C647" s="290" t="s">
        <v>341</v>
      </c>
      <c r="D647" s="381" t="s">
        <v>303</v>
      </c>
      <c r="E647" s="387">
        <v>5.6</v>
      </c>
      <c r="F647" s="387">
        <f t="shared" si="263"/>
        <v>1.7027999999999999</v>
      </c>
      <c r="G647" s="387">
        <v>0.99</v>
      </c>
      <c r="H647" s="387">
        <v>46.9</v>
      </c>
      <c r="I647" s="387">
        <v>19.260000000000002</v>
      </c>
      <c r="J647" s="387">
        <v>19</v>
      </c>
      <c r="K647" s="383">
        <v>7</v>
      </c>
      <c r="L647" s="383">
        <v>14</v>
      </c>
      <c r="M647" s="383" t="s">
        <v>104</v>
      </c>
      <c r="N647" s="387">
        <v>44</v>
      </c>
      <c r="O647" s="295">
        <f t="shared" si="248"/>
        <v>63</v>
      </c>
      <c r="P647" s="295"/>
      <c r="Q647" s="295"/>
      <c r="R647" s="293">
        <f t="shared" si="230"/>
        <v>1.1408584209210448</v>
      </c>
      <c r="S647" s="295">
        <v>0.99</v>
      </c>
      <c r="T647" s="290" t="s">
        <v>37</v>
      </c>
      <c r="U647" s="295"/>
      <c r="V647" s="290"/>
      <c r="W647" s="290"/>
      <c r="X647" s="290"/>
      <c r="Y647" s="292">
        <v>1</v>
      </c>
      <c r="Z647" s="301" t="s">
        <v>37</v>
      </c>
      <c r="AA647" s="292"/>
      <c r="AB647" s="301"/>
      <c r="AC647" s="301"/>
      <c r="AD647" s="301"/>
      <c r="AE647" s="448"/>
      <c r="AF647" s="287">
        <f t="shared" si="249"/>
        <v>3.784189633918261</v>
      </c>
      <c r="AG647" s="287">
        <f t="shared" si="250"/>
        <v>4.1431347263915326</v>
      </c>
      <c r="AH647" s="288"/>
      <c r="AI647" s="288"/>
      <c r="AK647" s="286">
        <f t="shared" si="251"/>
        <v>50.197770520525971</v>
      </c>
      <c r="AL647" s="286">
        <f t="shared" si="252"/>
        <v>69.197770520525978</v>
      </c>
      <c r="AM647" s="287">
        <f t="shared" si="253"/>
        <v>3.9159706137697303</v>
      </c>
      <c r="AN647" s="287">
        <f t="shared" si="254"/>
        <v>4.2369686441931416</v>
      </c>
      <c r="AO647" s="288"/>
      <c r="AP647" s="288"/>
      <c r="AR647" s="286">
        <f t="shared" si="255"/>
        <v>29.436915580252474</v>
      </c>
      <c r="AS647" s="286">
        <f t="shared" si="256"/>
        <v>40.360695467104492</v>
      </c>
      <c r="AT647" s="287">
        <f t="shared" si="257"/>
        <v>3.382249518679437</v>
      </c>
      <c r="AU647" s="287">
        <f t="shared" si="258"/>
        <v>3.697856426930219</v>
      </c>
      <c r="AV647" s="299"/>
      <c r="AW647" s="299"/>
      <c r="AX647" s="286"/>
      <c r="AY647" s="286"/>
      <c r="AZ647" s="286"/>
      <c r="BA647" s="286"/>
      <c r="BB647" s="287"/>
      <c r="BC647" s="287"/>
      <c r="BD647" s="288"/>
      <c r="BE647" s="288"/>
    </row>
    <row r="648" spans="1:57" s="298" customFormat="1" x14ac:dyDescent="0.2">
      <c r="A648" s="290" t="s">
        <v>71</v>
      </c>
      <c r="B648" s="290" t="s">
        <v>260</v>
      </c>
      <c r="C648" s="290" t="s">
        <v>341</v>
      </c>
      <c r="D648" s="381" t="s">
        <v>303</v>
      </c>
      <c r="E648" s="387">
        <v>5.6</v>
      </c>
      <c r="F648" s="387">
        <f t="shared" si="263"/>
        <v>2.2876000000000003</v>
      </c>
      <c r="G648" s="387">
        <v>1.33</v>
      </c>
      <c r="H648" s="387">
        <v>4.3</v>
      </c>
      <c r="I648" s="387">
        <v>4.91</v>
      </c>
      <c r="J648" s="387">
        <v>3</v>
      </c>
      <c r="K648" s="383">
        <v>7</v>
      </c>
      <c r="L648" s="383">
        <v>14</v>
      </c>
      <c r="M648" s="383" t="s">
        <v>104</v>
      </c>
      <c r="N648" s="387">
        <v>137</v>
      </c>
      <c r="O648" s="295">
        <f t="shared" si="248"/>
        <v>140</v>
      </c>
      <c r="P648" s="295"/>
      <c r="Q648" s="295"/>
      <c r="R648" s="293">
        <f t="shared" si="230"/>
        <v>1.1408584209210448</v>
      </c>
      <c r="S648" s="295">
        <v>0.99</v>
      </c>
      <c r="T648" s="290" t="s">
        <v>37</v>
      </c>
      <c r="U648" s="295"/>
      <c r="V648" s="290"/>
      <c r="W648" s="290"/>
      <c r="X648" s="290"/>
      <c r="Y648" s="292">
        <v>1</v>
      </c>
      <c r="Z648" s="301" t="s">
        <v>37</v>
      </c>
      <c r="AA648" s="292"/>
      <c r="AB648" s="301"/>
      <c r="AC648" s="301"/>
      <c r="AD648" s="301"/>
      <c r="AE648" s="448"/>
      <c r="AF648" s="287">
        <f t="shared" si="249"/>
        <v>4.9199809258281251</v>
      </c>
      <c r="AG648" s="287">
        <f t="shared" si="250"/>
        <v>4.9416424226093039</v>
      </c>
      <c r="AH648" s="288"/>
      <c r="AI648" s="288"/>
      <c r="AK648" s="286">
        <f t="shared" si="251"/>
        <v>156.29760366618314</v>
      </c>
      <c r="AL648" s="286">
        <f t="shared" si="252"/>
        <v>159.29760366618314</v>
      </c>
      <c r="AM648" s="287">
        <f t="shared" si="253"/>
        <v>5.0517619056795944</v>
      </c>
      <c r="AN648" s="287">
        <f t="shared" si="254"/>
        <v>5.0707741739038186</v>
      </c>
      <c r="AO648" s="288"/>
      <c r="AP648" s="288"/>
      <c r="AR648" s="286">
        <f t="shared" si="255"/>
        <v>354.64940520248564</v>
      </c>
      <c r="AS648" s="286">
        <f t="shared" si="256"/>
        <v>364.46058865678236</v>
      </c>
      <c r="AT648" s="287">
        <f t="shared" si="257"/>
        <v>5.8711297105072155</v>
      </c>
      <c r="AU648" s="287">
        <f t="shared" si="258"/>
        <v>5.8984184212044468</v>
      </c>
      <c r="AV648" s="299"/>
      <c r="AW648" s="299"/>
      <c r="AX648" s="286"/>
      <c r="AY648" s="286"/>
      <c r="AZ648" s="286"/>
      <c r="BA648" s="286"/>
      <c r="BB648" s="287"/>
      <c r="BC648" s="287"/>
      <c r="BD648" s="288"/>
      <c r="BE648" s="288"/>
    </row>
    <row r="649" spans="1:57" s="298" customFormat="1" x14ac:dyDescent="0.2">
      <c r="A649" s="290" t="s">
        <v>71</v>
      </c>
      <c r="B649" s="290" t="s">
        <v>260</v>
      </c>
      <c r="C649" s="290" t="s">
        <v>341</v>
      </c>
      <c r="D649" s="381" t="s">
        <v>303</v>
      </c>
      <c r="E649" s="387">
        <v>6.7</v>
      </c>
      <c r="F649" s="387">
        <f t="shared" si="263"/>
        <v>1.8748</v>
      </c>
      <c r="G649" s="387">
        <v>1.0900000000000001</v>
      </c>
      <c r="H649" s="387">
        <v>9.6</v>
      </c>
      <c r="I649" s="387">
        <v>7.8</v>
      </c>
      <c r="J649" s="387">
        <v>11</v>
      </c>
      <c r="K649" s="383">
        <v>7</v>
      </c>
      <c r="L649" s="383">
        <v>7</v>
      </c>
      <c r="M649" s="383" t="s">
        <v>104</v>
      </c>
      <c r="N649" s="387">
        <v>67</v>
      </c>
      <c r="O649" s="295">
        <f t="shared" si="248"/>
        <v>78</v>
      </c>
      <c r="P649" s="295"/>
      <c r="Q649" s="295"/>
      <c r="R649" s="293">
        <f t="shared" si="230"/>
        <v>1.657046819815057</v>
      </c>
      <c r="S649" s="295">
        <v>0.99</v>
      </c>
      <c r="T649" s="290" t="s">
        <v>37</v>
      </c>
      <c r="U649" s="295"/>
      <c r="V649" s="290"/>
      <c r="W649" s="290"/>
      <c r="X649" s="290"/>
      <c r="Y649" s="292">
        <v>1</v>
      </c>
      <c r="Z649" s="301" t="s">
        <v>37</v>
      </c>
      <c r="AA649" s="292"/>
      <c r="AB649" s="301"/>
      <c r="AC649" s="301"/>
      <c r="AD649" s="301"/>
      <c r="AE649" s="448"/>
      <c r="AF649" s="287">
        <f t="shared" si="249"/>
        <v>4.2046926193909657</v>
      </c>
      <c r="AG649" s="287">
        <f t="shared" si="250"/>
        <v>4.3567088266895917</v>
      </c>
      <c r="AH649" s="288"/>
      <c r="AI649" s="288"/>
      <c r="AK649" s="286">
        <f t="shared" si="251"/>
        <v>111.02213692760881</v>
      </c>
      <c r="AL649" s="286">
        <f t="shared" si="252"/>
        <v>122.02213692760881</v>
      </c>
      <c r="AM649" s="287">
        <f t="shared" si="253"/>
        <v>4.7097296132087196</v>
      </c>
      <c r="AN649" s="287">
        <f t="shared" si="254"/>
        <v>4.804202478499457</v>
      </c>
      <c r="AO649" s="288"/>
      <c r="AP649" s="288"/>
      <c r="AR649" s="286">
        <f t="shared" si="255"/>
        <v>159.3138449106151</v>
      </c>
      <c r="AS649" s="286">
        <f t="shared" si="256"/>
        <v>175.7384717440614</v>
      </c>
      <c r="AT649" s="287">
        <f t="shared" si="257"/>
        <v>5.0708761240661158</v>
      </c>
      <c r="AU649" s="287">
        <f t="shared" si="258"/>
        <v>5.168996933910968</v>
      </c>
      <c r="AV649" s="299"/>
      <c r="AW649" s="299"/>
      <c r="AX649" s="286"/>
      <c r="AY649" s="286"/>
      <c r="AZ649" s="286"/>
      <c r="BA649" s="286"/>
      <c r="BB649" s="287"/>
      <c r="BC649" s="287"/>
      <c r="BD649" s="288"/>
      <c r="BE649" s="288"/>
    </row>
    <row r="650" spans="1:57" s="298" customFormat="1" x14ac:dyDescent="0.2">
      <c r="A650" s="290" t="s">
        <v>71</v>
      </c>
      <c r="B650" s="290" t="s">
        <v>260</v>
      </c>
      <c r="C650" s="290" t="s">
        <v>341</v>
      </c>
      <c r="D650" s="381" t="s">
        <v>303</v>
      </c>
      <c r="E650" s="387">
        <v>7</v>
      </c>
      <c r="F650" s="387">
        <f t="shared" si="263"/>
        <v>0.77400000000000002</v>
      </c>
      <c r="G650" s="387">
        <v>0.45</v>
      </c>
      <c r="H650" s="387">
        <v>33.200000000000003</v>
      </c>
      <c r="I650" s="387">
        <v>12.85</v>
      </c>
      <c r="J650" s="387">
        <v>81</v>
      </c>
      <c r="K650" s="383">
        <v>7</v>
      </c>
      <c r="L650" s="383">
        <v>14</v>
      </c>
      <c r="M650" s="383" t="s">
        <v>104</v>
      </c>
      <c r="N650" s="387">
        <v>214</v>
      </c>
      <c r="O650" s="295">
        <f t="shared" si="248"/>
        <v>295</v>
      </c>
      <c r="P650" s="295"/>
      <c r="Q650" s="295"/>
      <c r="R650" s="293">
        <f t="shared" si="230"/>
        <v>2</v>
      </c>
      <c r="S650" s="295">
        <v>0.99</v>
      </c>
      <c r="T650" s="290" t="s">
        <v>37</v>
      </c>
      <c r="U650" s="295"/>
      <c r="V650" s="290"/>
      <c r="W650" s="290"/>
      <c r="X650" s="290"/>
      <c r="Y650" s="292">
        <v>1</v>
      </c>
      <c r="Z650" s="301" t="s">
        <v>37</v>
      </c>
      <c r="AA650" s="292"/>
      <c r="AB650" s="301"/>
      <c r="AC650" s="301"/>
      <c r="AD650" s="301"/>
      <c r="AE650" s="448"/>
      <c r="AF650" s="287">
        <f t="shared" si="249"/>
        <v>5.3659760150218512</v>
      </c>
      <c r="AG650" s="287">
        <f t="shared" si="250"/>
        <v>5.6869753563398202</v>
      </c>
      <c r="AH650" s="288"/>
      <c r="AI650" s="288"/>
      <c r="AK650" s="286">
        <f t="shared" si="251"/>
        <v>428</v>
      </c>
      <c r="AL650" s="286">
        <f t="shared" si="252"/>
        <v>509</v>
      </c>
      <c r="AM650" s="287">
        <f t="shared" si="253"/>
        <v>6.0591231955817966</v>
      </c>
      <c r="AN650" s="287">
        <f t="shared" si="254"/>
        <v>6.2324480165505225</v>
      </c>
      <c r="AO650" s="288"/>
      <c r="AP650" s="288"/>
      <c r="AR650" s="286">
        <f t="shared" si="255"/>
        <v>374.66857289475274</v>
      </c>
      <c r="AS650" s="286">
        <f t="shared" si="256"/>
        <v>444.97691050583654</v>
      </c>
      <c r="AT650" s="287">
        <f t="shared" si="257"/>
        <v>5.9260418295699671</v>
      </c>
      <c r="AU650" s="287">
        <f t="shared" si="258"/>
        <v>6.0980223943163505</v>
      </c>
      <c r="AV650" s="299"/>
      <c r="AW650" s="299"/>
      <c r="AX650" s="286"/>
      <c r="AY650" s="286"/>
      <c r="AZ650" s="286"/>
      <c r="BA650" s="286"/>
      <c r="BB650" s="287"/>
      <c r="BC650" s="287"/>
      <c r="BD650" s="288"/>
      <c r="BE650" s="288"/>
    </row>
    <row r="651" spans="1:57" s="298" customFormat="1" x14ac:dyDescent="0.2">
      <c r="A651" s="290" t="s">
        <v>71</v>
      </c>
      <c r="B651" s="290" t="s">
        <v>260</v>
      </c>
      <c r="C651" s="290" t="s">
        <v>341</v>
      </c>
      <c r="D651" s="381" t="s">
        <v>303</v>
      </c>
      <c r="E651" s="387">
        <v>7.5</v>
      </c>
      <c r="F651" s="387">
        <f t="shared" si="263"/>
        <v>2.3564000000000003</v>
      </c>
      <c r="G651" s="387">
        <v>1.37</v>
      </c>
      <c r="H651" s="387">
        <v>49.2</v>
      </c>
      <c r="I651" s="387">
        <v>23.57</v>
      </c>
      <c r="J651" s="387">
        <v>113</v>
      </c>
      <c r="K651" s="383">
        <v>7</v>
      </c>
      <c r="L651" s="383">
        <v>7</v>
      </c>
      <c r="M651" s="383" t="s">
        <v>104</v>
      </c>
      <c r="N651" s="387">
        <v>439</v>
      </c>
      <c r="O651" s="295">
        <f t="shared" si="248"/>
        <v>552</v>
      </c>
      <c r="P651" s="295"/>
      <c r="Q651" s="295"/>
      <c r="R651" s="293">
        <f t="shared" si="230"/>
        <v>3.0137527074704766</v>
      </c>
      <c r="S651" s="295">
        <v>0.99</v>
      </c>
      <c r="T651" s="290" t="s">
        <v>37</v>
      </c>
      <c r="U651" s="295"/>
      <c r="V651" s="290"/>
      <c r="W651" s="290"/>
      <c r="X651" s="290"/>
      <c r="Y651" s="292">
        <v>1</v>
      </c>
      <c r="Z651" s="301" t="s">
        <v>37</v>
      </c>
      <c r="AA651" s="292"/>
      <c r="AB651" s="301"/>
      <c r="AC651" s="301"/>
      <c r="AD651" s="301"/>
      <c r="AE651" s="448"/>
      <c r="AF651" s="287">
        <f t="shared" si="249"/>
        <v>6.0844994130751715</v>
      </c>
      <c r="AG651" s="287">
        <f t="shared" si="250"/>
        <v>6.313548046277095</v>
      </c>
      <c r="AH651" s="288"/>
      <c r="AI651" s="288"/>
      <c r="AK651" s="286">
        <f t="shared" si="251"/>
        <v>1323.0374385795392</v>
      </c>
      <c r="AL651" s="286">
        <f t="shared" si="252"/>
        <v>1436.0374385795392</v>
      </c>
      <c r="AM651" s="287">
        <f t="shared" si="253"/>
        <v>7.187685461960629</v>
      </c>
      <c r="AN651" s="287">
        <f t="shared" si="254"/>
        <v>7.2696428207025354</v>
      </c>
      <c r="AO651" s="288"/>
      <c r="AP651" s="288"/>
      <c r="AR651" s="286">
        <f t="shared" si="255"/>
        <v>635.26326237833166</v>
      </c>
      <c r="AS651" s="286">
        <f t="shared" si="256"/>
        <v>684.42994373232784</v>
      </c>
      <c r="AT651" s="287">
        <f t="shared" si="257"/>
        <v>6.4540394993980561</v>
      </c>
      <c r="AU651" s="287">
        <f t="shared" si="258"/>
        <v>6.5285862928615526</v>
      </c>
      <c r="AV651" s="299"/>
      <c r="AW651" s="299"/>
      <c r="AX651" s="286"/>
      <c r="AY651" s="286"/>
      <c r="AZ651" s="286"/>
      <c r="BA651" s="286"/>
      <c r="BB651" s="287"/>
      <c r="BC651" s="287"/>
      <c r="BD651" s="288"/>
      <c r="BE651" s="288"/>
    </row>
    <row r="652" spans="1:57" s="298" customFormat="1" x14ac:dyDescent="0.2">
      <c r="A652" s="290" t="s">
        <v>71</v>
      </c>
      <c r="B652" s="290" t="s">
        <v>260</v>
      </c>
      <c r="C652" s="290" t="s">
        <v>341</v>
      </c>
      <c r="D652" s="381" t="s">
        <v>303</v>
      </c>
      <c r="E652" s="387">
        <v>7.6</v>
      </c>
      <c r="F652" s="387">
        <f t="shared" si="263"/>
        <v>0.84279999999999999</v>
      </c>
      <c r="G652" s="387">
        <v>0.49</v>
      </c>
      <c r="H652" s="387">
        <v>55.4</v>
      </c>
      <c r="I652" s="387">
        <v>35.26</v>
      </c>
      <c r="J652" s="387">
        <v>24</v>
      </c>
      <c r="K652" s="383">
        <v>7</v>
      </c>
      <c r="L652" s="383">
        <v>7</v>
      </c>
      <c r="M652" s="383" t="s">
        <v>104</v>
      </c>
      <c r="N652" s="387">
        <v>169</v>
      </c>
      <c r="O652" s="295">
        <f t="shared" si="248"/>
        <v>193</v>
      </c>
      <c r="P652" s="295"/>
      <c r="Q652" s="295"/>
      <c r="R652" s="293">
        <f t="shared" si="230"/>
        <v>3.3163669767810902</v>
      </c>
      <c r="S652" s="295">
        <v>0.99</v>
      </c>
      <c r="T652" s="290" t="s">
        <v>37</v>
      </c>
      <c r="U652" s="295"/>
      <c r="V652" s="290"/>
      <c r="W652" s="290"/>
      <c r="X652" s="290"/>
      <c r="Y652" s="292">
        <v>1</v>
      </c>
      <c r="Z652" s="301" t="s">
        <v>37</v>
      </c>
      <c r="AA652" s="292"/>
      <c r="AB652" s="301"/>
      <c r="AC652" s="301"/>
      <c r="AD652" s="301"/>
      <c r="AE652" s="448"/>
      <c r="AF652" s="287">
        <f t="shared" si="249"/>
        <v>5.1298987149230735</v>
      </c>
      <c r="AG652" s="287">
        <f t="shared" si="250"/>
        <v>5.2626901889048856</v>
      </c>
      <c r="AH652" s="288"/>
      <c r="AI652" s="288"/>
      <c r="AK652" s="286">
        <f t="shared" si="251"/>
        <v>560.46601907600427</v>
      </c>
      <c r="AL652" s="286">
        <f t="shared" si="252"/>
        <v>584.46601907600427</v>
      </c>
      <c r="AM652" s="287">
        <f t="shared" si="253"/>
        <v>6.3287686145833959</v>
      </c>
      <c r="AN652" s="287">
        <f t="shared" si="254"/>
        <v>6.3706986424830312</v>
      </c>
      <c r="AO652" s="288"/>
      <c r="AP652" s="288"/>
      <c r="AR652" s="286">
        <f t="shared" si="255"/>
        <v>180.61648874099802</v>
      </c>
      <c r="AS652" s="286">
        <f t="shared" si="256"/>
        <v>186.20861935604393</v>
      </c>
      <c r="AT652" s="287">
        <f t="shared" si="257"/>
        <v>5.196375936599356</v>
      </c>
      <c r="AU652" s="287">
        <f t="shared" si="258"/>
        <v>5.2268676546203645</v>
      </c>
      <c r="AV652" s="299"/>
      <c r="AW652" s="299"/>
      <c r="AX652" s="286"/>
      <c r="AY652" s="286"/>
      <c r="AZ652" s="286"/>
      <c r="BA652" s="286"/>
      <c r="BB652" s="287"/>
      <c r="BC652" s="287"/>
      <c r="BD652" s="288"/>
      <c r="BE652" s="288"/>
    </row>
    <row r="653" spans="1:57" s="298" customFormat="1" x14ac:dyDescent="0.2">
      <c r="A653" s="290" t="s">
        <v>71</v>
      </c>
      <c r="B653" s="290" t="s">
        <v>260</v>
      </c>
      <c r="C653" s="290" t="s">
        <v>341</v>
      </c>
      <c r="D653" s="381" t="s">
        <v>303</v>
      </c>
      <c r="E653" s="387">
        <v>7.6</v>
      </c>
      <c r="F653" s="387">
        <f t="shared" si="263"/>
        <v>0.91160000000000008</v>
      </c>
      <c r="G653" s="387">
        <v>0.53</v>
      </c>
      <c r="H653" s="387">
        <v>19.8</v>
      </c>
      <c r="I653" s="387">
        <v>13.35</v>
      </c>
      <c r="J653" s="387">
        <v>18</v>
      </c>
      <c r="K653" s="383">
        <v>7</v>
      </c>
      <c r="L653" s="383">
        <v>14</v>
      </c>
      <c r="M653" s="383" t="s">
        <v>104</v>
      </c>
      <c r="N653" s="387">
        <v>53</v>
      </c>
      <c r="O653" s="295">
        <f t="shared" si="248"/>
        <v>71</v>
      </c>
      <c r="P653" s="295"/>
      <c r="Q653" s="295"/>
      <c r="R653" s="293">
        <f t="shared" si="230"/>
        <v>3.3163669767810902</v>
      </c>
      <c r="S653" s="295">
        <v>0.99</v>
      </c>
      <c r="T653" s="290" t="s">
        <v>37</v>
      </c>
      <c r="U653" s="295"/>
      <c r="V653" s="290"/>
      <c r="W653" s="290"/>
      <c r="X653" s="290"/>
      <c r="Y653" s="292">
        <v>1</v>
      </c>
      <c r="Z653" s="301" t="s">
        <v>37</v>
      </c>
      <c r="AA653" s="292"/>
      <c r="AB653" s="301"/>
      <c r="AC653" s="301"/>
      <c r="AD653" s="301"/>
      <c r="AE653" s="448"/>
      <c r="AF653" s="287">
        <f t="shared" si="249"/>
        <v>3.970291913552122</v>
      </c>
      <c r="AG653" s="287">
        <f t="shared" si="250"/>
        <v>4.2626798770413155</v>
      </c>
      <c r="AH653" s="288"/>
      <c r="AI653" s="288"/>
      <c r="AK653" s="286">
        <f t="shared" si="251"/>
        <v>175.76744976939779</v>
      </c>
      <c r="AL653" s="286">
        <f t="shared" si="252"/>
        <v>193.76744976939779</v>
      </c>
      <c r="AM653" s="287">
        <f t="shared" si="253"/>
        <v>5.1691618132124448</v>
      </c>
      <c r="AN653" s="287">
        <f t="shared" si="254"/>
        <v>5.2666587275039225</v>
      </c>
      <c r="AO653" s="288"/>
      <c r="AP653" s="288"/>
      <c r="AR653" s="286">
        <f t="shared" si="255"/>
        <v>148.15953011615969</v>
      </c>
      <c r="AS653" s="286">
        <f t="shared" si="256"/>
        <v>163.05059179584148</v>
      </c>
      <c r="AT653" s="287">
        <f t="shared" si="257"/>
        <v>4.9982895994306347</v>
      </c>
      <c r="AU653" s="287">
        <f t="shared" si="258"/>
        <v>5.094060531764721</v>
      </c>
      <c r="AV653" s="299"/>
      <c r="AW653" s="299"/>
      <c r="AX653" s="286"/>
      <c r="AY653" s="286"/>
      <c r="AZ653" s="286"/>
      <c r="BA653" s="286"/>
      <c r="BB653" s="287"/>
      <c r="BC653" s="287"/>
      <c r="BD653" s="288"/>
      <c r="BE653" s="288"/>
    </row>
    <row r="654" spans="1:57" s="336" customFormat="1" x14ac:dyDescent="0.2">
      <c r="A654" s="326" t="s">
        <v>71</v>
      </c>
      <c r="B654" s="326" t="s">
        <v>260</v>
      </c>
      <c r="C654" s="326" t="s">
        <v>341</v>
      </c>
      <c r="D654" s="391" t="s">
        <v>303</v>
      </c>
      <c r="E654" s="361">
        <v>7.7</v>
      </c>
      <c r="F654" s="361">
        <f t="shared" si="263"/>
        <v>0.53320000000000001</v>
      </c>
      <c r="G654" s="361">
        <v>0.31</v>
      </c>
      <c r="H654" s="361">
        <v>17.2</v>
      </c>
      <c r="I654" s="361">
        <v>13.27</v>
      </c>
      <c r="J654" s="361">
        <v>11</v>
      </c>
      <c r="K654" s="394">
        <v>7</v>
      </c>
      <c r="L654" s="394">
        <v>14</v>
      </c>
      <c r="M654" s="394" t="s">
        <v>104</v>
      </c>
      <c r="N654" s="361">
        <v>67</v>
      </c>
      <c r="O654" s="231">
        <f t="shared" si="248"/>
        <v>78</v>
      </c>
      <c r="P654" s="231"/>
      <c r="Q654" s="231"/>
      <c r="R654" s="318">
        <f t="shared" si="230"/>
        <v>3.6644562419294178</v>
      </c>
      <c r="S654" s="231">
        <v>0.99</v>
      </c>
      <c r="T654" s="326" t="s">
        <v>37</v>
      </c>
      <c r="U654" s="231"/>
      <c r="V654" s="326"/>
      <c r="W654" s="326"/>
      <c r="X654" s="326"/>
      <c r="Y654" s="328">
        <v>1</v>
      </c>
      <c r="Z654" s="314" t="s">
        <v>37</v>
      </c>
      <c r="AA654" s="328"/>
      <c r="AB654" s="314"/>
      <c r="AC654" s="314"/>
      <c r="AD654" s="314"/>
      <c r="AE654" s="443"/>
      <c r="AF654" s="334">
        <f t="shared" si="249"/>
        <v>4.2046926193909657</v>
      </c>
      <c r="AG654" s="334">
        <f t="shared" si="250"/>
        <v>4.3567088266895917</v>
      </c>
      <c r="AH654" s="335"/>
      <c r="AI654" s="335"/>
      <c r="AK654" s="337">
        <f t="shared" si="251"/>
        <v>245.518568209271</v>
      </c>
      <c r="AL654" s="337">
        <f t="shared" si="252"/>
        <v>256.518568209271</v>
      </c>
      <c r="AM654" s="334">
        <f t="shared" si="253"/>
        <v>5.5033725786280989</v>
      </c>
      <c r="AN654" s="334">
        <f t="shared" si="254"/>
        <v>5.5472010526701645</v>
      </c>
      <c r="AO654" s="335"/>
      <c r="AP654" s="335"/>
      <c r="AR654" s="337">
        <f t="shared" si="255"/>
        <v>208.18993165034487</v>
      </c>
      <c r="AS654" s="337">
        <f t="shared" si="256"/>
        <v>217.15543629935848</v>
      </c>
      <c r="AT654" s="334">
        <f t="shared" si="257"/>
        <v>5.3384507959834107</v>
      </c>
      <c r="AU654" s="334">
        <f t="shared" si="258"/>
        <v>5.3806133934331051</v>
      </c>
      <c r="AV654" s="338"/>
      <c r="AW654" s="338"/>
      <c r="AX654" s="337"/>
      <c r="AY654" s="337"/>
      <c r="AZ654" s="337"/>
      <c r="BA654" s="337"/>
      <c r="BB654" s="334"/>
      <c r="BC654" s="334"/>
      <c r="BD654" s="335"/>
      <c r="BE654" s="335"/>
    </row>
    <row r="655" spans="1:57" s="298" customFormat="1" x14ac:dyDescent="0.2">
      <c r="A655" s="290" t="s">
        <v>71</v>
      </c>
      <c r="B655" s="290" t="s">
        <v>260</v>
      </c>
      <c r="C655" s="290" t="s">
        <v>341</v>
      </c>
      <c r="D655" s="381" t="s">
        <v>349</v>
      </c>
      <c r="E655" s="387">
        <v>7</v>
      </c>
      <c r="F655" s="387">
        <f t="shared" si="263"/>
        <v>1.8404</v>
      </c>
      <c r="G655" s="387">
        <v>1.07</v>
      </c>
      <c r="H655" s="387">
        <v>10</v>
      </c>
      <c r="I655" s="387">
        <v>6.5</v>
      </c>
      <c r="J655" s="387">
        <v>8</v>
      </c>
      <c r="K655" s="454">
        <v>8</v>
      </c>
      <c r="L655" s="454">
        <v>28</v>
      </c>
      <c r="M655" s="454" t="s">
        <v>104</v>
      </c>
      <c r="N655" s="387">
        <v>257</v>
      </c>
      <c r="O655" s="295">
        <f t="shared" si="248"/>
        <v>265</v>
      </c>
      <c r="P655" s="295"/>
      <c r="Q655" s="295"/>
      <c r="R655" s="293">
        <f t="shared" si="230"/>
        <v>2</v>
      </c>
      <c r="S655" s="295">
        <v>0.99</v>
      </c>
      <c r="T655" s="290" t="s">
        <v>37</v>
      </c>
      <c r="U655" s="295"/>
      <c r="V655" s="290"/>
      <c r="W655" s="290"/>
      <c r="X655" s="290"/>
      <c r="Y655" s="292">
        <v>1</v>
      </c>
      <c r="Z655" s="301" t="s">
        <v>37</v>
      </c>
      <c r="AA655" s="292"/>
      <c r="AB655" s="301"/>
      <c r="AC655" s="301"/>
      <c r="AD655" s="301"/>
      <c r="AE655" s="448"/>
      <c r="AF655" s="239">
        <f t="shared" si="249"/>
        <v>5.5490760848952201</v>
      </c>
      <c r="AG655" s="239">
        <f t="shared" si="250"/>
        <v>5.579729825986222</v>
      </c>
      <c r="AH655" s="240"/>
      <c r="AI655" s="240"/>
      <c r="AK655" s="286">
        <f t="shared" si="251"/>
        <v>514</v>
      </c>
      <c r="AL655" s="286">
        <f t="shared" si="252"/>
        <v>522</v>
      </c>
      <c r="AM655" s="239">
        <f t="shared" si="253"/>
        <v>6.2422232654551655</v>
      </c>
      <c r="AN655" s="239">
        <f t="shared" si="254"/>
        <v>6.2576675878826391</v>
      </c>
      <c r="AO655" s="240"/>
      <c r="AP655" s="240"/>
      <c r="AR655" s="286">
        <f t="shared" si="255"/>
        <v>883.47952581282937</v>
      </c>
      <c r="AS655" s="286">
        <f t="shared" si="256"/>
        <v>902.15252307692299</v>
      </c>
      <c r="AT655" s="239">
        <f t="shared" si="257"/>
        <v>6.7838681175385762</v>
      </c>
      <c r="AU655" s="239">
        <f t="shared" si="258"/>
        <v>6.8047836000881041</v>
      </c>
      <c r="AV655" s="299"/>
      <c r="AW655" s="299"/>
      <c r="AX655" s="499">
        <f>GEOMEAN(AR655:AR656)</f>
        <v>246.45913821911552</v>
      </c>
      <c r="AY655" s="499">
        <f>GEOMEAN(AS655:AS656)</f>
        <v>273.5680251017547</v>
      </c>
      <c r="AZ655" s="499">
        <f>MIN(AX655:AX656)</f>
        <v>246.45913821911552</v>
      </c>
      <c r="BA655" s="499">
        <f>MIN(AY655:AY656)</f>
        <v>273.5680251017547</v>
      </c>
      <c r="BB655" s="500">
        <f>LN(AZ655)</f>
        <v>5.5071962118679618</v>
      </c>
      <c r="BC655" s="500">
        <f>LN(BA655)</f>
        <v>5.6115503116007304</v>
      </c>
      <c r="BD655" s="240"/>
      <c r="BE655" s="240"/>
    </row>
    <row r="656" spans="1:57" s="336" customFormat="1" ht="14.25" x14ac:dyDescent="0.2">
      <c r="A656" s="326" t="s">
        <v>71</v>
      </c>
      <c r="B656" s="326" t="s">
        <v>260</v>
      </c>
      <c r="C656" s="326" t="s">
        <v>341</v>
      </c>
      <c r="D656" s="391" t="s">
        <v>393</v>
      </c>
      <c r="E656" s="361">
        <v>7</v>
      </c>
      <c r="F656" s="361">
        <f t="shared" si="263"/>
        <v>1.8404</v>
      </c>
      <c r="G656" s="361">
        <v>1.07</v>
      </c>
      <c r="H656" s="361">
        <v>10</v>
      </c>
      <c r="I656" s="361">
        <v>6.5</v>
      </c>
      <c r="J656" s="361">
        <v>8</v>
      </c>
      <c r="K656" s="394">
        <v>10</v>
      </c>
      <c r="L656" s="394">
        <v>7</v>
      </c>
      <c r="M656" s="394" t="s">
        <v>104</v>
      </c>
      <c r="N656" s="361">
        <v>20</v>
      </c>
      <c r="O656" s="231">
        <f t="shared" si="248"/>
        <v>28</v>
      </c>
      <c r="P656" s="231"/>
      <c r="Q656" s="231"/>
      <c r="R656" s="318">
        <f t="shared" si="230"/>
        <v>2</v>
      </c>
      <c r="S656" s="231">
        <v>0.99</v>
      </c>
      <c r="T656" s="326" t="s">
        <v>37</v>
      </c>
      <c r="U656" s="231"/>
      <c r="V656" s="326"/>
      <c r="W656" s="326"/>
      <c r="X656" s="326"/>
      <c r="Y656" s="328">
        <v>1</v>
      </c>
      <c r="Z656" s="314" t="s">
        <v>37</v>
      </c>
      <c r="AA656" s="328"/>
      <c r="AB656" s="314"/>
      <c r="AC656" s="314"/>
      <c r="AD656" s="314"/>
      <c r="AE656" s="443"/>
      <c r="AF656" s="334">
        <f t="shared" si="249"/>
        <v>2.9957322735539909</v>
      </c>
      <c r="AG656" s="334">
        <f t="shared" si="250"/>
        <v>3.3322045101752038</v>
      </c>
      <c r="AH656" s="335"/>
      <c r="AI656" s="335"/>
      <c r="AK656" s="337">
        <f t="shared" si="251"/>
        <v>40</v>
      </c>
      <c r="AL656" s="337">
        <f t="shared" si="252"/>
        <v>48</v>
      </c>
      <c r="AM656" s="334">
        <f t="shared" si="253"/>
        <v>3.6888794541139363</v>
      </c>
      <c r="AN656" s="334">
        <f t="shared" si="254"/>
        <v>3.8712010109078911</v>
      </c>
      <c r="AO656" s="335"/>
      <c r="AP656" s="335"/>
      <c r="AR656" s="337">
        <f t="shared" si="255"/>
        <v>68.753270491270769</v>
      </c>
      <c r="AS656" s="337">
        <f t="shared" si="256"/>
        <v>82.956553846153838</v>
      </c>
      <c r="AT656" s="334">
        <f t="shared" si="257"/>
        <v>4.2305243061973474</v>
      </c>
      <c r="AU656" s="334">
        <f t="shared" si="258"/>
        <v>4.4183170231133566</v>
      </c>
      <c r="AV656" s="338"/>
      <c r="AW656" s="338"/>
      <c r="AX656" s="337"/>
      <c r="AY656" s="337"/>
      <c r="AZ656" s="337"/>
      <c r="BA656" s="337"/>
      <c r="BB656" s="334"/>
      <c r="BC656" s="334"/>
      <c r="BD656" s="335"/>
      <c r="BE656" s="335"/>
    </row>
    <row r="657" spans="1:57" s="298" customFormat="1" x14ac:dyDescent="0.2">
      <c r="A657" s="290" t="s">
        <v>71</v>
      </c>
      <c r="B657" s="290" t="s">
        <v>260</v>
      </c>
      <c r="C657" s="290" t="s">
        <v>341</v>
      </c>
      <c r="D657" s="381" t="s">
        <v>194</v>
      </c>
      <c r="E657" s="387">
        <v>4.0999999999999996</v>
      </c>
      <c r="F657" s="387">
        <f t="shared" si="263"/>
        <v>0.43</v>
      </c>
      <c r="G657" s="387">
        <v>0.25</v>
      </c>
      <c r="H657" s="387">
        <v>25.3</v>
      </c>
      <c r="I657" s="387">
        <v>8.39</v>
      </c>
      <c r="J657" s="387">
        <v>16</v>
      </c>
      <c r="K657" s="383">
        <v>7</v>
      </c>
      <c r="L657" s="383">
        <v>1</v>
      </c>
      <c r="M657" s="383" t="s">
        <v>104</v>
      </c>
      <c r="N657" s="387">
        <v>22</v>
      </c>
      <c r="O657" s="295">
        <f t="shared" si="248"/>
        <v>38</v>
      </c>
      <c r="P657" s="295"/>
      <c r="Q657" s="295"/>
      <c r="R657" s="293">
        <f t="shared" si="230"/>
        <v>1.0172490191153463</v>
      </c>
      <c r="S657" s="282">
        <v>1.33</v>
      </c>
      <c r="T657" s="491" t="s">
        <v>37</v>
      </c>
      <c r="U657" s="295"/>
      <c r="V657" s="290"/>
      <c r="W657" s="290"/>
      <c r="X657" s="290"/>
      <c r="Y657" s="292">
        <v>1.34</v>
      </c>
      <c r="Z657" s="301" t="s">
        <v>37</v>
      </c>
      <c r="AA657" s="292"/>
      <c r="AB657" s="301"/>
      <c r="AC657" s="301"/>
      <c r="AD657" s="301"/>
      <c r="AE657" s="448"/>
      <c r="AF657" s="239">
        <f t="shared" si="249"/>
        <v>3.0910424533583161</v>
      </c>
      <c r="AG657" s="239">
        <f t="shared" si="250"/>
        <v>3.6375861597263857</v>
      </c>
      <c r="AH657" s="240"/>
      <c r="AI657" s="240"/>
      <c r="AK657" s="286">
        <f t="shared" si="251"/>
        <v>22.379478420537616</v>
      </c>
      <c r="AL657" s="286">
        <f t="shared" si="252"/>
        <v>38.379478420537616</v>
      </c>
      <c r="AM657" s="239">
        <f t="shared" si="253"/>
        <v>3.1081443970061948</v>
      </c>
      <c r="AN657" s="239">
        <f t="shared" si="254"/>
        <v>3.6475229006106504</v>
      </c>
      <c r="AO657" s="240"/>
      <c r="AP657" s="240"/>
      <c r="AR657" s="286">
        <f t="shared" si="255"/>
        <v>32.994526902801645</v>
      </c>
      <c r="AS657" s="286">
        <f t="shared" si="256"/>
        <v>56.749053429844771</v>
      </c>
      <c r="AT657" s="239">
        <f t="shared" si="257"/>
        <v>3.4963416962813576</v>
      </c>
      <c r="AU657" s="239">
        <f t="shared" si="258"/>
        <v>4.0386389765720931</v>
      </c>
      <c r="AV657" s="299"/>
      <c r="AW657" s="299"/>
      <c r="AX657" s="265">
        <f>GEOMEAN(AR657:AR666)</f>
        <v>164.55777975210972</v>
      </c>
      <c r="AY657" s="265">
        <f>GEOMEAN(AS657:AS666)</f>
        <v>186.16124513522487</v>
      </c>
      <c r="AZ657" s="265">
        <f>MIN(AX657:AX666)</f>
        <v>164.55777975210972</v>
      </c>
      <c r="BA657" s="265">
        <f>MIN(AY657:AY666)</f>
        <v>186.16124513522487</v>
      </c>
      <c r="BB657" s="239">
        <f>LN(AZ657)</f>
        <v>5.1032617532271258</v>
      </c>
      <c r="BC657" s="239">
        <f>LN(BA657)</f>
        <v>5.2266132074935037</v>
      </c>
      <c r="BD657" s="240"/>
      <c r="BE657" s="240"/>
    </row>
    <row r="658" spans="1:57" s="298" customFormat="1" x14ac:dyDescent="0.2">
      <c r="A658" s="290" t="s">
        <v>71</v>
      </c>
      <c r="B658" s="290" t="s">
        <v>260</v>
      </c>
      <c r="C658" s="290" t="s">
        <v>341</v>
      </c>
      <c r="D658" s="381" t="s">
        <v>194</v>
      </c>
      <c r="E658" s="387">
        <v>5.6</v>
      </c>
      <c r="F658" s="387">
        <f t="shared" si="263"/>
        <v>1.7027999999999999</v>
      </c>
      <c r="G658" s="387">
        <v>0.99</v>
      </c>
      <c r="H658" s="387">
        <v>46.9</v>
      </c>
      <c r="I658" s="387">
        <v>19.260000000000002</v>
      </c>
      <c r="J658" s="387">
        <v>19</v>
      </c>
      <c r="K658" s="383">
        <v>7</v>
      </c>
      <c r="L658" s="383">
        <v>1</v>
      </c>
      <c r="M658" s="383" t="s">
        <v>104</v>
      </c>
      <c r="N658" s="387">
        <v>254</v>
      </c>
      <c r="O658" s="295">
        <f t="shared" si="248"/>
        <v>273</v>
      </c>
      <c r="P658" s="295"/>
      <c r="Q658" s="295"/>
      <c r="R658" s="293">
        <f t="shared" si="230"/>
        <v>1.1408584209210448</v>
      </c>
      <c r="S658" s="282">
        <v>1.33</v>
      </c>
      <c r="T658" s="491" t="s">
        <v>37</v>
      </c>
      <c r="U658" s="295"/>
      <c r="V658" s="290"/>
      <c r="W658" s="290"/>
      <c r="X658" s="290"/>
      <c r="Y658" s="292">
        <v>1.34</v>
      </c>
      <c r="Z658" s="301" t="s">
        <v>37</v>
      </c>
      <c r="AA658" s="292"/>
      <c r="AB658" s="301"/>
      <c r="AC658" s="301"/>
      <c r="AD658" s="301"/>
      <c r="AE658" s="448"/>
      <c r="AF658" s="287">
        <f t="shared" si="249"/>
        <v>5.5373342670185366</v>
      </c>
      <c r="AG658" s="287">
        <f t="shared" si="250"/>
        <v>5.6094717951849598</v>
      </c>
      <c r="AH658" s="288"/>
      <c r="AI658" s="288"/>
      <c r="AK658" s="286">
        <f t="shared" si="251"/>
        <v>289.77803891394541</v>
      </c>
      <c r="AL658" s="286">
        <f t="shared" si="252"/>
        <v>308.77803891394541</v>
      </c>
      <c r="AM658" s="287">
        <f t="shared" si="253"/>
        <v>5.6691152468700059</v>
      </c>
      <c r="AN658" s="287">
        <f t="shared" si="254"/>
        <v>5.7326226981149979</v>
      </c>
      <c r="AO658" s="288"/>
      <c r="AP658" s="288"/>
      <c r="AR658" s="286">
        <f t="shared" si="255"/>
        <v>141.47117667305608</v>
      </c>
      <c r="AS658" s="286">
        <f t="shared" si="256"/>
        <v>149.93656834866076</v>
      </c>
      <c r="AT658" s="287">
        <f t="shared" si="257"/>
        <v>4.9520959979103187</v>
      </c>
      <c r="AU658" s="287">
        <f t="shared" si="258"/>
        <v>5.010212326982681</v>
      </c>
      <c r="AV658" s="299"/>
      <c r="AW658" s="299"/>
      <c r="AX658" s="286"/>
      <c r="AY658" s="286"/>
      <c r="AZ658" s="286"/>
      <c r="BA658" s="286"/>
      <c r="BB658" s="287"/>
      <c r="BC658" s="287"/>
      <c r="BD658" s="288"/>
      <c r="BE658" s="288"/>
    </row>
    <row r="659" spans="1:57" s="298" customFormat="1" x14ac:dyDescent="0.2">
      <c r="A659" s="290" t="s">
        <v>71</v>
      </c>
      <c r="B659" s="290" t="s">
        <v>260</v>
      </c>
      <c r="C659" s="290" t="s">
        <v>341</v>
      </c>
      <c r="D659" s="381" t="s">
        <v>194</v>
      </c>
      <c r="E659" s="387">
        <v>6.1</v>
      </c>
      <c r="F659" s="387">
        <f t="shared" si="263"/>
        <v>7.3959999999999999</v>
      </c>
      <c r="G659" s="387">
        <v>4.3</v>
      </c>
      <c r="H659" s="387">
        <v>35.299999999999997</v>
      </c>
      <c r="I659" s="387">
        <v>28.87</v>
      </c>
      <c r="J659" s="387">
        <v>39</v>
      </c>
      <c r="K659" s="383">
        <v>7</v>
      </c>
      <c r="L659" s="383">
        <v>1</v>
      </c>
      <c r="M659" s="383" t="s">
        <v>104</v>
      </c>
      <c r="N659" s="387">
        <v>376</v>
      </c>
      <c r="O659" s="295">
        <f t="shared" si="248"/>
        <v>415</v>
      </c>
      <c r="P659" s="295"/>
      <c r="Q659" s="295"/>
      <c r="R659" s="293">
        <f t="shared" si="230"/>
        <v>1.2836540264997702</v>
      </c>
      <c r="S659" s="282">
        <v>1.33</v>
      </c>
      <c r="T659" s="491" t="s">
        <v>37</v>
      </c>
      <c r="U659" s="295"/>
      <c r="V659" s="290"/>
      <c r="W659" s="290"/>
      <c r="X659" s="290"/>
      <c r="Y659" s="292">
        <v>1.34</v>
      </c>
      <c r="Z659" s="301" t="s">
        <v>37</v>
      </c>
      <c r="AA659" s="292"/>
      <c r="AB659" s="301"/>
      <c r="AC659" s="301"/>
      <c r="AD659" s="301"/>
      <c r="AE659" s="448"/>
      <c r="AF659" s="287">
        <f t="shared" si="249"/>
        <v>5.9295891433898946</v>
      </c>
      <c r="AG659" s="287">
        <f t="shared" si="250"/>
        <v>6.0282785202306979</v>
      </c>
      <c r="AH659" s="288"/>
      <c r="AI659" s="288"/>
      <c r="AK659" s="286">
        <f t="shared" si="251"/>
        <v>482.65391396391362</v>
      </c>
      <c r="AL659" s="286">
        <f t="shared" si="252"/>
        <v>521.65391396391362</v>
      </c>
      <c r="AM659" s="287">
        <f t="shared" si="253"/>
        <v>6.1792998625830196</v>
      </c>
      <c r="AN659" s="287">
        <f t="shared" si="254"/>
        <v>6.2570043679317688</v>
      </c>
      <c r="AO659" s="288"/>
      <c r="AP659" s="288"/>
      <c r="AR659" s="286">
        <f t="shared" si="255"/>
        <v>137.54251543927026</v>
      </c>
      <c r="AS659" s="286">
        <f t="shared" si="256"/>
        <v>147.25985242646368</v>
      </c>
      <c r="AT659" s="287">
        <f t="shared" si="257"/>
        <v>4.9239330725078627</v>
      </c>
      <c r="AU659" s="287">
        <f t="shared" si="258"/>
        <v>4.9921987298109345</v>
      </c>
      <c r="AV659" s="299"/>
      <c r="AW659" s="299"/>
      <c r="AX659" s="286"/>
      <c r="AY659" s="286"/>
      <c r="AZ659" s="286"/>
      <c r="BA659" s="286"/>
      <c r="BB659" s="287"/>
      <c r="BC659" s="287"/>
      <c r="BD659" s="288"/>
      <c r="BE659" s="288"/>
    </row>
    <row r="660" spans="1:57" s="298" customFormat="1" x14ac:dyDescent="0.2">
      <c r="A660" s="290" t="s">
        <v>71</v>
      </c>
      <c r="B660" s="290" t="s">
        <v>260</v>
      </c>
      <c r="C660" s="290" t="s">
        <v>341</v>
      </c>
      <c r="D660" s="381" t="s">
        <v>194</v>
      </c>
      <c r="E660" s="387">
        <v>6.7</v>
      </c>
      <c r="F660" s="387">
        <f t="shared" si="263"/>
        <v>1.8748</v>
      </c>
      <c r="G660" s="387">
        <v>1.0900000000000001</v>
      </c>
      <c r="H660" s="387">
        <v>9.6</v>
      </c>
      <c r="I660" s="387">
        <v>7.8</v>
      </c>
      <c r="J660" s="387">
        <v>11</v>
      </c>
      <c r="K660" s="383">
        <v>7</v>
      </c>
      <c r="L660" s="383">
        <v>1</v>
      </c>
      <c r="M660" s="383" t="s">
        <v>104</v>
      </c>
      <c r="N660" s="387">
        <v>45</v>
      </c>
      <c r="O660" s="295">
        <f t="shared" si="248"/>
        <v>56</v>
      </c>
      <c r="P660" s="295"/>
      <c r="Q660" s="295"/>
      <c r="R660" s="293">
        <f t="shared" si="230"/>
        <v>1.657046819815057</v>
      </c>
      <c r="S660" s="282">
        <v>1.33</v>
      </c>
      <c r="T660" s="491" t="s">
        <v>37</v>
      </c>
      <c r="U660" s="295"/>
      <c r="V660" s="290"/>
      <c r="W660" s="290"/>
      <c r="X660" s="290"/>
      <c r="Y660" s="292">
        <v>1.34</v>
      </c>
      <c r="Z660" s="301" t="s">
        <v>37</v>
      </c>
      <c r="AA660" s="292"/>
      <c r="AB660" s="301"/>
      <c r="AC660" s="301"/>
      <c r="AD660" s="301"/>
      <c r="AE660" s="448"/>
      <c r="AF660" s="287">
        <f t="shared" si="249"/>
        <v>3.8066624897703196</v>
      </c>
      <c r="AG660" s="287">
        <f t="shared" si="250"/>
        <v>4.0253516907351496</v>
      </c>
      <c r="AH660" s="288"/>
      <c r="AI660" s="288"/>
      <c r="AK660" s="286">
        <f t="shared" si="251"/>
        <v>74.567106891677568</v>
      </c>
      <c r="AL660" s="286">
        <f t="shared" si="252"/>
        <v>85.567106891677568</v>
      </c>
      <c r="AM660" s="287">
        <f t="shared" si="253"/>
        <v>4.3116994835880735</v>
      </c>
      <c r="AN660" s="287">
        <f t="shared" si="254"/>
        <v>4.4493009440147322</v>
      </c>
      <c r="AO660" s="288"/>
      <c r="AP660" s="288"/>
      <c r="AR660" s="286">
        <f t="shared" si="255"/>
        <v>121.1314245282671</v>
      </c>
      <c r="AS660" s="286">
        <f t="shared" si="256"/>
        <v>139.50849762296602</v>
      </c>
      <c r="AT660" s="287">
        <f t="shared" si="257"/>
        <v>4.7968761092853827</v>
      </c>
      <c r="AU660" s="287">
        <f t="shared" si="258"/>
        <v>4.9381255142661571</v>
      </c>
      <c r="AV660" s="299"/>
      <c r="AW660" s="299"/>
      <c r="AX660" s="286"/>
      <c r="AY660" s="286"/>
      <c r="AZ660" s="286"/>
      <c r="BA660" s="286"/>
      <c r="BB660" s="287"/>
      <c r="BC660" s="287"/>
      <c r="BD660" s="288"/>
      <c r="BE660" s="288"/>
    </row>
    <row r="661" spans="1:57" s="298" customFormat="1" x14ac:dyDescent="0.2">
      <c r="A661" s="290" t="s">
        <v>71</v>
      </c>
      <c r="B661" s="290" t="s">
        <v>260</v>
      </c>
      <c r="C661" s="290" t="s">
        <v>341</v>
      </c>
      <c r="D661" s="381" t="s">
        <v>194</v>
      </c>
      <c r="E661" s="387">
        <v>7</v>
      </c>
      <c r="F661" s="387">
        <f t="shared" si="263"/>
        <v>0.77400000000000002</v>
      </c>
      <c r="G661" s="387">
        <v>0.45</v>
      </c>
      <c r="H661" s="387">
        <v>33.200000000000003</v>
      </c>
      <c r="I661" s="387">
        <v>12.85</v>
      </c>
      <c r="J661" s="387">
        <v>81</v>
      </c>
      <c r="K661" s="383">
        <v>7</v>
      </c>
      <c r="L661" s="383">
        <v>1</v>
      </c>
      <c r="M661" s="383" t="s">
        <v>104</v>
      </c>
      <c r="N661" s="387">
        <v>242</v>
      </c>
      <c r="O661" s="295">
        <f t="shared" si="248"/>
        <v>323</v>
      </c>
      <c r="P661" s="295"/>
      <c r="Q661" s="295"/>
      <c r="R661" s="293">
        <f t="shared" ref="R661:R687" si="264">1+EXP(1.4*(E661-7))</f>
        <v>2</v>
      </c>
      <c r="S661" s="282">
        <v>1.33</v>
      </c>
      <c r="T661" s="491" t="s">
        <v>37</v>
      </c>
      <c r="U661" s="295"/>
      <c r="V661" s="290"/>
      <c r="W661" s="290"/>
      <c r="X661" s="290"/>
      <c r="Y661" s="292">
        <v>1.34</v>
      </c>
      <c r="Z661" s="301" t="s">
        <v>37</v>
      </c>
      <c r="AA661" s="292"/>
      <c r="AB661" s="301"/>
      <c r="AC661" s="301"/>
      <c r="AD661" s="301"/>
      <c r="AE661" s="448"/>
      <c r="AF661" s="287">
        <f t="shared" si="249"/>
        <v>5.4889377261566867</v>
      </c>
      <c r="AG661" s="287">
        <f t="shared" si="250"/>
        <v>5.7776523232226564</v>
      </c>
      <c r="AH661" s="288"/>
      <c r="AI661" s="288"/>
      <c r="AK661" s="286">
        <f t="shared" si="251"/>
        <v>484</v>
      </c>
      <c r="AL661" s="286">
        <f t="shared" si="252"/>
        <v>565</v>
      </c>
      <c r="AM661" s="287">
        <f t="shared" si="253"/>
        <v>6.1820849067166321</v>
      </c>
      <c r="AN661" s="287">
        <f t="shared" si="254"/>
        <v>6.3368257311464413</v>
      </c>
      <c r="AO661" s="288"/>
      <c r="AP661" s="288"/>
      <c r="AR661" s="286">
        <f t="shared" si="255"/>
        <v>404.76183368175316</v>
      </c>
      <c r="AS661" s="286">
        <f t="shared" si="256"/>
        <v>471.86616533193444</v>
      </c>
      <c r="AT661" s="287">
        <f t="shared" si="257"/>
        <v>6.0032988291451828</v>
      </c>
      <c r="AU661" s="287">
        <f t="shared" si="258"/>
        <v>6.1566953973526504</v>
      </c>
      <c r="AV661" s="299"/>
      <c r="AW661" s="299"/>
      <c r="AX661" s="286"/>
      <c r="AY661" s="286"/>
      <c r="AZ661" s="286"/>
      <c r="BA661" s="286"/>
      <c r="BB661" s="287"/>
      <c r="BC661" s="287"/>
      <c r="BD661" s="288"/>
      <c r="BE661" s="288"/>
    </row>
    <row r="662" spans="1:57" s="298" customFormat="1" x14ac:dyDescent="0.2">
      <c r="A662" s="290" t="s">
        <v>71</v>
      </c>
      <c r="B662" s="290" t="s">
        <v>260</v>
      </c>
      <c r="C662" s="290" t="s">
        <v>341</v>
      </c>
      <c r="D662" s="381" t="s">
        <v>194</v>
      </c>
      <c r="E662" s="387">
        <v>7.6</v>
      </c>
      <c r="F662" s="387">
        <f t="shared" si="263"/>
        <v>1.9607999999999999</v>
      </c>
      <c r="G662" s="387">
        <v>1.1399999999999999</v>
      </c>
      <c r="H662" s="387">
        <v>19.899999999999999</v>
      </c>
      <c r="I662" s="387">
        <v>19.440000000000001</v>
      </c>
      <c r="J662" s="387">
        <v>19</v>
      </c>
      <c r="K662" s="383">
        <v>7</v>
      </c>
      <c r="L662" s="383">
        <v>1</v>
      </c>
      <c r="M662" s="383" t="s">
        <v>104</v>
      </c>
      <c r="N662" s="387">
        <v>116</v>
      </c>
      <c r="O662" s="295">
        <f t="shared" si="248"/>
        <v>135</v>
      </c>
      <c r="P662" s="295"/>
      <c r="Q662" s="295"/>
      <c r="R662" s="293">
        <f t="shared" si="264"/>
        <v>3.3163669767810902</v>
      </c>
      <c r="S662" s="282">
        <v>1.33</v>
      </c>
      <c r="T662" s="491" t="s">
        <v>37</v>
      </c>
      <c r="U662" s="295"/>
      <c r="V662" s="290"/>
      <c r="W662" s="290"/>
      <c r="X662" s="290"/>
      <c r="Y662" s="292">
        <v>1.34</v>
      </c>
      <c r="Z662" s="301" t="s">
        <v>37</v>
      </c>
      <c r="AA662" s="292"/>
      <c r="AB662" s="301"/>
      <c r="AC662" s="301"/>
      <c r="AD662" s="301"/>
      <c r="AE662" s="448"/>
      <c r="AF662" s="287">
        <f t="shared" si="249"/>
        <v>4.7535901911063645</v>
      </c>
      <c r="AG662" s="287">
        <f t="shared" si="250"/>
        <v>4.9052747784384296</v>
      </c>
      <c r="AH662" s="288"/>
      <c r="AI662" s="288"/>
      <c r="AK662" s="286">
        <f t="shared" si="251"/>
        <v>384.69856930660649</v>
      </c>
      <c r="AL662" s="286">
        <f t="shared" si="252"/>
        <v>403.69856930660649</v>
      </c>
      <c r="AM662" s="287">
        <f t="shared" si="253"/>
        <v>5.9524600907666878</v>
      </c>
      <c r="AN662" s="287">
        <f t="shared" si="254"/>
        <v>6.0006684839006867</v>
      </c>
      <c r="AO662" s="288"/>
      <c r="AP662" s="288"/>
      <c r="AR662" s="286">
        <f t="shared" si="255"/>
        <v>185.50255574731239</v>
      </c>
      <c r="AS662" s="286">
        <f t="shared" si="256"/>
        <v>193.5997544685807</v>
      </c>
      <c r="AT662" s="287">
        <f t="shared" si="257"/>
        <v>5.2230686595661231</v>
      </c>
      <c r="AU662" s="287">
        <f t="shared" si="258"/>
        <v>5.2657929066008702</v>
      </c>
      <c r="AV662" s="299"/>
      <c r="AW662" s="299"/>
      <c r="AX662" s="286"/>
      <c r="AY662" s="286"/>
      <c r="AZ662" s="286"/>
      <c r="BA662" s="286"/>
      <c r="BB662" s="287"/>
      <c r="BC662" s="287"/>
      <c r="BD662" s="288"/>
      <c r="BE662" s="288"/>
    </row>
    <row r="663" spans="1:57" s="298" customFormat="1" x14ac:dyDescent="0.2">
      <c r="A663" s="290" t="s">
        <v>71</v>
      </c>
      <c r="B663" s="290" t="s">
        <v>260</v>
      </c>
      <c r="C663" s="290" t="s">
        <v>341</v>
      </c>
      <c r="D663" s="381" t="s">
        <v>194</v>
      </c>
      <c r="E663" s="387">
        <v>7.5</v>
      </c>
      <c r="F663" s="387">
        <f t="shared" si="263"/>
        <v>2.3564000000000003</v>
      </c>
      <c r="G663" s="387">
        <v>1.37</v>
      </c>
      <c r="H663" s="387">
        <v>49.2</v>
      </c>
      <c r="I663" s="387">
        <v>23.57</v>
      </c>
      <c r="J663" s="387">
        <v>113</v>
      </c>
      <c r="K663" s="383">
        <v>7</v>
      </c>
      <c r="L663" s="383">
        <v>1</v>
      </c>
      <c r="M663" s="383" t="s">
        <v>104</v>
      </c>
      <c r="N663" s="387">
        <v>302</v>
      </c>
      <c r="O663" s="295">
        <f t="shared" si="248"/>
        <v>415</v>
      </c>
      <c r="P663" s="295"/>
      <c r="Q663" s="295"/>
      <c r="R663" s="293">
        <f t="shared" si="264"/>
        <v>3.0137527074704766</v>
      </c>
      <c r="S663" s="282">
        <v>1.33</v>
      </c>
      <c r="T663" s="491" t="s">
        <v>37</v>
      </c>
      <c r="U663" s="295"/>
      <c r="V663" s="290"/>
      <c r="W663" s="290"/>
      <c r="X663" s="290"/>
      <c r="Y663" s="292">
        <v>1.34</v>
      </c>
      <c r="Z663" s="301" t="s">
        <v>37</v>
      </c>
      <c r="AA663" s="292"/>
      <c r="AB663" s="301"/>
      <c r="AC663" s="301"/>
      <c r="AD663" s="301"/>
      <c r="AE663" s="448"/>
      <c r="AF663" s="287">
        <f t="shared" si="249"/>
        <v>5.7104270173748697</v>
      </c>
      <c r="AG663" s="287">
        <f t="shared" si="250"/>
        <v>6.0282785202306979</v>
      </c>
      <c r="AH663" s="288"/>
      <c r="AI663" s="288"/>
      <c r="AK663" s="286">
        <f t="shared" si="251"/>
        <v>910.15331765608391</v>
      </c>
      <c r="AL663" s="286">
        <f t="shared" si="252"/>
        <v>1023.1533176560839</v>
      </c>
      <c r="AM663" s="287">
        <f t="shared" si="253"/>
        <v>6.8136130662603271</v>
      </c>
      <c r="AN663" s="287">
        <f t="shared" si="254"/>
        <v>6.9306446253537031</v>
      </c>
      <c r="AO663" s="288"/>
      <c r="AP663" s="288"/>
      <c r="AR663" s="286">
        <f t="shared" si="255"/>
        <v>339.6813200930938</v>
      </c>
      <c r="AS663" s="286">
        <f t="shared" si="256"/>
        <v>379.03512468102144</v>
      </c>
      <c r="AT663" s="287">
        <f t="shared" si="257"/>
        <v>5.8280078842318206</v>
      </c>
      <c r="AU663" s="287">
        <f t="shared" si="258"/>
        <v>5.9376288780467865</v>
      </c>
      <c r="AV663" s="299"/>
      <c r="AW663" s="299"/>
      <c r="AX663" s="286"/>
      <c r="AY663" s="286"/>
      <c r="AZ663" s="286"/>
      <c r="BA663" s="286"/>
      <c r="BB663" s="287"/>
      <c r="BC663" s="287"/>
      <c r="BD663" s="288"/>
      <c r="BE663" s="288"/>
    </row>
    <row r="664" spans="1:57" s="298" customFormat="1" x14ac:dyDescent="0.2">
      <c r="A664" s="290" t="s">
        <v>71</v>
      </c>
      <c r="B664" s="290" t="s">
        <v>260</v>
      </c>
      <c r="C664" s="290" t="s">
        <v>341</v>
      </c>
      <c r="D664" s="381" t="s">
        <v>194</v>
      </c>
      <c r="E664" s="387">
        <v>7.6</v>
      </c>
      <c r="F664" s="387">
        <f t="shared" si="263"/>
        <v>0.84279999999999999</v>
      </c>
      <c r="G664" s="387">
        <v>0.49</v>
      </c>
      <c r="H664" s="387">
        <v>55.4</v>
      </c>
      <c r="I664" s="387">
        <v>35.26</v>
      </c>
      <c r="J664" s="387">
        <v>24</v>
      </c>
      <c r="K664" s="383">
        <v>7</v>
      </c>
      <c r="L664" s="383">
        <v>1</v>
      </c>
      <c r="M664" s="383" t="s">
        <v>104</v>
      </c>
      <c r="N664" s="387">
        <v>167</v>
      </c>
      <c r="O664" s="295">
        <f t="shared" si="248"/>
        <v>191</v>
      </c>
      <c r="P664" s="295"/>
      <c r="Q664" s="295"/>
      <c r="R664" s="293">
        <f t="shared" si="264"/>
        <v>3.3163669767810902</v>
      </c>
      <c r="S664" s="282">
        <v>1.33</v>
      </c>
      <c r="T664" s="491" t="s">
        <v>37</v>
      </c>
      <c r="U664" s="295"/>
      <c r="V664" s="290"/>
      <c r="W664" s="290"/>
      <c r="X664" s="290"/>
      <c r="Y664" s="292">
        <v>1.34</v>
      </c>
      <c r="Z664" s="301" t="s">
        <v>37</v>
      </c>
      <c r="AA664" s="292"/>
      <c r="AB664" s="301"/>
      <c r="AC664" s="301"/>
      <c r="AD664" s="301"/>
      <c r="AE664" s="448"/>
      <c r="AF664" s="287">
        <f t="shared" si="249"/>
        <v>5.1179938124167554</v>
      </c>
      <c r="AG664" s="287">
        <f t="shared" si="250"/>
        <v>5.2522734280466299</v>
      </c>
      <c r="AH664" s="288"/>
      <c r="AI664" s="288"/>
      <c r="AK664" s="286">
        <f t="shared" si="251"/>
        <v>553.83328512244202</v>
      </c>
      <c r="AL664" s="286">
        <f t="shared" si="252"/>
        <v>577.83328512244202</v>
      </c>
      <c r="AM664" s="287">
        <f t="shared" si="253"/>
        <v>6.3168637120770779</v>
      </c>
      <c r="AN664" s="287">
        <f t="shared" si="254"/>
        <v>6.3592853930230602</v>
      </c>
      <c r="AO664" s="288"/>
      <c r="AP664" s="288"/>
      <c r="AR664" s="286">
        <f t="shared" si="255"/>
        <v>120.9731352501157</v>
      </c>
      <c r="AS664" s="286">
        <f t="shared" si="256"/>
        <v>124.77996039538904</v>
      </c>
      <c r="AT664" s="287">
        <f t="shared" si="257"/>
        <v>4.7955684982197306</v>
      </c>
      <c r="AU664" s="287">
        <f t="shared" si="258"/>
        <v>4.8265518692870861</v>
      </c>
      <c r="AV664" s="299"/>
      <c r="AW664" s="299"/>
      <c r="AX664" s="286"/>
      <c r="AY664" s="286"/>
      <c r="AZ664" s="286"/>
      <c r="BA664" s="286"/>
      <c r="BB664" s="287"/>
      <c r="BC664" s="287"/>
      <c r="BD664" s="288"/>
      <c r="BE664" s="288"/>
    </row>
    <row r="665" spans="1:57" s="298" customFormat="1" x14ac:dyDescent="0.2">
      <c r="A665" s="290" t="s">
        <v>71</v>
      </c>
      <c r="B665" s="290" t="s">
        <v>260</v>
      </c>
      <c r="C665" s="290" t="s">
        <v>341</v>
      </c>
      <c r="D665" s="381" t="s">
        <v>194</v>
      </c>
      <c r="E665" s="387">
        <v>7.6</v>
      </c>
      <c r="F665" s="387">
        <f t="shared" si="263"/>
        <v>0.91160000000000008</v>
      </c>
      <c r="G665" s="387">
        <v>0.53</v>
      </c>
      <c r="H665" s="387">
        <v>19.8</v>
      </c>
      <c r="I665" s="387">
        <v>13.35</v>
      </c>
      <c r="J665" s="387">
        <v>18</v>
      </c>
      <c r="K665" s="383">
        <v>7</v>
      </c>
      <c r="L665" s="383">
        <v>1</v>
      </c>
      <c r="M665" s="383" t="s">
        <v>104</v>
      </c>
      <c r="N665" s="387">
        <v>140</v>
      </c>
      <c r="O665" s="295">
        <f t="shared" si="248"/>
        <v>158</v>
      </c>
      <c r="P665" s="295"/>
      <c r="Q665" s="295"/>
      <c r="R665" s="293">
        <f t="shared" si="264"/>
        <v>3.3163669767810902</v>
      </c>
      <c r="S665" s="282">
        <v>1.33</v>
      </c>
      <c r="T665" s="491" t="s">
        <v>37</v>
      </c>
      <c r="U665" s="295"/>
      <c r="V665" s="290"/>
      <c r="W665" s="290"/>
      <c r="X665" s="290"/>
      <c r="Y665" s="292">
        <v>1.34</v>
      </c>
      <c r="Z665" s="301" t="s">
        <v>37</v>
      </c>
      <c r="AA665" s="292"/>
      <c r="AB665" s="301"/>
      <c r="AC665" s="301"/>
      <c r="AD665" s="301"/>
      <c r="AE665" s="448"/>
      <c r="AF665" s="287">
        <f t="shared" si="249"/>
        <v>4.9416424226093039</v>
      </c>
      <c r="AG665" s="287">
        <f t="shared" si="250"/>
        <v>5.0625950330269669</v>
      </c>
      <c r="AH665" s="288"/>
      <c r="AI665" s="288"/>
      <c r="AK665" s="286">
        <f t="shared" si="251"/>
        <v>464.29137674935259</v>
      </c>
      <c r="AL665" s="286">
        <f t="shared" si="252"/>
        <v>482.29137674935259</v>
      </c>
      <c r="AM665" s="287">
        <f t="shared" si="253"/>
        <v>6.1405123222696272</v>
      </c>
      <c r="AN665" s="287">
        <f t="shared" si="254"/>
        <v>6.1785484474818562</v>
      </c>
      <c r="AO665" s="288"/>
      <c r="AP665" s="288"/>
      <c r="AR665" s="286">
        <f t="shared" si="255"/>
        <v>369.05907347166226</v>
      </c>
      <c r="AS665" s="286">
        <f t="shared" si="256"/>
        <v>382.70592147093606</v>
      </c>
      <c r="AT665" s="287">
        <f t="shared" si="257"/>
        <v>5.9109567219364889</v>
      </c>
      <c r="AU665" s="287">
        <f t="shared" si="258"/>
        <v>5.9472668651913256</v>
      </c>
      <c r="AV665" s="299"/>
      <c r="AW665" s="299"/>
      <c r="AX665" s="286"/>
      <c r="AY665" s="286"/>
      <c r="AZ665" s="286"/>
      <c r="BA665" s="286"/>
      <c r="BB665" s="287"/>
      <c r="BC665" s="287"/>
      <c r="BD665" s="288"/>
      <c r="BE665" s="288"/>
    </row>
    <row r="666" spans="1:57" s="336" customFormat="1" x14ac:dyDescent="0.2">
      <c r="A666" s="326" t="s">
        <v>71</v>
      </c>
      <c r="B666" s="326" t="s">
        <v>260</v>
      </c>
      <c r="C666" s="326" t="s">
        <v>341</v>
      </c>
      <c r="D666" s="391" t="s">
        <v>194</v>
      </c>
      <c r="E666" s="361">
        <v>7.7</v>
      </c>
      <c r="F666" s="361">
        <f t="shared" si="263"/>
        <v>0.53320000000000001</v>
      </c>
      <c r="G666" s="361">
        <v>0.31</v>
      </c>
      <c r="H666" s="361">
        <v>17.2</v>
      </c>
      <c r="I666" s="361">
        <v>13.27</v>
      </c>
      <c r="J666" s="361">
        <v>11</v>
      </c>
      <c r="K666" s="394">
        <v>7</v>
      </c>
      <c r="L666" s="394">
        <v>1</v>
      </c>
      <c r="M666" s="394" t="s">
        <v>104</v>
      </c>
      <c r="N666" s="361">
        <v>56</v>
      </c>
      <c r="O666" s="231">
        <f t="shared" si="248"/>
        <v>67</v>
      </c>
      <c r="P666" s="231"/>
      <c r="Q666" s="231"/>
      <c r="R666" s="318">
        <f t="shared" si="264"/>
        <v>3.6644562419294178</v>
      </c>
      <c r="S666" s="316">
        <v>1.33</v>
      </c>
      <c r="T666" s="315" t="s">
        <v>37</v>
      </c>
      <c r="U666" s="231"/>
      <c r="V666" s="326"/>
      <c r="W666" s="326"/>
      <c r="X666" s="326"/>
      <c r="Y666" s="328">
        <v>1.34</v>
      </c>
      <c r="Z666" s="314" t="s">
        <v>37</v>
      </c>
      <c r="AA666" s="328"/>
      <c r="AB666" s="314"/>
      <c r="AC666" s="314"/>
      <c r="AD666" s="314"/>
      <c r="AE666" s="443"/>
      <c r="AF666" s="334">
        <f t="shared" si="249"/>
        <v>4.0253516907351496</v>
      </c>
      <c r="AG666" s="334">
        <f t="shared" si="250"/>
        <v>4.2046926193909657</v>
      </c>
      <c r="AH666" s="335"/>
      <c r="AI666" s="335"/>
      <c r="AK666" s="337">
        <f t="shared" si="251"/>
        <v>205.20954954804739</v>
      </c>
      <c r="AL666" s="337">
        <f t="shared" si="252"/>
        <v>216.20954954804739</v>
      </c>
      <c r="AM666" s="334">
        <f t="shared" si="253"/>
        <v>5.324031649972282</v>
      </c>
      <c r="AN666" s="334">
        <f t="shared" si="254"/>
        <v>5.3762480742021106</v>
      </c>
      <c r="AO666" s="335"/>
      <c r="AP666" s="335"/>
      <c r="AR666" s="337">
        <f t="shared" si="255"/>
        <v>164.42755255344358</v>
      </c>
      <c r="AS666" s="337">
        <f t="shared" si="256"/>
        <v>172.95312617582167</v>
      </c>
      <c r="AT666" s="334">
        <f t="shared" si="257"/>
        <v>5.1024700631869937</v>
      </c>
      <c r="AU666" s="334">
        <f t="shared" si="258"/>
        <v>5.1530206108244512</v>
      </c>
      <c r="AV666" s="338"/>
      <c r="AW666" s="338"/>
      <c r="AX666" s="337"/>
      <c r="AY666" s="337"/>
      <c r="AZ666" s="337"/>
      <c r="BA666" s="337"/>
      <c r="BB666" s="334"/>
      <c r="BC666" s="334"/>
      <c r="BD666" s="335"/>
      <c r="BE666" s="335"/>
    </row>
    <row r="667" spans="1:57" s="298" customFormat="1" x14ac:dyDescent="0.2">
      <c r="A667" s="290" t="s">
        <v>71</v>
      </c>
      <c r="B667" s="290" t="s">
        <v>260</v>
      </c>
      <c r="C667" s="290" t="s">
        <v>341</v>
      </c>
      <c r="D667" s="381" t="s">
        <v>172</v>
      </c>
      <c r="E667" s="387">
        <v>3.6</v>
      </c>
      <c r="F667" s="387">
        <f t="shared" si="263"/>
        <v>2.9756</v>
      </c>
      <c r="G667" s="387">
        <v>1.73</v>
      </c>
      <c r="H667" s="387">
        <v>0.4</v>
      </c>
      <c r="I667" s="387">
        <v>1.84</v>
      </c>
      <c r="J667" s="387">
        <v>1</v>
      </c>
      <c r="K667" s="383">
        <v>7</v>
      </c>
      <c r="L667" s="383">
        <v>28</v>
      </c>
      <c r="M667" s="383" t="s">
        <v>104</v>
      </c>
      <c r="N667" s="387">
        <v>42</v>
      </c>
      <c r="O667" s="295">
        <f t="shared" si="248"/>
        <v>43</v>
      </c>
      <c r="P667" s="295"/>
      <c r="Q667" s="295"/>
      <c r="R667" s="293">
        <f t="shared" si="264"/>
        <v>1.008565609397498</v>
      </c>
      <c r="S667" s="295">
        <v>1.21</v>
      </c>
      <c r="T667" s="290" t="s">
        <v>37</v>
      </c>
      <c r="U667" s="295"/>
      <c r="V667" s="290"/>
      <c r="W667" s="290"/>
      <c r="X667" s="290"/>
      <c r="Y667" s="292">
        <v>1.22</v>
      </c>
      <c r="Z667" s="301" t="s">
        <v>37</v>
      </c>
      <c r="AA667" s="292"/>
      <c r="AB667" s="301"/>
      <c r="AC667" s="301"/>
      <c r="AD667" s="301"/>
      <c r="AE667" s="448"/>
      <c r="AF667" s="239">
        <f t="shared" si="249"/>
        <v>3.7376696182833684</v>
      </c>
      <c r="AG667" s="239">
        <f t="shared" si="250"/>
        <v>3.7612001156935624</v>
      </c>
      <c r="AH667" s="240"/>
      <c r="AI667" s="240"/>
      <c r="AK667" s="286">
        <f t="shared" si="251"/>
        <v>42.359755594694917</v>
      </c>
      <c r="AL667" s="286">
        <f t="shared" si="252"/>
        <v>43.359755594694917</v>
      </c>
      <c r="AM667" s="239">
        <f t="shared" si="253"/>
        <v>3.7461987509973662</v>
      </c>
      <c r="AN667" s="239">
        <f t="shared" si="254"/>
        <v>3.76953172046179</v>
      </c>
      <c r="AO667" s="240"/>
      <c r="AP667" s="240"/>
      <c r="AR667" s="286">
        <f t="shared" si="255"/>
        <v>378.14337330209679</v>
      </c>
      <c r="AS667" s="286">
        <f t="shared" si="256"/>
        <v>394.13674349573972</v>
      </c>
      <c r="AT667" s="239">
        <f t="shared" si="257"/>
        <v>5.9352734181556235</v>
      </c>
      <c r="AU667" s="239">
        <f t="shared" si="258"/>
        <v>5.9766979137949079</v>
      </c>
      <c r="AV667" s="299"/>
      <c r="AW667" s="299"/>
      <c r="AX667" s="499">
        <f>GEOMEAN(AR667:AR674)</f>
        <v>251.4887509760467</v>
      </c>
      <c r="AY667" s="499">
        <f>GEOMEAN(AS667:AS674)</f>
        <v>280.35747741713021</v>
      </c>
      <c r="AZ667" s="499">
        <f>MIN(AX667:AX674)</f>
        <v>251.4887509760467</v>
      </c>
      <c r="BA667" s="499">
        <f>MIN(AY667:AY674)</f>
        <v>280.35747741713021</v>
      </c>
      <c r="BB667" s="500">
        <f>LN(AZ667)</f>
        <v>5.5273982608100427</v>
      </c>
      <c r="BC667" s="500">
        <f>LN(BA667)</f>
        <v>5.6360654939355248</v>
      </c>
      <c r="BD667" s="240"/>
      <c r="BE667" s="240"/>
    </row>
    <row r="668" spans="1:57" s="298" customFormat="1" x14ac:dyDescent="0.2">
      <c r="A668" s="290" t="s">
        <v>71</v>
      </c>
      <c r="B668" s="290" t="s">
        <v>260</v>
      </c>
      <c r="C668" s="290" t="s">
        <v>341</v>
      </c>
      <c r="D668" s="381" t="s">
        <v>172</v>
      </c>
      <c r="E668" s="387">
        <v>4.2</v>
      </c>
      <c r="F668" s="387">
        <f t="shared" si="263"/>
        <v>21.534399999999998</v>
      </c>
      <c r="G668" s="387">
        <v>12.52</v>
      </c>
      <c r="H668" s="387">
        <v>12.7</v>
      </c>
      <c r="I668" s="387">
        <v>11.91</v>
      </c>
      <c r="J668" s="387">
        <v>3</v>
      </c>
      <c r="K668" s="383">
        <v>7</v>
      </c>
      <c r="L668" s="383">
        <v>28</v>
      </c>
      <c r="M668" s="383" t="s">
        <v>104</v>
      </c>
      <c r="N668" s="387">
        <v>343</v>
      </c>
      <c r="O668" s="295">
        <f t="shared" ref="O668:O699" si="265">N668+J668</f>
        <v>346</v>
      </c>
      <c r="P668" s="295"/>
      <c r="Q668" s="295"/>
      <c r="R668" s="293">
        <f t="shared" si="264"/>
        <v>1.0198410947443703</v>
      </c>
      <c r="S668" s="295">
        <v>1.21</v>
      </c>
      <c r="T668" s="290" t="s">
        <v>37</v>
      </c>
      <c r="U668" s="295"/>
      <c r="V668" s="290"/>
      <c r="W668" s="290"/>
      <c r="X668" s="290"/>
      <c r="Y668" s="292">
        <v>1.22</v>
      </c>
      <c r="Z668" s="301" t="s">
        <v>37</v>
      </c>
      <c r="AA668" s="292"/>
      <c r="AB668" s="301"/>
      <c r="AC668" s="301"/>
      <c r="AD668" s="301"/>
      <c r="AE668" s="448"/>
      <c r="AF668" s="287">
        <f t="shared" ref="AF668:AF699" si="266">LN(N668)</f>
        <v>5.8377304471659395</v>
      </c>
      <c r="AG668" s="287">
        <f t="shared" ref="AG668:AG699" si="267">LN(O668)</f>
        <v>5.8464387750577247</v>
      </c>
      <c r="AH668" s="288"/>
      <c r="AI668" s="288"/>
      <c r="AK668" s="286">
        <f t="shared" ref="AK668:AK699" si="268">N668*R668</f>
        <v>349.80549549731904</v>
      </c>
      <c r="AL668" s="286">
        <f t="shared" ref="AL668:AL699" si="269">AK668+J668</f>
        <v>352.80549549731904</v>
      </c>
      <c r="AM668" s="287">
        <f t="shared" ref="AM668:AM699" si="270">LN(AK668)</f>
        <v>5.8573772728593765</v>
      </c>
      <c r="AN668" s="287">
        <f t="shared" ref="AN668:AN699" si="271">LN(AL668)</f>
        <v>5.8659169008177789</v>
      </c>
      <c r="AO668" s="288"/>
      <c r="AP668" s="288"/>
      <c r="AR668" s="286">
        <f t="shared" ref="AR668:AR699" si="272">AK668*(eCEC/$I668)^$S668</f>
        <v>325.91624715908807</v>
      </c>
      <c r="AS668" s="286">
        <f t="shared" ref="AS668:AS699" si="273">AL668*(eCEC/$I668)^$Y668</f>
        <v>328.51925917128443</v>
      </c>
      <c r="AT668" s="287">
        <f t="shared" ref="AT668:AT699" si="274">LN(AR668)</f>
        <v>5.7866404378045928</v>
      </c>
      <c r="AU668" s="287">
        <f t="shared" ref="AU668:AU699" si="275">LN(AS668)</f>
        <v>5.7945954638203938</v>
      </c>
      <c r="AV668" s="299"/>
      <c r="AW668" s="299"/>
      <c r="AX668" s="286"/>
      <c r="AY668" s="286"/>
      <c r="AZ668" s="286"/>
      <c r="BA668" s="286"/>
      <c r="BB668" s="287"/>
      <c r="BC668" s="287"/>
      <c r="BD668" s="288"/>
      <c r="BE668" s="288"/>
    </row>
    <row r="669" spans="1:57" s="298" customFormat="1" x14ac:dyDescent="0.2">
      <c r="A669" s="290" t="s">
        <v>71</v>
      </c>
      <c r="B669" s="290" t="s">
        <v>260</v>
      </c>
      <c r="C669" s="290" t="s">
        <v>341</v>
      </c>
      <c r="D669" s="381" t="s">
        <v>172</v>
      </c>
      <c r="E669" s="387">
        <v>5.6</v>
      </c>
      <c r="F669" s="387">
        <f t="shared" si="263"/>
        <v>2.2876000000000003</v>
      </c>
      <c r="G669" s="387">
        <v>1.33</v>
      </c>
      <c r="H669" s="387">
        <v>4.3</v>
      </c>
      <c r="I669" s="387">
        <v>4.91</v>
      </c>
      <c r="J669" s="387">
        <v>3</v>
      </c>
      <c r="K669" s="383">
        <v>7</v>
      </c>
      <c r="L669" s="383">
        <v>28</v>
      </c>
      <c r="M669" s="383" t="s">
        <v>104</v>
      </c>
      <c r="N669" s="387">
        <v>55</v>
      </c>
      <c r="O669" s="295">
        <f t="shared" si="265"/>
        <v>58</v>
      </c>
      <c r="P669" s="295"/>
      <c r="Q669" s="295"/>
      <c r="R669" s="293">
        <f t="shared" si="264"/>
        <v>1.1408584209210448</v>
      </c>
      <c r="S669" s="295">
        <v>1.21</v>
      </c>
      <c r="T669" s="290" t="s">
        <v>37</v>
      </c>
      <c r="U669" s="295"/>
      <c r="V669" s="290"/>
      <c r="W669" s="290"/>
      <c r="X669" s="290"/>
      <c r="Y669" s="292">
        <v>1.22</v>
      </c>
      <c r="Z669" s="301" t="s">
        <v>37</v>
      </c>
      <c r="AA669" s="292"/>
      <c r="AB669" s="301"/>
      <c r="AC669" s="301"/>
      <c r="AD669" s="301"/>
      <c r="AE669" s="448"/>
      <c r="AF669" s="287">
        <f t="shared" si="266"/>
        <v>4.0073331852324712</v>
      </c>
      <c r="AG669" s="287">
        <f t="shared" si="267"/>
        <v>4.0604430105464191</v>
      </c>
      <c r="AH669" s="288"/>
      <c r="AI669" s="288"/>
      <c r="AK669" s="286">
        <f t="shared" si="268"/>
        <v>62.747213150657466</v>
      </c>
      <c r="AL669" s="286">
        <f t="shared" si="269"/>
        <v>65.747213150657473</v>
      </c>
      <c r="AM669" s="287">
        <f t="shared" si="270"/>
        <v>4.1391141650839405</v>
      </c>
      <c r="AN669" s="287">
        <f t="shared" si="271"/>
        <v>4.18581728461825</v>
      </c>
      <c r="AO669" s="288"/>
      <c r="AP669" s="288"/>
      <c r="AR669" s="286">
        <f t="shared" si="272"/>
        <v>170.8120286656619</v>
      </c>
      <c r="AS669" s="286">
        <f t="shared" si="273"/>
        <v>180.46615735669121</v>
      </c>
      <c r="AT669" s="287">
        <f t="shared" si="274"/>
        <v>5.1405637043176995</v>
      </c>
      <c r="AU669" s="287">
        <f t="shared" si="275"/>
        <v>5.1955432663250161</v>
      </c>
      <c r="AV669" s="299"/>
      <c r="AW669" s="299"/>
      <c r="AX669" s="286"/>
      <c r="AY669" s="286"/>
      <c r="AZ669" s="286"/>
      <c r="BA669" s="286"/>
      <c r="BB669" s="287"/>
      <c r="BC669" s="287"/>
      <c r="BD669" s="288"/>
      <c r="BE669" s="288"/>
    </row>
    <row r="670" spans="1:57" s="298" customFormat="1" x14ac:dyDescent="0.2">
      <c r="A670" s="290" t="s">
        <v>71</v>
      </c>
      <c r="B670" s="290" t="s">
        <v>260</v>
      </c>
      <c r="C670" s="290" t="s">
        <v>341</v>
      </c>
      <c r="D670" s="381" t="s">
        <v>172</v>
      </c>
      <c r="E670" s="387">
        <v>6.1</v>
      </c>
      <c r="F670" s="387">
        <f t="shared" si="263"/>
        <v>7.3959999999999999</v>
      </c>
      <c r="G670" s="387">
        <v>4.3</v>
      </c>
      <c r="H670" s="387">
        <v>35.299999999999997</v>
      </c>
      <c r="I670" s="387">
        <v>28.87</v>
      </c>
      <c r="J670" s="387">
        <v>39</v>
      </c>
      <c r="K670" s="383">
        <v>7</v>
      </c>
      <c r="L670" s="383">
        <v>28</v>
      </c>
      <c r="M670" s="383" t="s">
        <v>104</v>
      </c>
      <c r="N670" s="387">
        <v>121</v>
      </c>
      <c r="O670" s="295">
        <f t="shared" si="265"/>
        <v>160</v>
      </c>
      <c r="P670" s="295"/>
      <c r="Q670" s="295"/>
      <c r="R670" s="293">
        <f t="shared" si="264"/>
        <v>1.2836540264997702</v>
      </c>
      <c r="S670" s="295">
        <v>1.21</v>
      </c>
      <c r="T670" s="290" t="s">
        <v>37</v>
      </c>
      <c r="U670" s="295"/>
      <c r="V670" s="290"/>
      <c r="W670" s="290"/>
      <c r="X670" s="290"/>
      <c r="Y670" s="292">
        <v>1.22</v>
      </c>
      <c r="Z670" s="301" t="s">
        <v>37</v>
      </c>
      <c r="AA670" s="292"/>
      <c r="AB670" s="301"/>
      <c r="AC670" s="301"/>
      <c r="AD670" s="301"/>
      <c r="AE670" s="448"/>
      <c r="AF670" s="287">
        <f t="shared" si="266"/>
        <v>4.7957905455967413</v>
      </c>
      <c r="AG670" s="287">
        <f t="shared" si="267"/>
        <v>5.0751738152338266</v>
      </c>
      <c r="AH670" s="288"/>
      <c r="AI670" s="288"/>
      <c r="AK670" s="286">
        <f t="shared" si="268"/>
        <v>155.32213720647221</v>
      </c>
      <c r="AL670" s="286">
        <f t="shared" si="269"/>
        <v>194.32213720647221</v>
      </c>
      <c r="AM670" s="287">
        <f t="shared" si="270"/>
        <v>5.0455012647898663</v>
      </c>
      <c r="AN670" s="287">
        <f t="shared" si="271"/>
        <v>5.2695172830199741</v>
      </c>
      <c r="AO670" s="288"/>
      <c r="AP670" s="288"/>
      <c r="AR670" s="286">
        <f t="shared" si="272"/>
        <v>49.57073558610675</v>
      </c>
      <c r="AS670" s="286">
        <f t="shared" si="273"/>
        <v>61.434884264416695</v>
      </c>
      <c r="AT670" s="287">
        <f t="shared" si="274"/>
        <v>3.9034006512628436</v>
      </c>
      <c r="AU670" s="287">
        <f t="shared" si="275"/>
        <v>4.1179778214472744</v>
      </c>
      <c r="AV670" s="299"/>
      <c r="AW670" s="299"/>
      <c r="AX670" s="286"/>
      <c r="AY670" s="286"/>
      <c r="AZ670" s="286"/>
      <c r="BA670" s="286"/>
      <c r="BB670" s="287"/>
      <c r="BC670" s="287"/>
      <c r="BD670" s="288"/>
      <c r="BE670" s="288"/>
    </row>
    <row r="671" spans="1:57" s="298" customFormat="1" x14ac:dyDescent="0.2">
      <c r="A671" s="290" t="s">
        <v>71</v>
      </c>
      <c r="B671" s="290" t="s">
        <v>260</v>
      </c>
      <c r="C671" s="290" t="s">
        <v>341</v>
      </c>
      <c r="D671" s="381" t="s">
        <v>172</v>
      </c>
      <c r="E671" s="387">
        <v>7</v>
      </c>
      <c r="F671" s="387">
        <f t="shared" si="263"/>
        <v>0.77400000000000002</v>
      </c>
      <c r="G671" s="387">
        <v>0.45</v>
      </c>
      <c r="H671" s="387">
        <v>33.200000000000003</v>
      </c>
      <c r="I671" s="387">
        <v>12.85</v>
      </c>
      <c r="J671" s="387">
        <v>81</v>
      </c>
      <c r="K671" s="383">
        <v>7</v>
      </c>
      <c r="L671" s="383">
        <v>28</v>
      </c>
      <c r="M671" s="383" t="s">
        <v>93</v>
      </c>
      <c r="N671" s="387">
        <v>88</v>
      </c>
      <c r="O671" s="295">
        <f t="shared" si="265"/>
        <v>169</v>
      </c>
      <c r="P671" s="295"/>
      <c r="Q671" s="295"/>
      <c r="R671" s="293">
        <f t="shared" si="264"/>
        <v>2</v>
      </c>
      <c r="S671" s="295">
        <v>1.21</v>
      </c>
      <c r="T671" s="290" t="s">
        <v>37</v>
      </c>
      <c r="U671" s="295"/>
      <c r="V671" s="290"/>
      <c r="W671" s="290"/>
      <c r="X671" s="290"/>
      <c r="Y671" s="292">
        <v>1.22</v>
      </c>
      <c r="Z671" s="301" t="s">
        <v>37</v>
      </c>
      <c r="AA671" s="292"/>
      <c r="AB671" s="301"/>
      <c r="AC671" s="301"/>
      <c r="AD671" s="301"/>
      <c r="AE671" s="448"/>
      <c r="AF671" s="287">
        <f t="shared" si="266"/>
        <v>4.4773368144782069</v>
      </c>
      <c r="AG671" s="287">
        <f t="shared" si="267"/>
        <v>5.1298987149230735</v>
      </c>
      <c r="AH671" s="288"/>
      <c r="AI671" s="288"/>
      <c r="AK671" s="286">
        <f t="shared" si="268"/>
        <v>176</v>
      </c>
      <c r="AL671" s="286">
        <f t="shared" si="269"/>
        <v>257</v>
      </c>
      <c r="AM671" s="287">
        <f t="shared" si="270"/>
        <v>5.1704839950381514</v>
      </c>
      <c r="AN671" s="287">
        <f t="shared" si="271"/>
        <v>5.5490760848952201</v>
      </c>
      <c r="AO671" s="288"/>
      <c r="AP671" s="288"/>
      <c r="AR671" s="286">
        <f t="shared" si="272"/>
        <v>149.57964480345814</v>
      </c>
      <c r="AS671" s="286">
        <f t="shared" si="273"/>
        <v>218.12686122774116</v>
      </c>
      <c r="AT671" s="287">
        <f t="shared" si="274"/>
        <v>5.0078289921348036</v>
      </c>
      <c r="AU671" s="287">
        <f t="shared" si="275"/>
        <v>5.3850768257695298</v>
      </c>
      <c r="AV671" s="299"/>
      <c r="AW671" s="299"/>
      <c r="AX671" s="286"/>
      <c r="AY671" s="286"/>
      <c r="AZ671" s="286"/>
      <c r="BA671" s="286"/>
      <c r="BB671" s="287"/>
      <c r="BC671" s="287"/>
      <c r="BD671" s="288"/>
      <c r="BE671" s="288"/>
    </row>
    <row r="672" spans="1:57" s="298" customFormat="1" x14ac:dyDescent="0.2">
      <c r="A672" s="290" t="s">
        <v>71</v>
      </c>
      <c r="B672" s="290" t="s">
        <v>260</v>
      </c>
      <c r="C672" s="290" t="s">
        <v>341</v>
      </c>
      <c r="D672" s="381" t="s">
        <v>172</v>
      </c>
      <c r="E672" s="387">
        <v>7.5</v>
      </c>
      <c r="F672" s="387">
        <f t="shared" si="263"/>
        <v>2.3564000000000003</v>
      </c>
      <c r="G672" s="387">
        <v>1.37</v>
      </c>
      <c r="H672" s="387">
        <v>49.2</v>
      </c>
      <c r="I672" s="387">
        <v>23.57</v>
      </c>
      <c r="J672" s="387">
        <v>113</v>
      </c>
      <c r="K672" s="383">
        <v>7</v>
      </c>
      <c r="L672" s="383">
        <v>28</v>
      </c>
      <c r="M672" s="383" t="s">
        <v>104</v>
      </c>
      <c r="N672" s="387">
        <v>203</v>
      </c>
      <c r="O672" s="295">
        <f t="shared" si="265"/>
        <v>316</v>
      </c>
      <c r="P672" s="295"/>
      <c r="Q672" s="295"/>
      <c r="R672" s="293">
        <f t="shared" si="264"/>
        <v>3.0137527074704766</v>
      </c>
      <c r="S672" s="295">
        <v>1.21</v>
      </c>
      <c r="T672" s="290" t="s">
        <v>37</v>
      </c>
      <c r="U672" s="295"/>
      <c r="V672" s="290"/>
      <c r="W672" s="290"/>
      <c r="X672" s="290"/>
      <c r="Y672" s="292">
        <v>1.22</v>
      </c>
      <c r="Z672" s="301" t="s">
        <v>37</v>
      </c>
      <c r="AA672" s="292"/>
      <c r="AB672" s="301"/>
      <c r="AC672" s="301"/>
      <c r="AD672" s="301"/>
      <c r="AE672" s="448"/>
      <c r="AF672" s="287">
        <f t="shared" si="266"/>
        <v>5.3132059790417872</v>
      </c>
      <c r="AG672" s="287">
        <f t="shared" si="267"/>
        <v>5.7557422135869123</v>
      </c>
      <c r="AH672" s="288"/>
      <c r="AI672" s="288"/>
      <c r="AK672" s="286">
        <f t="shared" si="268"/>
        <v>611.79179961650675</v>
      </c>
      <c r="AL672" s="286">
        <f t="shared" si="269"/>
        <v>724.79179961650675</v>
      </c>
      <c r="AM672" s="287">
        <f t="shared" si="270"/>
        <v>6.4163920279272455</v>
      </c>
      <c r="AN672" s="287">
        <f t="shared" si="271"/>
        <v>6.5858844406698802</v>
      </c>
      <c r="AO672" s="288"/>
      <c r="AP672" s="288"/>
      <c r="AR672" s="286">
        <f t="shared" si="272"/>
        <v>249.56355924936986</v>
      </c>
      <c r="AS672" s="286">
        <f t="shared" si="273"/>
        <v>293.47588627802293</v>
      </c>
      <c r="AT672" s="287">
        <f t="shared" si="274"/>
        <v>5.5197136292396562</v>
      </c>
      <c r="AU672" s="287">
        <f t="shared" si="275"/>
        <v>5.681795476703881</v>
      </c>
      <c r="AV672" s="299"/>
      <c r="AW672" s="299"/>
      <c r="AX672" s="286"/>
      <c r="AY672" s="286"/>
      <c r="AZ672" s="286"/>
      <c r="BA672" s="286"/>
      <c r="BB672" s="287"/>
      <c r="BC672" s="287"/>
      <c r="BD672" s="288"/>
      <c r="BE672" s="288"/>
    </row>
    <row r="673" spans="1:57" s="298" customFormat="1" x14ac:dyDescent="0.2">
      <c r="A673" s="290" t="s">
        <v>71</v>
      </c>
      <c r="B673" s="290" t="s">
        <v>260</v>
      </c>
      <c r="C673" s="290" t="s">
        <v>341</v>
      </c>
      <c r="D673" s="381" t="s">
        <v>172</v>
      </c>
      <c r="E673" s="387">
        <v>7.6</v>
      </c>
      <c r="F673" s="387">
        <f t="shared" si="263"/>
        <v>0.84279999999999999</v>
      </c>
      <c r="G673" s="387">
        <v>0.49</v>
      </c>
      <c r="H673" s="387">
        <v>55.4</v>
      </c>
      <c r="I673" s="387">
        <v>35.26</v>
      </c>
      <c r="J673" s="387">
        <v>24</v>
      </c>
      <c r="K673" s="383">
        <v>7</v>
      </c>
      <c r="L673" s="383">
        <v>28</v>
      </c>
      <c r="M673" s="383" t="s">
        <v>104</v>
      </c>
      <c r="N673" s="387">
        <v>446</v>
      </c>
      <c r="O673" s="295">
        <f t="shared" si="265"/>
        <v>470</v>
      </c>
      <c r="P673" s="295"/>
      <c r="Q673" s="295"/>
      <c r="R673" s="293">
        <f t="shared" si="264"/>
        <v>3.3163669767810902</v>
      </c>
      <c r="S673" s="295">
        <v>1.21</v>
      </c>
      <c r="T673" s="290" t="s">
        <v>37</v>
      </c>
      <c r="U673" s="295"/>
      <c r="V673" s="290"/>
      <c r="W673" s="290"/>
      <c r="X673" s="290"/>
      <c r="Y673" s="292">
        <v>1.22</v>
      </c>
      <c r="Z673" s="301" t="s">
        <v>37</v>
      </c>
      <c r="AA673" s="292"/>
      <c r="AB673" s="301"/>
      <c r="AC673" s="301"/>
      <c r="AD673" s="301"/>
      <c r="AE673" s="448"/>
      <c r="AF673" s="287">
        <f t="shared" si="266"/>
        <v>6.1003189520200642</v>
      </c>
      <c r="AG673" s="287">
        <f t="shared" si="267"/>
        <v>6.1527326947041043</v>
      </c>
      <c r="AH673" s="288"/>
      <c r="AI673" s="288"/>
      <c r="AK673" s="286">
        <f t="shared" si="268"/>
        <v>1479.0996716443663</v>
      </c>
      <c r="AL673" s="286">
        <f t="shared" si="269"/>
        <v>1503.0996716443663</v>
      </c>
      <c r="AM673" s="287">
        <f t="shared" si="270"/>
        <v>7.2991888516803867</v>
      </c>
      <c r="AN673" s="287">
        <f t="shared" si="271"/>
        <v>7.3152847026868688</v>
      </c>
      <c r="AO673" s="288"/>
      <c r="AP673" s="288"/>
      <c r="AR673" s="286">
        <f t="shared" si="272"/>
        <v>370.61113392341497</v>
      </c>
      <c r="AS673" s="286">
        <f t="shared" si="273"/>
        <v>372.3412965462357</v>
      </c>
      <c r="AT673" s="287">
        <f t="shared" si="274"/>
        <v>5.9151533563665595</v>
      </c>
      <c r="AU673" s="287">
        <f t="shared" si="275"/>
        <v>5.9198108974944148</v>
      </c>
      <c r="AV673" s="299"/>
      <c r="AW673" s="299"/>
      <c r="AX673" s="286"/>
      <c r="AY673" s="286"/>
      <c r="AZ673" s="286"/>
      <c r="BA673" s="286"/>
      <c r="BB673" s="287"/>
      <c r="BC673" s="287"/>
      <c r="BD673" s="288"/>
      <c r="BE673" s="288"/>
    </row>
    <row r="674" spans="1:57" s="336" customFormat="1" x14ac:dyDescent="0.2">
      <c r="A674" s="326" t="s">
        <v>71</v>
      </c>
      <c r="B674" s="326" t="s">
        <v>260</v>
      </c>
      <c r="C674" s="326" t="s">
        <v>341</v>
      </c>
      <c r="D674" s="391" t="s">
        <v>172</v>
      </c>
      <c r="E674" s="361">
        <v>7.7</v>
      </c>
      <c r="F674" s="361">
        <f t="shared" si="263"/>
        <v>0.53320000000000001</v>
      </c>
      <c r="G674" s="361">
        <v>0.31</v>
      </c>
      <c r="H674" s="361">
        <v>17.2</v>
      </c>
      <c r="I674" s="361">
        <v>13.27</v>
      </c>
      <c r="J674" s="361">
        <v>11</v>
      </c>
      <c r="K674" s="394">
        <v>7</v>
      </c>
      <c r="L674" s="394">
        <v>28</v>
      </c>
      <c r="M674" s="394" t="s">
        <v>104</v>
      </c>
      <c r="N674" s="361">
        <v>370</v>
      </c>
      <c r="O674" s="231">
        <f t="shared" si="265"/>
        <v>381</v>
      </c>
      <c r="P674" s="231"/>
      <c r="Q674" s="231"/>
      <c r="R674" s="318">
        <f t="shared" si="264"/>
        <v>3.6644562419294178</v>
      </c>
      <c r="S674" s="231">
        <v>1.21</v>
      </c>
      <c r="T674" s="326" t="s">
        <v>37</v>
      </c>
      <c r="U674" s="231"/>
      <c r="V674" s="326"/>
      <c r="W674" s="326"/>
      <c r="X674" s="326"/>
      <c r="Y674" s="328">
        <v>1.22</v>
      </c>
      <c r="Z674" s="314" t="s">
        <v>37</v>
      </c>
      <c r="AA674" s="328"/>
      <c r="AB674" s="314"/>
      <c r="AC674" s="314"/>
      <c r="AD674" s="314"/>
      <c r="AE674" s="443"/>
      <c r="AF674" s="334">
        <f t="shared" si="266"/>
        <v>5.9135030056382698</v>
      </c>
      <c r="AG674" s="334">
        <f t="shared" si="267"/>
        <v>5.9427993751267012</v>
      </c>
      <c r="AH674" s="335"/>
      <c r="AI674" s="335"/>
      <c r="AK674" s="337">
        <f t="shared" si="268"/>
        <v>1355.8488095138846</v>
      </c>
      <c r="AL674" s="337">
        <f t="shared" si="269"/>
        <v>1366.8488095138846</v>
      </c>
      <c r="AM674" s="334">
        <f t="shared" si="270"/>
        <v>7.212182964875403</v>
      </c>
      <c r="AN674" s="334">
        <f t="shared" si="271"/>
        <v>7.2202632303979941</v>
      </c>
      <c r="AO674" s="335"/>
      <c r="AP674" s="335"/>
      <c r="AR674" s="337">
        <f t="shared" si="272"/>
        <v>1108.3324829945204</v>
      </c>
      <c r="AS674" s="337">
        <f t="shared" si="273"/>
        <v>1115.4646082632376</v>
      </c>
      <c r="AT674" s="334">
        <f t="shared" si="274"/>
        <v>7.0106118971985616</v>
      </c>
      <c r="AU674" s="334">
        <f t="shared" si="275"/>
        <v>7.0170262861287815</v>
      </c>
      <c r="AV674" s="338"/>
      <c r="AW674" s="338"/>
      <c r="AX674" s="337"/>
      <c r="AY674" s="337"/>
      <c r="AZ674" s="337"/>
      <c r="BA674" s="337"/>
      <c r="BB674" s="334"/>
      <c r="BC674" s="334"/>
      <c r="BD674" s="335"/>
      <c r="BE674" s="335"/>
    </row>
    <row r="675" spans="1:57" s="336" customFormat="1" x14ac:dyDescent="0.2">
      <c r="A675" s="326" t="s">
        <v>71</v>
      </c>
      <c r="B675" s="326" t="s">
        <v>260</v>
      </c>
      <c r="C675" s="326" t="s">
        <v>359</v>
      </c>
      <c r="D675" s="391" t="s">
        <v>360</v>
      </c>
      <c r="E675" s="361">
        <v>4.9000000000000004</v>
      </c>
      <c r="F675" s="361">
        <f t="shared" si="263"/>
        <v>5.7447999999999997</v>
      </c>
      <c r="G675" s="361">
        <v>3.34</v>
      </c>
      <c r="H675" s="361">
        <v>9.4</v>
      </c>
      <c r="I675" s="361">
        <v>8.15</v>
      </c>
      <c r="J675" s="361">
        <v>20</v>
      </c>
      <c r="K675" s="394">
        <v>1</v>
      </c>
      <c r="L675" s="394">
        <v>7</v>
      </c>
      <c r="M675" s="394" t="s">
        <v>104</v>
      </c>
      <c r="N675" s="361">
        <v>347</v>
      </c>
      <c r="O675" s="231">
        <f t="shared" si="265"/>
        <v>367</v>
      </c>
      <c r="P675" s="231"/>
      <c r="Q675" s="231"/>
      <c r="R675" s="318">
        <f t="shared" si="264"/>
        <v>1.0528657287383505</v>
      </c>
      <c r="S675" s="231">
        <v>0.99</v>
      </c>
      <c r="T675" s="326" t="s">
        <v>37</v>
      </c>
      <c r="U675" s="330"/>
      <c r="V675" s="331"/>
      <c r="W675" s="331"/>
      <c r="X675" s="331"/>
      <c r="Y675" s="328">
        <v>1</v>
      </c>
      <c r="Z675" s="314" t="s">
        <v>37</v>
      </c>
      <c r="AA675" s="328"/>
      <c r="AB675" s="314"/>
      <c r="AC675" s="314"/>
      <c r="AD675" s="314"/>
      <c r="AE675" s="443"/>
      <c r="AF675" s="166">
        <f t="shared" si="266"/>
        <v>5.8493247799468593</v>
      </c>
      <c r="AG675" s="166">
        <f t="shared" si="267"/>
        <v>5.9053618480545707</v>
      </c>
      <c r="AH675" s="169"/>
      <c r="AI675" s="169"/>
      <c r="AK675" s="337">
        <f t="shared" si="268"/>
        <v>365.34440787220763</v>
      </c>
      <c r="AL675" s="337">
        <f t="shared" si="269"/>
        <v>385.34440787220763</v>
      </c>
      <c r="AM675" s="166">
        <f t="shared" si="270"/>
        <v>5.9008404918992223</v>
      </c>
      <c r="AN675" s="166">
        <f t="shared" si="271"/>
        <v>5.9541375003040109</v>
      </c>
      <c r="AO675" s="169"/>
      <c r="AP675" s="169"/>
      <c r="AR675" s="337">
        <f t="shared" si="272"/>
        <v>501.96568015771675</v>
      </c>
      <c r="AS675" s="337">
        <f t="shared" si="273"/>
        <v>531.14643861521699</v>
      </c>
      <c r="AT675" s="166">
        <f t="shared" si="274"/>
        <v>6.2185317511349654</v>
      </c>
      <c r="AU675" s="166">
        <f t="shared" si="275"/>
        <v>6.2750377621582967</v>
      </c>
      <c r="AV675" s="338"/>
      <c r="AW675" s="338"/>
      <c r="AX675" s="461">
        <f t="shared" ref="AX675:AX687" si="276">GEOMEAN(AR675)</f>
        <v>501.96568015771675</v>
      </c>
      <c r="AY675" s="461">
        <f t="shared" ref="AY675:AY687" si="277">GEOMEAN(AS675)</f>
        <v>531.14643861521699</v>
      </c>
      <c r="AZ675" s="461">
        <f t="shared" ref="AZ675:BA687" si="278">MIN(AX675)</f>
        <v>501.96568015771675</v>
      </c>
      <c r="BA675" s="461">
        <f t="shared" si="278"/>
        <v>531.14643861521699</v>
      </c>
      <c r="BB675" s="247">
        <f t="shared" ref="BB675:BC688" si="279">LN(AZ675)</f>
        <v>6.2185317511349654</v>
      </c>
      <c r="BC675" s="247">
        <f t="shared" si="279"/>
        <v>6.2750377621582967</v>
      </c>
      <c r="BD675" s="169"/>
      <c r="BE675" s="169"/>
    </row>
    <row r="676" spans="1:57" s="336" customFormat="1" x14ac:dyDescent="0.2">
      <c r="A676" s="326" t="s">
        <v>71</v>
      </c>
      <c r="B676" s="326" t="s">
        <v>260</v>
      </c>
      <c r="C676" s="326" t="s">
        <v>361</v>
      </c>
      <c r="D676" s="431" t="s">
        <v>360</v>
      </c>
      <c r="E676" s="361">
        <v>4.9000000000000004</v>
      </c>
      <c r="F676" s="361">
        <f t="shared" si="263"/>
        <v>5.7447999999999997</v>
      </c>
      <c r="G676" s="361">
        <v>3.34</v>
      </c>
      <c r="H676" s="361">
        <v>9.4</v>
      </c>
      <c r="I676" s="361">
        <v>8.15</v>
      </c>
      <c r="J676" s="361">
        <v>20</v>
      </c>
      <c r="K676" s="434">
        <v>1</v>
      </c>
      <c r="L676" s="434">
        <v>7</v>
      </c>
      <c r="M676" s="434" t="s">
        <v>104</v>
      </c>
      <c r="N676" s="361">
        <v>393</v>
      </c>
      <c r="O676" s="231">
        <f t="shared" si="265"/>
        <v>413</v>
      </c>
      <c r="P676" s="231"/>
      <c r="Q676" s="231"/>
      <c r="R676" s="318">
        <f t="shared" si="264"/>
        <v>1.0528657287383505</v>
      </c>
      <c r="S676" s="231">
        <v>0.99</v>
      </c>
      <c r="T676" s="326" t="s">
        <v>37</v>
      </c>
      <c r="U676" s="330"/>
      <c r="V676" s="331"/>
      <c r="W676" s="331"/>
      <c r="X676" s="331"/>
      <c r="Y676" s="328">
        <v>1</v>
      </c>
      <c r="Z676" s="314" t="s">
        <v>37</v>
      </c>
      <c r="AA676" s="328"/>
      <c r="AB676" s="314"/>
      <c r="AC676" s="314"/>
      <c r="AD676" s="314"/>
      <c r="AE676" s="443"/>
      <c r="AF676" s="166">
        <f t="shared" si="266"/>
        <v>5.9738096118692612</v>
      </c>
      <c r="AG676" s="166">
        <f t="shared" si="267"/>
        <v>6.0234475929610332</v>
      </c>
      <c r="AH676" s="169"/>
      <c r="AI676" s="169"/>
      <c r="AK676" s="337">
        <f t="shared" si="268"/>
        <v>413.77623139417176</v>
      </c>
      <c r="AL676" s="337">
        <f t="shared" si="269"/>
        <v>433.77623139417176</v>
      </c>
      <c r="AM676" s="166">
        <f t="shared" si="270"/>
        <v>6.0253253238216242</v>
      </c>
      <c r="AN676" s="166">
        <f t="shared" si="271"/>
        <v>6.0725288052691866</v>
      </c>
      <c r="AO676" s="169"/>
      <c r="AP676" s="169"/>
      <c r="AR676" s="337">
        <f t="shared" si="272"/>
        <v>568.50868098554088</v>
      </c>
      <c r="AS676" s="337">
        <f t="shared" si="273"/>
        <v>597.9033190935836</v>
      </c>
      <c r="AT676" s="166">
        <f t="shared" si="274"/>
        <v>6.3430165830573673</v>
      </c>
      <c r="AU676" s="166">
        <f t="shared" si="275"/>
        <v>6.3934290671234724</v>
      </c>
      <c r="AV676" s="338"/>
      <c r="AW676" s="338"/>
      <c r="AX676" s="461">
        <f t="shared" si="276"/>
        <v>568.50868098554088</v>
      </c>
      <c r="AY676" s="461">
        <f t="shared" si="277"/>
        <v>597.9033190935836</v>
      </c>
      <c r="AZ676" s="461">
        <f t="shared" si="278"/>
        <v>568.50868098554088</v>
      </c>
      <c r="BA676" s="461">
        <f t="shared" si="278"/>
        <v>597.9033190935836</v>
      </c>
      <c r="BB676" s="247">
        <f t="shared" si="279"/>
        <v>6.3430165830573673</v>
      </c>
      <c r="BC676" s="247">
        <f t="shared" si="279"/>
        <v>6.3934290671234724</v>
      </c>
      <c r="BD676" s="169"/>
      <c r="BE676" s="169"/>
    </row>
    <row r="677" spans="1:57" s="336" customFormat="1" x14ac:dyDescent="0.2">
      <c r="A677" s="326" t="s">
        <v>71</v>
      </c>
      <c r="B677" s="326" t="s">
        <v>260</v>
      </c>
      <c r="C677" s="326" t="s">
        <v>362</v>
      </c>
      <c r="D677" s="431" t="s">
        <v>360</v>
      </c>
      <c r="E677" s="361">
        <v>4.9000000000000004</v>
      </c>
      <c r="F677" s="361">
        <f t="shared" si="263"/>
        <v>5.7447999999999997</v>
      </c>
      <c r="G677" s="361">
        <v>3.34</v>
      </c>
      <c r="H677" s="361">
        <v>9.4</v>
      </c>
      <c r="I677" s="361">
        <v>8.15</v>
      </c>
      <c r="J677" s="361">
        <v>20</v>
      </c>
      <c r="K677" s="434">
        <v>1</v>
      </c>
      <c r="L677" s="434">
        <v>7</v>
      </c>
      <c r="M677" s="434" t="s">
        <v>104</v>
      </c>
      <c r="N677" s="361">
        <v>13</v>
      </c>
      <c r="O677" s="231">
        <f t="shared" si="265"/>
        <v>33</v>
      </c>
      <c r="P677" s="231"/>
      <c r="Q677" s="231"/>
      <c r="R677" s="318">
        <f t="shared" si="264"/>
        <v>1.0528657287383505</v>
      </c>
      <c r="S677" s="231">
        <v>0.99</v>
      </c>
      <c r="T677" s="326" t="s">
        <v>37</v>
      </c>
      <c r="U677" s="330"/>
      <c r="V677" s="331"/>
      <c r="W677" s="331"/>
      <c r="X677" s="331"/>
      <c r="Y677" s="328">
        <v>1</v>
      </c>
      <c r="Z677" s="314" t="s">
        <v>37</v>
      </c>
      <c r="AA677" s="328"/>
      <c r="AB677" s="314"/>
      <c r="AC677" s="314"/>
      <c r="AD677" s="314"/>
      <c r="AE677" s="443"/>
      <c r="AF677" s="166">
        <f t="shared" si="266"/>
        <v>2.5649493574615367</v>
      </c>
      <c r="AG677" s="166">
        <f t="shared" si="267"/>
        <v>3.4965075614664802</v>
      </c>
      <c r="AH677" s="169"/>
      <c r="AI677" s="169"/>
      <c r="AK677" s="337">
        <f t="shared" si="268"/>
        <v>13.687254473598557</v>
      </c>
      <c r="AL677" s="337">
        <f t="shared" si="269"/>
        <v>33.687254473598557</v>
      </c>
      <c r="AM677" s="166">
        <f t="shared" si="270"/>
        <v>2.6164650694138998</v>
      </c>
      <c r="AN677" s="166">
        <f t="shared" si="271"/>
        <v>3.5171195602893661</v>
      </c>
      <c r="AO677" s="169"/>
      <c r="AP677" s="169"/>
      <c r="AR677" s="337">
        <f t="shared" si="272"/>
        <v>18.805630668732903</v>
      </c>
      <c r="AS677" s="337">
        <f t="shared" si="273"/>
        <v>46.433436880989454</v>
      </c>
      <c r="AT677" s="166">
        <f t="shared" si="274"/>
        <v>2.9341563286496424</v>
      </c>
      <c r="AU677" s="166">
        <f t="shared" si="275"/>
        <v>3.8380198221436519</v>
      </c>
      <c r="AV677" s="338"/>
      <c r="AW677" s="338"/>
      <c r="AX677" s="461">
        <f t="shared" si="276"/>
        <v>18.805630668732903</v>
      </c>
      <c r="AY677" s="461">
        <f t="shared" si="277"/>
        <v>46.433436880989454</v>
      </c>
      <c r="AZ677" s="461">
        <f t="shared" si="278"/>
        <v>18.805630668732903</v>
      </c>
      <c r="BA677" s="461">
        <f t="shared" si="278"/>
        <v>46.433436880989454</v>
      </c>
      <c r="BB677" s="247">
        <f t="shared" si="279"/>
        <v>2.9341563286496424</v>
      </c>
      <c r="BC677" s="247">
        <f t="shared" si="279"/>
        <v>3.8380198221436519</v>
      </c>
      <c r="BD677" s="169"/>
      <c r="BE677" s="169"/>
    </row>
    <row r="678" spans="1:57" s="336" customFormat="1" x14ac:dyDescent="0.2">
      <c r="A678" s="326" t="s">
        <v>71</v>
      </c>
      <c r="B678" s="326" t="s">
        <v>260</v>
      </c>
      <c r="C678" s="326" t="s">
        <v>363</v>
      </c>
      <c r="D678" s="391" t="s">
        <v>360</v>
      </c>
      <c r="E678" s="361">
        <v>4.9000000000000004</v>
      </c>
      <c r="F678" s="361">
        <f t="shared" si="263"/>
        <v>5.7447999999999997</v>
      </c>
      <c r="G678" s="361">
        <v>3.34</v>
      </c>
      <c r="H678" s="361">
        <v>9.4</v>
      </c>
      <c r="I678" s="361">
        <v>8.15</v>
      </c>
      <c r="J678" s="361">
        <v>20</v>
      </c>
      <c r="K678" s="394">
        <v>1</v>
      </c>
      <c r="L678" s="434">
        <v>7</v>
      </c>
      <c r="M678" s="394" t="s">
        <v>104</v>
      </c>
      <c r="N678" s="361">
        <v>400</v>
      </c>
      <c r="O678" s="231">
        <f t="shared" si="265"/>
        <v>420</v>
      </c>
      <c r="P678" s="231"/>
      <c r="Q678" s="231"/>
      <c r="R678" s="318">
        <f t="shared" si="264"/>
        <v>1.0528657287383505</v>
      </c>
      <c r="S678" s="231">
        <v>0.99</v>
      </c>
      <c r="T678" s="326" t="s">
        <v>37</v>
      </c>
      <c r="U678" s="330"/>
      <c r="V678" s="331"/>
      <c r="W678" s="331"/>
      <c r="X678" s="331"/>
      <c r="Y678" s="328">
        <v>1</v>
      </c>
      <c r="Z678" s="314" t="s">
        <v>37</v>
      </c>
      <c r="AA678" s="328"/>
      <c r="AB678" s="314"/>
      <c r="AC678" s="314"/>
      <c r="AD678" s="314"/>
      <c r="AE678" s="443"/>
      <c r="AF678" s="166">
        <f t="shared" si="266"/>
        <v>5.9914645471079817</v>
      </c>
      <c r="AG678" s="166">
        <f t="shared" si="267"/>
        <v>6.0402547112774139</v>
      </c>
      <c r="AH678" s="169"/>
      <c r="AI678" s="169"/>
      <c r="AK678" s="337">
        <f t="shared" si="268"/>
        <v>421.14629149534022</v>
      </c>
      <c r="AL678" s="337">
        <f t="shared" si="269"/>
        <v>441.14629149534022</v>
      </c>
      <c r="AM678" s="166">
        <f t="shared" si="270"/>
        <v>6.0429802590603447</v>
      </c>
      <c r="AN678" s="166">
        <f t="shared" si="271"/>
        <v>6.0893765471844974</v>
      </c>
      <c r="AO678" s="169"/>
      <c r="AP678" s="169"/>
      <c r="AR678" s="337">
        <f t="shared" si="272"/>
        <v>578.63478980716627</v>
      </c>
      <c r="AS678" s="337">
        <f t="shared" si="273"/>
        <v>608.06197481855247</v>
      </c>
      <c r="AT678" s="166">
        <f t="shared" si="274"/>
        <v>6.3606715182960878</v>
      </c>
      <c r="AU678" s="166">
        <f t="shared" si="275"/>
        <v>6.4102768090387823</v>
      </c>
      <c r="AV678" s="338"/>
      <c r="AW678" s="338"/>
      <c r="AX678" s="461">
        <f t="shared" si="276"/>
        <v>578.63478980716627</v>
      </c>
      <c r="AY678" s="461">
        <f t="shared" si="277"/>
        <v>608.06197481855247</v>
      </c>
      <c r="AZ678" s="461">
        <f t="shared" si="278"/>
        <v>578.63478980716627</v>
      </c>
      <c r="BA678" s="461">
        <f t="shared" si="278"/>
        <v>608.06197481855247</v>
      </c>
      <c r="BB678" s="247">
        <f t="shared" si="279"/>
        <v>6.3606715182960878</v>
      </c>
      <c r="BC678" s="247">
        <f t="shared" si="279"/>
        <v>6.4102768090387823</v>
      </c>
      <c r="BD678" s="169"/>
      <c r="BE678" s="169"/>
    </row>
    <row r="679" spans="1:57" s="336" customFormat="1" x14ac:dyDescent="0.2">
      <c r="A679" s="326" t="s">
        <v>71</v>
      </c>
      <c r="B679" s="326" t="s">
        <v>260</v>
      </c>
      <c r="C679" s="326" t="s">
        <v>364</v>
      </c>
      <c r="D679" s="431" t="s">
        <v>360</v>
      </c>
      <c r="E679" s="361">
        <v>4.9000000000000004</v>
      </c>
      <c r="F679" s="361">
        <f t="shared" si="263"/>
        <v>5.7447999999999997</v>
      </c>
      <c r="G679" s="361">
        <v>3.34</v>
      </c>
      <c r="H679" s="361">
        <v>9.4</v>
      </c>
      <c r="I679" s="361">
        <v>8.15</v>
      </c>
      <c r="J679" s="361">
        <v>20</v>
      </c>
      <c r="K679" s="434">
        <v>1</v>
      </c>
      <c r="L679" s="434">
        <v>7</v>
      </c>
      <c r="M679" s="434" t="s">
        <v>104</v>
      </c>
      <c r="N679" s="361">
        <v>102</v>
      </c>
      <c r="O679" s="231">
        <f t="shared" si="265"/>
        <v>122</v>
      </c>
      <c r="P679" s="231"/>
      <c r="Q679" s="231"/>
      <c r="R679" s="318">
        <f t="shared" si="264"/>
        <v>1.0528657287383505</v>
      </c>
      <c r="S679" s="231">
        <v>0.99</v>
      </c>
      <c r="T679" s="326" t="s">
        <v>37</v>
      </c>
      <c r="U679" s="330"/>
      <c r="V679" s="331"/>
      <c r="W679" s="331"/>
      <c r="X679" s="331"/>
      <c r="Y679" s="328">
        <v>1</v>
      </c>
      <c r="Z679" s="314" t="s">
        <v>37</v>
      </c>
      <c r="AA679" s="328"/>
      <c r="AB679" s="314"/>
      <c r="AC679" s="314"/>
      <c r="AD679" s="314"/>
      <c r="AE679" s="443"/>
      <c r="AF679" s="166">
        <f t="shared" si="266"/>
        <v>4.6249728132842707</v>
      </c>
      <c r="AG679" s="166">
        <f t="shared" si="267"/>
        <v>4.8040210447332568</v>
      </c>
      <c r="AH679" s="169"/>
      <c r="AI679" s="169"/>
      <c r="AK679" s="337">
        <f t="shared" si="268"/>
        <v>107.39230433131175</v>
      </c>
      <c r="AL679" s="337">
        <f t="shared" si="269"/>
        <v>127.39230433131175</v>
      </c>
      <c r="AM679" s="166">
        <f t="shared" si="270"/>
        <v>4.6764885252366337</v>
      </c>
      <c r="AN679" s="166">
        <f t="shared" si="271"/>
        <v>4.8472713357508717</v>
      </c>
      <c r="AO679" s="169"/>
      <c r="AP679" s="169"/>
      <c r="AR679" s="337">
        <f t="shared" si="272"/>
        <v>147.55187140082739</v>
      </c>
      <c r="AS679" s="337">
        <f t="shared" si="273"/>
        <v>175.59348824130757</v>
      </c>
      <c r="AT679" s="166">
        <f t="shared" si="274"/>
        <v>4.9941797844723768</v>
      </c>
      <c r="AU679" s="166">
        <f t="shared" si="275"/>
        <v>5.1681715976051574</v>
      </c>
      <c r="AV679" s="338"/>
      <c r="AW679" s="338"/>
      <c r="AX679" s="461">
        <f t="shared" si="276"/>
        <v>147.55187140082739</v>
      </c>
      <c r="AY679" s="461">
        <f t="shared" si="277"/>
        <v>175.59348824130757</v>
      </c>
      <c r="AZ679" s="461">
        <f t="shared" si="278"/>
        <v>147.55187140082739</v>
      </c>
      <c r="BA679" s="461">
        <f t="shared" si="278"/>
        <v>175.59348824130757</v>
      </c>
      <c r="BB679" s="247">
        <f t="shared" si="279"/>
        <v>4.9941797844723768</v>
      </c>
      <c r="BC679" s="247">
        <f t="shared" si="279"/>
        <v>5.1681715976051574</v>
      </c>
      <c r="BD679" s="169"/>
      <c r="BE679" s="169"/>
    </row>
    <row r="680" spans="1:57" s="336" customFormat="1" x14ac:dyDescent="0.2">
      <c r="A680" s="326" t="s">
        <v>71</v>
      </c>
      <c r="B680" s="326" t="s">
        <v>260</v>
      </c>
      <c r="C680" s="326" t="s">
        <v>365</v>
      </c>
      <c r="D680" s="431" t="s">
        <v>360</v>
      </c>
      <c r="E680" s="361">
        <v>4.9000000000000004</v>
      </c>
      <c r="F680" s="361">
        <f t="shared" si="263"/>
        <v>5.7447999999999997</v>
      </c>
      <c r="G680" s="361">
        <v>3.34</v>
      </c>
      <c r="H680" s="361">
        <v>9.4</v>
      </c>
      <c r="I680" s="361">
        <v>8.15</v>
      </c>
      <c r="J680" s="361">
        <v>20</v>
      </c>
      <c r="K680" s="434">
        <v>1</v>
      </c>
      <c r="L680" s="434">
        <v>4</v>
      </c>
      <c r="M680" s="434" t="s">
        <v>104</v>
      </c>
      <c r="N680" s="361">
        <v>288</v>
      </c>
      <c r="O680" s="231">
        <f t="shared" si="265"/>
        <v>308</v>
      </c>
      <c r="P680" s="231"/>
      <c r="Q680" s="231"/>
      <c r="R680" s="318">
        <f t="shared" si="264"/>
        <v>1.0528657287383505</v>
      </c>
      <c r="S680" s="231">
        <v>0.99</v>
      </c>
      <c r="T680" s="326" t="s">
        <v>37</v>
      </c>
      <c r="U680" s="330"/>
      <c r="V680" s="331"/>
      <c r="W680" s="331"/>
      <c r="X680" s="331"/>
      <c r="Y680" s="328">
        <v>1</v>
      </c>
      <c r="Z680" s="314" t="s">
        <v>37</v>
      </c>
      <c r="AA680" s="328"/>
      <c r="AB680" s="314"/>
      <c r="AC680" s="314"/>
      <c r="AD680" s="314"/>
      <c r="AE680" s="443"/>
      <c r="AF680" s="166">
        <f t="shared" si="266"/>
        <v>5.6629604801359461</v>
      </c>
      <c r="AG680" s="166">
        <f t="shared" si="267"/>
        <v>5.730099782973574</v>
      </c>
      <c r="AH680" s="169"/>
      <c r="AI680" s="169"/>
      <c r="AK680" s="337">
        <f t="shared" si="268"/>
        <v>303.22532987664493</v>
      </c>
      <c r="AL680" s="337">
        <f t="shared" si="269"/>
        <v>323.22532987664493</v>
      </c>
      <c r="AM680" s="166">
        <f t="shared" si="270"/>
        <v>5.7144761920883091</v>
      </c>
      <c r="AN680" s="166">
        <f t="shared" si="271"/>
        <v>5.778349695719089</v>
      </c>
      <c r="AO680" s="169"/>
      <c r="AP680" s="169"/>
      <c r="AR680" s="337">
        <f t="shared" si="272"/>
        <v>416.61704866115969</v>
      </c>
      <c r="AS680" s="337">
        <f t="shared" si="273"/>
        <v>445.523483219051</v>
      </c>
      <c r="AT680" s="166">
        <f t="shared" si="274"/>
        <v>6.0321674513240513</v>
      </c>
      <c r="AU680" s="166">
        <f t="shared" si="275"/>
        <v>6.0992499575733747</v>
      </c>
      <c r="AV680" s="338"/>
      <c r="AW680" s="338"/>
      <c r="AX680" s="461">
        <f t="shared" si="276"/>
        <v>416.61704866115969</v>
      </c>
      <c r="AY680" s="461">
        <f t="shared" si="277"/>
        <v>445.523483219051</v>
      </c>
      <c r="AZ680" s="461">
        <f t="shared" si="278"/>
        <v>416.61704866115969</v>
      </c>
      <c r="BA680" s="461">
        <f t="shared" si="278"/>
        <v>445.523483219051</v>
      </c>
      <c r="BB680" s="247">
        <f t="shared" si="279"/>
        <v>6.0321674513240513</v>
      </c>
      <c r="BC680" s="247">
        <f t="shared" si="279"/>
        <v>6.0992499575733747</v>
      </c>
      <c r="BD680" s="169"/>
      <c r="BE680" s="169"/>
    </row>
    <row r="681" spans="1:57" s="336" customFormat="1" x14ac:dyDescent="0.2">
      <c r="A681" s="326" t="s">
        <v>71</v>
      </c>
      <c r="B681" s="326" t="s">
        <v>260</v>
      </c>
      <c r="C681" s="326" t="s">
        <v>366</v>
      </c>
      <c r="D681" s="431" t="s">
        <v>360</v>
      </c>
      <c r="E681" s="361">
        <v>4.9000000000000004</v>
      </c>
      <c r="F681" s="361">
        <f t="shared" si="263"/>
        <v>5.7447999999999997</v>
      </c>
      <c r="G681" s="361">
        <v>3.34</v>
      </c>
      <c r="H681" s="361">
        <v>9.4</v>
      </c>
      <c r="I681" s="361">
        <v>8.15</v>
      </c>
      <c r="J681" s="361">
        <v>20</v>
      </c>
      <c r="K681" s="434">
        <v>1</v>
      </c>
      <c r="L681" s="434">
        <v>4</v>
      </c>
      <c r="M681" s="434" t="s">
        <v>104</v>
      </c>
      <c r="N681" s="361">
        <v>530</v>
      </c>
      <c r="O681" s="231">
        <f t="shared" si="265"/>
        <v>550</v>
      </c>
      <c r="P681" s="231"/>
      <c r="Q681" s="231"/>
      <c r="R681" s="318">
        <f t="shared" si="264"/>
        <v>1.0528657287383505</v>
      </c>
      <c r="S681" s="231">
        <v>0.99</v>
      </c>
      <c r="T681" s="326" t="s">
        <v>37</v>
      </c>
      <c r="U681" s="330"/>
      <c r="V681" s="331"/>
      <c r="W681" s="331"/>
      <c r="X681" s="331"/>
      <c r="Y681" s="328">
        <v>1</v>
      </c>
      <c r="Z681" s="314" t="s">
        <v>37</v>
      </c>
      <c r="AA681" s="328"/>
      <c r="AB681" s="314"/>
      <c r="AC681" s="314"/>
      <c r="AD681" s="314"/>
      <c r="AE681" s="443"/>
      <c r="AF681" s="166">
        <f t="shared" si="266"/>
        <v>6.2728770065461674</v>
      </c>
      <c r="AG681" s="166">
        <f t="shared" si="267"/>
        <v>6.3099182782265162</v>
      </c>
      <c r="AH681" s="169"/>
      <c r="AI681" s="169"/>
      <c r="AK681" s="337">
        <f t="shared" si="268"/>
        <v>558.01883623132574</v>
      </c>
      <c r="AL681" s="337">
        <f t="shared" si="269"/>
        <v>578.01883623132574</v>
      </c>
      <c r="AM681" s="166">
        <f t="shared" si="270"/>
        <v>6.3243927184985305</v>
      </c>
      <c r="AN681" s="166">
        <f t="shared" si="271"/>
        <v>6.3596064567768913</v>
      </c>
      <c r="AO681" s="169"/>
      <c r="AP681" s="169"/>
      <c r="AR681" s="337">
        <f t="shared" si="272"/>
        <v>766.69109649449524</v>
      </c>
      <c r="AS681" s="337">
        <f t="shared" si="273"/>
        <v>796.72272399654514</v>
      </c>
      <c r="AT681" s="166">
        <f t="shared" si="274"/>
        <v>6.6420839777342735</v>
      </c>
      <c r="AU681" s="166">
        <f t="shared" si="275"/>
        <v>6.6805067186311771</v>
      </c>
      <c r="AV681" s="338"/>
      <c r="AW681" s="338"/>
      <c r="AX681" s="461">
        <f t="shared" si="276"/>
        <v>766.69109649449524</v>
      </c>
      <c r="AY681" s="461">
        <f t="shared" si="277"/>
        <v>796.72272399654514</v>
      </c>
      <c r="AZ681" s="461">
        <f t="shared" si="278"/>
        <v>766.69109649449524</v>
      </c>
      <c r="BA681" s="461">
        <f t="shared" si="278"/>
        <v>796.72272399654514</v>
      </c>
      <c r="BB681" s="247">
        <f t="shared" si="279"/>
        <v>6.6420839777342735</v>
      </c>
      <c r="BC681" s="247">
        <f t="shared" si="279"/>
        <v>6.6805067186311771</v>
      </c>
      <c r="BD681" s="169"/>
      <c r="BE681" s="169"/>
    </row>
    <row r="682" spans="1:57" s="336" customFormat="1" x14ac:dyDescent="0.2">
      <c r="A682" s="326" t="s">
        <v>71</v>
      </c>
      <c r="B682" s="326" t="s">
        <v>260</v>
      </c>
      <c r="C682" s="326" t="s">
        <v>367</v>
      </c>
      <c r="D682" s="431" t="s">
        <v>360</v>
      </c>
      <c r="E682" s="361">
        <v>4.9000000000000004</v>
      </c>
      <c r="F682" s="361">
        <f t="shared" si="263"/>
        <v>5.7447999999999997</v>
      </c>
      <c r="G682" s="361">
        <v>3.34</v>
      </c>
      <c r="H682" s="361">
        <v>9.4</v>
      </c>
      <c r="I682" s="361">
        <v>8.15</v>
      </c>
      <c r="J682" s="361">
        <v>20</v>
      </c>
      <c r="K682" s="434">
        <v>1</v>
      </c>
      <c r="L682" s="434">
        <v>7</v>
      </c>
      <c r="M682" s="434" t="s">
        <v>104</v>
      </c>
      <c r="N682" s="361">
        <v>200</v>
      </c>
      <c r="O682" s="231">
        <f t="shared" si="265"/>
        <v>220</v>
      </c>
      <c r="P682" s="231"/>
      <c r="Q682" s="231"/>
      <c r="R682" s="318">
        <f t="shared" si="264"/>
        <v>1.0528657287383505</v>
      </c>
      <c r="S682" s="231">
        <v>0.99</v>
      </c>
      <c r="T682" s="326" t="s">
        <v>37</v>
      </c>
      <c r="U682" s="330"/>
      <c r="V682" s="331"/>
      <c r="W682" s="331"/>
      <c r="X682" s="331"/>
      <c r="Y682" s="328">
        <v>1</v>
      </c>
      <c r="Z682" s="314" t="s">
        <v>37</v>
      </c>
      <c r="AA682" s="328"/>
      <c r="AB682" s="314"/>
      <c r="AC682" s="314"/>
      <c r="AD682" s="314"/>
      <c r="AE682" s="443"/>
      <c r="AF682" s="166">
        <f t="shared" si="266"/>
        <v>5.2983173665480363</v>
      </c>
      <c r="AG682" s="166">
        <f t="shared" si="267"/>
        <v>5.393627546352362</v>
      </c>
      <c r="AH682" s="169"/>
      <c r="AI682" s="169"/>
      <c r="AK682" s="337">
        <f t="shared" si="268"/>
        <v>210.57314574767011</v>
      </c>
      <c r="AL682" s="337">
        <f t="shared" si="269"/>
        <v>230.57314574767011</v>
      </c>
      <c r="AM682" s="166">
        <f t="shared" si="270"/>
        <v>5.3498330785003994</v>
      </c>
      <c r="AN682" s="166">
        <f t="shared" si="271"/>
        <v>5.4405681472274496</v>
      </c>
      <c r="AO682" s="169"/>
      <c r="AP682" s="169"/>
      <c r="AR682" s="337">
        <f t="shared" si="272"/>
        <v>289.31739490358314</v>
      </c>
      <c r="AS682" s="337">
        <f t="shared" si="273"/>
        <v>317.8146683908713</v>
      </c>
      <c r="AT682" s="166">
        <f t="shared" si="274"/>
        <v>5.6675243377361424</v>
      </c>
      <c r="AU682" s="166">
        <f t="shared" si="275"/>
        <v>5.7614684090817354</v>
      </c>
      <c r="AV682" s="338"/>
      <c r="AW682" s="338"/>
      <c r="AX682" s="461">
        <f t="shared" si="276"/>
        <v>289.31739490358314</v>
      </c>
      <c r="AY682" s="461">
        <f t="shared" si="277"/>
        <v>317.8146683908713</v>
      </c>
      <c r="AZ682" s="461">
        <f t="shared" si="278"/>
        <v>289.31739490358314</v>
      </c>
      <c r="BA682" s="461">
        <f t="shared" si="278"/>
        <v>317.8146683908713</v>
      </c>
      <c r="BB682" s="247">
        <f t="shared" si="279"/>
        <v>5.6675243377361424</v>
      </c>
      <c r="BC682" s="247">
        <f t="shared" si="279"/>
        <v>5.7614684090817354</v>
      </c>
      <c r="BD682" s="169"/>
      <c r="BE682" s="169"/>
    </row>
    <row r="683" spans="1:57" s="336" customFormat="1" x14ac:dyDescent="0.2">
      <c r="A683" s="326" t="s">
        <v>71</v>
      </c>
      <c r="B683" s="326" t="s">
        <v>260</v>
      </c>
      <c r="C683" s="326" t="s">
        <v>368</v>
      </c>
      <c r="D683" s="431" t="s">
        <v>369</v>
      </c>
      <c r="E683" s="361">
        <v>4.9000000000000004</v>
      </c>
      <c r="F683" s="361">
        <f t="shared" si="263"/>
        <v>5.7447999999999997</v>
      </c>
      <c r="G683" s="361">
        <v>3.34</v>
      </c>
      <c r="H683" s="361">
        <v>9.4</v>
      </c>
      <c r="I683" s="361">
        <v>8.15</v>
      </c>
      <c r="J683" s="361">
        <v>20</v>
      </c>
      <c r="K683" s="434">
        <v>0</v>
      </c>
      <c r="L683" s="434">
        <v>7</v>
      </c>
      <c r="M683" s="434" t="s">
        <v>104</v>
      </c>
      <c r="N683" s="361">
        <v>155</v>
      </c>
      <c r="O683" s="231">
        <f t="shared" si="265"/>
        <v>175</v>
      </c>
      <c r="P683" s="231"/>
      <c r="Q683" s="231"/>
      <c r="R683" s="318">
        <f t="shared" si="264"/>
        <v>1.0528657287383505</v>
      </c>
      <c r="S683" s="231">
        <v>0.99</v>
      </c>
      <c r="T683" s="326" t="s">
        <v>37</v>
      </c>
      <c r="U683" s="330"/>
      <c r="V683" s="331"/>
      <c r="W683" s="331"/>
      <c r="X683" s="331"/>
      <c r="Y683" s="328">
        <v>1</v>
      </c>
      <c r="Z683" s="314" t="s">
        <v>37</v>
      </c>
      <c r="AA683" s="328"/>
      <c r="AB683" s="314"/>
      <c r="AC683" s="314"/>
      <c r="AD683" s="314"/>
      <c r="AE683" s="443"/>
      <c r="AF683" s="166">
        <f t="shared" si="266"/>
        <v>5.0434251169192468</v>
      </c>
      <c r="AG683" s="166">
        <f t="shared" si="267"/>
        <v>5.1647859739235145</v>
      </c>
      <c r="AH683" s="169"/>
      <c r="AI683" s="169"/>
      <c r="AK683" s="337">
        <f t="shared" si="268"/>
        <v>163.19418795444432</v>
      </c>
      <c r="AL683" s="337">
        <f t="shared" si="269"/>
        <v>183.19418795444432</v>
      </c>
      <c r="AM683" s="166">
        <f t="shared" si="270"/>
        <v>5.0949408288716098</v>
      </c>
      <c r="AN683" s="166">
        <f t="shared" si="271"/>
        <v>5.2105467265972809</v>
      </c>
      <c r="AO683" s="169"/>
      <c r="AP683" s="169"/>
      <c r="AR683" s="337">
        <f t="shared" si="272"/>
        <v>224.22098105027692</v>
      </c>
      <c r="AS683" s="337">
        <f t="shared" si="273"/>
        <v>252.50902444464305</v>
      </c>
      <c r="AT683" s="166">
        <f t="shared" si="274"/>
        <v>5.412632088107352</v>
      </c>
      <c r="AU683" s="166">
        <f t="shared" si="275"/>
        <v>5.5314469884515667</v>
      </c>
      <c r="AV683" s="338"/>
      <c r="AW683" s="338"/>
      <c r="AX683" s="461">
        <f t="shared" si="276"/>
        <v>224.22098105027692</v>
      </c>
      <c r="AY683" s="461">
        <f t="shared" si="277"/>
        <v>252.50902444464305</v>
      </c>
      <c r="AZ683" s="461">
        <f t="shared" si="278"/>
        <v>224.22098105027692</v>
      </c>
      <c r="BA683" s="461">
        <f t="shared" si="278"/>
        <v>252.50902444464305</v>
      </c>
      <c r="BB683" s="247">
        <f t="shared" si="279"/>
        <v>5.412632088107352</v>
      </c>
      <c r="BC683" s="247">
        <f t="shared" si="279"/>
        <v>5.5314469884515667</v>
      </c>
      <c r="BD683" s="169"/>
      <c r="BE683" s="169"/>
    </row>
    <row r="684" spans="1:57" s="336" customFormat="1" x14ac:dyDescent="0.2">
      <c r="A684" s="326" t="s">
        <v>71</v>
      </c>
      <c r="B684" s="326" t="s">
        <v>260</v>
      </c>
      <c r="C684" s="326" t="s">
        <v>370</v>
      </c>
      <c r="D684" s="431" t="s">
        <v>369</v>
      </c>
      <c r="E684" s="361">
        <v>4.9000000000000004</v>
      </c>
      <c r="F684" s="361">
        <f t="shared" si="263"/>
        <v>5.7447999999999997</v>
      </c>
      <c r="G684" s="361">
        <v>3.34</v>
      </c>
      <c r="H684" s="361">
        <v>9.4</v>
      </c>
      <c r="I684" s="361">
        <v>8.15</v>
      </c>
      <c r="J684" s="361">
        <v>20</v>
      </c>
      <c r="K684" s="434">
        <v>0</v>
      </c>
      <c r="L684" s="434">
        <v>7</v>
      </c>
      <c r="M684" s="434" t="s">
        <v>104</v>
      </c>
      <c r="N684" s="361">
        <v>15</v>
      </c>
      <c r="O684" s="231">
        <f t="shared" si="265"/>
        <v>35</v>
      </c>
      <c r="P684" s="231"/>
      <c r="Q684" s="231"/>
      <c r="R684" s="318">
        <f t="shared" si="264"/>
        <v>1.0528657287383505</v>
      </c>
      <c r="S684" s="231">
        <v>0.99</v>
      </c>
      <c r="T684" s="326" t="s">
        <v>37</v>
      </c>
      <c r="U684" s="330"/>
      <c r="V684" s="331"/>
      <c r="W684" s="331"/>
      <c r="X684" s="331"/>
      <c r="Y684" s="328">
        <v>1</v>
      </c>
      <c r="Z684" s="314" t="s">
        <v>37</v>
      </c>
      <c r="AA684" s="328"/>
      <c r="AB684" s="314"/>
      <c r="AC684" s="314"/>
      <c r="AD684" s="314"/>
      <c r="AE684" s="443"/>
      <c r="AF684" s="166">
        <f t="shared" si="266"/>
        <v>2.7080502011022101</v>
      </c>
      <c r="AG684" s="166">
        <f t="shared" si="267"/>
        <v>3.5553480614894135</v>
      </c>
      <c r="AH684" s="169"/>
      <c r="AI684" s="169"/>
      <c r="AK684" s="337">
        <f t="shared" si="268"/>
        <v>15.792985931075258</v>
      </c>
      <c r="AL684" s="337">
        <f t="shared" si="269"/>
        <v>35.792985931075258</v>
      </c>
      <c r="AM684" s="166">
        <f t="shared" si="270"/>
        <v>2.7595659130545731</v>
      </c>
      <c r="AN684" s="166">
        <f t="shared" si="271"/>
        <v>3.577751950498115</v>
      </c>
      <c r="AO684" s="169"/>
      <c r="AP684" s="169"/>
      <c r="AR684" s="337">
        <f t="shared" si="272"/>
        <v>21.698804617768733</v>
      </c>
      <c r="AS684" s="337">
        <f t="shared" si="273"/>
        <v>49.335909945266266</v>
      </c>
      <c r="AT684" s="166">
        <f t="shared" si="274"/>
        <v>3.0772571722903157</v>
      </c>
      <c r="AU684" s="166">
        <f t="shared" si="275"/>
        <v>3.8986522123524008</v>
      </c>
      <c r="AV684" s="338"/>
      <c r="AW684" s="338"/>
      <c r="AX684" s="461">
        <f t="shared" si="276"/>
        <v>21.698804617768733</v>
      </c>
      <c r="AY684" s="461">
        <f t="shared" si="277"/>
        <v>49.335909945266266</v>
      </c>
      <c r="AZ684" s="461">
        <f t="shared" si="278"/>
        <v>21.698804617768733</v>
      </c>
      <c r="BA684" s="461">
        <f t="shared" si="278"/>
        <v>49.335909945266266</v>
      </c>
      <c r="BB684" s="247">
        <f t="shared" si="279"/>
        <v>3.0772571722903157</v>
      </c>
      <c r="BC684" s="247">
        <f t="shared" si="279"/>
        <v>3.8986522123524008</v>
      </c>
      <c r="BD684" s="169"/>
      <c r="BE684" s="169"/>
    </row>
    <row r="685" spans="1:57" s="336" customFormat="1" x14ac:dyDescent="0.2">
      <c r="A685" s="326" t="s">
        <v>71</v>
      </c>
      <c r="B685" s="326" t="s">
        <v>260</v>
      </c>
      <c r="C685" s="326" t="s">
        <v>371</v>
      </c>
      <c r="D685" s="431" t="s">
        <v>369</v>
      </c>
      <c r="E685" s="361">
        <v>4.9000000000000004</v>
      </c>
      <c r="F685" s="361">
        <f t="shared" si="263"/>
        <v>5.7447999999999997</v>
      </c>
      <c r="G685" s="361">
        <v>3.34</v>
      </c>
      <c r="H685" s="361">
        <v>9.4</v>
      </c>
      <c r="I685" s="361">
        <v>8.15</v>
      </c>
      <c r="J685" s="361">
        <v>20</v>
      </c>
      <c r="K685" s="434">
        <v>0</v>
      </c>
      <c r="L685" s="434">
        <v>7</v>
      </c>
      <c r="M685" s="434" t="s">
        <v>104</v>
      </c>
      <c r="N685" s="361">
        <v>285</v>
      </c>
      <c r="O685" s="231">
        <f t="shared" si="265"/>
        <v>305</v>
      </c>
      <c r="P685" s="231"/>
      <c r="Q685" s="231"/>
      <c r="R685" s="318">
        <f t="shared" si="264"/>
        <v>1.0528657287383505</v>
      </c>
      <c r="S685" s="231">
        <v>0.99</v>
      </c>
      <c r="T685" s="326" t="s">
        <v>37</v>
      </c>
      <c r="U685" s="330"/>
      <c r="V685" s="331"/>
      <c r="W685" s="331"/>
      <c r="X685" s="331"/>
      <c r="Y685" s="328">
        <v>1</v>
      </c>
      <c r="Z685" s="314" t="s">
        <v>37</v>
      </c>
      <c r="AA685" s="328"/>
      <c r="AB685" s="314"/>
      <c r="AC685" s="314"/>
      <c r="AD685" s="314"/>
      <c r="AE685" s="443"/>
      <c r="AF685" s="166">
        <f t="shared" si="266"/>
        <v>5.6524891802686508</v>
      </c>
      <c r="AG685" s="166">
        <f t="shared" si="267"/>
        <v>5.7203117766074119</v>
      </c>
      <c r="AH685" s="169"/>
      <c r="AI685" s="169"/>
      <c r="AK685" s="337">
        <f t="shared" si="268"/>
        <v>300.06673269042989</v>
      </c>
      <c r="AL685" s="337">
        <f t="shared" si="269"/>
        <v>320.06673269042989</v>
      </c>
      <c r="AM685" s="166">
        <f t="shared" si="270"/>
        <v>5.7040048922210138</v>
      </c>
      <c r="AN685" s="166">
        <f t="shared" si="271"/>
        <v>5.7685295137099937</v>
      </c>
      <c r="AO685" s="169"/>
      <c r="AP685" s="169"/>
      <c r="AR685" s="337">
        <f t="shared" si="272"/>
        <v>412.27728773760595</v>
      </c>
      <c r="AS685" s="337">
        <f t="shared" si="273"/>
        <v>441.16977362263577</v>
      </c>
      <c r="AT685" s="166">
        <f t="shared" si="274"/>
        <v>6.021696151456756</v>
      </c>
      <c r="AU685" s="166">
        <f t="shared" si="275"/>
        <v>6.0894297755642794</v>
      </c>
      <c r="AV685" s="338"/>
      <c r="AW685" s="338"/>
      <c r="AX685" s="461">
        <f t="shared" si="276"/>
        <v>412.27728773760595</v>
      </c>
      <c r="AY685" s="461">
        <f t="shared" si="277"/>
        <v>441.16977362263577</v>
      </c>
      <c r="AZ685" s="461">
        <f t="shared" si="278"/>
        <v>412.27728773760595</v>
      </c>
      <c r="BA685" s="461">
        <f t="shared" si="278"/>
        <v>441.16977362263577</v>
      </c>
      <c r="BB685" s="247">
        <f t="shared" si="279"/>
        <v>6.021696151456756</v>
      </c>
      <c r="BC685" s="247">
        <f t="shared" si="279"/>
        <v>6.0894297755642794</v>
      </c>
      <c r="BD685" s="169"/>
      <c r="BE685" s="169"/>
    </row>
    <row r="686" spans="1:57" s="336" customFormat="1" x14ac:dyDescent="0.2">
      <c r="A686" s="326" t="s">
        <v>71</v>
      </c>
      <c r="B686" s="326" t="s">
        <v>260</v>
      </c>
      <c r="C686" s="326" t="s">
        <v>372</v>
      </c>
      <c r="D686" s="431" t="s">
        <v>369</v>
      </c>
      <c r="E686" s="361">
        <v>4.9000000000000004</v>
      </c>
      <c r="F686" s="361">
        <f t="shared" si="263"/>
        <v>5.7447999999999997</v>
      </c>
      <c r="G686" s="361">
        <v>3.34</v>
      </c>
      <c r="H686" s="361">
        <v>9.4</v>
      </c>
      <c r="I686" s="361">
        <v>8.15</v>
      </c>
      <c r="J686" s="361">
        <v>20</v>
      </c>
      <c r="K686" s="434">
        <v>0</v>
      </c>
      <c r="L686" s="434">
        <v>7</v>
      </c>
      <c r="M686" s="434" t="s">
        <v>104</v>
      </c>
      <c r="N686" s="361">
        <v>177</v>
      </c>
      <c r="O686" s="231">
        <f t="shared" si="265"/>
        <v>197</v>
      </c>
      <c r="P686" s="231"/>
      <c r="Q686" s="231"/>
      <c r="R686" s="318">
        <f t="shared" si="264"/>
        <v>1.0528657287383505</v>
      </c>
      <c r="S686" s="231">
        <v>0.99</v>
      </c>
      <c r="T686" s="326" t="s">
        <v>37</v>
      </c>
      <c r="U686" s="330"/>
      <c r="V686" s="331"/>
      <c r="W686" s="331"/>
      <c r="X686" s="331"/>
      <c r="Y686" s="328">
        <v>1</v>
      </c>
      <c r="Z686" s="314" t="s">
        <v>37</v>
      </c>
      <c r="AA686" s="328"/>
      <c r="AB686" s="314"/>
      <c r="AC686" s="314"/>
      <c r="AD686" s="314"/>
      <c r="AE686" s="443"/>
      <c r="AF686" s="166">
        <f t="shared" si="266"/>
        <v>5.1761497325738288</v>
      </c>
      <c r="AG686" s="166">
        <f t="shared" si="267"/>
        <v>5.2832037287379885</v>
      </c>
      <c r="AH686" s="169"/>
      <c r="AI686" s="169"/>
      <c r="AK686" s="337">
        <f t="shared" si="268"/>
        <v>186.35723398668804</v>
      </c>
      <c r="AL686" s="337">
        <f t="shared" si="269"/>
        <v>206.35723398668804</v>
      </c>
      <c r="AM686" s="166">
        <f t="shared" si="270"/>
        <v>5.2276654445261919</v>
      </c>
      <c r="AN686" s="166">
        <f t="shared" si="271"/>
        <v>5.3296088124616903</v>
      </c>
      <c r="AO686" s="169"/>
      <c r="AP686" s="169"/>
      <c r="AR686" s="337">
        <f t="shared" si="272"/>
        <v>256.04589448967107</v>
      </c>
      <c r="AS686" s="337">
        <f t="shared" si="273"/>
        <v>284.436228151688</v>
      </c>
      <c r="AT686" s="166">
        <f t="shared" si="274"/>
        <v>5.5453567037619349</v>
      </c>
      <c r="AU686" s="166">
        <f t="shared" si="275"/>
        <v>5.6505090743159752</v>
      </c>
      <c r="AV686" s="338"/>
      <c r="AW686" s="338"/>
      <c r="AX686" s="461">
        <f t="shared" si="276"/>
        <v>256.04589448967107</v>
      </c>
      <c r="AY686" s="461">
        <f t="shared" si="277"/>
        <v>284.436228151688</v>
      </c>
      <c r="AZ686" s="461">
        <f t="shared" si="278"/>
        <v>256.04589448967107</v>
      </c>
      <c r="BA686" s="461">
        <f t="shared" si="278"/>
        <v>284.436228151688</v>
      </c>
      <c r="BB686" s="247">
        <f t="shared" si="279"/>
        <v>5.5453567037619349</v>
      </c>
      <c r="BC686" s="247">
        <f t="shared" si="279"/>
        <v>5.6505090743159752</v>
      </c>
      <c r="BD686" s="169"/>
      <c r="BE686" s="169"/>
    </row>
    <row r="687" spans="1:57" s="336" customFormat="1" x14ac:dyDescent="0.2">
      <c r="A687" s="326" t="s">
        <v>71</v>
      </c>
      <c r="B687" s="326" t="s">
        <v>260</v>
      </c>
      <c r="C687" s="326" t="s">
        <v>373</v>
      </c>
      <c r="D687" s="431" t="s">
        <v>369</v>
      </c>
      <c r="E687" s="361">
        <v>4.9000000000000004</v>
      </c>
      <c r="F687" s="361">
        <f t="shared" si="263"/>
        <v>5.7447999999999997</v>
      </c>
      <c r="G687" s="361">
        <v>3.34</v>
      </c>
      <c r="H687" s="361">
        <v>9.4</v>
      </c>
      <c r="I687" s="361">
        <v>8.15</v>
      </c>
      <c r="J687" s="361">
        <v>20</v>
      </c>
      <c r="K687" s="434">
        <v>0</v>
      </c>
      <c r="L687" s="434">
        <v>7</v>
      </c>
      <c r="M687" s="434" t="s">
        <v>104</v>
      </c>
      <c r="N687" s="361">
        <v>247</v>
      </c>
      <c r="O687" s="231">
        <f t="shared" si="265"/>
        <v>267</v>
      </c>
      <c r="P687" s="231"/>
      <c r="Q687" s="231"/>
      <c r="R687" s="318">
        <f t="shared" si="264"/>
        <v>1.0528657287383505</v>
      </c>
      <c r="S687" s="231">
        <v>0.99</v>
      </c>
      <c r="T687" s="326" t="s">
        <v>37</v>
      </c>
      <c r="U687" s="330"/>
      <c r="V687" s="331"/>
      <c r="W687" s="331"/>
      <c r="X687" s="331"/>
      <c r="Y687" s="328">
        <v>1</v>
      </c>
      <c r="Z687" s="314" t="s">
        <v>37</v>
      </c>
      <c r="AA687" s="328"/>
      <c r="AB687" s="314"/>
      <c r="AC687" s="314"/>
      <c r="AD687" s="314"/>
      <c r="AE687" s="443"/>
      <c r="AF687" s="166">
        <f t="shared" si="266"/>
        <v>5.5093883366279774</v>
      </c>
      <c r="AG687" s="166">
        <f t="shared" si="267"/>
        <v>5.5872486584002496</v>
      </c>
      <c r="AH687" s="169"/>
      <c r="AI687" s="169"/>
      <c r="AK687" s="337">
        <f t="shared" si="268"/>
        <v>260.05783499837258</v>
      </c>
      <c r="AL687" s="337">
        <f t="shared" si="269"/>
        <v>280.05783499837258</v>
      </c>
      <c r="AM687" s="166">
        <f t="shared" si="270"/>
        <v>5.5609040485803405</v>
      </c>
      <c r="AN687" s="166">
        <f t="shared" si="271"/>
        <v>5.6349961354056157</v>
      </c>
      <c r="AO687" s="169"/>
      <c r="AP687" s="169"/>
      <c r="AR687" s="337">
        <f t="shared" si="272"/>
        <v>357.30698270592518</v>
      </c>
      <c r="AS687" s="337">
        <f t="shared" si="273"/>
        <v>386.02278540137638</v>
      </c>
      <c r="AT687" s="166">
        <f t="shared" si="274"/>
        <v>5.8785953078160826</v>
      </c>
      <c r="AU687" s="166">
        <f t="shared" si="275"/>
        <v>5.9558963972599006</v>
      </c>
      <c r="AV687" s="338"/>
      <c r="AW687" s="338"/>
      <c r="AX687" s="461">
        <f t="shared" si="276"/>
        <v>357.30698270592518</v>
      </c>
      <c r="AY687" s="461">
        <f t="shared" si="277"/>
        <v>386.02278540137638</v>
      </c>
      <c r="AZ687" s="461">
        <f t="shared" si="278"/>
        <v>357.30698270592518</v>
      </c>
      <c r="BA687" s="461">
        <f t="shared" si="278"/>
        <v>386.02278540137638</v>
      </c>
      <c r="BB687" s="247">
        <f t="shared" si="279"/>
        <v>5.8785953078160826</v>
      </c>
      <c r="BC687" s="247">
        <f t="shared" si="279"/>
        <v>5.9558963972599006</v>
      </c>
      <c r="BD687" s="169"/>
      <c r="BE687" s="169"/>
    </row>
    <row r="688" spans="1:57" s="298" customFormat="1" x14ac:dyDescent="0.2">
      <c r="A688" s="290" t="s">
        <v>71</v>
      </c>
      <c r="B688" s="290" t="s">
        <v>260</v>
      </c>
      <c r="C688" s="290" t="s">
        <v>341</v>
      </c>
      <c r="D688" s="381" t="s">
        <v>171</v>
      </c>
      <c r="E688" s="387">
        <v>6</v>
      </c>
      <c r="F688" s="387">
        <v>5.7</v>
      </c>
      <c r="G688" s="387">
        <v>3.3</v>
      </c>
      <c r="H688" s="387">
        <v>9</v>
      </c>
      <c r="I688" s="300">
        <f t="shared" ref="I688:I695" si="280">(30+4.4*E688)*(H688/100)+(-34.66+29.72*E688)*(F688/100)</f>
        <v>13.264620000000001</v>
      </c>
      <c r="J688" s="387">
        <v>2</v>
      </c>
      <c r="K688" s="381" t="s">
        <v>345</v>
      </c>
      <c r="L688" s="383" t="s">
        <v>344</v>
      </c>
      <c r="M688" s="383" t="s">
        <v>93</v>
      </c>
      <c r="N688" s="387">
        <v>400</v>
      </c>
      <c r="O688" s="387">
        <f t="shared" si="265"/>
        <v>402</v>
      </c>
      <c r="P688" s="387"/>
      <c r="Q688" s="387"/>
      <c r="R688" s="235">
        <v>1</v>
      </c>
      <c r="S688" s="295">
        <v>1.21</v>
      </c>
      <c r="T688" s="290" t="s">
        <v>37</v>
      </c>
      <c r="U688" s="296"/>
      <c r="V688" s="297"/>
      <c r="W688" s="297"/>
      <c r="X688" s="297"/>
      <c r="Y688" s="292">
        <v>1.22</v>
      </c>
      <c r="Z688" s="301" t="s">
        <v>37</v>
      </c>
      <c r="AA688" s="292"/>
      <c r="AB688" s="301"/>
      <c r="AC688" s="301"/>
      <c r="AD688" s="301"/>
      <c r="AE688" s="448"/>
      <c r="AF688" s="239">
        <f t="shared" si="266"/>
        <v>5.9914645471079817</v>
      </c>
      <c r="AG688" s="239">
        <f t="shared" si="267"/>
        <v>5.9964520886190211</v>
      </c>
      <c r="AH688" s="240"/>
      <c r="AI688" s="240"/>
      <c r="AK688" s="286">
        <f t="shared" si="268"/>
        <v>400</v>
      </c>
      <c r="AL688" s="286">
        <f t="shared" si="269"/>
        <v>402</v>
      </c>
      <c r="AM688" s="239">
        <f t="shared" si="270"/>
        <v>5.9914645471079817</v>
      </c>
      <c r="AN688" s="239">
        <f t="shared" si="271"/>
        <v>5.9964520886190211</v>
      </c>
      <c r="AO688" s="240"/>
      <c r="AP688" s="240"/>
      <c r="AR688" s="286">
        <f t="shared" si="272"/>
        <v>327.13866862670886</v>
      </c>
      <c r="AS688" s="286">
        <f t="shared" si="273"/>
        <v>328.2284513909446</v>
      </c>
      <c r="AT688" s="239">
        <f t="shared" si="274"/>
        <v>5.7903841440865378</v>
      </c>
      <c r="AU688" s="239">
        <f t="shared" si="275"/>
        <v>5.7937098640850033</v>
      </c>
      <c r="AV688" s="299"/>
      <c r="AW688" s="299"/>
      <c r="AX688" s="499">
        <f>GEOMEAN(AR688:AR691)</f>
        <v>202.93924123116014</v>
      </c>
      <c r="AY688" s="499">
        <f>GEOMEAN(AS688:AS691)</f>
        <v>224.97871019519218</v>
      </c>
      <c r="AZ688" s="499">
        <f>MIN(AX688:AX691)</f>
        <v>202.93924123116014</v>
      </c>
      <c r="BA688" s="499">
        <f>MIN(AY688:AY691)</f>
        <v>224.97871019519218</v>
      </c>
      <c r="BB688" s="500">
        <f t="shared" si="279"/>
        <v>5.3129066299613221</v>
      </c>
      <c r="BC688" s="500">
        <f t="shared" si="279"/>
        <v>5.4160057763728355</v>
      </c>
      <c r="BD688" s="240"/>
      <c r="BE688" s="240"/>
    </row>
    <row r="689" spans="1:57" s="298" customFormat="1" x14ac:dyDescent="0.2">
      <c r="A689" s="290" t="s">
        <v>71</v>
      </c>
      <c r="B689" s="290" t="s">
        <v>260</v>
      </c>
      <c r="C689" s="290" t="s">
        <v>341</v>
      </c>
      <c r="D689" s="381" t="s">
        <v>171</v>
      </c>
      <c r="E689" s="387">
        <v>7.5</v>
      </c>
      <c r="F689" s="387">
        <v>3.2</v>
      </c>
      <c r="G689" s="387">
        <v>1.9</v>
      </c>
      <c r="H689" s="387">
        <v>60</v>
      </c>
      <c r="I689" s="300">
        <f t="shared" si="280"/>
        <v>43.823679999999996</v>
      </c>
      <c r="J689" s="387">
        <v>39</v>
      </c>
      <c r="K689" s="381" t="s">
        <v>374</v>
      </c>
      <c r="L689" s="383" t="s">
        <v>344</v>
      </c>
      <c r="M689" s="383" t="s">
        <v>104</v>
      </c>
      <c r="N689" s="387">
        <v>2542</v>
      </c>
      <c r="O689" s="387">
        <f t="shared" si="265"/>
        <v>2581</v>
      </c>
      <c r="P689" s="387"/>
      <c r="Q689" s="387"/>
      <c r="R689" s="235">
        <v>1</v>
      </c>
      <c r="S689" s="295">
        <v>1.21</v>
      </c>
      <c r="T689" s="290" t="s">
        <v>37</v>
      </c>
      <c r="U689" s="296"/>
      <c r="V689" s="297"/>
      <c r="W689" s="297"/>
      <c r="X689" s="297"/>
      <c r="Y689" s="292">
        <v>1.22</v>
      </c>
      <c r="Z689" s="301" t="s">
        <v>37</v>
      </c>
      <c r="AA689" s="292"/>
      <c r="AB689" s="301"/>
      <c r="AC689" s="301"/>
      <c r="AD689" s="301"/>
      <c r="AE689" s="448"/>
      <c r="AF689" s="287">
        <f t="shared" si="266"/>
        <v>7.8407064517493996</v>
      </c>
      <c r="AG689" s="287">
        <f t="shared" si="267"/>
        <v>7.8559321997186142</v>
      </c>
      <c r="AH689" s="288"/>
      <c r="AI689" s="288"/>
      <c r="AK689" s="286">
        <f t="shared" si="268"/>
        <v>2542</v>
      </c>
      <c r="AL689" s="286">
        <f t="shared" si="269"/>
        <v>2581</v>
      </c>
      <c r="AM689" s="287">
        <f t="shared" si="270"/>
        <v>7.8407064517493996</v>
      </c>
      <c r="AN689" s="287">
        <f t="shared" si="271"/>
        <v>7.8559321997186142</v>
      </c>
      <c r="AO689" s="288"/>
      <c r="AP689" s="288"/>
      <c r="AR689" s="286">
        <f t="shared" si="272"/>
        <v>489.59892953697448</v>
      </c>
      <c r="AS689" s="286">
        <f t="shared" si="273"/>
        <v>490.38938144707123</v>
      </c>
      <c r="AT689" s="287">
        <f t="shared" si="274"/>
        <v>6.1935865447924874</v>
      </c>
      <c r="AU689" s="287">
        <f t="shared" si="275"/>
        <v>6.1951997315471825</v>
      </c>
      <c r="AV689" s="299"/>
      <c r="AW689" s="299"/>
      <c r="AX689" s="286"/>
      <c r="AY689" s="286"/>
      <c r="AZ689" s="286"/>
      <c r="BA689" s="286"/>
      <c r="BB689" s="287"/>
      <c r="BC689" s="287"/>
      <c r="BD689" s="288"/>
      <c r="BE689" s="288"/>
    </row>
    <row r="690" spans="1:57" s="298" customFormat="1" x14ac:dyDescent="0.2">
      <c r="A690" s="290" t="s">
        <v>71</v>
      </c>
      <c r="B690" s="290" t="s">
        <v>260</v>
      </c>
      <c r="C690" s="290" t="s">
        <v>341</v>
      </c>
      <c r="D690" s="381" t="s">
        <v>171</v>
      </c>
      <c r="E690" s="387">
        <v>4.4000000000000004</v>
      </c>
      <c r="F690" s="387">
        <v>12.8</v>
      </c>
      <c r="G690" s="387">
        <v>7.4</v>
      </c>
      <c r="H690" s="387">
        <v>5</v>
      </c>
      <c r="I690" s="300">
        <f t="shared" si="280"/>
        <v>14.769824000000002</v>
      </c>
      <c r="J690" s="387">
        <v>4</v>
      </c>
      <c r="K690" s="381" t="s">
        <v>346</v>
      </c>
      <c r="L690" s="383" t="s">
        <v>344</v>
      </c>
      <c r="M690" s="383" t="s">
        <v>104</v>
      </c>
      <c r="N690" s="387">
        <v>291</v>
      </c>
      <c r="O690" s="387">
        <f t="shared" si="265"/>
        <v>295</v>
      </c>
      <c r="P690" s="387"/>
      <c r="Q690" s="387"/>
      <c r="R690" s="235">
        <v>1</v>
      </c>
      <c r="S690" s="295">
        <v>1.21</v>
      </c>
      <c r="T690" s="290" t="s">
        <v>37</v>
      </c>
      <c r="U690" s="296"/>
      <c r="V690" s="297"/>
      <c r="W690" s="297"/>
      <c r="X690" s="297"/>
      <c r="Y690" s="292">
        <v>1.22</v>
      </c>
      <c r="Z690" s="301" t="s">
        <v>37</v>
      </c>
      <c r="AA690" s="292"/>
      <c r="AB690" s="301"/>
      <c r="AC690" s="301"/>
      <c r="AD690" s="301"/>
      <c r="AE690" s="448"/>
      <c r="AF690" s="287">
        <f t="shared" si="266"/>
        <v>5.6733232671714928</v>
      </c>
      <c r="AG690" s="287">
        <f t="shared" si="267"/>
        <v>5.6869753563398202</v>
      </c>
      <c r="AH690" s="288"/>
      <c r="AI690" s="288"/>
      <c r="AK690" s="286">
        <f t="shared" si="268"/>
        <v>291</v>
      </c>
      <c r="AL690" s="286">
        <f t="shared" si="269"/>
        <v>295</v>
      </c>
      <c r="AM690" s="287">
        <f t="shared" si="270"/>
        <v>5.6733232671714928</v>
      </c>
      <c r="AN690" s="287">
        <f t="shared" si="271"/>
        <v>5.6869753563398202</v>
      </c>
      <c r="AO690" s="288"/>
      <c r="AP690" s="288"/>
      <c r="AR690" s="286">
        <f t="shared" si="272"/>
        <v>208.96880818129932</v>
      </c>
      <c r="AS690" s="286">
        <f t="shared" si="273"/>
        <v>211.26228257847652</v>
      </c>
      <c r="AT690" s="287">
        <f t="shared" si="274"/>
        <v>5.3421849976752656</v>
      </c>
      <c r="AU690" s="287">
        <f t="shared" si="275"/>
        <v>5.3531004069304009</v>
      </c>
      <c r="AV690" s="299"/>
      <c r="AW690" s="299"/>
      <c r="AX690" s="286"/>
      <c r="AY690" s="286"/>
      <c r="AZ690" s="286"/>
      <c r="BA690" s="286"/>
      <c r="BB690" s="287"/>
      <c r="BC690" s="287"/>
      <c r="BD690" s="288"/>
      <c r="BE690" s="288"/>
    </row>
    <row r="691" spans="1:57" s="336" customFormat="1" x14ac:dyDescent="0.2">
      <c r="A691" s="326" t="s">
        <v>71</v>
      </c>
      <c r="B691" s="326" t="s">
        <v>260</v>
      </c>
      <c r="C691" s="326" t="s">
        <v>341</v>
      </c>
      <c r="D691" s="391" t="s">
        <v>347</v>
      </c>
      <c r="E691" s="361">
        <v>5.2</v>
      </c>
      <c r="F691" s="361">
        <f t="shared" ref="F691:F696" si="281">G691*1.72</f>
        <v>2.4079999999999999</v>
      </c>
      <c r="G691" s="361">
        <v>1.4</v>
      </c>
      <c r="H691" s="361">
        <v>8</v>
      </c>
      <c r="I691" s="393">
        <f t="shared" si="280"/>
        <v>7.1172067200000004</v>
      </c>
      <c r="J691" s="502">
        <v>14</v>
      </c>
      <c r="K691" s="394">
        <v>0</v>
      </c>
      <c r="L691" s="394">
        <v>28</v>
      </c>
      <c r="M691" s="394" t="s">
        <v>104</v>
      </c>
      <c r="N691" s="361">
        <v>27</v>
      </c>
      <c r="O691" s="361">
        <f t="shared" si="265"/>
        <v>41</v>
      </c>
      <c r="P691" s="361"/>
      <c r="Q691" s="361"/>
      <c r="R691" s="318">
        <f>1+EXP(1.4*(E691-7))</f>
        <v>1.0804596067495325</v>
      </c>
      <c r="S691" s="231">
        <v>1.21</v>
      </c>
      <c r="T691" s="326" t="s">
        <v>37</v>
      </c>
      <c r="U691" s="330"/>
      <c r="V691" s="331"/>
      <c r="W691" s="331"/>
      <c r="X691" s="331"/>
      <c r="Y691" s="328">
        <v>1.22</v>
      </c>
      <c r="Z691" s="314" t="s">
        <v>37</v>
      </c>
      <c r="AA691" s="328"/>
      <c r="AB691" s="314"/>
      <c r="AC691" s="314"/>
      <c r="AD691" s="314"/>
      <c r="AE691" s="443"/>
      <c r="AF691" s="334">
        <f t="shared" si="266"/>
        <v>3.2958368660043291</v>
      </c>
      <c r="AG691" s="334">
        <f t="shared" si="267"/>
        <v>3.713572066704308</v>
      </c>
      <c r="AH691" s="335"/>
      <c r="AI691" s="335"/>
      <c r="AK691" s="337">
        <f t="shared" si="268"/>
        <v>29.172409382237376</v>
      </c>
      <c r="AL691" s="337">
        <f t="shared" si="269"/>
        <v>43.172409382237376</v>
      </c>
      <c r="AM691" s="334">
        <f t="shared" si="270"/>
        <v>3.3732233784198371</v>
      </c>
      <c r="AN691" s="334">
        <f t="shared" si="271"/>
        <v>3.7652016195049414</v>
      </c>
      <c r="AO691" s="335"/>
      <c r="AP691" s="335"/>
      <c r="AR691" s="337">
        <f t="shared" si="272"/>
        <v>50.676932829649701</v>
      </c>
      <c r="AS691" s="337">
        <f t="shared" si="273"/>
        <v>75.340143196226791</v>
      </c>
      <c r="AT691" s="334">
        <f t="shared" si="274"/>
        <v>3.9254708332909982</v>
      </c>
      <c r="AU691" s="334">
        <f t="shared" si="275"/>
        <v>4.3220131029287572</v>
      </c>
      <c r="AV691" s="338"/>
      <c r="AW691" s="338"/>
      <c r="AX691" s="337"/>
      <c r="AY691" s="337"/>
      <c r="AZ691" s="337"/>
      <c r="BA691" s="337"/>
      <c r="BB691" s="334"/>
      <c r="BC691" s="334"/>
      <c r="BD691" s="335"/>
      <c r="BE691" s="335"/>
    </row>
    <row r="692" spans="1:57" s="298" customFormat="1" x14ac:dyDescent="0.2">
      <c r="A692" s="290" t="s">
        <v>71</v>
      </c>
      <c r="B692" s="290" t="s">
        <v>260</v>
      </c>
      <c r="C692" s="290" t="s">
        <v>341</v>
      </c>
      <c r="D692" s="381" t="s">
        <v>342</v>
      </c>
      <c r="E692" s="387">
        <v>7</v>
      </c>
      <c r="F692" s="387">
        <f t="shared" si="281"/>
        <v>1.5996000000000001</v>
      </c>
      <c r="G692" s="387">
        <v>0.93</v>
      </c>
      <c r="H692" s="387">
        <v>2</v>
      </c>
      <c r="I692" s="300">
        <f t="shared" si="280"/>
        <v>3.9893864800000003</v>
      </c>
      <c r="J692" s="387">
        <v>8</v>
      </c>
      <c r="K692" s="383">
        <v>540</v>
      </c>
      <c r="L692" s="383">
        <v>5</v>
      </c>
      <c r="M692" s="383" t="s">
        <v>93</v>
      </c>
      <c r="N692" s="387">
        <v>55</v>
      </c>
      <c r="O692" s="387">
        <f t="shared" si="265"/>
        <v>63</v>
      </c>
      <c r="P692" s="387"/>
      <c r="Q692" s="387"/>
      <c r="R692" s="235">
        <v>1</v>
      </c>
      <c r="S692" s="282">
        <v>1.33</v>
      </c>
      <c r="T692" s="491" t="s">
        <v>37</v>
      </c>
      <c r="U692" s="296"/>
      <c r="V692" s="297"/>
      <c r="W692" s="297"/>
      <c r="X692" s="297"/>
      <c r="Y692" s="292">
        <v>1.34</v>
      </c>
      <c r="Z692" s="301" t="s">
        <v>37</v>
      </c>
      <c r="AA692" s="292"/>
      <c r="AB692" s="301"/>
      <c r="AC692" s="301"/>
      <c r="AD692" s="301"/>
      <c r="AE692" s="448"/>
      <c r="AF692" s="239">
        <f t="shared" si="266"/>
        <v>4.0073331852324712</v>
      </c>
      <c r="AG692" s="239">
        <f t="shared" si="267"/>
        <v>4.1431347263915326</v>
      </c>
      <c r="AH692" s="240"/>
      <c r="AI692" s="240"/>
      <c r="AK692" s="286">
        <f t="shared" si="268"/>
        <v>55</v>
      </c>
      <c r="AL692" s="286">
        <f t="shared" si="269"/>
        <v>63</v>
      </c>
      <c r="AM692" s="239">
        <f t="shared" si="270"/>
        <v>4.0073331852324712</v>
      </c>
      <c r="AN692" s="239">
        <f t="shared" si="271"/>
        <v>4.1431347263915326</v>
      </c>
      <c r="AO692" s="240"/>
      <c r="AP692" s="240"/>
      <c r="AR692" s="286">
        <f t="shared" si="272"/>
        <v>217.9480130356911</v>
      </c>
      <c r="AS692" s="286">
        <f t="shared" si="273"/>
        <v>252.24754090403547</v>
      </c>
      <c r="AT692" s="239">
        <f t="shared" si="274"/>
        <v>5.3842565620367022</v>
      </c>
      <c r="AU692" s="239">
        <f t="shared" si="275"/>
        <v>5.530410910540156</v>
      </c>
      <c r="AV692" s="299"/>
      <c r="AW692" s="299"/>
      <c r="AX692" s="499">
        <f>GEOMEAN(AR692:AR695)</f>
        <v>42.71345751480888</v>
      </c>
      <c r="AY692" s="499">
        <f>GEOMEAN(AS692:AS695)</f>
        <v>51.781581102575117</v>
      </c>
      <c r="AZ692" s="499">
        <f>MIN(AX692:AX695)</f>
        <v>42.71345751480888</v>
      </c>
      <c r="BA692" s="499">
        <f>MIN(AY692:AY695)</f>
        <v>51.781581102575117</v>
      </c>
      <c r="BB692" s="500">
        <f>LN(AZ692)</f>
        <v>3.7545140348619879</v>
      </c>
      <c r="BC692" s="500">
        <f>LN(BA692)</f>
        <v>3.9470345088625209</v>
      </c>
      <c r="BD692" s="240"/>
      <c r="BE692" s="240"/>
    </row>
    <row r="693" spans="1:57" s="298" customFormat="1" x14ac:dyDescent="0.2">
      <c r="A693" s="290" t="s">
        <v>71</v>
      </c>
      <c r="B693" s="290" t="s">
        <v>260</v>
      </c>
      <c r="C693" s="290" t="s">
        <v>341</v>
      </c>
      <c r="D693" s="381" t="s">
        <v>342</v>
      </c>
      <c r="E693" s="387">
        <v>4.4000000000000004</v>
      </c>
      <c r="F693" s="387">
        <f t="shared" si="281"/>
        <v>12.728</v>
      </c>
      <c r="G693" s="387">
        <v>7.4</v>
      </c>
      <c r="H693" s="387">
        <v>5</v>
      </c>
      <c r="I693" s="300">
        <f t="shared" si="280"/>
        <v>14.70062624</v>
      </c>
      <c r="J693" s="387">
        <v>4</v>
      </c>
      <c r="K693" s="383">
        <v>540</v>
      </c>
      <c r="L693" s="383">
        <v>5</v>
      </c>
      <c r="M693" s="383" t="s">
        <v>93</v>
      </c>
      <c r="N693" s="387">
        <v>55</v>
      </c>
      <c r="O693" s="387">
        <f t="shared" si="265"/>
        <v>59</v>
      </c>
      <c r="P693" s="387"/>
      <c r="Q693" s="387"/>
      <c r="R693" s="235">
        <v>1</v>
      </c>
      <c r="S693" s="282">
        <v>1.33</v>
      </c>
      <c r="T693" s="491" t="s">
        <v>37</v>
      </c>
      <c r="U693" s="296"/>
      <c r="V693" s="297"/>
      <c r="W693" s="297"/>
      <c r="X693" s="297"/>
      <c r="Y693" s="292">
        <v>1.34</v>
      </c>
      <c r="Z693" s="301" t="s">
        <v>37</v>
      </c>
      <c r="AA693" s="292"/>
      <c r="AB693" s="301"/>
      <c r="AC693" s="301"/>
      <c r="AD693" s="301"/>
      <c r="AE693" s="448"/>
      <c r="AF693" s="287">
        <f t="shared" si="266"/>
        <v>4.0073331852324712</v>
      </c>
      <c r="AG693" s="287">
        <f t="shared" si="267"/>
        <v>4.0775374439057197</v>
      </c>
      <c r="AH693" s="288"/>
      <c r="AI693" s="288"/>
      <c r="AK693" s="286">
        <f t="shared" si="268"/>
        <v>55</v>
      </c>
      <c r="AL693" s="286">
        <f t="shared" si="269"/>
        <v>59</v>
      </c>
      <c r="AM693" s="287">
        <f t="shared" si="270"/>
        <v>4.0073331852324712</v>
      </c>
      <c r="AN693" s="287">
        <f t="shared" si="271"/>
        <v>4.0775374439057197</v>
      </c>
      <c r="AO693" s="288"/>
      <c r="AP693" s="288"/>
      <c r="AR693" s="286">
        <f t="shared" si="272"/>
        <v>38.45930046695679</v>
      </c>
      <c r="AS693" s="286">
        <f t="shared" si="273"/>
        <v>41.145521638498217</v>
      </c>
      <c r="AT693" s="287">
        <f t="shared" si="274"/>
        <v>3.6496005514085526</v>
      </c>
      <c r="AU693" s="287">
        <f t="shared" si="275"/>
        <v>3.7171150910304935</v>
      </c>
      <c r="AV693" s="299"/>
      <c r="AW693" s="299"/>
      <c r="AX693" s="286"/>
      <c r="AY693" s="286"/>
      <c r="AZ693" s="286"/>
      <c r="BA693" s="286"/>
      <c r="BB693" s="287"/>
      <c r="BC693" s="287"/>
      <c r="BD693" s="288"/>
      <c r="BE693" s="288"/>
    </row>
    <row r="694" spans="1:57" s="298" customFormat="1" x14ac:dyDescent="0.2">
      <c r="A694" s="290" t="s">
        <v>71</v>
      </c>
      <c r="B694" s="290" t="s">
        <v>260</v>
      </c>
      <c r="C694" s="290" t="s">
        <v>341</v>
      </c>
      <c r="D694" s="381" t="s">
        <v>342</v>
      </c>
      <c r="E694" s="387">
        <v>7.5</v>
      </c>
      <c r="F694" s="387">
        <f t="shared" si="281"/>
        <v>3.1992000000000003</v>
      </c>
      <c r="G694" s="387">
        <v>1.86</v>
      </c>
      <c r="H694" s="387">
        <v>60</v>
      </c>
      <c r="I694" s="300">
        <f t="shared" si="280"/>
        <v>43.822174079999996</v>
      </c>
      <c r="J694" s="387">
        <v>39</v>
      </c>
      <c r="K694" s="383">
        <v>540</v>
      </c>
      <c r="L694" s="383">
        <v>5</v>
      </c>
      <c r="M694" s="383" t="s">
        <v>93</v>
      </c>
      <c r="N694" s="387">
        <v>55</v>
      </c>
      <c r="O694" s="387">
        <f t="shared" si="265"/>
        <v>94</v>
      </c>
      <c r="P694" s="387"/>
      <c r="Q694" s="387"/>
      <c r="R694" s="235">
        <v>1</v>
      </c>
      <c r="S694" s="282">
        <v>1.33</v>
      </c>
      <c r="T694" s="491" t="s">
        <v>37</v>
      </c>
      <c r="U694" s="296"/>
      <c r="V694" s="297"/>
      <c r="W694" s="297"/>
      <c r="X694" s="297"/>
      <c r="Y694" s="292">
        <v>1.34</v>
      </c>
      <c r="Z694" s="301" t="s">
        <v>37</v>
      </c>
      <c r="AA694" s="292"/>
      <c r="AB694" s="301"/>
      <c r="AC694" s="301"/>
      <c r="AD694" s="301"/>
      <c r="AE694" s="448"/>
      <c r="AF694" s="287">
        <f t="shared" si="266"/>
        <v>4.0073331852324712</v>
      </c>
      <c r="AG694" s="287">
        <f t="shared" si="267"/>
        <v>4.5432947822700038</v>
      </c>
      <c r="AH694" s="288"/>
      <c r="AI694" s="288"/>
      <c r="AK694" s="286">
        <f t="shared" si="268"/>
        <v>55</v>
      </c>
      <c r="AL694" s="286">
        <f t="shared" si="269"/>
        <v>94</v>
      </c>
      <c r="AM694" s="287">
        <f t="shared" si="270"/>
        <v>4.0073331852324712</v>
      </c>
      <c r="AN694" s="287">
        <f t="shared" si="271"/>
        <v>4.5432947822700038</v>
      </c>
      <c r="AO694" s="288"/>
      <c r="AP694" s="288"/>
      <c r="AR694" s="286">
        <f t="shared" si="272"/>
        <v>8.9971534815867606</v>
      </c>
      <c r="AS694" s="286">
        <f t="shared" si="273"/>
        <v>15.169056964805822</v>
      </c>
      <c r="AT694" s="287">
        <f t="shared" si="274"/>
        <v>2.1969082474855139</v>
      </c>
      <c r="AU694" s="287">
        <f t="shared" si="275"/>
        <v>2.719257626946002</v>
      </c>
      <c r="AV694" s="299"/>
      <c r="AW694" s="299"/>
      <c r="AX694" s="286"/>
      <c r="AY694" s="286"/>
      <c r="AZ694" s="286"/>
      <c r="BA694" s="286"/>
      <c r="BB694" s="287"/>
      <c r="BC694" s="287"/>
      <c r="BD694" s="288"/>
      <c r="BE694" s="288"/>
    </row>
    <row r="695" spans="1:57" s="336" customFormat="1" x14ac:dyDescent="0.2">
      <c r="A695" s="326" t="s">
        <v>71</v>
      </c>
      <c r="B695" s="326" t="s">
        <v>260</v>
      </c>
      <c r="C695" s="326" t="s">
        <v>341</v>
      </c>
      <c r="D695" s="391" t="s">
        <v>342</v>
      </c>
      <c r="E695" s="361">
        <v>6</v>
      </c>
      <c r="F695" s="361">
        <f t="shared" si="281"/>
        <v>5.6932</v>
      </c>
      <c r="G695" s="361">
        <v>3.31</v>
      </c>
      <c r="H695" s="361">
        <v>9</v>
      </c>
      <c r="I695" s="393">
        <f t="shared" si="280"/>
        <v>13.254851120000001</v>
      </c>
      <c r="J695" s="361">
        <v>2</v>
      </c>
      <c r="K695" s="394">
        <v>540</v>
      </c>
      <c r="L695" s="394">
        <v>5</v>
      </c>
      <c r="M695" s="394" t="s">
        <v>93</v>
      </c>
      <c r="N695" s="361">
        <v>55</v>
      </c>
      <c r="O695" s="361">
        <f t="shared" si="265"/>
        <v>57</v>
      </c>
      <c r="P695" s="361"/>
      <c r="Q695" s="361"/>
      <c r="R695" s="231">
        <v>1</v>
      </c>
      <c r="S695" s="316">
        <v>1.33</v>
      </c>
      <c r="T695" s="315" t="s">
        <v>37</v>
      </c>
      <c r="U695" s="330"/>
      <c r="V695" s="331"/>
      <c r="W695" s="331"/>
      <c r="X695" s="331"/>
      <c r="Y695" s="328">
        <v>1.34</v>
      </c>
      <c r="Z695" s="314" t="s">
        <v>37</v>
      </c>
      <c r="AA695" s="328"/>
      <c r="AB695" s="314"/>
      <c r="AC695" s="314"/>
      <c r="AD695" s="314"/>
      <c r="AE695" s="443"/>
      <c r="AF695" s="334">
        <f t="shared" si="266"/>
        <v>4.0073331852324712</v>
      </c>
      <c r="AG695" s="334">
        <f t="shared" si="267"/>
        <v>4.0430512678345503</v>
      </c>
      <c r="AH695" s="335"/>
      <c r="AI695" s="335"/>
      <c r="AK695" s="337">
        <f t="shared" si="268"/>
        <v>55</v>
      </c>
      <c r="AL695" s="337">
        <f t="shared" si="269"/>
        <v>57</v>
      </c>
      <c r="AM695" s="334">
        <f t="shared" si="270"/>
        <v>4.0073331852324712</v>
      </c>
      <c r="AN695" s="334">
        <f t="shared" si="271"/>
        <v>4.0430512678345503</v>
      </c>
      <c r="AO695" s="335"/>
      <c r="AP695" s="335"/>
      <c r="AR695" s="337">
        <f t="shared" si="272"/>
        <v>44.136662157383732</v>
      </c>
      <c r="AS695" s="337">
        <f t="shared" si="273"/>
        <v>45.666016824276426</v>
      </c>
      <c r="AT695" s="334">
        <f t="shared" si="274"/>
        <v>3.7872907785171823</v>
      </c>
      <c r="AU695" s="334">
        <f t="shared" si="275"/>
        <v>3.8213544069334322</v>
      </c>
      <c r="AV695" s="338"/>
      <c r="AW695" s="338"/>
      <c r="AX695" s="337"/>
      <c r="AY695" s="337"/>
      <c r="AZ695" s="337"/>
      <c r="BA695" s="337"/>
      <c r="BB695" s="334"/>
      <c r="BC695" s="334"/>
      <c r="BD695" s="335"/>
      <c r="BE695" s="335"/>
    </row>
    <row r="696" spans="1:57" s="336" customFormat="1" x14ac:dyDescent="0.2">
      <c r="A696" s="326" t="s">
        <v>71</v>
      </c>
      <c r="B696" s="326" t="s">
        <v>260</v>
      </c>
      <c r="C696" s="326" t="s">
        <v>341</v>
      </c>
      <c r="D696" s="391" t="s">
        <v>83</v>
      </c>
      <c r="E696" s="361">
        <v>6</v>
      </c>
      <c r="F696" s="361">
        <f t="shared" si="281"/>
        <v>2.0640000000000001</v>
      </c>
      <c r="G696" s="361">
        <v>1.2</v>
      </c>
      <c r="H696" s="361">
        <v>9</v>
      </c>
      <c r="I696" s="361">
        <v>10.3</v>
      </c>
      <c r="J696" s="502">
        <v>9</v>
      </c>
      <c r="K696" s="394" t="s">
        <v>375</v>
      </c>
      <c r="L696" s="394" t="s">
        <v>290</v>
      </c>
      <c r="M696" s="394" t="s">
        <v>93</v>
      </c>
      <c r="N696" s="361">
        <v>77</v>
      </c>
      <c r="O696" s="361">
        <f t="shared" si="265"/>
        <v>86</v>
      </c>
      <c r="P696" s="361"/>
      <c r="Q696" s="361"/>
      <c r="R696" s="231">
        <v>1</v>
      </c>
      <c r="S696" s="316">
        <v>1.33</v>
      </c>
      <c r="T696" s="315" t="s">
        <v>37</v>
      </c>
      <c r="U696" s="330"/>
      <c r="V696" s="331"/>
      <c r="W696" s="331"/>
      <c r="X696" s="331"/>
      <c r="Y696" s="328">
        <v>1.34</v>
      </c>
      <c r="Z696" s="314" t="s">
        <v>37</v>
      </c>
      <c r="AA696" s="328"/>
      <c r="AB696" s="314"/>
      <c r="AC696" s="314"/>
      <c r="AD696" s="314"/>
      <c r="AE696" s="443"/>
      <c r="AF696" s="166">
        <f t="shared" si="266"/>
        <v>4.3438054218536841</v>
      </c>
      <c r="AG696" s="166">
        <f t="shared" si="267"/>
        <v>4.4543472962535073</v>
      </c>
      <c r="AH696" s="169"/>
      <c r="AI696" s="169"/>
      <c r="AK696" s="337">
        <f t="shared" si="268"/>
        <v>77</v>
      </c>
      <c r="AL696" s="337">
        <f t="shared" si="269"/>
        <v>86</v>
      </c>
      <c r="AM696" s="166">
        <f t="shared" si="270"/>
        <v>4.3438054218536841</v>
      </c>
      <c r="AN696" s="166">
        <f t="shared" si="271"/>
        <v>4.4543472962535073</v>
      </c>
      <c r="AO696" s="169"/>
      <c r="AP696" s="169"/>
      <c r="AR696" s="337">
        <f t="shared" si="272"/>
        <v>86.419663152689537</v>
      </c>
      <c r="AS696" s="337">
        <f t="shared" si="273"/>
        <v>96.604454214971085</v>
      </c>
      <c r="AT696" s="166">
        <f t="shared" si="274"/>
        <v>4.4592152327027348</v>
      </c>
      <c r="AU696" s="166">
        <f t="shared" si="275"/>
        <v>4.5706248500412734</v>
      </c>
      <c r="AV696" s="338"/>
      <c r="AW696" s="338"/>
      <c r="AX696" s="461">
        <f>GEOMEAN(AR696)</f>
        <v>86.419663152689537</v>
      </c>
      <c r="AY696" s="461">
        <f>GEOMEAN(AS696)</f>
        <v>96.604454214971085</v>
      </c>
      <c r="AZ696" s="461">
        <f>MIN(AX696)</f>
        <v>86.419663152689537</v>
      </c>
      <c r="BA696" s="461">
        <f>MIN(AY696)</f>
        <v>96.604454214971085</v>
      </c>
      <c r="BB696" s="247">
        <f>LN(AZ696)</f>
        <v>4.4592152327027348</v>
      </c>
      <c r="BC696" s="247">
        <f>LN(BA696)</f>
        <v>4.5706248500412734</v>
      </c>
      <c r="BD696" s="169"/>
      <c r="BE696" s="169"/>
    </row>
    <row r="697" spans="1:57" s="298" customFormat="1" x14ac:dyDescent="0.2">
      <c r="A697" s="290" t="s">
        <v>71</v>
      </c>
      <c r="B697" s="290" t="s">
        <v>260</v>
      </c>
      <c r="C697" s="290" t="s">
        <v>341</v>
      </c>
      <c r="D697" s="381" t="s">
        <v>84</v>
      </c>
      <c r="E697" s="293">
        <v>7</v>
      </c>
      <c r="F697" s="292">
        <f>G697*1.724</f>
        <v>1.6037209302325584</v>
      </c>
      <c r="G697" s="448">
        <f>1.6/1.72</f>
        <v>0.93023255813953498</v>
      </c>
      <c r="H697" s="295">
        <v>2</v>
      </c>
      <c r="I697" s="300">
        <f t="shared" ref="I697:I710" si="282">(30+4.4*E697)*(H697/100)+(-34.66+29.72*E697)*(F697/100)</f>
        <v>3.9965313488372098</v>
      </c>
      <c r="J697" s="295">
        <v>8</v>
      </c>
      <c r="K697" s="383">
        <v>540</v>
      </c>
      <c r="L697" s="383" t="s">
        <v>331</v>
      </c>
      <c r="M697" s="383" t="s">
        <v>104</v>
      </c>
      <c r="N697" s="295">
        <v>120</v>
      </c>
      <c r="O697" s="295">
        <f t="shared" si="265"/>
        <v>128</v>
      </c>
      <c r="P697" s="295"/>
      <c r="Q697" s="295"/>
      <c r="R697" s="235">
        <v>1</v>
      </c>
      <c r="S697" s="295">
        <v>0.99</v>
      </c>
      <c r="T697" s="290" t="s">
        <v>37</v>
      </c>
      <c r="U697" s="296"/>
      <c r="V697" s="297"/>
      <c r="W697" s="297"/>
      <c r="X697" s="297"/>
      <c r="Y697" s="292">
        <v>1</v>
      </c>
      <c r="Z697" s="301" t="s">
        <v>37</v>
      </c>
      <c r="AA697" s="292"/>
      <c r="AB697" s="301"/>
      <c r="AC697" s="301"/>
      <c r="AD697" s="301"/>
      <c r="AE697" s="448"/>
      <c r="AF697" s="239">
        <f t="shared" si="266"/>
        <v>4.7874917427820458</v>
      </c>
      <c r="AG697" s="239">
        <f t="shared" si="267"/>
        <v>4.8520302639196169</v>
      </c>
      <c r="AH697" s="240"/>
      <c r="AI697" s="240"/>
      <c r="AK697" s="286">
        <f t="shared" si="268"/>
        <v>120</v>
      </c>
      <c r="AL697" s="286">
        <f t="shared" si="269"/>
        <v>128</v>
      </c>
      <c r="AM697" s="239">
        <f t="shared" si="270"/>
        <v>4.7874917427820458</v>
      </c>
      <c r="AN697" s="239">
        <f t="shared" si="271"/>
        <v>4.8520302639196169</v>
      </c>
      <c r="AO697" s="240"/>
      <c r="AP697" s="240"/>
      <c r="AR697" s="286">
        <f t="shared" si="272"/>
        <v>333.83544639001229</v>
      </c>
      <c r="AS697" s="286">
        <f t="shared" si="273"/>
        <v>359.79039684459389</v>
      </c>
      <c r="AT697" s="239">
        <f t="shared" si="274"/>
        <v>5.8106481960932541</v>
      </c>
      <c r="AU697" s="239">
        <f t="shared" si="275"/>
        <v>5.8855216309006355</v>
      </c>
      <c r="AV697" s="299"/>
      <c r="AW697" s="299"/>
      <c r="AX697" s="499">
        <f>GEOMEAN(AR697:AR701)</f>
        <v>288.48549401669572</v>
      </c>
      <c r="AY697" s="499">
        <f>GEOMEAN(AS697:AS701)</f>
        <v>317.05779650536385</v>
      </c>
      <c r="AZ697" s="499">
        <f>MIN(AX697:AX701)</f>
        <v>288.48549401669572</v>
      </c>
      <c r="BA697" s="499">
        <f>MIN(AY697:AY701)</f>
        <v>317.05779650536385</v>
      </c>
      <c r="BB697" s="500">
        <f>LN(AZ697)</f>
        <v>5.6646448039793427</v>
      </c>
      <c r="BC697" s="500">
        <f>LN(BA697)</f>
        <v>5.7590840806191661</v>
      </c>
      <c r="BD697" s="240"/>
      <c r="BE697" s="240"/>
    </row>
    <row r="698" spans="1:57" s="298" customFormat="1" x14ac:dyDescent="0.2">
      <c r="A698" s="290" t="s">
        <v>71</v>
      </c>
      <c r="B698" s="290" t="s">
        <v>260</v>
      </c>
      <c r="C698" s="290" t="s">
        <v>341</v>
      </c>
      <c r="D698" s="381" t="s">
        <v>84</v>
      </c>
      <c r="E698" s="293">
        <v>6</v>
      </c>
      <c r="F698" s="292">
        <f t="shared" ref="F698:F710" si="283">G698*1.724</f>
        <v>5.7132558139534888</v>
      </c>
      <c r="G698" s="448">
        <f>5.7/1.72</f>
        <v>3.3139534883720931</v>
      </c>
      <c r="H698" s="295">
        <v>9</v>
      </c>
      <c r="I698" s="300">
        <f t="shared" si="282"/>
        <v>13.283663302325582</v>
      </c>
      <c r="J698" s="295">
        <v>2</v>
      </c>
      <c r="K698" s="383">
        <v>540</v>
      </c>
      <c r="L698" s="383" t="s">
        <v>331</v>
      </c>
      <c r="M698" s="383" t="s">
        <v>104</v>
      </c>
      <c r="N698" s="295">
        <v>2300</v>
      </c>
      <c r="O698" s="295">
        <f t="shared" si="265"/>
        <v>2302</v>
      </c>
      <c r="P698" s="295"/>
      <c r="Q698" s="295"/>
      <c r="R698" s="235">
        <v>1</v>
      </c>
      <c r="S698" s="295">
        <v>0.99</v>
      </c>
      <c r="T698" s="290" t="s">
        <v>37</v>
      </c>
      <c r="U698" s="296"/>
      <c r="V698" s="297"/>
      <c r="W698" s="297"/>
      <c r="X698" s="297"/>
      <c r="Y698" s="292">
        <v>1</v>
      </c>
      <c r="Z698" s="301" t="s">
        <v>37</v>
      </c>
      <c r="AA698" s="292"/>
      <c r="AB698" s="301"/>
      <c r="AC698" s="301"/>
      <c r="AD698" s="301"/>
      <c r="AE698" s="448"/>
      <c r="AF698" s="287">
        <f t="shared" si="266"/>
        <v>7.7406644019172415</v>
      </c>
      <c r="AG698" s="287">
        <f t="shared" si="267"/>
        <v>7.7415335892818282</v>
      </c>
      <c r="AH698" s="288"/>
      <c r="AI698" s="288"/>
      <c r="AK698" s="286">
        <f t="shared" si="268"/>
        <v>2300</v>
      </c>
      <c r="AL698" s="286">
        <f t="shared" si="269"/>
        <v>2302</v>
      </c>
      <c r="AM698" s="287">
        <f t="shared" si="270"/>
        <v>7.7406644019172415</v>
      </c>
      <c r="AN698" s="287">
        <f t="shared" si="271"/>
        <v>7.7415335892818282</v>
      </c>
      <c r="AO698" s="288"/>
      <c r="AP698" s="288"/>
      <c r="AR698" s="286">
        <f t="shared" si="272"/>
        <v>1948.3220649442042</v>
      </c>
      <c r="AS698" s="286">
        <f t="shared" si="273"/>
        <v>1946.7504416099337</v>
      </c>
      <c r="AT698" s="287">
        <f t="shared" si="274"/>
        <v>7.5747238016169902</v>
      </c>
      <c r="AU698" s="287">
        <f t="shared" si="275"/>
        <v>7.5739168213017765</v>
      </c>
      <c r="AV698" s="299"/>
      <c r="AW698" s="299"/>
      <c r="AX698" s="286"/>
      <c r="AY698" s="286"/>
      <c r="AZ698" s="286"/>
      <c r="BA698" s="286"/>
      <c r="BB698" s="287"/>
      <c r="BC698" s="287"/>
      <c r="BD698" s="288"/>
      <c r="BE698" s="288"/>
    </row>
    <row r="699" spans="1:57" s="298" customFormat="1" x14ac:dyDescent="0.2">
      <c r="A699" s="290" t="s">
        <v>71</v>
      </c>
      <c r="B699" s="290" t="s">
        <v>260</v>
      </c>
      <c r="C699" s="290" t="s">
        <v>341</v>
      </c>
      <c r="D699" s="381" t="s">
        <v>84</v>
      </c>
      <c r="E699" s="293">
        <v>7.7</v>
      </c>
      <c r="F699" s="292">
        <f t="shared" si="283"/>
        <v>2.4055813953488374</v>
      </c>
      <c r="G699" s="448">
        <f>2.4/1.72</f>
        <v>1.3953488372093024</v>
      </c>
      <c r="H699" s="295">
        <v>19</v>
      </c>
      <c r="I699" s="300">
        <f t="shared" si="282"/>
        <v>16.808454176744185</v>
      </c>
      <c r="J699" s="295">
        <v>25</v>
      </c>
      <c r="K699" s="383">
        <v>42</v>
      </c>
      <c r="L699" s="383" t="s">
        <v>331</v>
      </c>
      <c r="M699" s="383" t="s">
        <v>104</v>
      </c>
      <c r="N699" s="295">
        <v>130</v>
      </c>
      <c r="O699" s="295">
        <f t="shared" si="265"/>
        <v>155</v>
      </c>
      <c r="P699" s="295"/>
      <c r="Q699" s="295"/>
      <c r="R699" s="293">
        <f>1+EXP(1.4*(E699-7))</f>
        <v>3.6644562419294178</v>
      </c>
      <c r="S699" s="295">
        <v>0.99</v>
      </c>
      <c r="T699" s="290" t="s">
        <v>37</v>
      </c>
      <c r="U699" s="296"/>
      <c r="V699" s="297"/>
      <c r="W699" s="297"/>
      <c r="X699" s="297"/>
      <c r="Y699" s="292">
        <v>1</v>
      </c>
      <c r="Z699" s="301" t="s">
        <v>37</v>
      </c>
      <c r="AA699" s="292"/>
      <c r="AB699" s="301"/>
      <c r="AC699" s="301"/>
      <c r="AD699" s="301"/>
      <c r="AE699" s="448"/>
      <c r="AF699" s="287">
        <f t="shared" si="266"/>
        <v>4.8675344504555822</v>
      </c>
      <c r="AG699" s="287">
        <f t="shared" si="267"/>
        <v>5.0434251169192468</v>
      </c>
      <c r="AH699" s="288"/>
      <c r="AI699" s="288"/>
      <c r="AK699" s="286">
        <f t="shared" si="268"/>
        <v>476.37931145082433</v>
      </c>
      <c r="AL699" s="286">
        <f t="shared" si="269"/>
        <v>501.37931145082433</v>
      </c>
      <c r="AM699" s="287">
        <f t="shared" si="270"/>
        <v>6.1662144096927154</v>
      </c>
      <c r="AN699" s="287">
        <f t="shared" si="271"/>
        <v>6.2173629233069443</v>
      </c>
      <c r="AO699" s="288"/>
      <c r="AP699" s="288"/>
      <c r="AR699" s="286">
        <f t="shared" si="272"/>
        <v>319.6671352662176</v>
      </c>
      <c r="AS699" s="286">
        <f t="shared" si="273"/>
        <v>335.08999172796717</v>
      </c>
      <c r="AT699" s="287">
        <f t="shared" si="274"/>
        <v>5.7672802521148308</v>
      </c>
      <c r="AU699" s="287">
        <f t="shared" si="275"/>
        <v>5.8143991277737275</v>
      </c>
      <c r="AV699" s="299"/>
      <c r="AW699" s="299"/>
      <c r="AX699" s="286"/>
      <c r="AY699" s="286"/>
      <c r="AZ699" s="286"/>
      <c r="BA699" s="286"/>
      <c r="BB699" s="287"/>
      <c r="BC699" s="287"/>
      <c r="BD699" s="288"/>
      <c r="BE699" s="288"/>
    </row>
    <row r="700" spans="1:57" s="298" customFormat="1" x14ac:dyDescent="0.2">
      <c r="A700" s="290" t="s">
        <v>71</v>
      </c>
      <c r="B700" s="290" t="s">
        <v>260</v>
      </c>
      <c r="C700" s="290" t="s">
        <v>341</v>
      </c>
      <c r="D700" s="381" t="s">
        <v>84</v>
      </c>
      <c r="E700" s="293">
        <v>7.5</v>
      </c>
      <c r="F700" s="292">
        <f t="shared" si="283"/>
        <v>3.2074418604651167</v>
      </c>
      <c r="G700" s="448">
        <f>3.2/1.72</f>
        <v>1.86046511627907</v>
      </c>
      <c r="H700" s="295">
        <v>60</v>
      </c>
      <c r="I700" s="300">
        <f t="shared" si="282"/>
        <v>43.837688558139533</v>
      </c>
      <c r="J700" s="295">
        <v>39</v>
      </c>
      <c r="K700" s="383">
        <v>540</v>
      </c>
      <c r="L700" s="383" t="s">
        <v>331</v>
      </c>
      <c r="M700" s="383" t="s">
        <v>104</v>
      </c>
      <c r="N700" s="295">
        <v>90</v>
      </c>
      <c r="O700" s="295">
        <f t="shared" ref="O700:O712" si="284">N700+J700</f>
        <v>129</v>
      </c>
      <c r="P700" s="295"/>
      <c r="Q700" s="295"/>
      <c r="R700" s="235">
        <v>1</v>
      </c>
      <c r="S700" s="295">
        <v>0.99</v>
      </c>
      <c r="T700" s="290" t="s">
        <v>37</v>
      </c>
      <c r="U700" s="296"/>
      <c r="V700" s="297"/>
      <c r="W700" s="297"/>
      <c r="X700" s="297"/>
      <c r="Y700" s="292">
        <v>1</v>
      </c>
      <c r="Z700" s="301" t="s">
        <v>37</v>
      </c>
      <c r="AA700" s="292"/>
      <c r="AB700" s="301"/>
      <c r="AC700" s="301"/>
      <c r="AD700" s="301"/>
      <c r="AE700" s="448"/>
      <c r="AF700" s="287">
        <f t="shared" ref="AF700:AF712" si="285">LN(N700)</f>
        <v>4.499809670330265</v>
      </c>
      <c r="AG700" s="287">
        <f t="shared" ref="AG700:AG712" si="286">LN(O700)</f>
        <v>4.8598124043616719</v>
      </c>
      <c r="AH700" s="288"/>
      <c r="AI700" s="288"/>
      <c r="AK700" s="286">
        <f t="shared" ref="AK700:AK712" si="287">N700*R700</f>
        <v>90</v>
      </c>
      <c r="AL700" s="286">
        <f t="shared" ref="AL700:AL712" si="288">AK700+J700</f>
        <v>129</v>
      </c>
      <c r="AM700" s="287">
        <f t="shared" ref="AM700:AM712" si="289">LN(AK700)</f>
        <v>4.499809670330265</v>
      </c>
      <c r="AN700" s="287">
        <f t="shared" ref="AN700:AN712" si="290">LN(AL700)</f>
        <v>4.8598124043616719</v>
      </c>
      <c r="AO700" s="288"/>
      <c r="AP700" s="288"/>
      <c r="AR700" s="286">
        <f t="shared" ref="AR700:AR712" si="291">AK700*(eCEC/$I700)^$S700</f>
        <v>23.37926924415525</v>
      </c>
      <c r="AS700" s="286">
        <f t="shared" ref="AS700:AS712" si="292">AL700*(eCEC/$I700)^$Y700</f>
        <v>33.05711016396485</v>
      </c>
      <c r="AT700" s="287">
        <f t="shared" ref="AT700:AT712" si="293">LN(AR700)</f>
        <v>3.1518496999590169</v>
      </c>
      <c r="AU700" s="287">
        <f t="shared" ref="AU700:AU712" si="294">LN(AS700)</f>
        <v>3.4982366767139466</v>
      </c>
      <c r="AV700" s="299"/>
      <c r="AW700" s="299"/>
      <c r="AX700" s="286"/>
      <c r="AY700" s="286"/>
      <c r="AZ700" s="286"/>
      <c r="BA700" s="286"/>
      <c r="BB700" s="287"/>
      <c r="BC700" s="287"/>
      <c r="BD700" s="288"/>
      <c r="BE700" s="288"/>
    </row>
    <row r="701" spans="1:57" s="336" customFormat="1" x14ac:dyDescent="0.2">
      <c r="A701" s="326" t="s">
        <v>71</v>
      </c>
      <c r="B701" s="326" t="s">
        <v>260</v>
      </c>
      <c r="C701" s="326" t="s">
        <v>341</v>
      </c>
      <c r="D701" s="391" t="s">
        <v>84</v>
      </c>
      <c r="E701" s="318">
        <v>4.4000000000000004</v>
      </c>
      <c r="F701" s="328">
        <f t="shared" si="283"/>
        <v>12.829767441860467</v>
      </c>
      <c r="G701" s="443">
        <f>12.8/1.72</f>
        <v>7.4418604651162799</v>
      </c>
      <c r="H701" s="231">
        <v>5</v>
      </c>
      <c r="I701" s="393">
        <f t="shared" si="282"/>
        <v>14.798432893023259</v>
      </c>
      <c r="J701" s="231">
        <v>4</v>
      </c>
      <c r="K701" s="394">
        <v>540</v>
      </c>
      <c r="L701" s="394" t="s">
        <v>331</v>
      </c>
      <c r="M701" s="394" t="s">
        <v>104</v>
      </c>
      <c r="N701" s="231">
        <v>540</v>
      </c>
      <c r="O701" s="231">
        <f t="shared" si="284"/>
        <v>544</v>
      </c>
      <c r="P701" s="231"/>
      <c r="Q701" s="231"/>
      <c r="R701" s="231">
        <v>1</v>
      </c>
      <c r="S701" s="231">
        <v>0.99</v>
      </c>
      <c r="T701" s="326" t="s">
        <v>37</v>
      </c>
      <c r="U701" s="330"/>
      <c r="V701" s="331"/>
      <c r="W701" s="331"/>
      <c r="X701" s="331"/>
      <c r="Y701" s="328">
        <v>1</v>
      </c>
      <c r="Z701" s="314" t="s">
        <v>37</v>
      </c>
      <c r="AA701" s="328"/>
      <c r="AB701" s="314"/>
      <c r="AC701" s="314"/>
      <c r="AD701" s="314"/>
      <c r="AE701" s="443"/>
      <c r="AF701" s="334">
        <f t="shared" si="285"/>
        <v>6.2915691395583204</v>
      </c>
      <c r="AG701" s="334">
        <f t="shared" si="286"/>
        <v>6.2989492468559423</v>
      </c>
      <c r="AH701" s="335"/>
      <c r="AI701" s="335"/>
      <c r="AK701" s="337">
        <f t="shared" si="287"/>
        <v>540</v>
      </c>
      <c r="AL701" s="337">
        <f t="shared" si="288"/>
        <v>544</v>
      </c>
      <c r="AM701" s="334">
        <f t="shared" si="289"/>
        <v>6.2915691395583204</v>
      </c>
      <c r="AN701" s="334">
        <f t="shared" si="290"/>
        <v>6.2989492468559423</v>
      </c>
      <c r="AO701" s="335"/>
      <c r="AP701" s="335"/>
      <c r="AR701" s="337">
        <f t="shared" si="291"/>
        <v>411.05296307055681</v>
      </c>
      <c r="AS701" s="337">
        <f t="shared" si="292"/>
        <v>412.95810469776842</v>
      </c>
      <c r="AT701" s="334">
        <f t="shared" si="293"/>
        <v>6.0187220701126227</v>
      </c>
      <c r="AU701" s="334">
        <f t="shared" si="294"/>
        <v>6.0233461464057436</v>
      </c>
      <c r="AV701" s="338"/>
      <c r="AW701" s="338"/>
      <c r="AX701" s="337"/>
      <c r="AY701" s="337"/>
      <c r="AZ701" s="337"/>
      <c r="BA701" s="337"/>
      <c r="BB701" s="334"/>
      <c r="BC701" s="334"/>
      <c r="BD701" s="335"/>
      <c r="BE701" s="335"/>
    </row>
    <row r="702" spans="1:57" s="298" customFormat="1" x14ac:dyDescent="0.2">
      <c r="A702" s="290" t="s">
        <v>71</v>
      </c>
      <c r="B702" s="290" t="s">
        <v>260</v>
      </c>
      <c r="C702" s="290" t="s">
        <v>341</v>
      </c>
      <c r="D702" s="381" t="s">
        <v>85</v>
      </c>
      <c r="E702" s="293">
        <v>6</v>
      </c>
      <c r="F702" s="292">
        <f t="shared" si="283"/>
        <v>5.7132558139534888</v>
      </c>
      <c r="G702" s="448">
        <f>5.7/1.72</f>
        <v>3.3139534883720931</v>
      </c>
      <c r="H702" s="295">
        <v>9</v>
      </c>
      <c r="I702" s="300">
        <f t="shared" si="282"/>
        <v>13.283663302325582</v>
      </c>
      <c r="J702" s="295">
        <v>2</v>
      </c>
      <c r="K702" s="383">
        <v>540</v>
      </c>
      <c r="L702" s="383" t="s">
        <v>376</v>
      </c>
      <c r="M702" s="383" t="s">
        <v>104</v>
      </c>
      <c r="N702" s="295">
        <v>7021</v>
      </c>
      <c r="O702" s="295">
        <f t="shared" si="284"/>
        <v>7023</v>
      </c>
      <c r="P702" s="295"/>
      <c r="Q702" s="295"/>
      <c r="R702" s="235">
        <v>1</v>
      </c>
      <c r="S702" s="295">
        <v>0.99</v>
      </c>
      <c r="T702" s="290" t="s">
        <v>37</v>
      </c>
      <c r="U702" s="296"/>
      <c r="V702" s="297"/>
      <c r="W702" s="297"/>
      <c r="X702" s="297"/>
      <c r="Y702" s="292">
        <v>1</v>
      </c>
      <c r="Z702" s="301" t="s">
        <v>37</v>
      </c>
      <c r="AA702" s="292"/>
      <c r="AB702" s="301"/>
      <c r="AC702" s="301"/>
      <c r="AD702" s="301"/>
      <c r="AE702" s="448"/>
      <c r="AF702" s="239">
        <f t="shared" si="285"/>
        <v>8.8566609370172493</v>
      </c>
      <c r="AG702" s="239">
        <f t="shared" si="286"/>
        <v>8.8569457561590212</v>
      </c>
      <c r="AH702" s="240"/>
      <c r="AI702" s="240"/>
      <c r="AK702" s="286">
        <f t="shared" si="287"/>
        <v>7021</v>
      </c>
      <c r="AL702" s="286">
        <f t="shared" si="288"/>
        <v>7023</v>
      </c>
      <c r="AM702" s="239">
        <f t="shared" si="289"/>
        <v>8.8566609370172493</v>
      </c>
      <c r="AN702" s="239">
        <f t="shared" si="290"/>
        <v>8.8569457561590212</v>
      </c>
      <c r="AO702" s="240"/>
      <c r="AP702" s="240"/>
      <c r="AR702" s="286">
        <f t="shared" si="291"/>
        <v>5947.4648773796771</v>
      </c>
      <c r="AS702" s="286">
        <f t="shared" si="292"/>
        <v>5939.1956348508102</v>
      </c>
      <c r="AT702" s="239">
        <f t="shared" si="293"/>
        <v>8.6907203367169981</v>
      </c>
      <c r="AU702" s="239">
        <f t="shared" si="294"/>
        <v>8.6893289881789695</v>
      </c>
      <c r="AV702" s="299"/>
      <c r="AW702" s="299"/>
      <c r="AX702" s="499">
        <f>GEOMEAN(AR702:AR704)</f>
        <v>667.94921809775906</v>
      </c>
      <c r="AY702" s="499">
        <f>GEOMEAN(AS702:AS704)</f>
        <v>692.75634549106746</v>
      </c>
      <c r="AZ702" s="499">
        <f>MIN(AX702:AX704)</f>
        <v>667.94921809775906</v>
      </c>
      <c r="BA702" s="499">
        <f>MIN(AY702:AY704)</f>
        <v>692.75634549106746</v>
      </c>
      <c r="BB702" s="500">
        <f>LN(AZ702)</f>
        <v>6.5042121498351797</v>
      </c>
      <c r="BC702" s="500">
        <f>LN(BA702)</f>
        <v>6.5406783435583256</v>
      </c>
      <c r="BD702" s="240"/>
      <c r="BE702" s="240"/>
    </row>
    <row r="703" spans="1:57" s="298" customFormat="1" x14ac:dyDescent="0.2">
      <c r="A703" s="290" t="s">
        <v>71</v>
      </c>
      <c r="B703" s="290" t="s">
        <v>260</v>
      </c>
      <c r="C703" s="290" t="s">
        <v>341</v>
      </c>
      <c r="D703" s="381" t="s">
        <v>85</v>
      </c>
      <c r="E703" s="293">
        <v>7.7</v>
      </c>
      <c r="F703" s="292">
        <f t="shared" si="283"/>
        <v>2.4055813953488374</v>
      </c>
      <c r="G703" s="448">
        <f>2.4/1.72</f>
        <v>1.3953488372093024</v>
      </c>
      <c r="H703" s="295">
        <v>19</v>
      </c>
      <c r="I703" s="300">
        <f t="shared" si="282"/>
        <v>16.808454176744185</v>
      </c>
      <c r="J703" s="295">
        <v>25</v>
      </c>
      <c r="K703" s="383">
        <v>540</v>
      </c>
      <c r="L703" s="383" t="s">
        <v>376</v>
      </c>
      <c r="M703" s="383" t="s">
        <v>104</v>
      </c>
      <c r="N703" s="295">
        <v>251</v>
      </c>
      <c r="O703" s="295">
        <f t="shared" si="284"/>
        <v>276</v>
      </c>
      <c r="P703" s="295"/>
      <c r="Q703" s="295"/>
      <c r="R703" s="235">
        <v>1</v>
      </c>
      <c r="S703" s="295">
        <v>0.99</v>
      </c>
      <c r="T703" s="290" t="s">
        <v>37</v>
      </c>
      <c r="U703" s="296"/>
      <c r="V703" s="297"/>
      <c r="W703" s="297"/>
      <c r="X703" s="297"/>
      <c r="Y703" s="292">
        <v>1</v>
      </c>
      <c r="Z703" s="301" t="s">
        <v>37</v>
      </c>
      <c r="AA703" s="292"/>
      <c r="AB703" s="301"/>
      <c r="AC703" s="301"/>
      <c r="AD703" s="301"/>
      <c r="AE703" s="448"/>
      <c r="AF703" s="287">
        <f t="shared" si="285"/>
        <v>5.5254529391317835</v>
      </c>
      <c r="AG703" s="287">
        <f t="shared" si="286"/>
        <v>5.6204008657171496</v>
      </c>
      <c r="AH703" s="288"/>
      <c r="AI703" s="288"/>
      <c r="AK703" s="286">
        <f t="shared" si="287"/>
        <v>251</v>
      </c>
      <c r="AL703" s="286">
        <f t="shared" si="288"/>
        <v>276</v>
      </c>
      <c r="AM703" s="287">
        <f t="shared" si="289"/>
        <v>5.5254529391317835</v>
      </c>
      <c r="AN703" s="287">
        <f t="shared" si="290"/>
        <v>5.6204008657171496</v>
      </c>
      <c r="AO703" s="288"/>
      <c r="AP703" s="288"/>
      <c r="AR703" s="286">
        <f t="shared" si="291"/>
        <v>168.42975549769076</v>
      </c>
      <c r="AS703" s="286">
        <f t="shared" si="292"/>
        <v>184.46081759795533</v>
      </c>
      <c r="AT703" s="287">
        <f t="shared" si="293"/>
        <v>5.1265187815538988</v>
      </c>
      <c r="AU703" s="287">
        <f t="shared" si="294"/>
        <v>5.2174370701839328</v>
      </c>
      <c r="AV703" s="299"/>
      <c r="AW703" s="299"/>
      <c r="AX703" s="286"/>
      <c r="AY703" s="286"/>
      <c r="AZ703" s="286"/>
      <c r="BA703" s="286"/>
      <c r="BB703" s="287"/>
      <c r="BC703" s="287"/>
      <c r="BD703" s="288"/>
      <c r="BE703" s="288"/>
    </row>
    <row r="704" spans="1:57" s="336" customFormat="1" x14ac:dyDescent="0.2">
      <c r="A704" s="326" t="s">
        <v>71</v>
      </c>
      <c r="B704" s="326" t="s">
        <v>260</v>
      </c>
      <c r="C704" s="326" t="s">
        <v>341</v>
      </c>
      <c r="D704" s="391" t="s">
        <v>85</v>
      </c>
      <c r="E704" s="318">
        <v>7.5</v>
      </c>
      <c r="F704" s="328">
        <f t="shared" si="283"/>
        <v>3.2074418604651167</v>
      </c>
      <c r="G704" s="443">
        <f>3.2/1.72</f>
        <v>1.86046511627907</v>
      </c>
      <c r="H704" s="231">
        <v>60</v>
      </c>
      <c r="I704" s="393">
        <f t="shared" si="282"/>
        <v>43.837688558139533</v>
      </c>
      <c r="J704" s="231">
        <v>39</v>
      </c>
      <c r="K704" s="394">
        <v>42</v>
      </c>
      <c r="L704" s="394" t="s">
        <v>376</v>
      </c>
      <c r="M704" s="394" t="s">
        <v>104</v>
      </c>
      <c r="N704" s="231">
        <v>380</v>
      </c>
      <c r="O704" s="231">
        <f t="shared" si="284"/>
        <v>419</v>
      </c>
      <c r="P704" s="231"/>
      <c r="Q704" s="231"/>
      <c r="R704" s="318">
        <f t="shared" ref="R704:R707" si="295">1+EXP(1.4*(E704-7))</f>
        <v>3.0137527074704766</v>
      </c>
      <c r="S704" s="231">
        <v>0.99</v>
      </c>
      <c r="T704" s="326" t="s">
        <v>37</v>
      </c>
      <c r="U704" s="330"/>
      <c r="V704" s="331"/>
      <c r="W704" s="331"/>
      <c r="X704" s="331"/>
      <c r="Y704" s="328">
        <v>1</v>
      </c>
      <c r="Z704" s="314" t="s">
        <v>37</v>
      </c>
      <c r="AA704" s="328"/>
      <c r="AB704" s="314"/>
      <c r="AC704" s="314"/>
      <c r="AD704" s="314"/>
      <c r="AE704" s="443"/>
      <c r="AF704" s="334">
        <f t="shared" si="285"/>
        <v>5.9401712527204316</v>
      </c>
      <c r="AG704" s="334">
        <f t="shared" si="286"/>
        <v>6.0378709199221374</v>
      </c>
      <c r="AH704" s="335"/>
      <c r="AI704" s="335"/>
      <c r="AK704" s="337">
        <f t="shared" si="287"/>
        <v>1145.2260288387811</v>
      </c>
      <c r="AL704" s="337">
        <f t="shared" si="288"/>
        <v>1184.2260288387811</v>
      </c>
      <c r="AM704" s="334">
        <f t="shared" si="289"/>
        <v>7.043357301605889</v>
      </c>
      <c r="AN704" s="334">
        <f t="shared" si="290"/>
        <v>7.0768446999597998</v>
      </c>
      <c r="AO704" s="335"/>
      <c r="AP704" s="335"/>
      <c r="AR704" s="337">
        <f t="shared" si="291"/>
        <v>297.4949741515174</v>
      </c>
      <c r="AS704" s="337">
        <f t="shared" si="292"/>
        <v>303.4658162353349</v>
      </c>
      <c r="AT704" s="334">
        <f t="shared" si="293"/>
        <v>5.6953973312346413</v>
      </c>
      <c r="AU704" s="334">
        <f t="shared" si="294"/>
        <v>5.7152689723120735</v>
      </c>
      <c r="AV704" s="338"/>
      <c r="AW704" s="338"/>
      <c r="AX704" s="337"/>
      <c r="AY704" s="337"/>
      <c r="AZ704" s="337"/>
      <c r="BA704" s="337"/>
      <c r="BB704" s="334"/>
      <c r="BC704" s="334"/>
      <c r="BD704" s="335"/>
      <c r="BE704" s="335"/>
    </row>
    <row r="705" spans="1:62" s="298" customFormat="1" x14ac:dyDescent="0.2">
      <c r="A705" s="290" t="s">
        <v>71</v>
      </c>
      <c r="B705" s="290" t="s">
        <v>260</v>
      </c>
      <c r="C705" s="290" t="s">
        <v>341</v>
      </c>
      <c r="D705" s="381" t="s">
        <v>176</v>
      </c>
      <c r="E705" s="293">
        <v>7</v>
      </c>
      <c r="F705" s="292">
        <f t="shared" si="283"/>
        <v>1.6037209302325584</v>
      </c>
      <c r="G705" s="448">
        <f>1.6/1.72</f>
        <v>0.93023255813953498</v>
      </c>
      <c r="H705" s="295">
        <v>2</v>
      </c>
      <c r="I705" s="300">
        <f t="shared" si="282"/>
        <v>3.9965313488372098</v>
      </c>
      <c r="J705" s="295">
        <v>8</v>
      </c>
      <c r="K705" s="383">
        <v>42</v>
      </c>
      <c r="L705" s="383" t="s">
        <v>377</v>
      </c>
      <c r="M705" s="383" t="s">
        <v>104</v>
      </c>
      <c r="N705" s="295">
        <v>372</v>
      </c>
      <c r="O705" s="295">
        <f t="shared" si="284"/>
        <v>380</v>
      </c>
      <c r="P705" s="295"/>
      <c r="Q705" s="295"/>
      <c r="R705" s="293">
        <f t="shared" si="295"/>
        <v>2</v>
      </c>
      <c r="S705" s="295">
        <v>0.99</v>
      </c>
      <c r="T705" s="290" t="s">
        <v>37</v>
      </c>
      <c r="U705" s="296"/>
      <c r="V705" s="297"/>
      <c r="W705" s="297"/>
      <c r="X705" s="297"/>
      <c r="Y705" s="292">
        <v>1</v>
      </c>
      <c r="Z705" s="301" t="s">
        <v>37</v>
      </c>
      <c r="AA705" s="292"/>
      <c r="AB705" s="301"/>
      <c r="AC705" s="301"/>
      <c r="AD705" s="301"/>
      <c r="AE705" s="448"/>
      <c r="AF705" s="239">
        <f t="shared" si="285"/>
        <v>5.9188938542731462</v>
      </c>
      <c r="AG705" s="239">
        <f t="shared" si="286"/>
        <v>5.9401712527204316</v>
      </c>
      <c r="AH705" s="240"/>
      <c r="AI705" s="240"/>
      <c r="AK705" s="286">
        <f t="shared" si="287"/>
        <v>744</v>
      </c>
      <c r="AL705" s="286">
        <f t="shared" si="288"/>
        <v>752</v>
      </c>
      <c r="AM705" s="239">
        <f t="shared" si="289"/>
        <v>6.6120410348330916</v>
      </c>
      <c r="AN705" s="239">
        <f t="shared" si="290"/>
        <v>6.62273632394984</v>
      </c>
      <c r="AO705" s="240"/>
      <c r="AP705" s="240"/>
      <c r="AR705" s="286">
        <f t="shared" si="291"/>
        <v>2069.7797676180762</v>
      </c>
      <c r="AS705" s="286">
        <f t="shared" si="292"/>
        <v>2113.768581461989</v>
      </c>
      <c r="AT705" s="239">
        <f t="shared" si="293"/>
        <v>7.6351974881443008</v>
      </c>
      <c r="AU705" s="239">
        <f t="shared" si="294"/>
        <v>7.6562276909308586</v>
      </c>
      <c r="AV705" s="299"/>
      <c r="AW705" s="299"/>
      <c r="AX705" s="499">
        <f>GEOMEAN(AR705:AR709)</f>
        <v>1224.7595085631178</v>
      </c>
      <c r="AY705" s="499">
        <f>GEOMEAN(AS705:AS709)</f>
        <v>1259.3417890063315</v>
      </c>
      <c r="AZ705" s="499">
        <f>MIN(AX705:AX709)</f>
        <v>1224.7595085631178</v>
      </c>
      <c r="BA705" s="499">
        <f>MIN(AY705:AY709)</f>
        <v>1259.3417890063315</v>
      </c>
      <c r="BB705" s="500">
        <f>LN(AZ705)</f>
        <v>7.1104997841653121</v>
      </c>
      <c r="BC705" s="500">
        <f>LN(BA705)</f>
        <v>7.1383444737749846</v>
      </c>
      <c r="BD705" s="240"/>
      <c r="BE705" s="240"/>
    </row>
    <row r="706" spans="1:62" s="298" customFormat="1" x14ac:dyDescent="0.2">
      <c r="A706" s="290" t="s">
        <v>71</v>
      </c>
      <c r="B706" s="290" t="s">
        <v>260</v>
      </c>
      <c r="C706" s="290" t="s">
        <v>341</v>
      </c>
      <c r="D706" s="381" t="s">
        <v>176</v>
      </c>
      <c r="E706" s="293">
        <v>6</v>
      </c>
      <c r="F706" s="292">
        <f t="shared" si="283"/>
        <v>5.7132558139534888</v>
      </c>
      <c r="G706" s="448">
        <f>5.7/1.72</f>
        <v>3.3139534883720931</v>
      </c>
      <c r="H706" s="295">
        <v>9</v>
      </c>
      <c r="I706" s="300">
        <f t="shared" si="282"/>
        <v>13.283663302325582</v>
      </c>
      <c r="J706" s="295">
        <v>2</v>
      </c>
      <c r="K706" s="383">
        <v>42</v>
      </c>
      <c r="L706" s="383" t="s">
        <v>377</v>
      </c>
      <c r="M706" s="383" t="s">
        <v>104</v>
      </c>
      <c r="N706" s="295">
        <v>610</v>
      </c>
      <c r="O706" s="295">
        <f t="shared" si="284"/>
        <v>612</v>
      </c>
      <c r="P706" s="295"/>
      <c r="Q706" s="295"/>
      <c r="R706" s="293">
        <f t="shared" si="295"/>
        <v>1.2465969639416066</v>
      </c>
      <c r="S706" s="295">
        <v>0.99</v>
      </c>
      <c r="T706" s="290" t="s">
        <v>37</v>
      </c>
      <c r="U706" s="296"/>
      <c r="V706" s="297"/>
      <c r="W706" s="297"/>
      <c r="X706" s="297"/>
      <c r="Y706" s="292">
        <v>1</v>
      </c>
      <c r="Z706" s="301" t="s">
        <v>37</v>
      </c>
      <c r="AA706" s="292"/>
      <c r="AB706" s="301"/>
      <c r="AC706" s="301"/>
      <c r="AD706" s="301"/>
      <c r="AE706" s="448"/>
      <c r="AF706" s="287">
        <f t="shared" si="285"/>
        <v>6.4134589571673573</v>
      </c>
      <c r="AG706" s="287">
        <f t="shared" si="286"/>
        <v>6.4167322825123261</v>
      </c>
      <c r="AH706" s="288"/>
      <c r="AI706" s="288"/>
      <c r="AK706" s="286">
        <f t="shared" si="287"/>
        <v>760.42414800437996</v>
      </c>
      <c r="AL706" s="286">
        <f t="shared" si="288"/>
        <v>762.42414800437996</v>
      </c>
      <c r="AM706" s="287">
        <f t="shared" si="289"/>
        <v>6.6338763670858079</v>
      </c>
      <c r="AN706" s="287">
        <f t="shared" si="290"/>
        <v>6.6365030255062569</v>
      </c>
      <c r="AO706" s="288"/>
      <c r="AP706" s="288"/>
      <c r="AR706" s="286">
        <f t="shared" si="291"/>
        <v>644.15267229275241</v>
      </c>
      <c r="AS706" s="286">
        <f t="shared" si="292"/>
        <v>644.76522450981929</v>
      </c>
      <c r="AT706" s="287">
        <f t="shared" si="293"/>
        <v>6.4679357667855575</v>
      </c>
      <c r="AU706" s="287">
        <f t="shared" si="294"/>
        <v>6.4688862575262061</v>
      </c>
      <c r="AV706" s="299"/>
      <c r="AW706" s="299"/>
      <c r="AX706" s="286"/>
      <c r="AY706" s="286"/>
      <c r="AZ706" s="286"/>
      <c r="BA706" s="286"/>
      <c r="BB706" s="287"/>
      <c r="BC706" s="287"/>
      <c r="BD706" s="288"/>
      <c r="BE706" s="288"/>
    </row>
    <row r="707" spans="1:62" s="298" customFormat="1" x14ac:dyDescent="0.2">
      <c r="A707" s="290" t="s">
        <v>71</v>
      </c>
      <c r="B707" s="290" t="s">
        <v>260</v>
      </c>
      <c r="C707" s="290" t="s">
        <v>341</v>
      </c>
      <c r="D707" s="381" t="s">
        <v>176</v>
      </c>
      <c r="E707" s="293">
        <v>7.7</v>
      </c>
      <c r="F707" s="292">
        <f t="shared" si="283"/>
        <v>2.4055813953488374</v>
      </c>
      <c r="G707" s="448">
        <f>2.4/1.72</f>
        <v>1.3953488372093024</v>
      </c>
      <c r="H707" s="295">
        <v>19</v>
      </c>
      <c r="I707" s="300">
        <f t="shared" si="282"/>
        <v>16.808454176744185</v>
      </c>
      <c r="J707" s="295">
        <v>25</v>
      </c>
      <c r="K707" s="383">
        <v>42</v>
      </c>
      <c r="L707" s="383" t="s">
        <v>377</v>
      </c>
      <c r="M707" s="383" t="s">
        <v>104</v>
      </c>
      <c r="N707" s="295">
        <v>2207</v>
      </c>
      <c r="O707" s="295">
        <f t="shared" si="284"/>
        <v>2232</v>
      </c>
      <c r="P707" s="295"/>
      <c r="Q707" s="295"/>
      <c r="R707" s="293">
        <f t="shared" si="295"/>
        <v>3.6644562419294178</v>
      </c>
      <c r="S707" s="295">
        <v>0.99</v>
      </c>
      <c r="T707" s="290" t="s">
        <v>37</v>
      </c>
      <c r="U707" s="296"/>
      <c r="V707" s="297"/>
      <c r="W707" s="297"/>
      <c r="X707" s="297"/>
      <c r="Y707" s="292">
        <v>1</v>
      </c>
      <c r="Z707" s="301" t="s">
        <v>37</v>
      </c>
      <c r="AA707" s="292"/>
      <c r="AB707" s="301"/>
      <c r="AC707" s="301"/>
      <c r="AD707" s="301"/>
      <c r="AE707" s="448"/>
      <c r="AF707" s="287">
        <f t="shared" si="285"/>
        <v>7.6993894062567367</v>
      </c>
      <c r="AG707" s="287">
        <f t="shared" si="286"/>
        <v>7.7106533235012016</v>
      </c>
      <c r="AH707" s="288"/>
      <c r="AI707" s="288"/>
      <c r="AK707" s="286">
        <f t="shared" si="287"/>
        <v>8087.4549259382247</v>
      </c>
      <c r="AL707" s="286">
        <f t="shared" si="288"/>
        <v>8112.4549259382247</v>
      </c>
      <c r="AM707" s="287">
        <f t="shared" si="289"/>
        <v>8.998069365493869</v>
      </c>
      <c r="AN707" s="287">
        <f t="shared" si="290"/>
        <v>9.0011558048721927</v>
      </c>
      <c r="AO707" s="288"/>
      <c r="AP707" s="288"/>
      <c r="AR707" s="286">
        <f t="shared" si="291"/>
        <v>5426.9643656349399</v>
      </c>
      <c r="AS707" s="286">
        <f t="shared" si="292"/>
        <v>5421.8480737866848</v>
      </c>
      <c r="AT707" s="287">
        <f t="shared" si="293"/>
        <v>8.5991352079159853</v>
      </c>
      <c r="AU707" s="287">
        <f t="shared" si="294"/>
        <v>8.598192009338975</v>
      </c>
      <c r="AV707" s="299"/>
      <c r="AW707" s="299"/>
      <c r="AX707" s="286"/>
      <c r="AY707" s="286"/>
      <c r="AZ707" s="286"/>
      <c r="BA707" s="286"/>
      <c r="BB707" s="287"/>
      <c r="BC707" s="287"/>
      <c r="BD707" s="288"/>
      <c r="BE707" s="288"/>
    </row>
    <row r="708" spans="1:62" s="298" customFormat="1" x14ac:dyDescent="0.2">
      <c r="A708" s="290" t="s">
        <v>71</v>
      </c>
      <c r="B708" s="290" t="s">
        <v>260</v>
      </c>
      <c r="C708" s="290" t="s">
        <v>341</v>
      </c>
      <c r="D708" s="381" t="s">
        <v>176</v>
      </c>
      <c r="E708" s="293">
        <v>7.5</v>
      </c>
      <c r="F708" s="292">
        <f t="shared" si="283"/>
        <v>3.2074418604651167</v>
      </c>
      <c r="G708" s="448">
        <f>3.2/1.72</f>
        <v>1.86046511627907</v>
      </c>
      <c r="H708" s="295">
        <v>60</v>
      </c>
      <c r="I708" s="300">
        <f t="shared" si="282"/>
        <v>43.837688558139533</v>
      </c>
      <c r="J708" s="295">
        <v>39</v>
      </c>
      <c r="K708" s="383">
        <v>540</v>
      </c>
      <c r="L708" s="383" t="s">
        <v>377</v>
      </c>
      <c r="M708" s="383" t="s">
        <v>104</v>
      </c>
      <c r="N708" s="295">
        <v>272</v>
      </c>
      <c r="O708" s="295">
        <f t="shared" si="284"/>
        <v>311</v>
      </c>
      <c r="P708" s="295"/>
      <c r="Q708" s="295"/>
      <c r="R708" s="235">
        <v>1</v>
      </c>
      <c r="S708" s="295">
        <v>0.99</v>
      </c>
      <c r="T708" s="290" t="s">
        <v>37</v>
      </c>
      <c r="U708" s="296"/>
      <c r="V708" s="297"/>
      <c r="W708" s="297"/>
      <c r="X708" s="297"/>
      <c r="Y708" s="292">
        <v>1</v>
      </c>
      <c r="Z708" s="301" t="s">
        <v>37</v>
      </c>
      <c r="AA708" s="292"/>
      <c r="AB708" s="301"/>
      <c r="AC708" s="301"/>
      <c r="AD708" s="301"/>
      <c r="AE708" s="448"/>
      <c r="AF708" s="287">
        <f t="shared" si="285"/>
        <v>5.6058020662959978</v>
      </c>
      <c r="AG708" s="287">
        <f t="shared" si="286"/>
        <v>5.7397929121792339</v>
      </c>
      <c r="AH708" s="288"/>
      <c r="AI708" s="288"/>
      <c r="AK708" s="286">
        <f t="shared" si="287"/>
        <v>272</v>
      </c>
      <c r="AL708" s="286">
        <f t="shared" si="288"/>
        <v>311</v>
      </c>
      <c r="AM708" s="287">
        <f t="shared" si="289"/>
        <v>5.6058020662959978</v>
      </c>
      <c r="AN708" s="287">
        <f t="shared" si="290"/>
        <v>5.7397929121792339</v>
      </c>
      <c r="AO708" s="288"/>
      <c r="AP708" s="288"/>
      <c r="AR708" s="286">
        <f t="shared" si="291"/>
        <v>70.657347049002524</v>
      </c>
      <c r="AS708" s="286">
        <f t="shared" si="292"/>
        <v>79.69582372862844</v>
      </c>
      <c r="AT708" s="287">
        <f t="shared" si="293"/>
        <v>4.2578420959247492</v>
      </c>
      <c r="AU708" s="287">
        <f t="shared" si="294"/>
        <v>4.3782171845315085</v>
      </c>
      <c r="AV708" s="299"/>
      <c r="AW708" s="299"/>
      <c r="AX708" s="286"/>
      <c r="AY708" s="286"/>
      <c r="AZ708" s="286"/>
      <c r="BA708" s="286"/>
      <c r="BB708" s="287"/>
      <c r="BC708" s="287"/>
      <c r="BD708" s="288"/>
      <c r="BE708" s="288"/>
    </row>
    <row r="709" spans="1:62" s="336" customFormat="1" x14ac:dyDescent="0.2">
      <c r="A709" s="326" t="s">
        <v>71</v>
      </c>
      <c r="B709" s="326" t="s">
        <v>260</v>
      </c>
      <c r="C709" s="326" t="s">
        <v>341</v>
      </c>
      <c r="D709" s="391" t="s">
        <v>176</v>
      </c>
      <c r="E709" s="328">
        <v>4.4000000000000004</v>
      </c>
      <c r="F709" s="328">
        <f t="shared" si="283"/>
        <v>12.826560000000001</v>
      </c>
      <c r="G709" s="443">
        <v>7.44</v>
      </c>
      <c r="H709" s="328">
        <v>5</v>
      </c>
      <c r="I709" s="393">
        <f t="shared" si="282"/>
        <v>14.795350284800001</v>
      </c>
      <c r="J709" s="328">
        <v>4</v>
      </c>
      <c r="K709" s="394">
        <v>540</v>
      </c>
      <c r="L709" s="394" t="s">
        <v>377</v>
      </c>
      <c r="M709" s="533" t="s">
        <v>104</v>
      </c>
      <c r="N709" s="231">
        <v>7080</v>
      </c>
      <c r="O709" s="231">
        <f t="shared" si="284"/>
        <v>7084</v>
      </c>
      <c r="P709" s="231"/>
      <c r="Q709" s="231"/>
      <c r="R709" s="231">
        <v>1</v>
      </c>
      <c r="S709" s="231">
        <v>0.99</v>
      </c>
      <c r="T709" s="326" t="s">
        <v>37</v>
      </c>
      <c r="U709" s="330"/>
      <c r="V709" s="331"/>
      <c r="W709" s="331"/>
      <c r="X709" s="331"/>
      <c r="Y709" s="328">
        <v>1</v>
      </c>
      <c r="Z709" s="314" t="s">
        <v>37</v>
      </c>
      <c r="AA709" s="328"/>
      <c r="AB709" s="314"/>
      <c r="AC709" s="314"/>
      <c r="AD709" s="314"/>
      <c r="AE709" s="443"/>
      <c r="AF709" s="334">
        <f t="shared" si="285"/>
        <v>8.8650291866877655</v>
      </c>
      <c r="AG709" s="334">
        <f t="shared" si="286"/>
        <v>8.8655939989027246</v>
      </c>
      <c r="AH709" s="335"/>
      <c r="AI709" s="335"/>
      <c r="AK709" s="337">
        <f t="shared" si="287"/>
        <v>7080</v>
      </c>
      <c r="AL709" s="337">
        <f t="shared" si="288"/>
        <v>7084</v>
      </c>
      <c r="AM709" s="334">
        <f t="shared" si="289"/>
        <v>8.8650291866877655</v>
      </c>
      <c r="AN709" s="334">
        <f t="shared" si="290"/>
        <v>8.8655939989027246</v>
      </c>
      <c r="AO709" s="335"/>
      <c r="AP709" s="335"/>
      <c r="AR709" s="337">
        <f t="shared" si="291"/>
        <v>5390.4727137720301</v>
      </c>
      <c r="AS709" s="337">
        <f t="shared" si="292"/>
        <v>5378.685145545759</v>
      </c>
      <c r="AT709" s="334">
        <f t="shared" si="293"/>
        <v>8.5923883620559689</v>
      </c>
      <c r="AU709" s="334">
        <f t="shared" si="294"/>
        <v>8.590199226547373</v>
      </c>
      <c r="AV709" s="338"/>
      <c r="AW709" s="338"/>
      <c r="AX709" s="337"/>
      <c r="AY709" s="337"/>
      <c r="AZ709" s="337"/>
      <c r="BA709" s="337"/>
      <c r="BB709" s="334"/>
      <c r="BC709" s="334"/>
      <c r="BD709" s="335"/>
      <c r="BE709" s="335"/>
    </row>
    <row r="710" spans="1:62" s="460" customFormat="1" x14ac:dyDescent="0.2">
      <c r="A710" s="459" t="s">
        <v>71</v>
      </c>
      <c r="B710" s="459" t="s">
        <v>260</v>
      </c>
      <c r="C710" s="459" t="s">
        <v>341</v>
      </c>
      <c r="D710" s="431" t="s">
        <v>86</v>
      </c>
      <c r="E710" s="506">
        <v>7.02</v>
      </c>
      <c r="F710" s="506">
        <f t="shared" si="283"/>
        <v>1.9308800000000002</v>
      </c>
      <c r="G710" s="460">
        <v>1.1200000000000001</v>
      </c>
      <c r="H710" s="248">
        <v>15.2</v>
      </c>
      <c r="I710" s="433">
        <f t="shared" si="282"/>
        <v>12.614212894720001</v>
      </c>
      <c r="J710" s="248">
        <v>19.399999999999999</v>
      </c>
      <c r="K710" s="434">
        <v>0</v>
      </c>
      <c r="L710" s="434">
        <v>1</v>
      </c>
      <c r="M710" s="434" t="s">
        <v>104</v>
      </c>
      <c r="N710" s="248">
        <v>7.9</v>
      </c>
      <c r="O710" s="248">
        <f t="shared" si="284"/>
        <v>27.299999999999997</v>
      </c>
      <c r="P710" s="248"/>
      <c r="Q710" s="248"/>
      <c r="R710" s="505">
        <f>1+EXP(1.4*(E710-7))</f>
        <v>2.0283956844214241</v>
      </c>
      <c r="S710" s="248">
        <v>1.21</v>
      </c>
      <c r="T710" s="459" t="s">
        <v>37</v>
      </c>
      <c r="U710" s="508"/>
      <c r="V710" s="509"/>
      <c r="W710" s="509"/>
      <c r="X710" s="509"/>
      <c r="Y710" s="506">
        <v>1.22</v>
      </c>
      <c r="Z710" s="507" t="s">
        <v>37</v>
      </c>
      <c r="AA710" s="506"/>
      <c r="AB710" s="507"/>
      <c r="AC710" s="507"/>
      <c r="AD710" s="507"/>
      <c r="AE710" s="510"/>
      <c r="AF710" s="247">
        <f t="shared" si="285"/>
        <v>2.066862759472976</v>
      </c>
      <c r="AG710" s="247">
        <f t="shared" si="286"/>
        <v>3.3068867021909139</v>
      </c>
      <c r="AH710" s="252"/>
      <c r="AI710" s="252"/>
      <c r="AK710" s="511">
        <f t="shared" si="287"/>
        <v>16.024325906929253</v>
      </c>
      <c r="AL710" s="511">
        <f t="shared" si="288"/>
        <v>35.424325906929255</v>
      </c>
      <c r="AM710" s="247">
        <f t="shared" si="289"/>
        <v>2.7741079368317547</v>
      </c>
      <c r="AN710" s="247">
        <f t="shared" si="290"/>
        <v>3.5673987566569307</v>
      </c>
      <c r="AO710" s="252"/>
      <c r="AP710" s="252"/>
      <c r="AR710" s="511">
        <f t="shared" si="291"/>
        <v>13.927449554380154</v>
      </c>
      <c r="AS710" s="511">
        <f t="shared" si="292"/>
        <v>30.753181144320354</v>
      </c>
      <c r="AT710" s="247">
        <f t="shared" si="293"/>
        <v>2.6338616808908477</v>
      </c>
      <c r="AU710" s="247">
        <f t="shared" si="294"/>
        <v>3.4259934407495698</v>
      </c>
      <c r="AV710" s="512"/>
      <c r="AW710" s="512"/>
      <c r="AX710" s="461">
        <f t="shared" ref="AX710:AY712" si="296">GEOMEAN(AR710)</f>
        <v>13.927449554380154</v>
      </c>
      <c r="AY710" s="461">
        <f t="shared" si="296"/>
        <v>30.753181144320354</v>
      </c>
      <c r="AZ710" s="461">
        <f t="shared" ref="AZ710:BA712" si="297">MIN(AX710)</f>
        <v>13.927449554380154</v>
      </c>
      <c r="BA710" s="461">
        <f t="shared" si="297"/>
        <v>30.753181144320354</v>
      </c>
      <c r="BB710" s="247">
        <f t="shared" ref="BB710:BC712" si="298">LN(AZ710)</f>
        <v>2.6338616808908477</v>
      </c>
      <c r="BC710" s="247">
        <f t="shared" si="298"/>
        <v>3.4259934407495698</v>
      </c>
      <c r="BD710" s="252"/>
      <c r="BE710" s="252"/>
    </row>
    <row r="711" spans="1:62" s="336" customFormat="1" x14ac:dyDescent="0.2">
      <c r="A711" s="326" t="s">
        <v>71</v>
      </c>
      <c r="B711" s="326" t="s">
        <v>260</v>
      </c>
      <c r="C711" s="326" t="s">
        <v>341</v>
      </c>
      <c r="D711" s="391" t="s">
        <v>87</v>
      </c>
      <c r="E711" s="231">
        <v>6</v>
      </c>
      <c r="F711" s="336">
        <v>2.0640000000000001</v>
      </c>
      <c r="G711" s="336">
        <v>1.2</v>
      </c>
      <c r="H711" s="231">
        <v>9</v>
      </c>
      <c r="I711" s="231">
        <v>10.3</v>
      </c>
      <c r="J711" s="231">
        <v>9</v>
      </c>
      <c r="K711" s="394" t="s">
        <v>375</v>
      </c>
      <c r="L711" s="394" t="s">
        <v>290</v>
      </c>
      <c r="M711" s="394" t="s">
        <v>93</v>
      </c>
      <c r="N711" s="231">
        <v>77</v>
      </c>
      <c r="O711" s="231">
        <f t="shared" si="284"/>
        <v>86</v>
      </c>
      <c r="P711" s="231"/>
      <c r="Q711" s="231"/>
      <c r="R711" s="231">
        <v>1</v>
      </c>
      <c r="S711" s="231">
        <v>0.99</v>
      </c>
      <c r="T711" s="326" t="s">
        <v>37</v>
      </c>
      <c r="U711" s="330"/>
      <c r="V711" s="331"/>
      <c r="W711" s="331"/>
      <c r="X711" s="331"/>
      <c r="Y711" s="328">
        <v>1</v>
      </c>
      <c r="Z711" s="314" t="s">
        <v>37</v>
      </c>
      <c r="AA711" s="328"/>
      <c r="AB711" s="314"/>
      <c r="AC711" s="314"/>
      <c r="AD711" s="314"/>
      <c r="AE711" s="443"/>
      <c r="AF711" s="166">
        <f t="shared" si="285"/>
        <v>4.3438054218536841</v>
      </c>
      <c r="AG711" s="166">
        <f t="shared" si="286"/>
        <v>4.4543472962535073</v>
      </c>
      <c r="AH711" s="169"/>
      <c r="AI711" s="169"/>
      <c r="AK711" s="337">
        <f t="shared" si="287"/>
        <v>77</v>
      </c>
      <c r="AL711" s="337">
        <f t="shared" si="288"/>
        <v>86</v>
      </c>
      <c r="AM711" s="166">
        <f t="shared" si="289"/>
        <v>4.3438054218536841</v>
      </c>
      <c r="AN711" s="166">
        <f t="shared" si="290"/>
        <v>4.4543472962535073</v>
      </c>
      <c r="AO711" s="169"/>
      <c r="AP711" s="169"/>
      <c r="AR711" s="337">
        <f t="shared" si="291"/>
        <v>83.907245859253024</v>
      </c>
      <c r="AS711" s="337">
        <f t="shared" si="292"/>
        <v>93.795941747572797</v>
      </c>
      <c r="AT711" s="166">
        <f t="shared" si="293"/>
        <v>4.4297119727864356</v>
      </c>
      <c r="AU711" s="166">
        <f t="shared" si="294"/>
        <v>4.5411215901249742</v>
      </c>
      <c r="AV711" s="338"/>
      <c r="AW711" s="338"/>
      <c r="AX711" s="168">
        <f t="shared" si="296"/>
        <v>83.907245859253024</v>
      </c>
      <c r="AY711" s="168">
        <f t="shared" si="296"/>
        <v>93.795941747572797</v>
      </c>
      <c r="AZ711" s="168">
        <f t="shared" si="297"/>
        <v>83.907245859253024</v>
      </c>
      <c r="BA711" s="168">
        <f t="shared" si="297"/>
        <v>93.795941747572797</v>
      </c>
      <c r="BB711" s="166">
        <f t="shared" si="298"/>
        <v>4.4297119727864356</v>
      </c>
      <c r="BC711" s="166">
        <f t="shared" si="298"/>
        <v>4.5411215901249742</v>
      </c>
      <c r="BD711" s="169"/>
      <c r="BE711" s="169"/>
    </row>
    <row r="712" spans="1:62" s="475" customFormat="1" ht="13.5" thickBot="1" x14ac:dyDescent="0.25">
      <c r="A712" s="472" t="s">
        <v>71</v>
      </c>
      <c r="B712" s="472" t="s">
        <v>260</v>
      </c>
      <c r="C712" s="472" t="s">
        <v>341</v>
      </c>
      <c r="D712" s="464" t="s">
        <v>88</v>
      </c>
      <c r="E712" s="471">
        <v>6</v>
      </c>
      <c r="F712" s="475">
        <v>2.0640000000000001</v>
      </c>
      <c r="G712" s="475">
        <v>1.2</v>
      </c>
      <c r="H712" s="471">
        <v>9</v>
      </c>
      <c r="I712" s="471">
        <v>10.3</v>
      </c>
      <c r="J712" s="471">
        <v>9</v>
      </c>
      <c r="K712" s="469" t="s">
        <v>375</v>
      </c>
      <c r="L712" s="469" t="s">
        <v>290</v>
      </c>
      <c r="M712" s="469" t="s">
        <v>93</v>
      </c>
      <c r="N712" s="471">
        <v>77</v>
      </c>
      <c r="O712" s="471">
        <f t="shared" si="284"/>
        <v>86</v>
      </c>
      <c r="P712" s="471"/>
      <c r="Q712" s="471"/>
      <c r="R712" s="471">
        <v>1</v>
      </c>
      <c r="S712" s="471">
        <v>0.99</v>
      </c>
      <c r="T712" s="472" t="s">
        <v>37</v>
      </c>
      <c r="U712" s="534"/>
      <c r="V712" s="535"/>
      <c r="W712" s="535"/>
      <c r="X712" s="535"/>
      <c r="Y712" s="536">
        <v>1</v>
      </c>
      <c r="Z712" s="537" t="s">
        <v>37</v>
      </c>
      <c r="AA712" s="536"/>
      <c r="AB712" s="537"/>
      <c r="AC712" s="537"/>
      <c r="AD712" s="537"/>
      <c r="AE712" s="538"/>
      <c r="AF712" s="476">
        <f t="shared" si="285"/>
        <v>4.3438054218536841</v>
      </c>
      <c r="AG712" s="476">
        <f t="shared" si="286"/>
        <v>4.4543472962535073</v>
      </c>
      <c r="AH712" s="477"/>
      <c r="AI712" s="477"/>
      <c r="AK712" s="539">
        <f t="shared" si="287"/>
        <v>77</v>
      </c>
      <c r="AL712" s="539">
        <f t="shared" si="288"/>
        <v>86</v>
      </c>
      <c r="AM712" s="476">
        <f t="shared" si="289"/>
        <v>4.3438054218536841</v>
      </c>
      <c r="AN712" s="476">
        <f t="shared" si="290"/>
        <v>4.4543472962535073</v>
      </c>
      <c r="AO712" s="477"/>
      <c r="AP712" s="477"/>
      <c r="AR712" s="539">
        <f t="shared" si="291"/>
        <v>83.907245859253024</v>
      </c>
      <c r="AS712" s="539">
        <f t="shared" si="292"/>
        <v>93.795941747572797</v>
      </c>
      <c r="AT712" s="476">
        <f t="shared" si="293"/>
        <v>4.4297119727864356</v>
      </c>
      <c r="AU712" s="476">
        <f t="shared" si="294"/>
        <v>4.5411215901249742</v>
      </c>
      <c r="AV712" s="540"/>
      <c r="AW712" s="540"/>
      <c r="AX712" s="479">
        <f t="shared" si="296"/>
        <v>83.907245859253024</v>
      </c>
      <c r="AY712" s="479">
        <f t="shared" si="296"/>
        <v>93.795941747572797</v>
      </c>
      <c r="AZ712" s="479">
        <f t="shared" si="297"/>
        <v>83.907245859253024</v>
      </c>
      <c r="BA712" s="479">
        <f t="shared" si="297"/>
        <v>93.795941747572797</v>
      </c>
      <c r="BB712" s="476">
        <f t="shared" si="298"/>
        <v>4.4297119727864356</v>
      </c>
      <c r="BC712" s="476">
        <f t="shared" si="298"/>
        <v>4.5411215901249742</v>
      </c>
      <c r="BD712" s="477"/>
      <c r="BE712" s="477"/>
    </row>
    <row r="713" spans="1:62" s="298" customFormat="1" x14ac:dyDescent="0.2">
      <c r="A713" s="290"/>
      <c r="B713" s="290"/>
      <c r="C713" s="404"/>
      <c r="D713" s="290"/>
      <c r="E713" s="295"/>
      <c r="F713" s="295"/>
      <c r="G713" s="295"/>
      <c r="H713" s="295"/>
      <c r="I713" s="295"/>
      <c r="J713" s="295"/>
      <c r="K713" s="295"/>
      <c r="L713" s="295"/>
      <c r="M713" s="295"/>
      <c r="N713" s="285"/>
      <c r="O713" s="295"/>
      <c r="P713" s="295"/>
      <c r="Q713" s="295"/>
      <c r="R713" s="295"/>
      <c r="S713" s="295"/>
      <c r="T713" s="290"/>
      <c r="U713" s="295"/>
      <c r="V713" s="290"/>
      <c r="W713" s="290"/>
      <c r="X713" s="290"/>
      <c r="Y713" s="295"/>
      <c r="Z713" s="290"/>
      <c r="AA713" s="295"/>
      <c r="AB713" s="290"/>
      <c r="AC713" s="290"/>
      <c r="AD713" s="290"/>
      <c r="AF713" s="287"/>
      <c r="AG713" s="287"/>
      <c r="AH713" s="288"/>
      <c r="AI713" s="288"/>
      <c r="AK713" s="286"/>
      <c r="AL713" s="286"/>
      <c r="AM713" s="287"/>
      <c r="AN713" s="287"/>
      <c r="AO713" s="288"/>
      <c r="AP713" s="288"/>
      <c r="AR713" s="286"/>
      <c r="AS713" s="286"/>
      <c r="AT713" s="287"/>
      <c r="AU713" s="287"/>
      <c r="AV713" s="299"/>
      <c r="AW713" s="299"/>
      <c r="BC713" s="287"/>
      <c r="BD713" s="288"/>
      <c r="BE713" s="288"/>
    </row>
    <row r="714" spans="1:62" s="272" customFormat="1" x14ac:dyDescent="0.2">
      <c r="A714" s="143" t="s">
        <v>227</v>
      </c>
      <c r="B714" s="266"/>
      <c r="C714" s="266"/>
      <c r="D714" s="266"/>
      <c r="E714" s="267"/>
      <c r="F714" s="267"/>
      <c r="G714" s="267"/>
      <c r="H714" s="267"/>
      <c r="I714" s="267"/>
      <c r="J714" s="267"/>
      <c r="K714" s="267"/>
      <c r="L714" s="267"/>
      <c r="M714" s="267"/>
      <c r="N714" s="267"/>
      <c r="O714" s="267"/>
      <c r="P714" s="267"/>
      <c r="Q714" s="267"/>
      <c r="R714" s="267"/>
      <c r="S714" s="268"/>
      <c r="T714" s="269"/>
      <c r="U714" s="268"/>
      <c r="V714" s="269"/>
      <c r="W714" s="268"/>
      <c r="X714" s="269"/>
      <c r="Y714" s="268"/>
      <c r="Z714" s="269"/>
      <c r="AA714" s="268"/>
      <c r="AB714" s="269"/>
      <c r="AC714" s="268"/>
      <c r="AD714" s="269"/>
      <c r="AE714" s="270"/>
      <c r="AF714" s="271"/>
      <c r="AG714" s="271"/>
      <c r="AH714" s="155">
        <f>LOGINV(0.05,AVERAGE(AF715:AF833),STDEV(AF715:AF833))</f>
        <v>0.92547220410761277</v>
      </c>
      <c r="AI714" s="155">
        <f>LOGINV(0.05,AVERAGE(AG715:AG833),STDEV(AG715:AG833))</f>
        <v>0.9519901692654279</v>
      </c>
      <c r="AJ714" s="271"/>
      <c r="AK714" s="271"/>
      <c r="AL714" s="271"/>
      <c r="AM714" s="271"/>
      <c r="AN714" s="271"/>
      <c r="AO714" s="155">
        <f>LOGINV(0.05,AVERAGE(AM715:AM833),STDEV(AM715:AM833))</f>
        <v>2.8524125583377726</v>
      </c>
      <c r="AP714" s="155">
        <f>LOGINV(0.05,AVERAGE(AN715:AN833),STDEV(AN715:AN833))</f>
        <v>2.880348510331614</v>
      </c>
      <c r="AQ714" s="271"/>
      <c r="AR714" s="271"/>
      <c r="AS714" s="271"/>
      <c r="AT714" s="271"/>
      <c r="AU714" s="271"/>
      <c r="AV714" s="155">
        <f>LOGINV(0.05,AVERAGE(AT715:AT833),STDEV(AT715:AT833))</f>
        <v>5.3794477092319957</v>
      </c>
      <c r="AW714" s="155">
        <f>LOGINV(0.05,AVERAGE(AU715:AU833),STDEV(AU715:AU833))</f>
        <v>5.4300399926889416</v>
      </c>
      <c r="AX714" s="271"/>
      <c r="AY714" s="271"/>
      <c r="BD714" s="155">
        <f>LOGINV(0.05,AVERAGE(BB715:BB833),STDEV(BB715:BB833))</f>
        <v>5.0839969288657709</v>
      </c>
      <c r="BE714" s="155">
        <f>LOGINV(0.05,AVERAGE(BC715:BC833),STDEV(BC715:BC833))</f>
        <v>5.1497903198494859</v>
      </c>
      <c r="BG714" s="271">
        <f>COUNT(BB715:BB833)</f>
        <v>12</v>
      </c>
      <c r="BH714" s="273">
        <v>1.6910000000000001</v>
      </c>
      <c r="BI714" s="274">
        <f>EXP(AVERAGE(BB715:BB833)-BH714*STDEV(BB715:BB833))</f>
        <v>4.7342467285001728</v>
      </c>
      <c r="BJ714" s="274">
        <f>EXP(AVERAGE(BC715:BC833)-BH714*STDEV(BC715:BC833))</f>
        <v>4.7963552881114042</v>
      </c>
    </row>
    <row r="715" spans="1:62" s="544" customFormat="1" x14ac:dyDescent="0.2">
      <c r="A715" s="541" t="s">
        <v>227</v>
      </c>
      <c r="B715" s="541" t="s">
        <v>35</v>
      </c>
      <c r="C715" s="542" t="s">
        <v>264</v>
      </c>
      <c r="D715" s="541" t="s">
        <v>265</v>
      </c>
      <c r="E715" s="543">
        <v>7.1</v>
      </c>
      <c r="F715" s="544">
        <f t="shared" ref="F715:F730" si="299">G715*1.724</f>
        <v>3.2755999999999998</v>
      </c>
      <c r="G715" s="543">
        <v>1.9</v>
      </c>
      <c r="H715" s="543">
        <v>30</v>
      </c>
      <c r="I715" s="543">
        <v>27</v>
      </c>
      <c r="J715" s="543">
        <v>0.02</v>
      </c>
      <c r="K715" s="543">
        <v>7</v>
      </c>
      <c r="L715" s="543">
        <v>5</v>
      </c>
      <c r="M715" s="543" t="s">
        <v>104</v>
      </c>
      <c r="N715" s="543">
        <v>61</v>
      </c>
      <c r="O715" s="544">
        <f t="shared" ref="O715:O746" si="300">N715+J715</f>
        <v>61.02</v>
      </c>
      <c r="P715" s="545" t="s">
        <v>248</v>
      </c>
      <c r="R715" s="546">
        <f t="shared" ref="R715:R746" si="301">POWER(10,(0.78+(0.46*LOG10(I715))+(-0.5*LOG10(G715))+(-0.92*LOG10(E715))))</f>
        <v>3.2801435493616093</v>
      </c>
      <c r="S715" s="544">
        <v>0.49</v>
      </c>
      <c r="T715" s="544" t="s">
        <v>284</v>
      </c>
      <c r="U715" s="544">
        <v>0.84</v>
      </c>
      <c r="V715" s="544" t="s">
        <v>37</v>
      </c>
      <c r="Y715" s="544">
        <v>0.49</v>
      </c>
      <c r="Z715" s="544" t="s">
        <v>284</v>
      </c>
      <c r="AA715" s="544">
        <v>0.84</v>
      </c>
      <c r="AB715" s="544" t="s">
        <v>37</v>
      </c>
      <c r="AF715" s="547">
        <f t="shared" ref="AF715:AF746" si="302">LN(N715)</f>
        <v>4.1108738641733114</v>
      </c>
      <c r="AG715" s="547">
        <f t="shared" ref="AG715:AG746" si="303">LN(O715)</f>
        <v>4.1112016792885235</v>
      </c>
      <c r="AJ715" s="547"/>
      <c r="AK715" s="548">
        <f t="shared" ref="AK715:AK746" si="304">N715*R715</f>
        <v>200.08875651105816</v>
      </c>
      <c r="AL715" s="548">
        <f t="shared" ref="AL715:AL746" si="305">AK715+J715</f>
        <v>200.10875651105817</v>
      </c>
      <c r="AM715" s="547">
        <f t="shared" ref="AM715:AM746" si="306">LN(AK715)</f>
        <v>5.298761050660973</v>
      </c>
      <c r="AN715" s="547">
        <f t="shared" ref="AN715:AN746" si="307">LN(AL715)</f>
        <v>5.2988610013071709</v>
      </c>
      <c r="AR715" s="239">
        <f t="shared" ref="AR715:AR730" si="308">AK715*((OC/G715)^S715)*((eCEC/I715)^U715)</f>
        <v>97.550930270704356</v>
      </c>
      <c r="AS715" s="239">
        <f t="shared" ref="AS715:AS730" si="309">AL715*((OC/G715)^Y715)*((eCEC/I715)^AA715)</f>
        <v>97.560681036511667</v>
      </c>
      <c r="AT715" s="547">
        <f t="shared" ref="AT715:AT746" si="310">LN(AR715)</f>
        <v>4.5803746033712081</v>
      </c>
      <c r="AU715" s="547">
        <f t="shared" ref="AU715:AU746" si="311">LN(AS715)</f>
        <v>4.5804745540174059</v>
      </c>
      <c r="AX715" s="287">
        <f>GEOMEAN(AR715:AR722)</f>
        <v>77.059689526014253</v>
      </c>
      <c r="AY715" s="287">
        <f>GEOMEAN(AS715:AS722)</f>
        <v>77.077525721143431</v>
      </c>
      <c r="AZ715" s="287">
        <f>MIN(AX715:AX730)</f>
        <v>77.059689526014253</v>
      </c>
      <c r="BA715" s="287">
        <f>MIN(AY715:AY730)</f>
        <v>77.077525721143431</v>
      </c>
      <c r="BB715" s="287">
        <f>LN(AZ715)</f>
        <v>4.3445803101996834</v>
      </c>
      <c r="BC715" s="287">
        <f>LN(BA715)</f>
        <v>4.344811742890097</v>
      </c>
    </row>
    <row r="716" spans="1:62" s="545" customFormat="1" x14ac:dyDescent="0.2">
      <c r="A716" s="549" t="s">
        <v>227</v>
      </c>
      <c r="B716" s="549" t="s">
        <v>35</v>
      </c>
      <c r="C716" s="550" t="s">
        <v>264</v>
      </c>
      <c r="D716" s="549" t="s">
        <v>265</v>
      </c>
      <c r="E716" s="551">
        <v>4.5999999999999996</v>
      </c>
      <c r="F716" s="545">
        <f t="shared" si="299"/>
        <v>3.2755999999999998</v>
      </c>
      <c r="G716" s="551">
        <v>1.9</v>
      </c>
      <c r="H716" s="551">
        <v>2.5</v>
      </c>
      <c r="I716" s="551">
        <v>6.4</v>
      </c>
      <c r="J716" s="551">
        <v>0.02</v>
      </c>
      <c r="K716" s="551">
        <v>7</v>
      </c>
      <c r="L716" s="551">
        <v>5</v>
      </c>
      <c r="M716" s="551" t="s">
        <v>104</v>
      </c>
      <c r="N716" s="551">
        <v>20</v>
      </c>
      <c r="O716" s="545">
        <f t="shared" si="300"/>
        <v>20.02</v>
      </c>
      <c r="P716" s="545" t="s">
        <v>248</v>
      </c>
      <c r="R716" s="552">
        <f t="shared" si="301"/>
        <v>2.5219053467258976</v>
      </c>
      <c r="S716" s="544">
        <v>0.49</v>
      </c>
      <c r="T716" s="544" t="s">
        <v>284</v>
      </c>
      <c r="U716" s="544">
        <v>0.84</v>
      </c>
      <c r="V716" s="544" t="s">
        <v>37</v>
      </c>
      <c r="Y716" s="544">
        <v>0.49</v>
      </c>
      <c r="Z716" s="544" t="s">
        <v>284</v>
      </c>
      <c r="AA716" s="544">
        <v>0.84</v>
      </c>
      <c r="AB716" s="544" t="s">
        <v>37</v>
      </c>
      <c r="AF716" s="553">
        <f t="shared" si="302"/>
        <v>2.9957322735539909</v>
      </c>
      <c r="AG716" s="553">
        <f t="shared" si="303"/>
        <v>2.9967317738870745</v>
      </c>
      <c r="AH716" s="554"/>
      <c r="AI716" s="554"/>
      <c r="AJ716" s="553"/>
      <c r="AK716" s="555">
        <f t="shared" si="304"/>
        <v>50.438106934517954</v>
      </c>
      <c r="AL716" s="555">
        <f t="shared" si="305"/>
        <v>50.458106934517957</v>
      </c>
      <c r="AM716" s="553">
        <f t="shared" si="306"/>
        <v>3.9207469793558922</v>
      </c>
      <c r="AN716" s="553">
        <f t="shared" si="307"/>
        <v>3.9211434263482028</v>
      </c>
      <c r="AO716" s="556"/>
      <c r="AP716" s="556"/>
      <c r="AR716" s="553">
        <f t="shared" si="308"/>
        <v>82.398990662808131</v>
      </c>
      <c r="AS716" s="553">
        <f t="shared" si="309"/>
        <v>82.431663971015269</v>
      </c>
      <c r="AT716" s="553">
        <f t="shared" si="310"/>
        <v>4.4115731876026381</v>
      </c>
      <c r="AU716" s="553">
        <f t="shared" si="311"/>
        <v>4.4119696345949482</v>
      </c>
      <c r="AV716" s="556"/>
      <c r="AW716" s="556"/>
      <c r="AX716" s="553"/>
      <c r="AY716" s="553"/>
      <c r="AZ716" s="553"/>
      <c r="BA716" s="553"/>
      <c r="BB716" s="553"/>
      <c r="BC716" s="553"/>
      <c r="BD716" s="554"/>
      <c r="BE716" s="554"/>
    </row>
    <row r="717" spans="1:62" s="545" customFormat="1" x14ac:dyDescent="0.2">
      <c r="A717" s="549" t="s">
        <v>227</v>
      </c>
      <c r="B717" s="549" t="s">
        <v>35</v>
      </c>
      <c r="C717" s="550" t="s">
        <v>264</v>
      </c>
      <c r="D717" s="549" t="s">
        <v>265</v>
      </c>
      <c r="E717" s="551">
        <v>5.0999999999999996</v>
      </c>
      <c r="F717" s="545">
        <f t="shared" si="299"/>
        <v>11.8956</v>
      </c>
      <c r="G717" s="551">
        <v>6.9</v>
      </c>
      <c r="H717" s="551">
        <v>14</v>
      </c>
      <c r="I717" s="551">
        <v>12</v>
      </c>
      <c r="J717" s="551">
        <v>0.02</v>
      </c>
      <c r="K717" s="551">
        <v>7</v>
      </c>
      <c r="L717" s="551">
        <v>5</v>
      </c>
      <c r="M717" s="551" t="s">
        <v>104</v>
      </c>
      <c r="N717" s="551">
        <v>60</v>
      </c>
      <c r="O717" s="545">
        <f t="shared" si="300"/>
        <v>60.02</v>
      </c>
      <c r="P717" s="545" t="s">
        <v>248</v>
      </c>
      <c r="R717" s="552">
        <f t="shared" si="301"/>
        <v>1.6070680455632902</v>
      </c>
      <c r="S717" s="544">
        <v>0.49</v>
      </c>
      <c r="T717" s="544" t="s">
        <v>284</v>
      </c>
      <c r="U717" s="544">
        <v>0.84</v>
      </c>
      <c r="V717" s="544" t="s">
        <v>37</v>
      </c>
      <c r="Y717" s="544">
        <v>0.49</v>
      </c>
      <c r="Z717" s="544" t="s">
        <v>284</v>
      </c>
      <c r="AA717" s="544">
        <v>0.84</v>
      </c>
      <c r="AB717" s="544" t="s">
        <v>37</v>
      </c>
      <c r="AF717" s="553">
        <f t="shared" si="302"/>
        <v>4.0943445622221004</v>
      </c>
      <c r="AG717" s="553">
        <f t="shared" si="303"/>
        <v>4.0946778400122215</v>
      </c>
      <c r="AH717" s="554"/>
      <c r="AI717" s="554"/>
      <c r="AJ717" s="553"/>
      <c r="AK717" s="555">
        <f t="shared" si="304"/>
        <v>96.424082733797405</v>
      </c>
      <c r="AL717" s="555">
        <f t="shared" si="305"/>
        <v>96.444082733797401</v>
      </c>
      <c r="AM717" s="553">
        <f t="shared" si="306"/>
        <v>4.5687559913064719</v>
      </c>
      <c r="AN717" s="553">
        <f t="shared" si="307"/>
        <v>4.5689633868610802</v>
      </c>
      <c r="AO717" s="556"/>
      <c r="AP717" s="556"/>
      <c r="AR717" s="553">
        <f t="shared" si="308"/>
        <v>49.383375448734895</v>
      </c>
      <c r="AS717" s="553">
        <f t="shared" si="309"/>
        <v>49.39361840340942</v>
      </c>
      <c r="AT717" s="553">
        <f t="shared" si="310"/>
        <v>3.8996138381773222</v>
      </c>
      <c r="AU717" s="553">
        <f t="shared" si="311"/>
        <v>3.89982123373193</v>
      </c>
      <c r="AV717" s="556"/>
      <c r="AW717" s="556"/>
      <c r="AX717" s="553"/>
      <c r="AY717" s="553"/>
      <c r="AZ717" s="553"/>
      <c r="BA717" s="553"/>
      <c r="BB717" s="553"/>
      <c r="BC717" s="553"/>
      <c r="BD717" s="554"/>
      <c r="BE717" s="554"/>
    </row>
    <row r="718" spans="1:62" s="545" customFormat="1" x14ac:dyDescent="0.2">
      <c r="A718" s="549" t="s">
        <v>227</v>
      </c>
      <c r="B718" s="549" t="s">
        <v>35</v>
      </c>
      <c r="C718" s="550" t="s">
        <v>264</v>
      </c>
      <c r="D718" s="549" t="s">
        <v>265</v>
      </c>
      <c r="E718" s="551">
        <v>3.6</v>
      </c>
      <c r="F718" s="545">
        <f t="shared" si="299"/>
        <v>2.5859999999999999</v>
      </c>
      <c r="G718" s="551">
        <v>1.5</v>
      </c>
      <c r="H718" s="551">
        <v>1.4</v>
      </c>
      <c r="I718" s="551">
        <v>5.3</v>
      </c>
      <c r="J718" s="551">
        <v>0.02</v>
      </c>
      <c r="K718" s="551">
        <v>7</v>
      </c>
      <c r="L718" s="551">
        <v>5</v>
      </c>
      <c r="M718" s="551" t="s">
        <v>104</v>
      </c>
      <c r="N718" s="551">
        <v>12.98</v>
      </c>
      <c r="O718" s="545">
        <f t="shared" si="300"/>
        <v>13</v>
      </c>
      <c r="P718" s="545" t="s">
        <v>248</v>
      </c>
      <c r="R718" s="552">
        <f t="shared" si="301"/>
        <v>3.2607910460727294</v>
      </c>
      <c r="S718" s="544">
        <v>0.49</v>
      </c>
      <c r="T718" s="544" t="s">
        <v>284</v>
      </c>
      <c r="U718" s="544">
        <v>0.84</v>
      </c>
      <c r="V718" s="544" t="s">
        <v>37</v>
      </c>
      <c r="Y718" s="544">
        <v>0.49</v>
      </c>
      <c r="Z718" s="544" t="s">
        <v>284</v>
      </c>
      <c r="AA718" s="544">
        <v>0.84</v>
      </c>
      <c r="AB718" s="544" t="s">
        <v>37</v>
      </c>
      <c r="AF718" s="553">
        <f t="shared" si="302"/>
        <v>2.563409711275944</v>
      </c>
      <c r="AG718" s="553">
        <f t="shared" si="303"/>
        <v>2.5649493574615367</v>
      </c>
      <c r="AH718" s="554"/>
      <c r="AI718" s="554"/>
      <c r="AJ718" s="553"/>
      <c r="AK718" s="555">
        <f t="shared" si="304"/>
        <v>42.325067778024028</v>
      </c>
      <c r="AL718" s="555">
        <f t="shared" si="305"/>
        <v>42.345067778024031</v>
      </c>
      <c r="AM718" s="553">
        <f t="shared" si="306"/>
        <v>3.745379529388833</v>
      </c>
      <c r="AN718" s="553">
        <f t="shared" si="307"/>
        <v>3.7458519509868529</v>
      </c>
      <c r="AO718" s="556"/>
      <c r="AP718" s="556"/>
      <c r="AR718" s="553">
        <f t="shared" si="308"/>
        <v>90.962999190124464</v>
      </c>
      <c r="AS718" s="553">
        <f t="shared" si="309"/>
        <v>91.005982227820795</v>
      </c>
      <c r="AT718" s="553">
        <f t="shared" si="310"/>
        <v>4.5104528215253934</v>
      </c>
      <c r="AU718" s="553">
        <f t="shared" si="311"/>
        <v>4.5109252431234133</v>
      </c>
      <c r="AV718" s="556"/>
      <c r="AW718" s="556"/>
      <c r="AX718" s="553"/>
      <c r="AY718" s="553"/>
      <c r="AZ718" s="553"/>
      <c r="BA718" s="553"/>
      <c r="BB718" s="553"/>
      <c r="BC718" s="553"/>
      <c r="BD718" s="554"/>
      <c r="BE718" s="554"/>
    </row>
    <row r="719" spans="1:62" s="545" customFormat="1" x14ac:dyDescent="0.2">
      <c r="A719" s="549" t="s">
        <v>227</v>
      </c>
      <c r="B719" s="549" t="s">
        <v>35</v>
      </c>
      <c r="C719" s="550" t="s">
        <v>264</v>
      </c>
      <c r="D719" s="549" t="s">
        <v>265</v>
      </c>
      <c r="E719" s="551">
        <v>5</v>
      </c>
      <c r="F719" s="545">
        <f t="shared" si="299"/>
        <v>9.1372</v>
      </c>
      <c r="G719" s="551">
        <v>5.3</v>
      </c>
      <c r="H719" s="551">
        <v>42</v>
      </c>
      <c r="I719" s="551">
        <v>25</v>
      </c>
      <c r="J719" s="551">
        <v>0.02</v>
      </c>
      <c r="K719" s="551">
        <v>7</v>
      </c>
      <c r="L719" s="551">
        <v>5</v>
      </c>
      <c r="M719" s="551" t="s">
        <v>104</v>
      </c>
      <c r="N719" s="551">
        <v>146</v>
      </c>
      <c r="O719" s="545">
        <f t="shared" si="300"/>
        <v>146.02000000000001</v>
      </c>
      <c r="P719" s="545" t="s">
        <v>248</v>
      </c>
      <c r="R719" s="552">
        <f t="shared" si="301"/>
        <v>2.617351588015056</v>
      </c>
      <c r="S719" s="544">
        <v>0.49</v>
      </c>
      <c r="T719" s="544" t="s">
        <v>284</v>
      </c>
      <c r="U719" s="544">
        <v>0.84</v>
      </c>
      <c r="V719" s="544" t="s">
        <v>37</v>
      </c>
      <c r="Y719" s="544">
        <v>0.49</v>
      </c>
      <c r="Z719" s="544" t="s">
        <v>284</v>
      </c>
      <c r="AA719" s="544">
        <v>0.84</v>
      </c>
      <c r="AB719" s="544" t="s">
        <v>37</v>
      </c>
      <c r="AF719" s="553">
        <f t="shared" si="302"/>
        <v>4.9836066217083363</v>
      </c>
      <c r="AG719" s="553">
        <f t="shared" si="303"/>
        <v>4.9837435986279397</v>
      </c>
      <c r="AH719" s="554"/>
      <c r="AI719" s="554"/>
      <c r="AJ719" s="553"/>
      <c r="AK719" s="555">
        <f t="shared" si="304"/>
        <v>382.13333185019815</v>
      </c>
      <c r="AL719" s="555">
        <f t="shared" si="305"/>
        <v>382.15333185019813</v>
      </c>
      <c r="AM719" s="553">
        <f t="shared" si="306"/>
        <v>5.9457695839646538</v>
      </c>
      <c r="AN719" s="553">
        <f t="shared" si="307"/>
        <v>5.9458219203482505</v>
      </c>
      <c r="AO719" s="556"/>
      <c r="AP719" s="556"/>
      <c r="AR719" s="553">
        <f t="shared" si="308"/>
        <v>120.22469778076184</v>
      </c>
      <c r="AS719" s="553">
        <f t="shared" si="309"/>
        <v>120.23099007131908</v>
      </c>
      <c r="AT719" s="553">
        <f t="shared" si="310"/>
        <v>4.7893624733802538</v>
      </c>
      <c r="AU719" s="553">
        <f t="shared" si="311"/>
        <v>4.7894148097638496</v>
      </c>
      <c r="AV719" s="556"/>
      <c r="AW719" s="556"/>
      <c r="AX719" s="553"/>
      <c r="AY719" s="553"/>
      <c r="AZ719" s="553"/>
      <c r="BA719" s="553"/>
      <c r="BB719" s="553"/>
      <c r="BC719" s="553"/>
      <c r="BD719" s="554"/>
      <c r="BE719" s="554"/>
    </row>
    <row r="720" spans="1:62" s="545" customFormat="1" x14ac:dyDescent="0.2">
      <c r="A720" s="549" t="s">
        <v>227</v>
      </c>
      <c r="B720" s="549" t="s">
        <v>35</v>
      </c>
      <c r="C720" s="550" t="s">
        <v>264</v>
      </c>
      <c r="D720" s="549" t="s">
        <v>265</v>
      </c>
      <c r="E720" s="551">
        <v>5.5</v>
      </c>
      <c r="F720" s="545">
        <f t="shared" si="299"/>
        <v>1.5516000000000001</v>
      </c>
      <c r="G720" s="551">
        <v>0.9</v>
      </c>
      <c r="H720" s="551">
        <v>60</v>
      </c>
      <c r="I720" s="551">
        <v>13</v>
      </c>
      <c r="J720" s="551">
        <v>0.02</v>
      </c>
      <c r="K720" s="551">
        <v>7</v>
      </c>
      <c r="L720" s="551">
        <v>5</v>
      </c>
      <c r="M720" s="551" t="s">
        <v>104</v>
      </c>
      <c r="N720" s="551">
        <v>25</v>
      </c>
      <c r="O720" s="545">
        <f t="shared" si="300"/>
        <v>25.02</v>
      </c>
      <c r="P720" s="545" t="s">
        <v>248</v>
      </c>
      <c r="R720" s="552">
        <f t="shared" si="301"/>
        <v>4.3068427278791388</v>
      </c>
      <c r="S720" s="544">
        <v>0.49</v>
      </c>
      <c r="T720" s="544" t="s">
        <v>284</v>
      </c>
      <c r="U720" s="544">
        <v>0.84</v>
      </c>
      <c r="V720" s="544" t="s">
        <v>37</v>
      </c>
      <c r="Y720" s="544">
        <v>0.49</v>
      </c>
      <c r="Z720" s="544" t="s">
        <v>284</v>
      </c>
      <c r="AA720" s="544">
        <v>0.84</v>
      </c>
      <c r="AB720" s="544" t="s">
        <v>37</v>
      </c>
      <c r="AF720" s="553">
        <f t="shared" si="302"/>
        <v>3.2188758248682006</v>
      </c>
      <c r="AG720" s="553">
        <f t="shared" si="303"/>
        <v>3.2196755050387651</v>
      </c>
      <c r="AH720" s="554"/>
      <c r="AI720" s="554"/>
      <c r="AJ720" s="553"/>
      <c r="AK720" s="555">
        <f t="shared" si="304"/>
        <v>107.67106819697847</v>
      </c>
      <c r="AL720" s="555">
        <f t="shared" si="305"/>
        <v>107.69106819697846</v>
      </c>
      <c r="AM720" s="553">
        <f t="shared" si="306"/>
        <v>4.6790809148054251</v>
      </c>
      <c r="AN720" s="553">
        <f t="shared" si="307"/>
        <v>4.6792666484760916</v>
      </c>
      <c r="AO720" s="556"/>
      <c r="AP720" s="556"/>
      <c r="AR720" s="553">
        <f t="shared" si="308"/>
        <v>139.87861790755429</v>
      </c>
      <c r="AS720" s="553">
        <f t="shared" si="309"/>
        <v>139.90460048955146</v>
      </c>
      <c r="AT720" s="553">
        <f t="shared" si="310"/>
        <v>4.940775031588414</v>
      </c>
      <c r="AU720" s="553">
        <f t="shared" si="311"/>
        <v>4.9409607652590806</v>
      </c>
      <c r="AV720" s="556"/>
      <c r="AW720" s="556"/>
      <c r="AX720" s="553"/>
      <c r="AY720" s="553"/>
      <c r="AZ720" s="553"/>
      <c r="BA720" s="553"/>
      <c r="BB720" s="553"/>
      <c r="BC720" s="553"/>
      <c r="BD720" s="554"/>
      <c r="BE720" s="554"/>
    </row>
    <row r="721" spans="1:57" s="545" customFormat="1" x14ac:dyDescent="0.2">
      <c r="A721" s="549" t="s">
        <v>227</v>
      </c>
      <c r="B721" s="549" t="s">
        <v>35</v>
      </c>
      <c r="C721" s="550" t="s">
        <v>264</v>
      </c>
      <c r="D721" s="549" t="s">
        <v>265</v>
      </c>
      <c r="E721" s="551">
        <v>6.6</v>
      </c>
      <c r="F721" s="545">
        <f t="shared" si="299"/>
        <v>20.687999999999999</v>
      </c>
      <c r="G721" s="551">
        <v>12</v>
      </c>
      <c r="H721" s="551">
        <v>19</v>
      </c>
      <c r="I721" s="551">
        <v>42</v>
      </c>
      <c r="J721" s="551">
        <v>0.02</v>
      </c>
      <c r="K721" s="551">
        <v>7</v>
      </c>
      <c r="L721" s="551">
        <v>5</v>
      </c>
      <c r="M721" s="551" t="s">
        <v>104</v>
      </c>
      <c r="N721" s="551">
        <v>176</v>
      </c>
      <c r="O721" s="545">
        <f t="shared" si="300"/>
        <v>176.02</v>
      </c>
      <c r="P721" s="545" t="s">
        <v>248</v>
      </c>
      <c r="R721" s="552">
        <f t="shared" si="301"/>
        <v>1.7105021714920636</v>
      </c>
      <c r="S721" s="544">
        <v>0.49</v>
      </c>
      <c r="T721" s="544" t="s">
        <v>284</v>
      </c>
      <c r="U721" s="544">
        <v>0.84</v>
      </c>
      <c r="V721" s="544" t="s">
        <v>37</v>
      </c>
      <c r="Y721" s="544">
        <v>0.49</v>
      </c>
      <c r="Z721" s="544" t="s">
        <v>284</v>
      </c>
      <c r="AA721" s="544">
        <v>0.84</v>
      </c>
      <c r="AB721" s="544" t="s">
        <v>37</v>
      </c>
      <c r="AF721" s="553">
        <f t="shared" si="302"/>
        <v>5.1704839950381514</v>
      </c>
      <c r="AG721" s="553">
        <f t="shared" si="303"/>
        <v>5.1705976249456658</v>
      </c>
      <c r="AH721" s="554"/>
      <c r="AI721" s="554"/>
      <c r="AJ721" s="553"/>
      <c r="AK721" s="555">
        <f t="shared" si="304"/>
        <v>301.04838218260318</v>
      </c>
      <c r="AL721" s="555">
        <f t="shared" si="305"/>
        <v>301.06838218260316</v>
      </c>
      <c r="AM721" s="553">
        <f t="shared" si="306"/>
        <v>5.7072709899800671</v>
      </c>
      <c r="AN721" s="553">
        <f t="shared" si="307"/>
        <v>5.7073374222775577</v>
      </c>
      <c r="AO721" s="556"/>
      <c r="AP721" s="556"/>
      <c r="AR721" s="553">
        <f t="shared" si="308"/>
        <v>41.04418529783716</v>
      </c>
      <c r="AS721" s="553">
        <f t="shared" si="309"/>
        <v>41.046912047936281</v>
      </c>
      <c r="AT721" s="553">
        <f t="shared" si="310"/>
        <v>3.7146491766042629</v>
      </c>
      <c r="AU721" s="553">
        <f t="shared" si="311"/>
        <v>3.7147156089017539</v>
      </c>
      <c r="AV721" s="556"/>
      <c r="AW721" s="556"/>
      <c r="AX721" s="553"/>
      <c r="AY721" s="553"/>
      <c r="AZ721" s="553"/>
      <c r="BA721" s="553"/>
      <c r="BB721" s="553"/>
      <c r="BC721" s="553"/>
      <c r="BD721" s="554"/>
      <c r="BE721" s="554"/>
    </row>
    <row r="722" spans="1:57" s="545" customFormat="1" x14ac:dyDescent="0.2">
      <c r="A722" s="549" t="s">
        <v>227</v>
      </c>
      <c r="B722" s="549" t="s">
        <v>35</v>
      </c>
      <c r="C722" s="550" t="s">
        <v>264</v>
      </c>
      <c r="D722" s="549" t="s">
        <v>265</v>
      </c>
      <c r="E722" s="551">
        <v>8</v>
      </c>
      <c r="F722" s="545">
        <f t="shared" si="299"/>
        <v>3.1032000000000002</v>
      </c>
      <c r="G722" s="551">
        <v>1.8</v>
      </c>
      <c r="H722" s="551">
        <v>12</v>
      </c>
      <c r="I722" s="551">
        <v>13</v>
      </c>
      <c r="J722" s="551">
        <v>0.02</v>
      </c>
      <c r="K722" s="551">
        <v>7</v>
      </c>
      <c r="L722" s="551">
        <v>5</v>
      </c>
      <c r="M722" s="551" t="s">
        <v>104</v>
      </c>
      <c r="N722" s="551">
        <v>25</v>
      </c>
      <c r="O722" s="545">
        <f t="shared" si="300"/>
        <v>25.02</v>
      </c>
      <c r="P722" s="545" t="s">
        <v>248</v>
      </c>
      <c r="R722" s="552">
        <f t="shared" si="301"/>
        <v>2.1574209985336794</v>
      </c>
      <c r="S722" s="544">
        <v>0.49</v>
      </c>
      <c r="T722" s="544" t="s">
        <v>284</v>
      </c>
      <c r="U722" s="544">
        <v>0.84</v>
      </c>
      <c r="V722" s="544" t="s">
        <v>37</v>
      </c>
      <c r="Y722" s="544">
        <v>0.49</v>
      </c>
      <c r="Z722" s="544" t="s">
        <v>284</v>
      </c>
      <c r="AA722" s="544">
        <v>0.84</v>
      </c>
      <c r="AB722" s="544" t="s">
        <v>37</v>
      </c>
      <c r="AF722" s="553">
        <f t="shared" si="302"/>
        <v>3.2188758248682006</v>
      </c>
      <c r="AG722" s="553">
        <f t="shared" si="303"/>
        <v>3.2196755050387651</v>
      </c>
      <c r="AH722" s="554"/>
      <c r="AI722" s="554"/>
      <c r="AJ722" s="553"/>
      <c r="AK722" s="555">
        <f t="shared" si="304"/>
        <v>53.935524963341983</v>
      </c>
      <c r="AL722" s="555">
        <f t="shared" si="305"/>
        <v>53.955524963341986</v>
      </c>
      <c r="AM722" s="553">
        <f t="shared" si="306"/>
        <v>3.9877893510393547</v>
      </c>
      <c r="AN722" s="553">
        <f t="shared" si="307"/>
        <v>3.9881600954197771</v>
      </c>
      <c r="AO722" s="556"/>
      <c r="AP722" s="556"/>
      <c r="AR722" s="553">
        <f t="shared" si="308"/>
        <v>49.89103610008754</v>
      </c>
      <c r="AS722" s="553">
        <f t="shared" si="309"/>
        <v>49.909536350575145</v>
      </c>
      <c r="AT722" s="553">
        <f t="shared" si="310"/>
        <v>3.9098413493479707</v>
      </c>
      <c r="AU722" s="553">
        <f t="shared" si="311"/>
        <v>3.9102120937283931</v>
      </c>
      <c r="AV722" s="556"/>
      <c r="AW722" s="556"/>
      <c r="AX722" s="553"/>
      <c r="AY722" s="553"/>
      <c r="AZ722" s="553"/>
      <c r="BA722" s="553"/>
      <c r="BB722" s="553"/>
      <c r="BC722" s="553"/>
      <c r="BD722" s="554"/>
      <c r="BE722" s="554"/>
    </row>
    <row r="723" spans="1:57" s="545" customFormat="1" x14ac:dyDescent="0.2">
      <c r="A723" s="549" t="s">
        <v>227</v>
      </c>
      <c r="B723" s="549" t="s">
        <v>35</v>
      </c>
      <c r="C723" s="550" t="s">
        <v>264</v>
      </c>
      <c r="D723" s="549" t="s">
        <v>266</v>
      </c>
      <c r="E723" s="551">
        <v>7.1</v>
      </c>
      <c r="F723" s="545">
        <f t="shared" si="299"/>
        <v>3.2755999999999998</v>
      </c>
      <c r="G723" s="551">
        <v>1.9</v>
      </c>
      <c r="H723" s="551">
        <v>30</v>
      </c>
      <c r="I723" s="551">
        <v>27</v>
      </c>
      <c r="J723" s="551">
        <v>0.02</v>
      </c>
      <c r="K723" s="551">
        <v>7</v>
      </c>
      <c r="L723" s="551">
        <v>5</v>
      </c>
      <c r="M723" s="551" t="s">
        <v>104</v>
      </c>
      <c r="N723" s="551">
        <v>215</v>
      </c>
      <c r="O723" s="545">
        <f t="shared" si="300"/>
        <v>215.02</v>
      </c>
      <c r="P723" s="545" t="s">
        <v>248</v>
      </c>
      <c r="R723" s="552">
        <f t="shared" si="301"/>
        <v>3.2801435493616093</v>
      </c>
      <c r="S723" s="544">
        <v>0.49</v>
      </c>
      <c r="T723" s="544" t="s">
        <v>284</v>
      </c>
      <c r="U723" s="544">
        <v>0.84</v>
      </c>
      <c r="V723" s="544" t="s">
        <v>37</v>
      </c>
      <c r="Y723" s="544">
        <v>0.49</v>
      </c>
      <c r="Z723" s="544" t="s">
        <v>284</v>
      </c>
      <c r="AA723" s="544">
        <v>0.84</v>
      </c>
      <c r="AB723" s="544" t="s">
        <v>37</v>
      </c>
      <c r="AF723" s="553">
        <f t="shared" si="302"/>
        <v>5.3706380281276624</v>
      </c>
      <c r="AG723" s="553">
        <f t="shared" si="303"/>
        <v>5.3707310470570819</v>
      </c>
      <c r="AH723" s="554"/>
      <c r="AI723" s="554"/>
      <c r="AJ723" s="553"/>
      <c r="AK723" s="555">
        <f t="shared" si="304"/>
        <v>705.23086311274596</v>
      </c>
      <c r="AL723" s="555">
        <f t="shared" si="305"/>
        <v>705.25086311274595</v>
      </c>
      <c r="AM723" s="553">
        <f t="shared" si="306"/>
        <v>6.5585252146153241</v>
      </c>
      <c r="AN723" s="553">
        <f t="shared" si="307"/>
        <v>6.5585535737207694</v>
      </c>
      <c r="AO723" s="556"/>
      <c r="AP723" s="556"/>
      <c r="AR723" s="553">
        <f t="shared" si="308"/>
        <v>343.82704931477764</v>
      </c>
      <c r="AS723" s="553">
        <f t="shared" si="309"/>
        <v>343.83680008058491</v>
      </c>
      <c r="AT723" s="553">
        <f t="shared" si="310"/>
        <v>5.84013876732556</v>
      </c>
      <c r="AU723" s="553">
        <f t="shared" si="311"/>
        <v>5.8401671264310053</v>
      </c>
      <c r="AV723" s="556"/>
      <c r="AW723" s="556"/>
      <c r="AX723" s="287">
        <f>GEOMEAN(AR723:AR730)</f>
        <v>125.81955545030418</v>
      </c>
      <c r="AY723" s="287">
        <f>GEOMEAN(AS723:AS730)</f>
        <v>125.86149970756384</v>
      </c>
      <c r="AZ723" s="553"/>
      <c r="BA723" s="553"/>
      <c r="BB723" s="553"/>
      <c r="BC723" s="553"/>
      <c r="BD723" s="554"/>
      <c r="BE723" s="554"/>
    </row>
    <row r="724" spans="1:57" s="545" customFormat="1" x14ac:dyDescent="0.2">
      <c r="A724" s="549" t="s">
        <v>227</v>
      </c>
      <c r="B724" s="549" t="s">
        <v>35</v>
      </c>
      <c r="C724" s="550" t="s">
        <v>264</v>
      </c>
      <c r="D724" s="549" t="s">
        <v>266</v>
      </c>
      <c r="E724" s="551">
        <v>4.5999999999999996</v>
      </c>
      <c r="F724" s="545">
        <f t="shared" si="299"/>
        <v>3.2755999999999998</v>
      </c>
      <c r="G724" s="551">
        <v>1.9</v>
      </c>
      <c r="H724" s="551">
        <v>2.5</v>
      </c>
      <c r="I724" s="551">
        <v>6.4</v>
      </c>
      <c r="J724" s="551">
        <v>0.02</v>
      </c>
      <c r="K724" s="551">
        <v>7</v>
      </c>
      <c r="L724" s="551">
        <v>5</v>
      </c>
      <c r="M724" s="551" t="s">
        <v>104</v>
      </c>
      <c r="N724" s="551">
        <v>130</v>
      </c>
      <c r="O724" s="545">
        <f t="shared" si="300"/>
        <v>130.02000000000001</v>
      </c>
      <c r="P724" s="545" t="s">
        <v>248</v>
      </c>
      <c r="R724" s="552">
        <f t="shared" si="301"/>
        <v>2.5219053467258976</v>
      </c>
      <c r="S724" s="544">
        <v>0.49</v>
      </c>
      <c r="T724" s="544" t="s">
        <v>284</v>
      </c>
      <c r="U724" s="544">
        <v>0.84</v>
      </c>
      <c r="V724" s="544" t="s">
        <v>37</v>
      </c>
      <c r="Y724" s="544">
        <v>0.49</v>
      </c>
      <c r="Z724" s="544" t="s">
        <v>284</v>
      </c>
      <c r="AA724" s="544">
        <v>0.84</v>
      </c>
      <c r="AB724" s="544" t="s">
        <v>37</v>
      </c>
      <c r="AF724" s="553">
        <f t="shared" si="302"/>
        <v>4.8675344504555822</v>
      </c>
      <c r="AG724" s="553">
        <f t="shared" si="303"/>
        <v>4.8676882847763228</v>
      </c>
      <c r="AH724" s="554"/>
      <c r="AI724" s="554"/>
      <c r="AJ724" s="553"/>
      <c r="AK724" s="555">
        <f t="shared" si="304"/>
        <v>327.8476950743667</v>
      </c>
      <c r="AL724" s="555">
        <f t="shared" si="305"/>
        <v>327.86769507436668</v>
      </c>
      <c r="AM724" s="553">
        <f t="shared" si="306"/>
        <v>5.7925491562574836</v>
      </c>
      <c r="AN724" s="553">
        <f t="shared" si="307"/>
        <v>5.7926101583334049</v>
      </c>
      <c r="AO724" s="556"/>
      <c r="AP724" s="556"/>
      <c r="AR724" s="553">
        <f t="shared" si="308"/>
        <v>535.59343930825287</v>
      </c>
      <c r="AS724" s="553">
        <f t="shared" si="309"/>
        <v>535.62611261645998</v>
      </c>
      <c r="AT724" s="553">
        <f t="shared" si="310"/>
        <v>6.2833753645042298</v>
      </c>
      <c r="AU724" s="553">
        <f t="shared" si="311"/>
        <v>6.2834363665801503</v>
      </c>
      <c r="AV724" s="556"/>
      <c r="AW724" s="556"/>
      <c r="AX724" s="553"/>
      <c r="AY724" s="553"/>
      <c r="AZ724" s="553"/>
      <c r="BA724" s="553"/>
      <c r="BB724" s="553"/>
      <c r="BC724" s="553"/>
      <c r="BD724" s="554"/>
      <c r="BE724" s="554"/>
    </row>
    <row r="725" spans="1:57" s="545" customFormat="1" x14ac:dyDescent="0.2">
      <c r="A725" s="549" t="s">
        <v>227</v>
      </c>
      <c r="B725" s="549" t="s">
        <v>35</v>
      </c>
      <c r="C725" s="550" t="s">
        <v>264</v>
      </c>
      <c r="D725" s="549" t="s">
        <v>266</v>
      </c>
      <c r="E725" s="551">
        <v>5.0999999999999996</v>
      </c>
      <c r="F725" s="545">
        <f t="shared" si="299"/>
        <v>11.8956</v>
      </c>
      <c r="G725" s="551">
        <v>6.9</v>
      </c>
      <c r="H725" s="551">
        <v>14</v>
      </c>
      <c r="I725" s="551">
        <v>12</v>
      </c>
      <c r="J725" s="551">
        <v>0.02</v>
      </c>
      <c r="K725" s="551">
        <v>7</v>
      </c>
      <c r="L725" s="551">
        <v>5</v>
      </c>
      <c r="M725" s="551" t="s">
        <v>104</v>
      </c>
      <c r="N725" s="551">
        <v>62</v>
      </c>
      <c r="O725" s="545">
        <f t="shared" si="300"/>
        <v>62.02</v>
      </c>
      <c r="P725" s="545" t="s">
        <v>248</v>
      </c>
      <c r="R725" s="552">
        <f t="shared" si="301"/>
        <v>1.6070680455632902</v>
      </c>
      <c r="S725" s="544">
        <v>0.49</v>
      </c>
      <c r="T725" s="544" t="s">
        <v>284</v>
      </c>
      <c r="U725" s="544">
        <v>0.84</v>
      </c>
      <c r="V725" s="544" t="s">
        <v>37</v>
      </c>
      <c r="Y725" s="544">
        <v>0.49</v>
      </c>
      <c r="Z725" s="544" t="s">
        <v>284</v>
      </c>
      <c r="AA725" s="544">
        <v>0.84</v>
      </c>
      <c r="AB725" s="544" t="s">
        <v>37</v>
      </c>
      <c r="AF725" s="553">
        <f t="shared" si="302"/>
        <v>4.1271343850450917</v>
      </c>
      <c r="AG725" s="553">
        <f t="shared" si="303"/>
        <v>4.1274569136723027</v>
      </c>
      <c r="AH725" s="554"/>
      <c r="AI725" s="554"/>
      <c r="AJ725" s="553"/>
      <c r="AK725" s="555">
        <f t="shared" si="304"/>
        <v>99.638218824923996</v>
      </c>
      <c r="AL725" s="555">
        <f t="shared" si="305"/>
        <v>99.658218824923992</v>
      </c>
      <c r="AM725" s="553">
        <f t="shared" si="306"/>
        <v>4.6015458141294632</v>
      </c>
      <c r="AN725" s="553">
        <f t="shared" si="307"/>
        <v>4.6017465201762242</v>
      </c>
      <c r="AO725" s="556"/>
      <c r="AP725" s="556"/>
      <c r="AR725" s="553">
        <f t="shared" si="308"/>
        <v>51.029487963692738</v>
      </c>
      <c r="AS725" s="553">
        <f t="shared" si="309"/>
        <v>51.039730918367255</v>
      </c>
      <c r="AT725" s="553">
        <f t="shared" si="310"/>
        <v>3.9324036610003135</v>
      </c>
      <c r="AU725" s="553">
        <f t="shared" si="311"/>
        <v>3.9326043670470745</v>
      </c>
      <c r="AV725" s="556"/>
      <c r="AW725" s="556"/>
      <c r="AX725" s="553"/>
      <c r="AY725" s="553"/>
      <c r="AZ725" s="553"/>
      <c r="BA725" s="553"/>
      <c r="BB725" s="553"/>
      <c r="BC725" s="553"/>
      <c r="BD725" s="554"/>
      <c r="BE725" s="554"/>
    </row>
    <row r="726" spans="1:57" s="545" customFormat="1" x14ac:dyDescent="0.2">
      <c r="A726" s="549" t="s">
        <v>227</v>
      </c>
      <c r="B726" s="549" t="s">
        <v>35</v>
      </c>
      <c r="C726" s="550" t="s">
        <v>264</v>
      </c>
      <c r="D726" s="549" t="s">
        <v>266</v>
      </c>
      <c r="E726" s="551">
        <v>3.6</v>
      </c>
      <c r="F726" s="545">
        <f t="shared" si="299"/>
        <v>2.5859999999999999</v>
      </c>
      <c r="G726" s="551">
        <v>1.5</v>
      </c>
      <c r="H726" s="551">
        <v>1.4</v>
      </c>
      <c r="I726" s="551">
        <v>5.3</v>
      </c>
      <c r="J726" s="551">
        <v>0.02</v>
      </c>
      <c r="K726" s="551">
        <v>7</v>
      </c>
      <c r="L726" s="551">
        <v>5</v>
      </c>
      <c r="M726" s="551" t="s">
        <v>104</v>
      </c>
      <c r="N726" s="551">
        <v>108.98</v>
      </c>
      <c r="O726" s="545">
        <f t="shared" si="300"/>
        <v>109</v>
      </c>
      <c r="P726" s="545" t="s">
        <v>248</v>
      </c>
      <c r="R726" s="552">
        <f t="shared" si="301"/>
        <v>3.2607910460727294</v>
      </c>
      <c r="S726" s="544">
        <v>0.49</v>
      </c>
      <c r="T726" s="544" t="s">
        <v>284</v>
      </c>
      <c r="U726" s="544">
        <v>0.84</v>
      </c>
      <c r="V726" s="544" t="s">
        <v>37</v>
      </c>
      <c r="Y726" s="544">
        <v>0.49</v>
      </c>
      <c r="Z726" s="544" t="s">
        <v>284</v>
      </c>
      <c r="AA726" s="544">
        <v>0.84</v>
      </c>
      <c r="AB726" s="544" t="s">
        <v>37</v>
      </c>
      <c r="AF726" s="553">
        <f t="shared" si="302"/>
        <v>4.6911643791549524</v>
      </c>
      <c r="AG726" s="553">
        <f t="shared" si="303"/>
        <v>4.6913478822291435</v>
      </c>
      <c r="AH726" s="554"/>
      <c r="AI726" s="554"/>
      <c r="AJ726" s="553"/>
      <c r="AK726" s="555">
        <f t="shared" si="304"/>
        <v>355.36100820100609</v>
      </c>
      <c r="AL726" s="555">
        <f t="shared" si="305"/>
        <v>355.38100820100607</v>
      </c>
      <c r="AM726" s="553">
        <f t="shared" si="306"/>
        <v>5.8731341972678415</v>
      </c>
      <c r="AN726" s="553">
        <f t="shared" si="307"/>
        <v>5.8731904764789862</v>
      </c>
      <c r="AO726" s="556"/>
      <c r="AP726" s="556"/>
      <c r="AR726" s="553">
        <f t="shared" si="308"/>
        <v>763.7247805654672</v>
      </c>
      <c r="AS726" s="553">
        <f t="shared" si="309"/>
        <v>763.76776360316353</v>
      </c>
      <c r="AT726" s="553">
        <f t="shared" si="310"/>
        <v>6.6382074894044019</v>
      </c>
      <c r="AU726" s="553">
        <f t="shared" si="311"/>
        <v>6.6382637686155466</v>
      </c>
      <c r="AV726" s="556"/>
      <c r="AW726" s="556"/>
      <c r="AX726" s="553"/>
      <c r="AY726" s="553"/>
      <c r="AZ726" s="553"/>
      <c r="BA726" s="553"/>
      <c r="BB726" s="553"/>
      <c r="BC726" s="553"/>
      <c r="BD726" s="554"/>
      <c r="BE726" s="554"/>
    </row>
    <row r="727" spans="1:57" s="545" customFormat="1" x14ac:dyDescent="0.2">
      <c r="A727" s="549" t="s">
        <v>227</v>
      </c>
      <c r="B727" s="549" t="s">
        <v>35</v>
      </c>
      <c r="C727" s="550" t="s">
        <v>264</v>
      </c>
      <c r="D727" s="549" t="s">
        <v>266</v>
      </c>
      <c r="E727" s="551">
        <v>5</v>
      </c>
      <c r="F727" s="545">
        <f t="shared" si="299"/>
        <v>9.1372</v>
      </c>
      <c r="G727" s="551">
        <v>5.3</v>
      </c>
      <c r="H727" s="551">
        <v>42</v>
      </c>
      <c r="I727" s="551">
        <v>25</v>
      </c>
      <c r="J727" s="551">
        <v>0.02</v>
      </c>
      <c r="K727" s="551">
        <v>7</v>
      </c>
      <c r="L727" s="551">
        <v>5</v>
      </c>
      <c r="M727" s="551" t="s">
        <v>104</v>
      </c>
      <c r="N727" s="551">
        <v>131</v>
      </c>
      <c r="O727" s="545">
        <f t="shared" si="300"/>
        <v>131.02000000000001</v>
      </c>
      <c r="P727" s="545" t="s">
        <v>248</v>
      </c>
      <c r="R727" s="552">
        <f t="shared" si="301"/>
        <v>2.617351588015056</v>
      </c>
      <c r="S727" s="544">
        <v>0.49</v>
      </c>
      <c r="T727" s="544" t="s">
        <v>284</v>
      </c>
      <c r="U727" s="544">
        <v>0.84</v>
      </c>
      <c r="V727" s="544" t="s">
        <v>37</v>
      </c>
      <c r="Y727" s="544">
        <v>0.49</v>
      </c>
      <c r="Z727" s="544" t="s">
        <v>284</v>
      </c>
      <c r="AA727" s="544">
        <v>0.84</v>
      </c>
      <c r="AB727" s="544" t="s">
        <v>37</v>
      </c>
      <c r="AF727" s="553">
        <f t="shared" si="302"/>
        <v>4.8751973232011512</v>
      </c>
      <c r="AG727" s="553">
        <f t="shared" si="303"/>
        <v>4.8753499833037299</v>
      </c>
      <c r="AH727" s="554"/>
      <c r="AI727" s="554"/>
      <c r="AJ727" s="553"/>
      <c r="AK727" s="555">
        <f t="shared" si="304"/>
        <v>342.87305802997236</v>
      </c>
      <c r="AL727" s="555">
        <f t="shared" si="305"/>
        <v>342.89305802997234</v>
      </c>
      <c r="AM727" s="553">
        <f t="shared" si="306"/>
        <v>5.8373602854574695</v>
      </c>
      <c r="AN727" s="553">
        <f t="shared" si="307"/>
        <v>5.8374186143819742</v>
      </c>
      <c r="AO727" s="556"/>
      <c r="AP727" s="556"/>
      <c r="AR727" s="553">
        <f t="shared" si="308"/>
        <v>107.87284526903976</v>
      </c>
      <c r="AS727" s="553">
        <f t="shared" si="309"/>
        <v>107.879137559597</v>
      </c>
      <c r="AT727" s="553">
        <f t="shared" si="310"/>
        <v>4.6809531748730686</v>
      </c>
      <c r="AU727" s="553">
        <f t="shared" si="311"/>
        <v>4.6810115037975732</v>
      </c>
      <c r="AV727" s="556"/>
      <c r="AW727" s="556"/>
      <c r="AX727" s="553"/>
      <c r="AY727" s="553"/>
      <c r="AZ727" s="553"/>
      <c r="BA727" s="553"/>
      <c r="BB727" s="553"/>
      <c r="BC727" s="553"/>
      <c r="BD727" s="554"/>
      <c r="BE727" s="554"/>
    </row>
    <row r="728" spans="1:57" s="545" customFormat="1" x14ac:dyDescent="0.2">
      <c r="A728" s="549" t="s">
        <v>227</v>
      </c>
      <c r="B728" s="549" t="s">
        <v>35</v>
      </c>
      <c r="C728" s="550" t="s">
        <v>264</v>
      </c>
      <c r="D728" s="549" t="s">
        <v>266</v>
      </c>
      <c r="E728" s="551">
        <v>5.5</v>
      </c>
      <c r="F728" s="545">
        <f t="shared" si="299"/>
        <v>1.5516000000000001</v>
      </c>
      <c r="G728" s="551">
        <v>0.9</v>
      </c>
      <c r="H728" s="551">
        <v>60</v>
      </c>
      <c r="I728" s="551">
        <v>13</v>
      </c>
      <c r="J728" s="551">
        <v>0.02</v>
      </c>
      <c r="K728" s="551">
        <v>7</v>
      </c>
      <c r="L728" s="551">
        <v>5</v>
      </c>
      <c r="M728" s="551" t="s">
        <v>104</v>
      </c>
      <c r="N728" s="551">
        <v>2.2999999999999998</v>
      </c>
      <c r="O728" s="545">
        <f t="shared" si="300"/>
        <v>2.3199999999999998</v>
      </c>
      <c r="P728" s="545" t="s">
        <v>248</v>
      </c>
      <c r="R728" s="552">
        <f t="shared" si="301"/>
        <v>4.3068427278791388</v>
      </c>
      <c r="S728" s="544">
        <v>0.49</v>
      </c>
      <c r="T728" s="544" t="s">
        <v>284</v>
      </c>
      <c r="U728" s="544">
        <v>0.84</v>
      </c>
      <c r="V728" s="544" t="s">
        <v>37</v>
      </c>
      <c r="Y728" s="544">
        <v>0.49</v>
      </c>
      <c r="Z728" s="544" t="s">
        <v>284</v>
      </c>
      <c r="AA728" s="544">
        <v>0.84</v>
      </c>
      <c r="AB728" s="544" t="s">
        <v>37</v>
      </c>
      <c r="AF728" s="553">
        <f t="shared" si="302"/>
        <v>0.83290912293510388</v>
      </c>
      <c r="AG728" s="553">
        <f t="shared" si="303"/>
        <v>0.84156718567821853</v>
      </c>
      <c r="AH728" s="554"/>
      <c r="AI728" s="554"/>
      <c r="AJ728" s="553"/>
      <c r="AK728" s="555">
        <f t="shared" si="304"/>
        <v>9.9057382741220188</v>
      </c>
      <c r="AL728" s="555">
        <f t="shared" si="305"/>
        <v>9.9257382741220184</v>
      </c>
      <c r="AM728" s="553">
        <f t="shared" si="306"/>
        <v>2.2931142128723287</v>
      </c>
      <c r="AN728" s="553">
        <f t="shared" si="307"/>
        <v>2.2951312091087712</v>
      </c>
      <c r="AO728" s="556"/>
      <c r="AP728" s="556"/>
      <c r="AR728" s="553">
        <f t="shared" si="308"/>
        <v>12.868832847494994</v>
      </c>
      <c r="AS728" s="553">
        <f t="shared" si="309"/>
        <v>12.894815429492166</v>
      </c>
      <c r="AT728" s="553">
        <f t="shared" si="310"/>
        <v>2.5548083296553177</v>
      </c>
      <c r="AU728" s="553">
        <f t="shared" si="311"/>
        <v>2.5568253258917606</v>
      </c>
      <c r="AV728" s="556"/>
      <c r="AW728" s="556"/>
      <c r="AX728" s="553"/>
      <c r="AY728" s="553"/>
      <c r="AZ728" s="553"/>
      <c r="BA728" s="553"/>
      <c r="BB728" s="553"/>
      <c r="BC728" s="553"/>
      <c r="BD728" s="554"/>
      <c r="BE728" s="554"/>
    </row>
    <row r="729" spans="1:57" s="545" customFormat="1" x14ac:dyDescent="0.2">
      <c r="A729" s="549" t="s">
        <v>227</v>
      </c>
      <c r="B729" s="549" t="s">
        <v>35</v>
      </c>
      <c r="C729" s="550" t="s">
        <v>264</v>
      </c>
      <c r="D729" s="549" t="s">
        <v>266</v>
      </c>
      <c r="E729" s="551">
        <v>6.6</v>
      </c>
      <c r="F729" s="545">
        <f t="shared" si="299"/>
        <v>20.687999999999999</v>
      </c>
      <c r="G729" s="551">
        <v>12</v>
      </c>
      <c r="H729" s="551">
        <v>19</v>
      </c>
      <c r="I729" s="551">
        <v>42</v>
      </c>
      <c r="J729" s="551">
        <v>0.02</v>
      </c>
      <c r="K729" s="551">
        <v>7</v>
      </c>
      <c r="L729" s="551">
        <v>5</v>
      </c>
      <c r="M729" s="551" t="s">
        <v>104</v>
      </c>
      <c r="N729" s="551">
        <v>301</v>
      </c>
      <c r="O729" s="545">
        <f t="shared" si="300"/>
        <v>301.02</v>
      </c>
      <c r="P729" s="545" t="s">
        <v>248</v>
      </c>
      <c r="R729" s="552">
        <f t="shared" si="301"/>
        <v>1.7105021714920636</v>
      </c>
      <c r="S729" s="544">
        <v>0.49</v>
      </c>
      <c r="T729" s="544" t="s">
        <v>284</v>
      </c>
      <c r="U729" s="544">
        <v>0.84</v>
      </c>
      <c r="V729" s="544" t="s">
        <v>37</v>
      </c>
      <c r="Y729" s="544">
        <v>0.49</v>
      </c>
      <c r="Z729" s="544" t="s">
        <v>284</v>
      </c>
      <c r="AA729" s="544">
        <v>0.84</v>
      </c>
      <c r="AB729" s="544" t="s">
        <v>37</v>
      </c>
      <c r="AF729" s="553">
        <f t="shared" si="302"/>
        <v>5.7071102647488754</v>
      </c>
      <c r="AG729" s="553">
        <f t="shared" si="303"/>
        <v>5.7071767077242166</v>
      </c>
      <c r="AH729" s="554"/>
      <c r="AI729" s="554"/>
      <c r="AJ729" s="553"/>
      <c r="AK729" s="555">
        <f t="shared" si="304"/>
        <v>514.86115361911118</v>
      </c>
      <c r="AL729" s="555">
        <f t="shared" si="305"/>
        <v>514.88115361911116</v>
      </c>
      <c r="AM729" s="553">
        <f t="shared" si="306"/>
        <v>6.2438972596907911</v>
      </c>
      <c r="AN729" s="553">
        <f t="shared" si="307"/>
        <v>6.2439361043606896</v>
      </c>
      <c r="AO729" s="556"/>
      <c r="AP729" s="556"/>
      <c r="AR729" s="553">
        <f t="shared" si="308"/>
        <v>70.194885083232876</v>
      </c>
      <c r="AS729" s="553">
        <f t="shared" si="309"/>
        <v>70.19761183333199</v>
      </c>
      <c r="AT729" s="553">
        <f t="shared" si="310"/>
        <v>4.2512754463149864</v>
      </c>
      <c r="AU729" s="553">
        <f t="shared" si="311"/>
        <v>4.2513142909848849</v>
      </c>
      <c r="AV729" s="556"/>
      <c r="AW729" s="556"/>
      <c r="AX729" s="553"/>
      <c r="AY729" s="553"/>
      <c r="AZ729" s="553"/>
      <c r="BA729" s="553"/>
      <c r="BB729" s="553"/>
      <c r="BC729" s="553"/>
      <c r="BD729" s="554"/>
      <c r="BE729" s="554"/>
    </row>
    <row r="730" spans="1:57" s="560" customFormat="1" x14ac:dyDescent="0.2">
      <c r="A730" s="557" t="s">
        <v>227</v>
      </c>
      <c r="B730" s="557" t="s">
        <v>35</v>
      </c>
      <c r="C730" s="558" t="s">
        <v>264</v>
      </c>
      <c r="D730" s="557" t="s">
        <v>266</v>
      </c>
      <c r="E730" s="559">
        <v>8</v>
      </c>
      <c r="F730" s="560">
        <f t="shared" si="299"/>
        <v>3.1032000000000002</v>
      </c>
      <c r="G730" s="559">
        <v>1.8</v>
      </c>
      <c r="H730" s="559">
        <v>12</v>
      </c>
      <c r="I730" s="559">
        <v>13</v>
      </c>
      <c r="J730" s="559">
        <v>0.02</v>
      </c>
      <c r="K730" s="559">
        <v>7</v>
      </c>
      <c r="L730" s="559">
        <v>5</v>
      </c>
      <c r="M730" s="559" t="s">
        <v>104</v>
      </c>
      <c r="N730" s="559">
        <v>45</v>
      </c>
      <c r="O730" s="560">
        <f t="shared" si="300"/>
        <v>45.02</v>
      </c>
      <c r="P730" s="560" t="s">
        <v>248</v>
      </c>
      <c r="R730" s="561">
        <f t="shared" si="301"/>
        <v>2.1574209985336794</v>
      </c>
      <c r="S730" s="560">
        <v>0.49</v>
      </c>
      <c r="T730" s="560" t="s">
        <v>284</v>
      </c>
      <c r="U730" s="560">
        <v>0.84</v>
      </c>
      <c r="V730" s="560" t="s">
        <v>37</v>
      </c>
      <c r="Y730" s="560">
        <v>0.49</v>
      </c>
      <c r="Z730" s="560" t="s">
        <v>284</v>
      </c>
      <c r="AA730" s="560">
        <v>0.84</v>
      </c>
      <c r="AB730" s="560" t="s">
        <v>37</v>
      </c>
      <c r="AF730" s="562">
        <f t="shared" si="302"/>
        <v>3.8066624897703196</v>
      </c>
      <c r="AG730" s="562">
        <f t="shared" si="303"/>
        <v>3.8071068354785864</v>
      </c>
      <c r="AH730" s="563"/>
      <c r="AI730" s="563"/>
      <c r="AJ730" s="562"/>
      <c r="AK730" s="564">
        <f t="shared" si="304"/>
        <v>97.083944934015577</v>
      </c>
      <c r="AL730" s="564">
        <f t="shared" si="305"/>
        <v>97.103944934015573</v>
      </c>
      <c r="AM730" s="562">
        <f t="shared" si="306"/>
        <v>4.5755760159414738</v>
      </c>
      <c r="AN730" s="562">
        <f t="shared" si="307"/>
        <v>4.5757820020107838</v>
      </c>
      <c r="AO730" s="565"/>
      <c r="AP730" s="565"/>
      <c r="AR730" s="562">
        <f t="shared" si="308"/>
        <v>89.803864980157599</v>
      </c>
      <c r="AS730" s="562">
        <f t="shared" si="309"/>
        <v>89.822365230645175</v>
      </c>
      <c r="AT730" s="562">
        <f t="shared" si="310"/>
        <v>4.4976280142500897</v>
      </c>
      <c r="AU730" s="562">
        <f t="shared" si="311"/>
        <v>4.4978340003193997</v>
      </c>
      <c r="AV730" s="565"/>
      <c r="AW730" s="565"/>
      <c r="AX730" s="562"/>
      <c r="AY730" s="562"/>
      <c r="AZ730" s="562"/>
      <c r="BA730" s="562"/>
      <c r="BB730" s="562"/>
      <c r="BC730" s="562"/>
      <c r="BD730" s="563"/>
      <c r="BE730" s="563"/>
    </row>
    <row r="731" spans="1:57" s="544" customFormat="1" x14ac:dyDescent="0.2">
      <c r="A731" s="541" t="s">
        <v>227</v>
      </c>
      <c r="B731" s="541" t="s">
        <v>35</v>
      </c>
      <c r="C731" s="542" t="s">
        <v>79</v>
      </c>
      <c r="D731" s="541" t="s">
        <v>267</v>
      </c>
      <c r="E731" s="543">
        <v>6.57</v>
      </c>
      <c r="G731" s="543">
        <v>0.1</v>
      </c>
      <c r="H731" s="543">
        <v>1</v>
      </c>
      <c r="I731" s="543">
        <v>1.5</v>
      </c>
      <c r="J731" s="543">
        <v>0.01</v>
      </c>
      <c r="K731" s="543"/>
      <c r="L731" s="543">
        <v>17</v>
      </c>
      <c r="M731" s="543" t="s">
        <v>104</v>
      </c>
      <c r="N731" s="544">
        <v>10.02</v>
      </c>
      <c r="O731" s="543">
        <f t="shared" si="300"/>
        <v>10.029999999999999</v>
      </c>
      <c r="P731" s="541" t="s">
        <v>250</v>
      </c>
      <c r="Q731" s="541"/>
      <c r="R731" s="546">
        <f t="shared" si="301"/>
        <v>4.0629533808356095</v>
      </c>
      <c r="S731" s="544">
        <v>0.6</v>
      </c>
      <c r="T731" s="544" t="s">
        <v>284</v>
      </c>
      <c r="U731" s="544">
        <v>4.0599999999999996</v>
      </c>
      <c r="V731" s="544" t="s">
        <v>285</v>
      </c>
      <c r="Y731" s="544">
        <v>0.6</v>
      </c>
      <c r="Z731" s="544" t="s">
        <v>284</v>
      </c>
      <c r="AA731" s="544">
        <v>4.0599999999999996</v>
      </c>
      <c r="AB731" s="544" t="s">
        <v>285</v>
      </c>
      <c r="AF731" s="547">
        <f t="shared" si="302"/>
        <v>2.3045830956567186</v>
      </c>
      <c r="AG731" s="547">
        <f t="shared" si="303"/>
        <v>2.3055806019738441</v>
      </c>
      <c r="AH731" s="566"/>
      <c r="AI731" s="566"/>
      <c r="AJ731" s="547"/>
      <c r="AK731" s="548">
        <f t="shared" si="304"/>
        <v>40.710792875972807</v>
      </c>
      <c r="AL731" s="548">
        <f t="shared" si="305"/>
        <v>40.720792875972805</v>
      </c>
      <c r="AM731" s="547">
        <f t="shared" si="306"/>
        <v>3.7064932385220555</v>
      </c>
      <c r="AN731" s="547">
        <f t="shared" si="307"/>
        <v>3.7067388434665722</v>
      </c>
      <c r="AO731" s="567"/>
      <c r="AP731" s="567"/>
      <c r="AR731" s="547">
        <f>AK731*((OC/G731)^S731)*((pH/E731)^U731)</f>
        <v>233.22039932409328</v>
      </c>
      <c r="AS731" s="547">
        <f>AL731*((OC/G731)^Y731)*((pH/E731)^AA731)</f>
        <v>233.27768644204119</v>
      </c>
      <c r="AT731" s="547">
        <f t="shared" si="310"/>
        <v>5.4519839263113425</v>
      </c>
      <c r="AU731" s="547">
        <f t="shared" si="311"/>
        <v>5.4522295312558589</v>
      </c>
      <c r="AV731" s="567"/>
      <c r="AW731" s="567"/>
      <c r="AX731" s="547">
        <f>GEOMEAN(AR731)</f>
        <v>233.22039932409328</v>
      </c>
      <c r="AY731" s="547">
        <f t="shared" ref="AY731:AY738" si="312">GEOMEAN(AS731)</f>
        <v>233.27768644204119</v>
      </c>
      <c r="AZ731" s="287">
        <f>MIN(AX731:AX735)</f>
        <v>2.7930586745400392</v>
      </c>
      <c r="BA731" s="287">
        <f>MIN(AY731:AY735)</f>
        <v>2.8503457924880018</v>
      </c>
      <c r="BB731" s="287">
        <f>LN(AZ731)</f>
        <v>1.0271372944545323</v>
      </c>
      <c r="BC731" s="287">
        <f>LN(BA731)</f>
        <v>1.0474403176181299</v>
      </c>
      <c r="BD731" s="288"/>
      <c r="BE731" s="288"/>
    </row>
    <row r="732" spans="1:57" s="545" customFormat="1" x14ac:dyDescent="0.2">
      <c r="A732" s="549" t="s">
        <v>227</v>
      </c>
      <c r="B732" s="549" t="s">
        <v>35</v>
      </c>
      <c r="C732" s="550" t="s">
        <v>79</v>
      </c>
      <c r="D732" s="549" t="s">
        <v>208</v>
      </c>
      <c r="E732" s="551">
        <v>6.57</v>
      </c>
      <c r="G732" s="551">
        <v>0.1</v>
      </c>
      <c r="H732" s="551">
        <v>1</v>
      </c>
      <c r="I732" s="551">
        <v>1.5</v>
      </c>
      <c r="J732" s="551">
        <v>0.01</v>
      </c>
      <c r="K732" s="551"/>
      <c r="L732" s="551">
        <v>17</v>
      </c>
      <c r="M732" s="551" t="s">
        <v>104</v>
      </c>
      <c r="N732" s="545">
        <v>0.12000000000000001</v>
      </c>
      <c r="O732" s="551">
        <f t="shared" si="300"/>
        <v>0.13</v>
      </c>
      <c r="P732" s="549" t="s">
        <v>250</v>
      </c>
      <c r="Q732" s="549"/>
      <c r="R732" s="552">
        <f t="shared" si="301"/>
        <v>4.0629533808356095</v>
      </c>
      <c r="S732" s="545">
        <v>0.6</v>
      </c>
      <c r="T732" s="545" t="s">
        <v>284</v>
      </c>
      <c r="U732" s="545">
        <v>4.0599999999999996</v>
      </c>
      <c r="V732" s="545" t="s">
        <v>285</v>
      </c>
      <c r="Y732" s="545">
        <v>0.6</v>
      </c>
      <c r="Z732" s="545" t="s">
        <v>284</v>
      </c>
      <c r="AA732" s="545">
        <v>4.0599999999999996</v>
      </c>
      <c r="AB732" s="545" t="s">
        <v>285</v>
      </c>
      <c r="AF732" s="553">
        <f t="shared" si="302"/>
        <v>-2.120263536200091</v>
      </c>
      <c r="AG732" s="553">
        <f t="shared" si="303"/>
        <v>-2.0402208285265546</v>
      </c>
      <c r="AH732" s="554"/>
      <c r="AI732" s="554"/>
      <c r="AJ732" s="553"/>
      <c r="AK732" s="555">
        <f t="shared" si="304"/>
        <v>0.4875544057002732</v>
      </c>
      <c r="AL732" s="555">
        <f t="shared" si="305"/>
        <v>0.49755440570027321</v>
      </c>
      <c r="AM732" s="553">
        <f t="shared" si="306"/>
        <v>-0.71835339333475434</v>
      </c>
      <c r="AN732" s="553">
        <f t="shared" si="307"/>
        <v>-0.69805037017115679</v>
      </c>
      <c r="AO732" s="556"/>
      <c r="AP732" s="556"/>
      <c r="AR732" s="553">
        <f>AK732*((OC/G732)^S732)*((pH/E732)^U732)</f>
        <v>2.7930586745400392</v>
      </c>
      <c r="AS732" s="553">
        <f>AL732*((OC/G732)^Y732)*((pH/E732)^AA732)</f>
        <v>2.8503457924880018</v>
      </c>
      <c r="AT732" s="553">
        <f t="shared" si="310"/>
        <v>1.0271372944545323</v>
      </c>
      <c r="AU732" s="553">
        <f t="shared" si="311"/>
        <v>1.0474403176181299</v>
      </c>
      <c r="AV732" s="556"/>
      <c r="AW732" s="556"/>
      <c r="AX732" s="553">
        <f t="shared" ref="AX732:AX739" si="313">GEOMEAN(AR732)</f>
        <v>2.7930586745400392</v>
      </c>
      <c r="AY732" s="553">
        <f t="shared" si="312"/>
        <v>2.8503457924880018</v>
      </c>
      <c r="AZ732" s="553"/>
      <c r="BA732" s="553"/>
      <c r="BB732" s="553"/>
      <c r="BC732" s="553"/>
      <c r="BD732" s="554"/>
      <c r="BE732" s="554"/>
    </row>
    <row r="733" spans="1:57" s="545" customFormat="1" x14ac:dyDescent="0.2">
      <c r="A733" s="549" t="s">
        <v>227</v>
      </c>
      <c r="B733" s="549" t="s">
        <v>35</v>
      </c>
      <c r="C733" s="550" t="s">
        <v>79</v>
      </c>
      <c r="D733" s="549" t="s">
        <v>268</v>
      </c>
      <c r="E733" s="551">
        <v>6.57</v>
      </c>
      <c r="G733" s="551">
        <v>0.1</v>
      </c>
      <c r="H733" s="551">
        <v>1</v>
      </c>
      <c r="I733" s="551">
        <v>1.5</v>
      </c>
      <c r="J733" s="551">
        <v>0.01</v>
      </c>
      <c r="K733" s="551"/>
      <c r="L733" s="551">
        <v>17</v>
      </c>
      <c r="M733" s="551" t="s">
        <v>104</v>
      </c>
      <c r="N733" s="545">
        <v>0.39999999999999997</v>
      </c>
      <c r="O733" s="551">
        <f t="shared" si="300"/>
        <v>0.41</v>
      </c>
      <c r="P733" s="549" t="s">
        <v>250</v>
      </c>
      <c r="Q733" s="549"/>
      <c r="R733" s="552">
        <f t="shared" si="301"/>
        <v>4.0629533808356095</v>
      </c>
      <c r="S733" s="545">
        <v>0.6</v>
      </c>
      <c r="T733" s="545" t="s">
        <v>284</v>
      </c>
      <c r="U733" s="545">
        <v>4.0599999999999996</v>
      </c>
      <c r="V733" s="545" t="s">
        <v>285</v>
      </c>
      <c r="Y733" s="545">
        <v>0.6</v>
      </c>
      <c r="Z733" s="545" t="s">
        <v>284</v>
      </c>
      <c r="AA733" s="545">
        <v>4.0599999999999996</v>
      </c>
      <c r="AB733" s="545" t="s">
        <v>285</v>
      </c>
      <c r="AF733" s="553">
        <f t="shared" si="302"/>
        <v>-0.91629073187415511</v>
      </c>
      <c r="AG733" s="553">
        <f t="shared" si="303"/>
        <v>-0.89159811928378363</v>
      </c>
      <c r="AH733" s="554"/>
      <c r="AI733" s="554"/>
      <c r="AJ733" s="553"/>
      <c r="AK733" s="555">
        <f t="shared" si="304"/>
        <v>1.6251813523342438</v>
      </c>
      <c r="AL733" s="555">
        <f t="shared" si="305"/>
        <v>1.6351813523342438</v>
      </c>
      <c r="AM733" s="553">
        <f t="shared" si="306"/>
        <v>0.4856194109911815</v>
      </c>
      <c r="AN733" s="553">
        <f t="shared" si="307"/>
        <v>0.49175371705703963</v>
      </c>
      <c r="AO733" s="556"/>
      <c r="AP733" s="556"/>
      <c r="AR733" s="553">
        <f>AK733*((OC/G733)^S733)*((pH/E733)^U733)</f>
        <v>9.3101955818001301</v>
      </c>
      <c r="AS733" s="553">
        <f>AL733*((OC/G733)^Y733)*((pH/E733)^AA733)</f>
        <v>9.3674826997480931</v>
      </c>
      <c r="AT733" s="553">
        <f t="shared" si="310"/>
        <v>2.2311100987804684</v>
      </c>
      <c r="AU733" s="553">
        <f t="shared" si="311"/>
        <v>2.2372444048463263</v>
      </c>
      <c r="AV733" s="556"/>
      <c r="AW733" s="556"/>
      <c r="AX733" s="553">
        <f t="shared" si="313"/>
        <v>9.3101955818001301</v>
      </c>
      <c r="AY733" s="553">
        <f t="shared" si="312"/>
        <v>9.3674826997480931</v>
      </c>
      <c r="AZ733" s="553"/>
      <c r="BA733" s="553"/>
      <c r="BB733" s="553"/>
      <c r="BC733" s="553"/>
      <c r="BD733" s="554"/>
      <c r="BE733" s="554"/>
    </row>
    <row r="734" spans="1:57" s="545" customFormat="1" x14ac:dyDescent="0.2">
      <c r="A734" s="549" t="s">
        <v>227</v>
      </c>
      <c r="B734" s="549" t="s">
        <v>35</v>
      </c>
      <c r="C734" s="550" t="s">
        <v>79</v>
      </c>
      <c r="D734" s="549" t="s">
        <v>269</v>
      </c>
      <c r="E734" s="551">
        <v>6.57</v>
      </c>
      <c r="G734" s="551">
        <v>0.1</v>
      </c>
      <c r="H734" s="551">
        <v>1</v>
      </c>
      <c r="I734" s="551">
        <v>1.5</v>
      </c>
      <c r="J734" s="551">
        <v>0.01</v>
      </c>
      <c r="K734" s="551"/>
      <c r="L734" s="551">
        <v>17</v>
      </c>
      <c r="M734" s="551" t="s">
        <v>104</v>
      </c>
      <c r="N734" s="545">
        <v>0.13</v>
      </c>
      <c r="O734" s="551">
        <f t="shared" si="300"/>
        <v>0.14000000000000001</v>
      </c>
      <c r="P734" s="549" t="s">
        <v>250</v>
      </c>
      <c r="Q734" s="549"/>
      <c r="R734" s="552">
        <f t="shared" si="301"/>
        <v>4.0629533808356095</v>
      </c>
      <c r="S734" s="545">
        <v>0.6</v>
      </c>
      <c r="T734" s="545" t="s">
        <v>284</v>
      </c>
      <c r="U734" s="545">
        <v>4.0599999999999996</v>
      </c>
      <c r="V734" s="545" t="s">
        <v>285</v>
      </c>
      <c r="Y734" s="545">
        <v>0.6</v>
      </c>
      <c r="Z734" s="545" t="s">
        <v>284</v>
      </c>
      <c r="AA734" s="545">
        <v>4.0599999999999996</v>
      </c>
      <c r="AB734" s="545" t="s">
        <v>285</v>
      </c>
      <c r="AF734" s="553">
        <f t="shared" si="302"/>
        <v>-2.0402208285265546</v>
      </c>
      <c r="AG734" s="553">
        <f t="shared" si="303"/>
        <v>-1.9661128563728327</v>
      </c>
      <c r="AH734" s="554"/>
      <c r="AI734" s="554"/>
      <c r="AJ734" s="553"/>
      <c r="AK734" s="555">
        <f t="shared" si="304"/>
        <v>0.5281839395086293</v>
      </c>
      <c r="AL734" s="555">
        <f t="shared" si="305"/>
        <v>0.53818393950862931</v>
      </c>
      <c r="AM734" s="553">
        <f t="shared" si="306"/>
        <v>-0.63831068566121796</v>
      </c>
      <c r="AN734" s="553">
        <f t="shared" si="307"/>
        <v>-0.61955488225567679</v>
      </c>
      <c r="AO734" s="556"/>
      <c r="AP734" s="556"/>
      <c r="AR734" s="553">
        <f>AK734*((OC/G734)^S734)*((pH/E734)^U734)</f>
        <v>3.0258135640850425</v>
      </c>
      <c r="AS734" s="553">
        <f>AL734*((OC/G734)^Y734)*((pH/E734)^AA734)</f>
        <v>3.0831006820330051</v>
      </c>
      <c r="AT734" s="553">
        <f t="shared" si="310"/>
        <v>1.1071800021280689</v>
      </c>
      <c r="AU734" s="553">
        <f t="shared" si="311"/>
        <v>1.1259358055336099</v>
      </c>
      <c r="AV734" s="556"/>
      <c r="AW734" s="556"/>
      <c r="AX734" s="553">
        <f t="shared" si="313"/>
        <v>3.0258135640850425</v>
      </c>
      <c r="AY734" s="553">
        <f t="shared" si="312"/>
        <v>3.0831006820330051</v>
      </c>
      <c r="AZ734" s="553"/>
      <c r="BA734" s="553"/>
      <c r="BB734" s="553"/>
      <c r="BC734" s="553"/>
      <c r="BD734" s="554"/>
      <c r="BE734" s="554"/>
    </row>
    <row r="735" spans="1:57" s="560" customFormat="1" x14ac:dyDescent="0.2">
      <c r="A735" s="557" t="s">
        <v>227</v>
      </c>
      <c r="B735" s="557" t="s">
        <v>35</v>
      </c>
      <c r="C735" s="558" t="s">
        <v>79</v>
      </c>
      <c r="D735" s="557" t="s">
        <v>255</v>
      </c>
      <c r="E735" s="559">
        <v>6.57</v>
      </c>
      <c r="G735" s="559">
        <v>0.1</v>
      </c>
      <c r="H735" s="559">
        <v>1</v>
      </c>
      <c r="I735" s="559">
        <v>1.5</v>
      </c>
      <c r="J735" s="559">
        <v>0.01</v>
      </c>
      <c r="K735" s="559"/>
      <c r="L735" s="559">
        <v>17</v>
      </c>
      <c r="M735" s="559" t="s">
        <v>104</v>
      </c>
      <c r="N735" s="560">
        <v>7.84</v>
      </c>
      <c r="O735" s="559">
        <f t="shared" si="300"/>
        <v>7.85</v>
      </c>
      <c r="P735" s="557" t="s">
        <v>250</v>
      </c>
      <c r="Q735" s="557"/>
      <c r="R735" s="561">
        <f t="shared" si="301"/>
        <v>4.0629533808356095</v>
      </c>
      <c r="S735" s="560">
        <v>0.6</v>
      </c>
      <c r="T735" s="560" t="s">
        <v>284</v>
      </c>
      <c r="U735" s="560">
        <v>4.0599999999999996</v>
      </c>
      <c r="V735" s="560" t="s">
        <v>285</v>
      </c>
      <c r="Y735" s="560">
        <v>0.6</v>
      </c>
      <c r="Z735" s="560" t="s">
        <v>284</v>
      </c>
      <c r="AA735" s="560">
        <v>4.0599999999999996</v>
      </c>
      <c r="AB735" s="560" t="s">
        <v>285</v>
      </c>
      <c r="AF735" s="562">
        <f t="shared" si="302"/>
        <v>2.0592388343623163</v>
      </c>
      <c r="AG735" s="562">
        <f t="shared" si="303"/>
        <v>2.0605135317943168</v>
      </c>
      <c r="AH735" s="563"/>
      <c r="AI735" s="563"/>
      <c r="AJ735" s="562"/>
      <c r="AK735" s="564">
        <f t="shared" si="304"/>
        <v>31.853554505751177</v>
      </c>
      <c r="AL735" s="564">
        <f t="shared" si="305"/>
        <v>31.863554505751178</v>
      </c>
      <c r="AM735" s="562">
        <f t="shared" si="306"/>
        <v>3.4611489772276531</v>
      </c>
      <c r="AN735" s="562">
        <f t="shared" si="307"/>
        <v>3.4614628646665917</v>
      </c>
      <c r="AO735" s="565"/>
      <c r="AP735" s="565"/>
      <c r="AR735" s="562">
        <f>AK735*((OC/G735)^S735)*((pH/E735)^U735)</f>
        <v>182.47983340328253</v>
      </c>
      <c r="AS735" s="562">
        <f>AL735*((OC/G735)^Y735)*((pH/E735)^AA735)</f>
        <v>182.53712052123049</v>
      </c>
      <c r="AT735" s="562">
        <f t="shared" si="310"/>
        <v>5.2066396650169393</v>
      </c>
      <c r="AU735" s="562">
        <f t="shared" si="311"/>
        <v>5.2069535524558788</v>
      </c>
      <c r="AV735" s="565"/>
      <c r="AW735" s="565"/>
      <c r="AX735" s="562">
        <f t="shared" si="313"/>
        <v>182.47983340328253</v>
      </c>
      <c r="AY735" s="562">
        <f t="shared" si="312"/>
        <v>182.53712052123049</v>
      </c>
      <c r="AZ735" s="562"/>
      <c r="BA735" s="562"/>
      <c r="BB735" s="562"/>
      <c r="BC735" s="562"/>
      <c r="BD735" s="563"/>
      <c r="BE735" s="563"/>
    </row>
    <row r="736" spans="1:57" s="544" customFormat="1" x14ac:dyDescent="0.2">
      <c r="A736" s="541" t="s">
        <v>227</v>
      </c>
      <c r="B736" s="541" t="s">
        <v>35</v>
      </c>
      <c r="C736" s="542" t="s">
        <v>40</v>
      </c>
      <c r="D736" s="541" t="s">
        <v>266</v>
      </c>
      <c r="E736" s="543">
        <v>6.57</v>
      </c>
      <c r="G736" s="543">
        <v>0.1</v>
      </c>
      <c r="H736" s="543">
        <v>1</v>
      </c>
      <c r="I736" s="543">
        <v>1.5</v>
      </c>
      <c r="J736" s="543">
        <v>0.01</v>
      </c>
      <c r="K736" s="543"/>
      <c r="L736" s="543">
        <v>18</v>
      </c>
      <c r="M736" s="543" t="s">
        <v>104</v>
      </c>
      <c r="N736" s="544">
        <v>0.6</v>
      </c>
      <c r="O736" s="543">
        <f t="shared" si="300"/>
        <v>0.61</v>
      </c>
      <c r="P736" s="544" t="s">
        <v>250</v>
      </c>
      <c r="R736" s="546">
        <f t="shared" si="301"/>
        <v>4.0629533808356095</v>
      </c>
      <c r="S736" s="544">
        <v>0.49</v>
      </c>
      <c r="T736" s="544" t="s">
        <v>284</v>
      </c>
      <c r="U736" s="544">
        <v>0.84</v>
      </c>
      <c r="V736" s="544" t="s">
        <v>37</v>
      </c>
      <c r="Y736" s="544">
        <v>0.49</v>
      </c>
      <c r="Z736" s="544" t="s">
        <v>284</v>
      </c>
      <c r="AA736" s="544">
        <v>0.84</v>
      </c>
      <c r="AB736" s="544" t="s">
        <v>37</v>
      </c>
      <c r="AF736" s="547">
        <f t="shared" si="302"/>
        <v>-0.51082562376599072</v>
      </c>
      <c r="AG736" s="547">
        <f t="shared" si="303"/>
        <v>-0.49429632181478012</v>
      </c>
      <c r="AH736" s="566"/>
      <c r="AI736" s="566"/>
      <c r="AJ736" s="547"/>
      <c r="AK736" s="548">
        <f t="shared" si="304"/>
        <v>2.4377720285013655</v>
      </c>
      <c r="AL736" s="548">
        <f t="shared" si="305"/>
        <v>2.4477720285013653</v>
      </c>
      <c r="AM736" s="547">
        <f t="shared" si="306"/>
        <v>0.89108451909934583</v>
      </c>
      <c r="AN736" s="547">
        <f t="shared" si="307"/>
        <v>0.89517823470143321</v>
      </c>
      <c r="AO736" s="567"/>
      <c r="AP736" s="567"/>
      <c r="AR736" s="547">
        <f>AK736*((OC/G736)^S736)*((eCEC/I736)^U736)</f>
        <v>57.01905146589975</v>
      </c>
      <c r="AS736" s="547">
        <f>AL736*((OC/G736)^Y736)*((eCEC/I736)^AA736)</f>
        <v>57.252949676229754</v>
      </c>
      <c r="AT736" s="547">
        <f t="shared" si="310"/>
        <v>4.0433854482339155</v>
      </c>
      <c r="AU736" s="547">
        <f t="shared" si="311"/>
        <v>4.0474791638360026</v>
      </c>
      <c r="AV736" s="567"/>
      <c r="AW736" s="567"/>
      <c r="AX736" s="547">
        <f t="shared" si="313"/>
        <v>57.01905146589975</v>
      </c>
      <c r="AY736" s="547">
        <f t="shared" si="312"/>
        <v>57.252949676229754</v>
      </c>
      <c r="AZ736" s="287">
        <f>MIN(AX736:AX739)</f>
        <v>57.01905146589975</v>
      </c>
      <c r="BA736" s="287">
        <f>MIN(AY736:AY739)</f>
        <v>57.252949676229754</v>
      </c>
      <c r="BB736" s="287">
        <f>LN(AZ736)</f>
        <v>4.0433854482339155</v>
      </c>
      <c r="BC736" s="287">
        <f>LN(BA736)</f>
        <v>4.0474791638360026</v>
      </c>
      <c r="BD736" s="288"/>
      <c r="BE736" s="288"/>
    </row>
    <row r="737" spans="1:57" s="545" customFormat="1" x14ac:dyDescent="0.2">
      <c r="A737" s="549" t="s">
        <v>227</v>
      </c>
      <c r="B737" s="549" t="s">
        <v>35</v>
      </c>
      <c r="C737" s="550" t="s">
        <v>40</v>
      </c>
      <c r="D737" s="549" t="s">
        <v>270</v>
      </c>
      <c r="E737" s="551">
        <v>6.57</v>
      </c>
      <c r="G737" s="551">
        <v>0.1</v>
      </c>
      <c r="H737" s="551">
        <v>1</v>
      </c>
      <c r="I737" s="551">
        <v>1.5</v>
      </c>
      <c r="J737" s="551">
        <v>0.01</v>
      </c>
      <c r="K737" s="551"/>
      <c r="L737" s="551">
        <v>18</v>
      </c>
      <c r="M737" s="551" t="s">
        <v>104</v>
      </c>
      <c r="N737" s="545">
        <v>3.43</v>
      </c>
      <c r="O737" s="551">
        <f t="shared" si="300"/>
        <v>3.44</v>
      </c>
      <c r="P737" s="545" t="s">
        <v>250</v>
      </c>
      <c r="R737" s="552">
        <f t="shared" si="301"/>
        <v>4.0629533808356095</v>
      </c>
      <c r="S737" s="545">
        <v>0.49</v>
      </c>
      <c r="T737" s="545" t="s">
        <v>284</v>
      </c>
      <c r="U737" s="545">
        <v>0.84</v>
      </c>
      <c r="V737" s="545" t="s">
        <v>37</v>
      </c>
      <c r="Y737" s="545">
        <v>0.49</v>
      </c>
      <c r="Z737" s="545" t="s">
        <v>284</v>
      </c>
      <c r="AA737" s="545">
        <v>0.84</v>
      </c>
      <c r="AB737" s="545" t="s">
        <v>37</v>
      </c>
      <c r="AF737" s="553">
        <f t="shared" si="302"/>
        <v>1.2325602611778486</v>
      </c>
      <c r="AG737" s="553">
        <f t="shared" si="303"/>
        <v>1.235471471385307</v>
      </c>
      <c r="AH737" s="554"/>
      <c r="AI737" s="554"/>
      <c r="AJ737" s="553"/>
      <c r="AK737" s="555">
        <f t="shared" si="304"/>
        <v>13.935930096266141</v>
      </c>
      <c r="AL737" s="555">
        <f t="shared" si="305"/>
        <v>13.945930096266141</v>
      </c>
      <c r="AM737" s="553">
        <f t="shared" si="306"/>
        <v>2.634470404043185</v>
      </c>
      <c r="AN737" s="553">
        <f t="shared" si="307"/>
        <v>2.6351877163286446</v>
      </c>
      <c r="AO737" s="556"/>
      <c r="AP737" s="556"/>
      <c r="AR737" s="553">
        <f>AK737*((OC/G737)^S737)*((eCEC/I737)^U737)</f>
        <v>325.95891088006027</v>
      </c>
      <c r="AS737" s="553">
        <f>AL737*((OC/G737)^Y737)*((eCEC/I737)^AA737)</f>
        <v>326.19280909039026</v>
      </c>
      <c r="AT737" s="553">
        <f t="shared" si="310"/>
        <v>5.7867713331777546</v>
      </c>
      <c r="AU737" s="553">
        <f t="shared" si="311"/>
        <v>5.7874886454632142</v>
      </c>
      <c r="AV737" s="556"/>
      <c r="AW737" s="556"/>
      <c r="AX737" s="553">
        <f t="shared" si="313"/>
        <v>325.95891088006027</v>
      </c>
      <c r="AY737" s="553">
        <f t="shared" si="312"/>
        <v>326.19280909039026</v>
      </c>
      <c r="AZ737" s="553"/>
      <c r="BA737" s="553"/>
      <c r="BB737" s="553"/>
      <c r="BC737" s="553"/>
      <c r="BD737" s="554"/>
      <c r="BE737" s="554"/>
    </row>
    <row r="738" spans="1:57" s="545" customFormat="1" x14ac:dyDescent="0.2">
      <c r="A738" s="549" t="s">
        <v>227</v>
      </c>
      <c r="B738" s="549" t="s">
        <v>35</v>
      </c>
      <c r="C738" s="550" t="s">
        <v>40</v>
      </c>
      <c r="D738" s="549" t="s">
        <v>271</v>
      </c>
      <c r="E738" s="551">
        <v>6.57</v>
      </c>
      <c r="G738" s="551">
        <v>0.1</v>
      </c>
      <c r="H738" s="551">
        <v>1</v>
      </c>
      <c r="I738" s="551">
        <v>1.5</v>
      </c>
      <c r="J738" s="551">
        <v>0.01</v>
      </c>
      <c r="K738" s="551"/>
      <c r="L738" s="551">
        <v>18</v>
      </c>
      <c r="M738" s="551" t="s">
        <v>104</v>
      </c>
      <c r="N738" s="545">
        <v>0.61</v>
      </c>
      <c r="O738" s="551">
        <f t="shared" si="300"/>
        <v>0.62</v>
      </c>
      <c r="P738" s="545" t="s">
        <v>250</v>
      </c>
      <c r="R738" s="552">
        <f t="shared" si="301"/>
        <v>4.0629533808356095</v>
      </c>
      <c r="S738" s="545">
        <v>0.49</v>
      </c>
      <c r="T738" s="545" t="s">
        <v>284</v>
      </c>
      <c r="U738" s="545">
        <v>0.84</v>
      </c>
      <c r="V738" s="545" t="s">
        <v>37</v>
      </c>
      <c r="Y738" s="545">
        <v>0.49</v>
      </c>
      <c r="Z738" s="545" t="s">
        <v>284</v>
      </c>
      <c r="AA738" s="545">
        <v>0.84</v>
      </c>
      <c r="AB738" s="545" t="s">
        <v>37</v>
      </c>
      <c r="AF738" s="553">
        <f t="shared" si="302"/>
        <v>-0.49429632181478012</v>
      </c>
      <c r="AG738" s="553">
        <f t="shared" si="303"/>
        <v>-0.4780358009429998</v>
      </c>
      <c r="AH738" s="554"/>
      <c r="AI738" s="554"/>
      <c r="AJ738" s="553"/>
      <c r="AK738" s="555">
        <f t="shared" si="304"/>
        <v>2.4784015623097218</v>
      </c>
      <c r="AL738" s="555">
        <f t="shared" si="305"/>
        <v>2.4884015623097215</v>
      </c>
      <c r="AM738" s="553">
        <f t="shared" si="306"/>
        <v>0.90761382105055644</v>
      </c>
      <c r="AN738" s="553">
        <f t="shared" si="307"/>
        <v>0.91164056149558315</v>
      </c>
      <c r="AO738" s="556"/>
      <c r="AP738" s="556"/>
      <c r="AR738" s="553">
        <f>AK738*((OC/G738)^S738)*((eCEC/I738)^U738)</f>
        <v>57.969368990331425</v>
      </c>
      <c r="AS738" s="553">
        <f>AL738*((OC/G738)^Y738)*((eCEC/I738)^AA738)</f>
        <v>58.203267200661415</v>
      </c>
      <c r="AT738" s="553">
        <f t="shared" si="310"/>
        <v>4.0599147501851256</v>
      </c>
      <c r="AU738" s="553">
        <f t="shared" si="311"/>
        <v>4.0639414906301523</v>
      </c>
      <c r="AV738" s="556"/>
      <c r="AW738" s="556"/>
      <c r="AX738" s="553">
        <f t="shared" si="313"/>
        <v>57.969368990331425</v>
      </c>
      <c r="AY738" s="553">
        <f t="shared" si="312"/>
        <v>58.203267200661415</v>
      </c>
      <c r="AZ738" s="553"/>
      <c r="BA738" s="553"/>
      <c r="BB738" s="553"/>
      <c r="BC738" s="553"/>
      <c r="BD738" s="554"/>
      <c r="BE738" s="554"/>
    </row>
    <row r="739" spans="1:57" s="560" customFormat="1" x14ac:dyDescent="0.2">
      <c r="A739" s="557" t="s">
        <v>227</v>
      </c>
      <c r="B739" s="557" t="s">
        <v>35</v>
      </c>
      <c r="C739" s="558" t="s">
        <v>40</v>
      </c>
      <c r="D739" s="557" t="s">
        <v>255</v>
      </c>
      <c r="E739" s="559">
        <v>6.57</v>
      </c>
      <c r="G739" s="559">
        <v>0.1</v>
      </c>
      <c r="H739" s="559">
        <v>1</v>
      </c>
      <c r="I739" s="559">
        <v>1.5</v>
      </c>
      <c r="J739" s="559">
        <v>0.01</v>
      </c>
      <c r="K739" s="559"/>
      <c r="L739" s="559">
        <v>18</v>
      </c>
      <c r="M739" s="559" t="s">
        <v>104</v>
      </c>
      <c r="N739" s="560">
        <v>21.389999999999997</v>
      </c>
      <c r="O739" s="559">
        <f t="shared" si="300"/>
        <v>21.4</v>
      </c>
      <c r="P739" s="560" t="s">
        <v>250</v>
      </c>
      <c r="R739" s="561">
        <f t="shared" si="301"/>
        <v>4.0629533808356095</v>
      </c>
      <c r="S739" s="560">
        <v>0.49</v>
      </c>
      <c r="T739" s="560" t="s">
        <v>284</v>
      </c>
      <c r="U739" s="560">
        <v>0.84</v>
      </c>
      <c r="V739" s="560" t="s">
        <v>37</v>
      </c>
      <c r="Y739" s="560">
        <v>0.49</v>
      </c>
      <c r="Z739" s="560" t="s">
        <v>284</v>
      </c>
      <c r="AA739" s="560">
        <v>0.84</v>
      </c>
      <c r="AB739" s="560" t="s">
        <v>37</v>
      </c>
      <c r="AF739" s="562">
        <f t="shared" si="302"/>
        <v>3.0629235230943141</v>
      </c>
      <c r="AG739" s="562">
        <f t="shared" si="303"/>
        <v>3.0633909220278057</v>
      </c>
      <c r="AH739" s="563"/>
      <c r="AI739" s="563"/>
      <c r="AJ739" s="562"/>
      <c r="AK739" s="564">
        <f t="shared" si="304"/>
        <v>86.906572816073677</v>
      </c>
      <c r="AL739" s="564">
        <f t="shared" si="305"/>
        <v>86.916572816073682</v>
      </c>
      <c r="AM739" s="562">
        <f t="shared" si="306"/>
        <v>4.4648336659596506</v>
      </c>
      <c r="AN739" s="562">
        <f t="shared" si="307"/>
        <v>4.4649487254354723</v>
      </c>
      <c r="AO739" s="565"/>
      <c r="AP739" s="565"/>
      <c r="AR739" s="562">
        <f>AK739*((OC/G739)^S739)*((eCEC/I739)^U739)</f>
        <v>2032.7291847593262</v>
      </c>
      <c r="AS739" s="562">
        <f>AL739*((OC/G739)^Y739)*((eCEC/I739)^AA739)</f>
        <v>2032.9630829696562</v>
      </c>
      <c r="AT739" s="562">
        <f t="shared" si="310"/>
        <v>7.6171345950942202</v>
      </c>
      <c r="AU739" s="562">
        <f t="shared" si="311"/>
        <v>7.6172496545700419</v>
      </c>
      <c r="AV739" s="565"/>
      <c r="AW739" s="565"/>
      <c r="AX739" s="562">
        <f t="shared" si="313"/>
        <v>2032.7291847593262</v>
      </c>
      <c r="AY739" s="562">
        <f>GEOMEAN(AS739)</f>
        <v>2032.9630829696562</v>
      </c>
      <c r="AZ739" s="562"/>
      <c r="BA739" s="562"/>
      <c r="BB739" s="562"/>
      <c r="BC739" s="562"/>
      <c r="BD739" s="563"/>
      <c r="BE739" s="563"/>
    </row>
    <row r="740" spans="1:57" s="544" customFormat="1" x14ac:dyDescent="0.2">
      <c r="A740" s="541" t="s">
        <v>227</v>
      </c>
      <c r="B740" s="541" t="s">
        <v>35</v>
      </c>
      <c r="C740" s="542" t="s">
        <v>272</v>
      </c>
      <c r="D740" s="541" t="s">
        <v>273</v>
      </c>
      <c r="E740" s="543">
        <v>7.1</v>
      </c>
      <c r="F740" s="544">
        <f t="shared" ref="F740:F787" si="314">G740*1.724</f>
        <v>3.2755999999999998</v>
      </c>
      <c r="G740" s="543">
        <v>1.9</v>
      </c>
      <c r="H740" s="543">
        <v>30</v>
      </c>
      <c r="I740" s="543">
        <v>27</v>
      </c>
      <c r="J740" s="543">
        <v>0.02</v>
      </c>
      <c r="K740" s="543">
        <v>30</v>
      </c>
      <c r="L740" s="543">
        <v>21</v>
      </c>
      <c r="M740" s="543" t="s">
        <v>104</v>
      </c>
      <c r="N740" s="543">
        <v>45</v>
      </c>
      <c r="O740" s="544">
        <f t="shared" si="300"/>
        <v>45.02</v>
      </c>
      <c r="P740" s="545" t="s">
        <v>248</v>
      </c>
      <c r="R740" s="546">
        <f t="shared" si="301"/>
        <v>3.2801435493616093</v>
      </c>
      <c r="S740" s="544">
        <v>0.6</v>
      </c>
      <c r="T740" s="544" t="s">
        <v>284</v>
      </c>
      <c r="U740" s="544">
        <v>4.0599999999999996</v>
      </c>
      <c r="V740" s="544" t="s">
        <v>285</v>
      </c>
      <c r="Y740" s="544">
        <v>0.6</v>
      </c>
      <c r="Z740" s="544" t="s">
        <v>284</v>
      </c>
      <c r="AA740" s="544">
        <v>4.0599999999999996</v>
      </c>
      <c r="AB740" s="544" t="s">
        <v>285</v>
      </c>
      <c r="AF740" s="547">
        <f t="shared" si="302"/>
        <v>3.8066624897703196</v>
      </c>
      <c r="AG740" s="547">
        <f t="shared" si="303"/>
        <v>3.8071068354785864</v>
      </c>
      <c r="AH740" s="566"/>
      <c r="AI740" s="566"/>
      <c r="AJ740" s="547"/>
      <c r="AK740" s="548">
        <f t="shared" si="304"/>
        <v>147.60645972127242</v>
      </c>
      <c r="AL740" s="548">
        <f t="shared" si="305"/>
        <v>147.62645972127243</v>
      </c>
      <c r="AM740" s="547">
        <f t="shared" si="306"/>
        <v>4.9945496762579813</v>
      </c>
      <c r="AN740" s="547">
        <f t="shared" si="307"/>
        <v>4.9946851625043553</v>
      </c>
      <c r="AO740" s="567"/>
      <c r="AP740" s="567"/>
      <c r="AR740" s="547">
        <f t="shared" ref="AR740:AR771" si="315">AK740*((OC/G740)^S740)*((pH/E740)^U740)</f>
        <v>105.46702167080286</v>
      </c>
      <c r="AS740" s="547">
        <f t="shared" ref="AS740:AS771" si="316">AL740*((OC/G740)^Y740)*((pH/E740)^AA740)</f>
        <v>105.48131196973287</v>
      </c>
      <c r="AT740" s="547">
        <f t="shared" si="310"/>
        <v>4.6583983132513564</v>
      </c>
      <c r="AU740" s="547">
        <f t="shared" si="311"/>
        <v>4.6585337994977305</v>
      </c>
      <c r="AV740" s="567"/>
      <c r="AW740" s="567"/>
      <c r="AX740" s="287">
        <f>GEOMEAN(AR740:AR747)</f>
        <v>32.818178908474046</v>
      </c>
      <c r="AY740" s="287">
        <f>GEOMEAN(AS740:AS747)</f>
        <v>32.911408450857472</v>
      </c>
      <c r="AZ740" s="287">
        <f>MIN(AX740:AX787)</f>
        <v>19.10202356050165</v>
      </c>
      <c r="BA740" s="287">
        <f>MIN(AY740:AY787)</f>
        <v>19.173177721789003</v>
      </c>
      <c r="BB740" s="287">
        <f>LN(AZ740)</f>
        <v>2.9497942750167505</v>
      </c>
      <c r="BC740" s="287">
        <f>LN(BA740)</f>
        <v>2.9535123086715345</v>
      </c>
      <c r="BD740" s="288"/>
      <c r="BE740" s="288"/>
    </row>
    <row r="741" spans="1:57" s="545" customFormat="1" x14ac:dyDescent="0.2">
      <c r="A741" s="549" t="s">
        <v>227</v>
      </c>
      <c r="B741" s="549" t="s">
        <v>35</v>
      </c>
      <c r="C741" s="550" t="s">
        <v>272</v>
      </c>
      <c r="D741" s="541" t="s">
        <v>273</v>
      </c>
      <c r="E741" s="551">
        <v>4.5999999999999996</v>
      </c>
      <c r="F741" s="545">
        <f t="shared" si="314"/>
        <v>3.2755999999999998</v>
      </c>
      <c r="G741" s="551">
        <v>1.9</v>
      </c>
      <c r="H741" s="551">
        <v>2.5</v>
      </c>
      <c r="I741" s="551">
        <v>6.4</v>
      </c>
      <c r="J741" s="551">
        <v>0.02</v>
      </c>
      <c r="K741" s="551">
        <v>30</v>
      </c>
      <c r="L741" s="551">
        <v>21</v>
      </c>
      <c r="M741" s="551" t="s">
        <v>104</v>
      </c>
      <c r="N741" s="551">
        <v>5.3</v>
      </c>
      <c r="O741" s="545">
        <f t="shared" si="300"/>
        <v>5.3199999999999994</v>
      </c>
      <c r="P741" s="545" t="s">
        <v>248</v>
      </c>
      <c r="R741" s="552">
        <f t="shared" si="301"/>
        <v>2.5219053467258976</v>
      </c>
      <c r="S741" s="545">
        <v>0.6</v>
      </c>
      <c r="T741" s="545" t="s">
        <v>284</v>
      </c>
      <c r="U741" s="545">
        <v>4.0599999999999996</v>
      </c>
      <c r="V741" s="545" t="s">
        <v>285</v>
      </c>
      <c r="Y741" s="545">
        <v>0.6</v>
      </c>
      <c r="Z741" s="545" t="s">
        <v>284</v>
      </c>
      <c r="AA741" s="545">
        <v>4.0599999999999996</v>
      </c>
      <c r="AB741" s="545" t="s">
        <v>285</v>
      </c>
      <c r="AF741" s="553">
        <f t="shared" si="302"/>
        <v>1.6677068205580761</v>
      </c>
      <c r="AG741" s="553">
        <f t="shared" si="303"/>
        <v>1.6714733033535529</v>
      </c>
      <c r="AH741" s="554"/>
      <c r="AI741" s="554"/>
      <c r="AJ741" s="553"/>
      <c r="AK741" s="555">
        <f t="shared" si="304"/>
        <v>13.366098337647257</v>
      </c>
      <c r="AL741" s="555">
        <f t="shared" si="305"/>
        <v>13.386098337647256</v>
      </c>
      <c r="AM741" s="553">
        <f t="shared" si="306"/>
        <v>2.5927215263599774</v>
      </c>
      <c r="AN741" s="553">
        <f t="shared" si="307"/>
        <v>2.5942167309571036</v>
      </c>
      <c r="AO741" s="556"/>
      <c r="AP741" s="556"/>
      <c r="AR741" s="553">
        <f t="shared" si="315"/>
        <v>55.632434995533131</v>
      </c>
      <c r="AS741" s="553">
        <f t="shared" si="316"/>
        <v>55.71567908605256</v>
      </c>
      <c r="AT741" s="553">
        <f t="shared" si="310"/>
        <v>4.0187663943953673</v>
      </c>
      <c r="AU741" s="553">
        <f t="shared" si="311"/>
        <v>4.0202615989924935</v>
      </c>
      <c r="AV741" s="556"/>
      <c r="AW741" s="556"/>
      <c r="AX741" s="553"/>
      <c r="AY741" s="553"/>
      <c r="AZ741" s="553"/>
      <c r="BA741" s="553"/>
      <c r="BB741" s="553"/>
      <c r="BC741" s="553"/>
      <c r="BD741" s="554"/>
      <c r="BE741" s="554"/>
    </row>
    <row r="742" spans="1:57" s="545" customFormat="1" x14ac:dyDescent="0.2">
      <c r="A742" s="549" t="s">
        <v>227</v>
      </c>
      <c r="B742" s="549" t="s">
        <v>35</v>
      </c>
      <c r="C742" s="550" t="s">
        <v>272</v>
      </c>
      <c r="D742" s="541" t="s">
        <v>273</v>
      </c>
      <c r="E742" s="551">
        <v>5.0999999999999996</v>
      </c>
      <c r="F742" s="545">
        <f t="shared" si="314"/>
        <v>11.8956</v>
      </c>
      <c r="G742" s="551">
        <v>6.9</v>
      </c>
      <c r="H742" s="551">
        <v>14</v>
      </c>
      <c r="I742" s="551">
        <v>12</v>
      </c>
      <c r="J742" s="551">
        <v>0.02</v>
      </c>
      <c r="K742" s="551">
        <v>30</v>
      </c>
      <c r="L742" s="551">
        <v>21</v>
      </c>
      <c r="M742" s="551" t="s">
        <v>104</v>
      </c>
      <c r="N742" s="551">
        <v>7</v>
      </c>
      <c r="O742" s="545">
        <f t="shared" si="300"/>
        <v>7.02</v>
      </c>
      <c r="P742" s="545" t="s">
        <v>248</v>
      </c>
      <c r="R742" s="552">
        <f t="shared" si="301"/>
        <v>1.6070680455632902</v>
      </c>
      <c r="S742" s="545">
        <v>0.6</v>
      </c>
      <c r="T742" s="545" t="s">
        <v>284</v>
      </c>
      <c r="U742" s="545">
        <v>4.0599999999999996</v>
      </c>
      <c r="V742" s="545" t="s">
        <v>285</v>
      </c>
      <c r="Y742" s="545">
        <v>0.6</v>
      </c>
      <c r="Z742" s="545" t="s">
        <v>284</v>
      </c>
      <c r="AA742" s="545">
        <v>4.0599999999999996</v>
      </c>
      <c r="AB742" s="545" t="s">
        <v>285</v>
      </c>
      <c r="AF742" s="553">
        <f t="shared" si="302"/>
        <v>1.9459101490553132</v>
      </c>
      <c r="AG742" s="553">
        <f t="shared" si="303"/>
        <v>1.9487632180377197</v>
      </c>
      <c r="AH742" s="554"/>
      <c r="AI742" s="554"/>
      <c r="AJ742" s="553"/>
      <c r="AK742" s="555">
        <f t="shared" si="304"/>
        <v>11.249476318943032</v>
      </c>
      <c r="AL742" s="555">
        <f t="shared" si="305"/>
        <v>11.269476318943031</v>
      </c>
      <c r="AM742" s="553">
        <f t="shared" si="306"/>
        <v>2.420321578139685</v>
      </c>
      <c r="AN742" s="553">
        <f t="shared" si="307"/>
        <v>2.4220978601524621</v>
      </c>
      <c r="AO742" s="556"/>
      <c r="AP742" s="556"/>
      <c r="AR742" s="553">
        <f t="shared" si="315"/>
        <v>14.205623847515595</v>
      </c>
      <c r="AS742" s="553">
        <f t="shared" si="316"/>
        <v>14.230879465545733</v>
      </c>
      <c r="AT742" s="553">
        <f t="shared" si="310"/>
        <v>2.6536379318015468</v>
      </c>
      <c r="AU742" s="553">
        <f t="shared" si="311"/>
        <v>2.6554142138143244</v>
      </c>
      <c r="AV742" s="556"/>
      <c r="AW742" s="556"/>
      <c r="AX742" s="553"/>
      <c r="AY742" s="553"/>
      <c r="AZ742" s="553"/>
      <c r="BA742" s="553"/>
      <c r="BB742" s="553"/>
      <c r="BC742" s="553"/>
      <c r="BD742" s="554"/>
      <c r="BE742" s="554"/>
    </row>
    <row r="743" spans="1:57" s="545" customFormat="1" x14ac:dyDescent="0.2">
      <c r="A743" s="549" t="s">
        <v>227</v>
      </c>
      <c r="B743" s="549" t="s">
        <v>35</v>
      </c>
      <c r="C743" s="550" t="s">
        <v>272</v>
      </c>
      <c r="D743" s="541" t="s">
        <v>273</v>
      </c>
      <c r="E743" s="551">
        <v>3.6</v>
      </c>
      <c r="F743" s="545">
        <f t="shared" si="314"/>
        <v>2.5859999999999999</v>
      </c>
      <c r="G743" s="551">
        <v>1.5</v>
      </c>
      <c r="H743" s="551">
        <v>1.4</v>
      </c>
      <c r="I743" s="551">
        <v>5.3</v>
      </c>
      <c r="J743" s="551">
        <v>0.02</v>
      </c>
      <c r="K743" s="551">
        <v>30</v>
      </c>
      <c r="L743" s="551">
        <v>21</v>
      </c>
      <c r="M743" s="551" t="s">
        <v>104</v>
      </c>
      <c r="N743" s="551">
        <v>0.44999999999999996</v>
      </c>
      <c r="O743" s="545">
        <f t="shared" si="300"/>
        <v>0.47</v>
      </c>
      <c r="P743" s="545" t="s">
        <v>248</v>
      </c>
      <c r="R743" s="552">
        <f t="shared" si="301"/>
        <v>3.2607910460727294</v>
      </c>
      <c r="S743" s="545">
        <v>0.6</v>
      </c>
      <c r="T743" s="545" t="s">
        <v>284</v>
      </c>
      <c r="U743" s="545">
        <v>4.0599999999999996</v>
      </c>
      <c r="V743" s="545" t="s">
        <v>285</v>
      </c>
      <c r="Y743" s="545">
        <v>0.6</v>
      </c>
      <c r="Z743" s="545" t="s">
        <v>284</v>
      </c>
      <c r="AA743" s="545">
        <v>4.0599999999999996</v>
      </c>
      <c r="AB743" s="545" t="s">
        <v>285</v>
      </c>
      <c r="AF743" s="553">
        <f t="shared" si="302"/>
        <v>-0.79850769621777173</v>
      </c>
      <c r="AG743" s="553">
        <f t="shared" si="303"/>
        <v>-0.75502258427803282</v>
      </c>
      <c r="AH743" s="554"/>
      <c r="AI743" s="554"/>
      <c r="AJ743" s="553"/>
      <c r="AK743" s="555">
        <f t="shared" si="304"/>
        <v>1.4673559707327282</v>
      </c>
      <c r="AL743" s="555">
        <f t="shared" si="305"/>
        <v>1.4873559707327282</v>
      </c>
      <c r="AM743" s="553">
        <f t="shared" si="306"/>
        <v>0.38346212189511741</v>
      </c>
      <c r="AN743" s="553">
        <f t="shared" si="307"/>
        <v>0.39700002735150353</v>
      </c>
      <c r="AO743" s="556"/>
      <c r="AP743" s="556"/>
      <c r="AR743" s="553">
        <f t="shared" si="315"/>
        <v>19.039912549856783</v>
      </c>
      <c r="AS743" s="553">
        <f t="shared" si="316"/>
        <v>19.299425754963369</v>
      </c>
      <c r="AT743" s="553">
        <f t="shared" si="310"/>
        <v>2.9465374363829646</v>
      </c>
      <c r="AU743" s="553">
        <f t="shared" si="311"/>
        <v>2.9600753418393508</v>
      </c>
      <c r="AV743" s="556"/>
      <c r="AW743" s="556"/>
      <c r="AX743" s="553"/>
      <c r="AY743" s="553"/>
      <c r="AZ743" s="553"/>
      <c r="BA743" s="553"/>
      <c r="BB743" s="553"/>
      <c r="BC743" s="553"/>
      <c r="BD743" s="554"/>
      <c r="BE743" s="554"/>
    </row>
    <row r="744" spans="1:57" s="545" customFormat="1" x14ac:dyDescent="0.2">
      <c r="A744" s="549" t="s">
        <v>227</v>
      </c>
      <c r="B744" s="549" t="s">
        <v>35</v>
      </c>
      <c r="C744" s="550" t="s">
        <v>272</v>
      </c>
      <c r="D744" s="541" t="s">
        <v>273</v>
      </c>
      <c r="E744" s="551">
        <v>5</v>
      </c>
      <c r="F744" s="545">
        <f t="shared" si="314"/>
        <v>9.1372</v>
      </c>
      <c r="G744" s="551">
        <v>5.3</v>
      </c>
      <c r="H744" s="551">
        <v>42</v>
      </c>
      <c r="I744" s="551">
        <v>25</v>
      </c>
      <c r="J744" s="551">
        <v>0.02</v>
      </c>
      <c r="K744" s="551">
        <v>30</v>
      </c>
      <c r="L744" s="551">
        <v>21</v>
      </c>
      <c r="M744" s="551" t="s">
        <v>104</v>
      </c>
      <c r="N744" s="551">
        <v>6.9</v>
      </c>
      <c r="O744" s="545">
        <f t="shared" si="300"/>
        <v>6.92</v>
      </c>
      <c r="P744" s="545" t="s">
        <v>248</v>
      </c>
      <c r="R744" s="552">
        <f t="shared" si="301"/>
        <v>2.617351588015056</v>
      </c>
      <c r="S744" s="545">
        <v>0.6</v>
      </c>
      <c r="T744" s="545" t="s">
        <v>284</v>
      </c>
      <c r="U744" s="545">
        <v>4.0599999999999996</v>
      </c>
      <c r="V744" s="545" t="s">
        <v>285</v>
      </c>
      <c r="Y744" s="545">
        <v>0.6</v>
      </c>
      <c r="Z744" s="545" t="s">
        <v>284</v>
      </c>
      <c r="AA744" s="545">
        <v>4.0599999999999996</v>
      </c>
      <c r="AB744" s="545" t="s">
        <v>285</v>
      </c>
      <c r="AF744" s="553">
        <f t="shared" si="302"/>
        <v>1.9315214116032138</v>
      </c>
      <c r="AG744" s="553">
        <f t="shared" si="303"/>
        <v>1.9344157696295783</v>
      </c>
      <c r="AH744" s="554"/>
      <c r="AI744" s="554"/>
      <c r="AJ744" s="553"/>
      <c r="AK744" s="555">
        <f t="shared" si="304"/>
        <v>18.059725957303886</v>
      </c>
      <c r="AL744" s="555">
        <f t="shared" si="305"/>
        <v>18.079725957303886</v>
      </c>
      <c r="AM744" s="553">
        <f t="shared" si="306"/>
        <v>2.8936843738595317</v>
      </c>
      <c r="AN744" s="553">
        <f t="shared" si="307"/>
        <v>2.8947911976203913</v>
      </c>
      <c r="AO744" s="556"/>
      <c r="AP744" s="556"/>
      <c r="AR744" s="553">
        <f t="shared" si="315"/>
        <v>28.953414707729095</v>
      </c>
      <c r="AS744" s="553">
        <f t="shared" si="316"/>
        <v>28.985478776448829</v>
      </c>
      <c r="AT744" s="553">
        <f t="shared" si="310"/>
        <v>3.3656881489709658</v>
      </c>
      <c r="AU744" s="553">
        <f t="shared" si="311"/>
        <v>3.3667949727318254</v>
      </c>
      <c r="AV744" s="556"/>
      <c r="AW744" s="556"/>
      <c r="AX744" s="553"/>
      <c r="AY744" s="553"/>
      <c r="AZ744" s="553"/>
      <c r="BA744" s="553"/>
      <c r="BB744" s="553"/>
      <c r="BC744" s="553"/>
      <c r="BD744" s="554"/>
      <c r="BE744" s="554"/>
    </row>
    <row r="745" spans="1:57" s="545" customFormat="1" x14ac:dyDescent="0.2">
      <c r="A745" s="549" t="s">
        <v>227</v>
      </c>
      <c r="B745" s="549" t="s">
        <v>35</v>
      </c>
      <c r="C745" s="550" t="s">
        <v>272</v>
      </c>
      <c r="D745" s="541" t="s">
        <v>273</v>
      </c>
      <c r="E745" s="551">
        <v>5.5</v>
      </c>
      <c r="F745" s="545">
        <f t="shared" si="314"/>
        <v>1.5516000000000001</v>
      </c>
      <c r="G745" s="551">
        <v>0.9</v>
      </c>
      <c r="H745" s="551">
        <v>60</v>
      </c>
      <c r="I745" s="551">
        <v>13</v>
      </c>
      <c r="J745" s="551">
        <v>0.02</v>
      </c>
      <c r="K745" s="551">
        <v>30</v>
      </c>
      <c r="L745" s="551">
        <v>21</v>
      </c>
      <c r="M745" s="551" t="s">
        <v>104</v>
      </c>
      <c r="N745" s="551">
        <v>1.1000000000000001</v>
      </c>
      <c r="O745" s="545">
        <f t="shared" si="300"/>
        <v>1.1200000000000001</v>
      </c>
      <c r="P745" s="545" t="s">
        <v>248</v>
      </c>
      <c r="R745" s="552">
        <f t="shared" si="301"/>
        <v>4.3068427278791388</v>
      </c>
      <c r="S745" s="545">
        <v>0.6</v>
      </c>
      <c r="T745" s="545" t="s">
        <v>284</v>
      </c>
      <c r="U745" s="545">
        <v>4.0599999999999996</v>
      </c>
      <c r="V745" s="545" t="s">
        <v>285</v>
      </c>
      <c r="Y745" s="545">
        <v>0.6</v>
      </c>
      <c r="Z745" s="545" t="s">
        <v>284</v>
      </c>
      <c r="AA745" s="545">
        <v>4.0599999999999996</v>
      </c>
      <c r="AB745" s="545" t="s">
        <v>285</v>
      </c>
      <c r="AF745" s="553">
        <f t="shared" si="302"/>
        <v>9.5310179804324935E-2</v>
      </c>
      <c r="AG745" s="553">
        <f t="shared" si="303"/>
        <v>0.11332868530700327</v>
      </c>
      <c r="AH745" s="554"/>
      <c r="AI745" s="554"/>
      <c r="AJ745" s="553"/>
      <c r="AK745" s="555">
        <f t="shared" si="304"/>
        <v>4.7375270006670531</v>
      </c>
      <c r="AL745" s="555">
        <f t="shared" si="305"/>
        <v>4.7575270006670527</v>
      </c>
      <c r="AM745" s="553">
        <f t="shared" si="306"/>
        <v>1.5555152697415495</v>
      </c>
      <c r="AN745" s="553">
        <f t="shared" si="307"/>
        <v>1.5597279955618792</v>
      </c>
      <c r="AO745" s="556"/>
      <c r="AP745" s="556"/>
      <c r="AR745" s="553">
        <f t="shared" si="315"/>
        <v>14.945348534033755</v>
      </c>
      <c r="AS745" s="553">
        <f t="shared" si="316"/>
        <v>15.008441994110832</v>
      </c>
      <c r="AT745" s="553">
        <f t="shared" si="310"/>
        <v>2.7044001165769664</v>
      </c>
      <c r="AU745" s="553">
        <f t="shared" si="311"/>
        <v>2.7086128423972959</v>
      </c>
      <c r="AV745" s="556"/>
      <c r="AW745" s="556"/>
      <c r="AX745" s="553"/>
      <c r="AY745" s="553"/>
      <c r="AZ745" s="553"/>
      <c r="BA745" s="553"/>
      <c r="BB745" s="553"/>
      <c r="BC745" s="553"/>
      <c r="BD745" s="554"/>
      <c r="BE745" s="554"/>
    </row>
    <row r="746" spans="1:57" s="545" customFormat="1" x14ac:dyDescent="0.2">
      <c r="A746" s="549" t="s">
        <v>227</v>
      </c>
      <c r="B746" s="549" t="s">
        <v>35</v>
      </c>
      <c r="C746" s="550" t="s">
        <v>272</v>
      </c>
      <c r="D746" s="541" t="s">
        <v>273</v>
      </c>
      <c r="E746" s="551">
        <v>6.6</v>
      </c>
      <c r="F746" s="545">
        <f t="shared" si="314"/>
        <v>20.687999999999999</v>
      </c>
      <c r="G746" s="551">
        <v>12</v>
      </c>
      <c r="H746" s="551">
        <v>19</v>
      </c>
      <c r="I746" s="551">
        <v>42</v>
      </c>
      <c r="J746" s="551">
        <v>0.02</v>
      </c>
      <c r="K746" s="551">
        <v>30</v>
      </c>
      <c r="L746" s="551">
        <v>21</v>
      </c>
      <c r="M746" s="551" t="s">
        <v>104</v>
      </c>
      <c r="N746" s="551">
        <v>34</v>
      </c>
      <c r="O746" s="545">
        <f t="shared" si="300"/>
        <v>34.020000000000003</v>
      </c>
      <c r="P746" s="545" t="s">
        <v>248</v>
      </c>
      <c r="R746" s="552">
        <f t="shared" si="301"/>
        <v>1.7105021714920636</v>
      </c>
      <c r="S746" s="545">
        <v>0.6</v>
      </c>
      <c r="T746" s="545" t="s">
        <v>284</v>
      </c>
      <c r="U746" s="545">
        <v>4.0599999999999996</v>
      </c>
      <c r="V746" s="545" t="s">
        <v>285</v>
      </c>
      <c r="Y746" s="545">
        <v>0.6</v>
      </c>
      <c r="Z746" s="545" t="s">
        <v>284</v>
      </c>
      <c r="AA746" s="545">
        <v>4.0599999999999996</v>
      </c>
      <c r="AB746" s="545" t="s">
        <v>285</v>
      </c>
      <c r="AF746" s="553">
        <f t="shared" si="302"/>
        <v>3.5263605246161616</v>
      </c>
      <c r="AG746" s="553">
        <f t="shared" si="303"/>
        <v>3.5269485869677157</v>
      </c>
      <c r="AH746" s="554"/>
      <c r="AI746" s="554"/>
      <c r="AJ746" s="553"/>
      <c r="AK746" s="555">
        <f t="shared" si="304"/>
        <v>58.157073830730162</v>
      </c>
      <c r="AL746" s="555">
        <f t="shared" si="305"/>
        <v>58.177073830730166</v>
      </c>
      <c r="AM746" s="553">
        <f t="shared" si="306"/>
        <v>4.0631475195580764</v>
      </c>
      <c r="AN746" s="553">
        <f t="shared" si="307"/>
        <v>4.0634913566961668</v>
      </c>
      <c r="AO746" s="556"/>
      <c r="AP746" s="556"/>
      <c r="AR746" s="553">
        <f t="shared" si="315"/>
        <v>18.4977027101259</v>
      </c>
      <c r="AS746" s="553">
        <f t="shared" si="316"/>
        <v>18.504064000848324</v>
      </c>
      <c r="AT746" s="553">
        <f t="shared" si="310"/>
        <v>2.9176465465425414</v>
      </c>
      <c r="AU746" s="553">
        <f t="shared" si="311"/>
        <v>2.9179903836806318</v>
      </c>
      <c r="AV746" s="556"/>
      <c r="AW746" s="556"/>
      <c r="AX746" s="553"/>
      <c r="AY746" s="553"/>
      <c r="AZ746" s="553"/>
      <c r="BA746" s="553"/>
      <c r="BB746" s="553"/>
      <c r="BC746" s="553"/>
      <c r="BD746" s="554"/>
      <c r="BE746" s="554"/>
    </row>
    <row r="747" spans="1:57" s="545" customFormat="1" x14ac:dyDescent="0.2">
      <c r="A747" s="549" t="s">
        <v>227</v>
      </c>
      <c r="B747" s="549" t="s">
        <v>35</v>
      </c>
      <c r="C747" s="550" t="s">
        <v>272</v>
      </c>
      <c r="D747" s="541" t="s">
        <v>273</v>
      </c>
      <c r="E747" s="551">
        <v>8</v>
      </c>
      <c r="F747" s="545">
        <f t="shared" si="314"/>
        <v>3.1032000000000002</v>
      </c>
      <c r="G747" s="551">
        <v>1.8</v>
      </c>
      <c r="H747" s="551">
        <v>12</v>
      </c>
      <c r="I747" s="551">
        <v>13</v>
      </c>
      <c r="J747" s="551">
        <v>0.02</v>
      </c>
      <c r="K747" s="551">
        <v>30</v>
      </c>
      <c r="L747" s="551">
        <v>21</v>
      </c>
      <c r="M747" s="551" t="s">
        <v>104</v>
      </c>
      <c r="N747" s="551">
        <v>108</v>
      </c>
      <c r="O747" s="545">
        <f t="shared" ref="O747:O778" si="317">N747+J747</f>
        <v>108.02</v>
      </c>
      <c r="P747" s="545" t="s">
        <v>248</v>
      </c>
      <c r="R747" s="552">
        <f t="shared" ref="R747:R778" si="318">POWER(10,(0.78+(0.46*LOG10(I747))+(-0.5*LOG10(G747))+(-0.92*LOG10(E747))))</f>
        <v>2.1574209985336794</v>
      </c>
      <c r="S747" s="545">
        <v>0.6</v>
      </c>
      <c r="T747" s="545" t="s">
        <v>284</v>
      </c>
      <c r="U747" s="545">
        <v>4.0599999999999996</v>
      </c>
      <c r="V747" s="545" t="s">
        <v>285</v>
      </c>
      <c r="Y747" s="545">
        <v>0.6</v>
      </c>
      <c r="Z747" s="545" t="s">
        <v>284</v>
      </c>
      <c r="AA747" s="545">
        <v>4.0599999999999996</v>
      </c>
      <c r="AB747" s="545" t="s">
        <v>285</v>
      </c>
      <c r="AF747" s="553">
        <f t="shared" ref="AF747:AF778" si="319">LN(N747)</f>
        <v>4.6821312271242199</v>
      </c>
      <c r="AG747" s="553">
        <f t="shared" ref="AG747:AG778" si="320">LN(O747)</f>
        <v>4.6823163951647446</v>
      </c>
      <c r="AH747" s="554"/>
      <c r="AI747" s="554"/>
      <c r="AJ747" s="553"/>
      <c r="AK747" s="555">
        <f t="shared" ref="AK747:AK778" si="321">N747*R747</f>
        <v>233.00146784163738</v>
      </c>
      <c r="AL747" s="555">
        <f t="shared" ref="AL747:AL778" si="322">AK747+J747</f>
        <v>233.02146784163739</v>
      </c>
      <c r="AM747" s="553">
        <f t="shared" ref="AM747:AM778" si="323">LN(AK747)</f>
        <v>5.4510447532953741</v>
      </c>
      <c r="AN747" s="553">
        <f t="shared" ref="AN747:AN778" si="324">LN(AL747)</f>
        <v>5.4511305859807671</v>
      </c>
      <c r="AO747" s="556"/>
      <c r="AP747" s="556"/>
      <c r="AR747" s="553">
        <f t="shared" si="315"/>
        <v>105.93078266185441</v>
      </c>
      <c r="AS747" s="553">
        <f t="shared" si="316"/>
        <v>105.93987537561652</v>
      </c>
      <c r="AT747" s="553">
        <f t="shared" ref="AT747:AT778" si="325">LN(AR747)</f>
        <v>4.6627858870626957</v>
      </c>
      <c r="AU747" s="553">
        <f t="shared" ref="AU747:AU778" si="326">LN(AS747)</f>
        <v>4.6628717197480896</v>
      </c>
      <c r="AV747" s="556"/>
      <c r="AW747" s="556"/>
      <c r="AX747" s="553"/>
      <c r="AY747" s="553"/>
      <c r="AZ747" s="553"/>
      <c r="BA747" s="553"/>
      <c r="BB747" s="553"/>
      <c r="BC747" s="553"/>
      <c r="BD747" s="554"/>
      <c r="BE747" s="554"/>
    </row>
    <row r="748" spans="1:57" s="545" customFormat="1" x14ac:dyDescent="0.2">
      <c r="A748" s="549" t="s">
        <v>227</v>
      </c>
      <c r="B748" s="549" t="s">
        <v>35</v>
      </c>
      <c r="C748" s="550" t="s">
        <v>272</v>
      </c>
      <c r="D748" s="549" t="s">
        <v>274</v>
      </c>
      <c r="E748" s="551">
        <v>7.1</v>
      </c>
      <c r="F748" s="545">
        <f t="shared" si="314"/>
        <v>3.2755999999999998</v>
      </c>
      <c r="G748" s="551">
        <v>1.9</v>
      </c>
      <c r="H748" s="551">
        <v>30</v>
      </c>
      <c r="I748" s="551">
        <v>27</v>
      </c>
      <c r="J748" s="551">
        <v>0.02</v>
      </c>
      <c r="K748" s="551">
        <v>365</v>
      </c>
      <c r="L748" s="551">
        <v>21</v>
      </c>
      <c r="M748" s="551" t="s">
        <v>104</v>
      </c>
      <c r="N748" s="551">
        <v>17</v>
      </c>
      <c r="O748" s="545">
        <f t="shared" si="317"/>
        <v>17.02</v>
      </c>
      <c r="P748" s="545" t="s">
        <v>248</v>
      </c>
      <c r="R748" s="552">
        <f t="shared" si="318"/>
        <v>3.2801435493616093</v>
      </c>
      <c r="S748" s="545">
        <v>0.6</v>
      </c>
      <c r="T748" s="545" t="s">
        <v>284</v>
      </c>
      <c r="U748" s="545">
        <v>4.0599999999999996</v>
      </c>
      <c r="V748" s="545" t="s">
        <v>285</v>
      </c>
      <c r="Y748" s="545">
        <v>0.6</v>
      </c>
      <c r="Z748" s="545" t="s">
        <v>284</v>
      </c>
      <c r="AA748" s="545">
        <v>4.0599999999999996</v>
      </c>
      <c r="AB748" s="545" t="s">
        <v>285</v>
      </c>
      <c r="AF748" s="553">
        <f t="shared" si="319"/>
        <v>2.8332133440562162</v>
      </c>
      <c r="AG748" s="553">
        <f t="shared" si="320"/>
        <v>2.8343891231452281</v>
      </c>
      <c r="AH748" s="554"/>
      <c r="AI748" s="554"/>
      <c r="AJ748" s="553"/>
      <c r="AK748" s="555">
        <f t="shared" si="321"/>
        <v>55.762440339147361</v>
      </c>
      <c r="AL748" s="555">
        <f t="shared" si="322"/>
        <v>55.782440339147364</v>
      </c>
      <c r="AM748" s="553">
        <f t="shared" si="323"/>
        <v>4.0211005305438778</v>
      </c>
      <c r="AN748" s="553">
        <f t="shared" si="324"/>
        <v>4.0214591305996166</v>
      </c>
      <c r="AO748" s="556"/>
      <c r="AP748" s="556"/>
      <c r="AR748" s="553">
        <f t="shared" si="315"/>
        <v>39.843097075636642</v>
      </c>
      <c r="AS748" s="553">
        <f t="shared" si="316"/>
        <v>39.857387374566649</v>
      </c>
      <c r="AT748" s="553">
        <f t="shared" si="325"/>
        <v>3.684949167537253</v>
      </c>
      <c r="AU748" s="553">
        <f t="shared" si="326"/>
        <v>3.6853077675929926</v>
      </c>
      <c r="AV748" s="556"/>
      <c r="AW748" s="556"/>
      <c r="AX748" s="287">
        <f>GEOMEAN(AR748:AR755)</f>
        <v>77.535471340277397</v>
      </c>
      <c r="AY748" s="287">
        <f>GEOMEAN(AS748:AS755)</f>
        <v>77.622854625123153</v>
      </c>
      <c r="AZ748" s="553"/>
      <c r="BA748" s="553"/>
      <c r="BB748" s="553"/>
      <c r="BC748" s="553"/>
      <c r="BD748" s="554"/>
      <c r="BE748" s="554"/>
    </row>
    <row r="749" spans="1:57" s="545" customFormat="1" x14ac:dyDescent="0.2">
      <c r="A749" s="549" t="s">
        <v>227</v>
      </c>
      <c r="B749" s="549" t="s">
        <v>35</v>
      </c>
      <c r="C749" s="550" t="s">
        <v>272</v>
      </c>
      <c r="D749" s="549" t="s">
        <v>274</v>
      </c>
      <c r="E749" s="551">
        <v>4.5999999999999996</v>
      </c>
      <c r="F749" s="545">
        <f t="shared" si="314"/>
        <v>3.2755999999999998</v>
      </c>
      <c r="G749" s="551">
        <v>1.9</v>
      </c>
      <c r="H749" s="551">
        <v>2.5</v>
      </c>
      <c r="I749" s="551">
        <v>6.4</v>
      </c>
      <c r="J749" s="551">
        <v>0.02</v>
      </c>
      <c r="K749" s="551">
        <v>365</v>
      </c>
      <c r="L749" s="551">
        <v>21</v>
      </c>
      <c r="M749" s="551" t="s">
        <v>104</v>
      </c>
      <c r="N749" s="551">
        <v>8.1</v>
      </c>
      <c r="O749" s="545">
        <f t="shared" si="317"/>
        <v>8.1199999999999992</v>
      </c>
      <c r="P749" s="545" t="s">
        <v>248</v>
      </c>
      <c r="R749" s="552">
        <f t="shared" si="318"/>
        <v>2.5219053467258976</v>
      </c>
      <c r="S749" s="545">
        <v>0.6</v>
      </c>
      <c r="T749" s="545" t="s">
        <v>284</v>
      </c>
      <c r="U749" s="545">
        <v>4.0599999999999996</v>
      </c>
      <c r="V749" s="545" t="s">
        <v>285</v>
      </c>
      <c r="Y749" s="545">
        <v>0.6</v>
      </c>
      <c r="Z749" s="545" t="s">
        <v>284</v>
      </c>
      <c r="AA749" s="545">
        <v>4.0599999999999996</v>
      </c>
      <c r="AB749" s="545" t="s">
        <v>285</v>
      </c>
      <c r="AF749" s="553">
        <f t="shared" si="319"/>
        <v>2.0918640616783932</v>
      </c>
      <c r="AG749" s="553">
        <f t="shared" si="320"/>
        <v>2.0943301541735866</v>
      </c>
      <c r="AH749" s="554"/>
      <c r="AI749" s="554"/>
      <c r="AJ749" s="553"/>
      <c r="AK749" s="555">
        <f t="shared" si="321"/>
        <v>20.42743330847977</v>
      </c>
      <c r="AL749" s="555">
        <f t="shared" si="322"/>
        <v>20.44743330847977</v>
      </c>
      <c r="AM749" s="553">
        <f t="shared" si="323"/>
        <v>3.0168787674802942</v>
      </c>
      <c r="AN749" s="553">
        <f t="shared" si="324"/>
        <v>3.0178573640239117</v>
      </c>
      <c r="AO749" s="556"/>
      <c r="AP749" s="556"/>
      <c r="AR749" s="553">
        <f t="shared" si="315"/>
        <v>85.023155370531768</v>
      </c>
      <c r="AS749" s="553">
        <f t="shared" si="316"/>
        <v>85.106399461051197</v>
      </c>
      <c r="AT749" s="553">
        <f t="shared" si="325"/>
        <v>4.4429236355156849</v>
      </c>
      <c r="AU749" s="553">
        <f t="shared" si="326"/>
        <v>4.443902232059302</v>
      </c>
      <c r="AV749" s="556"/>
      <c r="AW749" s="556"/>
      <c r="AX749" s="553"/>
      <c r="AY749" s="553"/>
      <c r="AZ749" s="553"/>
      <c r="BA749" s="553"/>
      <c r="BB749" s="553"/>
      <c r="BC749" s="553"/>
      <c r="BD749" s="554"/>
      <c r="BE749" s="554"/>
    </row>
    <row r="750" spans="1:57" s="545" customFormat="1" x14ac:dyDescent="0.2">
      <c r="A750" s="549" t="s">
        <v>227</v>
      </c>
      <c r="B750" s="549" t="s">
        <v>35</v>
      </c>
      <c r="C750" s="550" t="s">
        <v>272</v>
      </c>
      <c r="D750" s="549" t="s">
        <v>274</v>
      </c>
      <c r="E750" s="551">
        <v>5.0999999999999996</v>
      </c>
      <c r="F750" s="545">
        <f t="shared" si="314"/>
        <v>11.8956</v>
      </c>
      <c r="G750" s="551">
        <v>6.9</v>
      </c>
      <c r="H750" s="551">
        <v>14</v>
      </c>
      <c r="I750" s="551">
        <v>12</v>
      </c>
      <c r="J750" s="551">
        <v>0.02</v>
      </c>
      <c r="K750" s="551">
        <v>365</v>
      </c>
      <c r="L750" s="551">
        <v>21</v>
      </c>
      <c r="M750" s="551" t="s">
        <v>104</v>
      </c>
      <c r="N750" s="551">
        <v>60</v>
      </c>
      <c r="O750" s="545">
        <f t="shared" si="317"/>
        <v>60.02</v>
      </c>
      <c r="P750" s="545" t="s">
        <v>248</v>
      </c>
      <c r="R750" s="552">
        <f t="shared" si="318"/>
        <v>1.6070680455632902</v>
      </c>
      <c r="S750" s="545">
        <v>0.6</v>
      </c>
      <c r="T750" s="545" t="s">
        <v>284</v>
      </c>
      <c r="U750" s="545">
        <v>4.0599999999999996</v>
      </c>
      <c r="V750" s="545" t="s">
        <v>285</v>
      </c>
      <c r="Y750" s="545">
        <v>0.6</v>
      </c>
      <c r="Z750" s="545" t="s">
        <v>284</v>
      </c>
      <c r="AA750" s="545">
        <v>4.0599999999999996</v>
      </c>
      <c r="AB750" s="545" t="s">
        <v>285</v>
      </c>
      <c r="AF750" s="553">
        <f t="shared" si="319"/>
        <v>4.0943445622221004</v>
      </c>
      <c r="AG750" s="553">
        <f t="shared" si="320"/>
        <v>4.0946778400122215</v>
      </c>
      <c r="AH750" s="554"/>
      <c r="AI750" s="554"/>
      <c r="AJ750" s="553"/>
      <c r="AK750" s="555">
        <f t="shared" si="321"/>
        <v>96.424082733797405</v>
      </c>
      <c r="AL750" s="555">
        <f t="shared" si="322"/>
        <v>96.444082733797401</v>
      </c>
      <c r="AM750" s="553">
        <f t="shared" si="323"/>
        <v>4.5687559913064719</v>
      </c>
      <c r="AN750" s="553">
        <f t="shared" si="324"/>
        <v>4.5689633868610802</v>
      </c>
      <c r="AO750" s="556"/>
      <c r="AP750" s="556"/>
      <c r="AR750" s="553">
        <f t="shared" si="315"/>
        <v>121.76249012156224</v>
      </c>
      <c r="AS750" s="553">
        <f t="shared" si="316"/>
        <v>121.78774573959237</v>
      </c>
      <c r="AT750" s="553">
        <f t="shared" si="325"/>
        <v>4.8020723449683347</v>
      </c>
      <c r="AU750" s="553">
        <f t="shared" si="326"/>
        <v>4.802279740522942</v>
      </c>
      <c r="AV750" s="556"/>
      <c r="AW750" s="556"/>
      <c r="AX750" s="553"/>
      <c r="AY750" s="553"/>
      <c r="AZ750" s="553"/>
      <c r="BA750" s="553"/>
      <c r="BB750" s="553"/>
      <c r="BC750" s="553"/>
      <c r="BD750" s="554"/>
      <c r="BE750" s="554"/>
    </row>
    <row r="751" spans="1:57" s="545" customFormat="1" x14ac:dyDescent="0.2">
      <c r="A751" s="549" t="s">
        <v>227</v>
      </c>
      <c r="B751" s="549" t="s">
        <v>35</v>
      </c>
      <c r="C751" s="550" t="s">
        <v>272</v>
      </c>
      <c r="D751" s="549" t="s">
        <v>274</v>
      </c>
      <c r="E751" s="551">
        <v>3.6</v>
      </c>
      <c r="F751" s="545">
        <f t="shared" si="314"/>
        <v>2.5859999999999999</v>
      </c>
      <c r="G751" s="551">
        <v>1.5</v>
      </c>
      <c r="H751" s="551">
        <v>1.4</v>
      </c>
      <c r="I751" s="551">
        <v>5.3</v>
      </c>
      <c r="J751" s="551">
        <v>0.02</v>
      </c>
      <c r="K751" s="551">
        <v>365</v>
      </c>
      <c r="L751" s="551">
        <v>21</v>
      </c>
      <c r="M751" s="551" t="s">
        <v>104</v>
      </c>
      <c r="N751" s="551">
        <v>0.98</v>
      </c>
      <c r="O751" s="545">
        <f t="shared" si="317"/>
        <v>1</v>
      </c>
      <c r="P751" s="545" t="s">
        <v>248</v>
      </c>
      <c r="R751" s="552">
        <f t="shared" si="318"/>
        <v>3.2607910460727294</v>
      </c>
      <c r="S751" s="545">
        <v>0.6</v>
      </c>
      <c r="T751" s="545" t="s">
        <v>284</v>
      </c>
      <c r="U751" s="545">
        <v>4.0599999999999996</v>
      </c>
      <c r="V751" s="545" t="s">
        <v>285</v>
      </c>
      <c r="Y751" s="545">
        <v>0.6</v>
      </c>
      <c r="Z751" s="545" t="s">
        <v>284</v>
      </c>
      <c r="AA751" s="545">
        <v>4.0599999999999996</v>
      </c>
      <c r="AB751" s="545" t="s">
        <v>285</v>
      </c>
      <c r="AF751" s="553">
        <f t="shared" si="319"/>
        <v>-2.0202707317519466E-2</v>
      </c>
      <c r="AG751" s="553">
        <f t="shared" si="320"/>
        <v>0</v>
      </c>
      <c r="AH751" s="554"/>
      <c r="AI751" s="554"/>
      <c r="AJ751" s="553"/>
      <c r="AK751" s="555">
        <f t="shared" si="321"/>
        <v>3.1955752251512748</v>
      </c>
      <c r="AL751" s="555">
        <f t="shared" si="322"/>
        <v>3.2155752251512748</v>
      </c>
      <c r="AM751" s="553">
        <f t="shared" si="323"/>
        <v>1.1617671107953695</v>
      </c>
      <c r="AN751" s="553">
        <f t="shared" si="324"/>
        <v>1.1680062608615911</v>
      </c>
      <c r="AO751" s="556"/>
      <c r="AP751" s="556"/>
      <c r="AR751" s="553">
        <f t="shared" si="315"/>
        <v>41.464698441910329</v>
      </c>
      <c r="AS751" s="553">
        <f t="shared" si="316"/>
        <v>41.724211647016915</v>
      </c>
      <c r="AT751" s="553">
        <f t="shared" si="325"/>
        <v>3.7248424252832169</v>
      </c>
      <c r="AU751" s="553">
        <f t="shared" si="326"/>
        <v>3.7310815753494384</v>
      </c>
      <c r="AV751" s="556"/>
      <c r="AW751" s="556"/>
      <c r="AX751" s="553"/>
      <c r="AY751" s="553"/>
      <c r="AZ751" s="553"/>
      <c r="BA751" s="553"/>
      <c r="BB751" s="553"/>
      <c r="BC751" s="553"/>
      <c r="BD751" s="554"/>
      <c r="BE751" s="554"/>
    </row>
    <row r="752" spans="1:57" s="545" customFormat="1" x14ac:dyDescent="0.2">
      <c r="A752" s="549" t="s">
        <v>227</v>
      </c>
      <c r="B752" s="549" t="s">
        <v>35</v>
      </c>
      <c r="C752" s="550" t="s">
        <v>272</v>
      </c>
      <c r="D752" s="549" t="s">
        <v>274</v>
      </c>
      <c r="E752" s="551">
        <v>5</v>
      </c>
      <c r="F752" s="545">
        <f t="shared" si="314"/>
        <v>9.1372</v>
      </c>
      <c r="G752" s="551">
        <v>5.3</v>
      </c>
      <c r="H752" s="551">
        <v>42</v>
      </c>
      <c r="I752" s="551">
        <v>25</v>
      </c>
      <c r="J752" s="551">
        <v>0.02</v>
      </c>
      <c r="K752" s="551">
        <v>365</v>
      </c>
      <c r="L752" s="551">
        <v>21</v>
      </c>
      <c r="M752" s="551" t="s">
        <v>104</v>
      </c>
      <c r="N752" s="551">
        <v>11</v>
      </c>
      <c r="O752" s="545">
        <f t="shared" si="317"/>
        <v>11.02</v>
      </c>
      <c r="P752" s="545" t="s">
        <v>248</v>
      </c>
      <c r="R752" s="552">
        <f t="shared" si="318"/>
        <v>2.617351588015056</v>
      </c>
      <c r="S752" s="545">
        <v>0.6</v>
      </c>
      <c r="T752" s="545" t="s">
        <v>284</v>
      </c>
      <c r="U752" s="545">
        <v>4.0599999999999996</v>
      </c>
      <c r="V752" s="545" t="s">
        <v>285</v>
      </c>
      <c r="Y752" s="545">
        <v>0.6</v>
      </c>
      <c r="Z752" s="545" t="s">
        <v>284</v>
      </c>
      <c r="AA752" s="545">
        <v>4.0599999999999996</v>
      </c>
      <c r="AB752" s="545" t="s">
        <v>285</v>
      </c>
      <c r="AF752" s="553">
        <f t="shared" si="319"/>
        <v>2.3978952727983707</v>
      </c>
      <c r="AG752" s="553">
        <f t="shared" si="320"/>
        <v>2.3997118037247684</v>
      </c>
      <c r="AH752" s="554"/>
      <c r="AI752" s="554"/>
      <c r="AJ752" s="553"/>
      <c r="AK752" s="555">
        <f t="shared" si="321"/>
        <v>28.790867468165615</v>
      </c>
      <c r="AL752" s="555">
        <f t="shared" si="322"/>
        <v>28.810867468165615</v>
      </c>
      <c r="AM752" s="553">
        <f t="shared" si="323"/>
        <v>3.3600582350546886</v>
      </c>
      <c r="AN752" s="553">
        <f t="shared" si="324"/>
        <v>3.3607526586107084</v>
      </c>
      <c r="AO752" s="556"/>
      <c r="AP752" s="556"/>
      <c r="AR752" s="553">
        <f t="shared" si="315"/>
        <v>46.157617650002905</v>
      </c>
      <c r="AS752" s="553">
        <f t="shared" si="316"/>
        <v>46.189681718722646</v>
      </c>
      <c r="AT752" s="553">
        <f t="shared" si="325"/>
        <v>3.8320620101661227</v>
      </c>
      <c r="AU752" s="553">
        <f t="shared" si="326"/>
        <v>3.8327564337221429</v>
      </c>
      <c r="AV752" s="556"/>
      <c r="AW752" s="556"/>
      <c r="AX752" s="553"/>
      <c r="AY752" s="553"/>
      <c r="AZ752" s="553"/>
      <c r="BA752" s="553"/>
      <c r="BB752" s="553"/>
      <c r="BC752" s="553"/>
      <c r="BD752" s="554"/>
      <c r="BE752" s="554"/>
    </row>
    <row r="753" spans="1:57" s="545" customFormat="1" x14ac:dyDescent="0.2">
      <c r="A753" s="549" t="s">
        <v>227</v>
      </c>
      <c r="B753" s="549" t="s">
        <v>35</v>
      </c>
      <c r="C753" s="550" t="s">
        <v>272</v>
      </c>
      <c r="D753" s="549" t="s">
        <v>274</v>
      </c>
      <c r="E753" s="551">
        <v>5.5</v>
      </c>
      <c r="F753" s="545">
        <f t="shared" si="314"/>
        <v>1.5516000000000001</v>
      </c>
      <c r="G753" s="551">
        <v>0.9</v>
      </c>
      <c r="H753" s="551">
        <v>60</v>
      </c>
      <c r="I753" s="551">
        <v>13</v>
      </c>
      <c r="J753" s="551">
        <v>0.02</v>
      </c>
      <c r="K753" s="551">
        <v>365</v>
      </c>
      <c r="L753" s="551">
        <v>21</v>
      </c>
      <c r="M753" s="551" t="s">
        <v>104</v>
      </c>
      <c r="N753" s="551">
        <v>22</v>
      </c>
      <c r="O753" s="545">
        <f t="shared" si="317"/>
        <v>22.02</v>
      </c>
      <c r="P753" s="545" t="s">
        <v>248</v>
      </c>
      <c r="R753" s="552">
        <f t="shared" si="318"/>
        <v>4.3068427278791388</v>
      </c>
      <c r="S753" s="545">
        <v>0.6</v>
      </c>
      <c r="T753" s="545" t="s">
        <v>284</v>
      </c>
      <c r="U753" s="545">
        <v>4.0599999999999996</v>
      </c>
      <c r="V753" s="545" t="s">
        <v>285</v>
      </c>
      <c r="Y753" s="545">
        <v>0.6</v>
      </c>
      <c r="Z753" s="545" t="s">
        <v>284</v>
      </c>
      <c r="AA753" s="545">
        <v>4.0599999999999996</v>
      </c>
      <c r="AB753" s="545" t="s">
        <v>285</v>
      </c>
      <c r="AF753" s="553">
        <f t="shared" si="319"/>
        <v>3.0910424533583161</v>
      </c>
      <c r="AG753" s="553">
        <f t="shared" si="320"/>
        <v>3.0919511312945338</v>
      </c>
      <c r="AH753" s="554"/>
      <c r="AI753" s="554"/>
      <c r="AJ753" s="553"/>
      <c r="AK753" s="555">
        <f t="shared" si="321"/>
        <v>94.750540013341052</v>
      </c>
      <c r="AL753" s="555">
        <f t="shared" si="322"/>
        <v>94.770540013341048</v>
      </c>
      <c r="AM753" s="553">
        <f t="shared" si="323"/>
        <v>4.5512475432955402</v>
      </c>
      <c r="AN753" s="553">
        <f t="shared" si="324"/>
        <v>4.5514586016123397</v>
      </c>
      <c r="AO753" s="556"/>
      <c r="AP753" s="556"/>
      <c r="AR753" s="553">
        <f t="shared" si="315"/>
        <v>298.90697068067504</v>
      </c>
      <c r="AS753" s="553">
        <f t="shared" si="316"/>
        <v>298.97006414075213</v>
      </c>
      <c r="AT753" s="553">
        <f t="shared" si="325"/>
        <v>5.7001323901309568</v>
      </c>
      <c r="AU753" s="553">
        <f t="shared" si="326"/>
        <v>5.7003434484477564</v>
      </c>
      <c r="AV753" s="556"/>
      <c r="AW753" s="556"/>
      <c r="AX753" s="553"/>
      <c r="AY753" s="553"/>
      <c r="AZ753" s="553"/>
      <c r="BA753" s="553"/>
      <c r="BB753" s="553"/>
      <c r="BC753" s="553"/>
      <c r="BD753" s="554"/>
      <c r="BE753" s="554"/>
    </row>
    <row r="754" spans="1:57" s="545" customFormat="1" x14ac:dyDescent="0.2">
      <c r="A754" s="549" t="s">
        <v>227</v>
      </c>
      <c r="B754" s="549" t="s">
        <v>35</v>
      </c>
      <c r="C754" s="550" t="s">
        <v>272</v>
      </c>
      <c r="D754" s="549" t="s">
        <v>274</v>
      </c>
      <c r="E754" s="551">
        <v>6.6</v>
      </c>
      <c r="F754" s="545">
        <f t="shared" si="314"/>
        <v>20.687999999999999</v>
      </c>
      <c r="G754" s="551">
        <v>12</v>
      </c>
      <c r="H754" s="551">
        <v>19</v>
      </c>
      <c r="I754" s="551">
        <v>42</v>
      </c>
      <c r="J754" s="551">
        <v>0.02</v>
      </c>
      <c r="K754" s="551">
        <v>365</v>
      </c>
      <c r="L754" s="551">
        <v>21</v>
      </c>
      <c r="M754" s="551" t="s">
        <v>104</v>
      </c>
      <c r="N754" s="551">
        <v>41</v>
      </c>
      <c r="O754" s="545">
        <f t="shared" si="317"/>
        <v>41.02</v>
      </c>
      <c r="P754" s="545" t="s">
        <v>248</v>
      </c>
      <c r="R754" s="552">
        <f t="shared" si="318"/>
        <v>1.7105021714920636</v>
      </c>
      <c r="S754" s="545">
        <v>0.6</v>
      </c>
      <c r="T754" s="545" t="s">
        <v>284</v>
      </c>
      <c r="U754" s="545">
        <v>4.0599999999999996</v>
      </c>
      <c r="V754" s="545" t="s">
        <v>285</v>
      </c>
      <c r="Y754" s="545">
        <v>0.6</v>
      </c>
      <c r="Z754" s="545" t="s">
        <v>284</v>
      </c>
      <c r="AA754" s="545">
        <v>4.0599999999999996</v>
      </c>
      <c r="AB754" s="545" t="s">
        <v>285</v>
      </c>
      <c r="AF754" s="553">
        <f t="shared" si="319"/>
        <v>3.713572066704308</v>
      </c>
      <c r="AG754" s="553">
        <f t="shared" si="320"/>
        <v>3.7140597526442347</v>
      </c>
      <c r="AH754" s="554"/>
      <c r="AI754" s="554"/>
      <c r="AJ754" s="553"/>
      <c r="AK754" s="555">
        <f t="shared" si="321"/>
        <v>70.130589031174608</v>
      </c>
      <c r="AL754" s="555">
        <f t="shared" si="322"/>
        <v>70.150589031174604</v>
      </c>
      <c r="AM754" s="553">
        <f t="shared" si="323"/>
        <v>4.2503590616462228</v>
      </c>
      <c r="AN754" s="553">
        <f t="shared" si="324"/>
        <v>4.250644203251273</v>
      </c>
      <c r="AO754" s="556"/>
      <c r="AP754" s="556"/>
      <c r="AR754" s="553">
        <f t="shared" si="315"/>
        <v>22.306053268092999</v>
      </c>
      <c r="AS754" s="553">
        <f t="shared" si="316"/>
        <v>22.312414558815419</v>
      </c>
      <c r="AT754" s="553">
        <f t="shared" si="325"/>
        <v>3.1048580886306878</v>
      </c>
      <c r="AU754" s="553">
        <f t="shared" si="326"/>
        <v>3.105143230235738</v>
      </c>
      <c r="AV754" s="556"/>
      <c r="AW754" s="556"/>
      <c r="AX754" s="553"/>
      <c r="AY754" s="553"/>
      <c r="AZ754" s="553"/>
      <c r="BA754" s="553"/>
      <c r="BB754" s="553"/>
      <c r="BC754" s="553"/>
      <c r="BD754" s="554"/>
      <c r="BE754" s="554"/>
    </row>
    <row r="755" spans="1:57" s="545" customFormat="1" x14ac:dyDescent="0.2">
      <c r="A755" s="549" t="s">
        <v>227</v>
      </c>
      <c r="B755" s="549" t="s">
        <v>35</v>
      </c>
      <c r="C755" s="550" t="s">
        <v>272</v>
      </c>
      <c r="D755" s="549" t="s">
        <v>274</v>
      </c>
      <c r="E755" s="551">
        <v>8</v>
      </c>
      <c r="F755" s="545">
        <f t="shared" si="314"/>
        <v>3.1032000000000002</v>
      </c>
      <c r="G755" s="551">
        <v>1.8</v>
      </c>
      <c r="H755" s="551">
        <v>12</v>
      </c>
      <c r="I755" s="551">
        <v>13</v>
      </c>
      <c r="J755" s="551">
        <v>0.02</v>
      </c>
      <c r="K755" s="551">
        <v>365</v>
      </c>
      <c r="L755" s="551">
        <v>21</v>
      </c>
      <c r="M755" s="551" t="s">
        <v>104</v>
      </c>
      <c r="N755" s="551">
        <v>253</v>
      </c>
      <c r="O755" s="545">
        <f t="shared" si="317"/>
        <v>253.02</v>
      </c>
      <c r="P755" s="545" t="s">
        <v>248</v>
      </c>
      <c r="R755" s="552">
        <f t="shared" si="318"/>
        <v>2.1574209985336794</v>
      </c>
      <c r="S755" s="545">
        <v>0.6</v>
      </c>
      <c r="T755" s="545" t="s">
        <v>284</v>
      </c>
      <c r="U755" s="545">
        <v>4.0599999999999996</v>
      </c>
      <c r="V755" s="545" t="s">
        <v>285</v>
      </c>
      <c r="Y755" s="545">
        <v>0.6</v>
      </c>
      <c r="Z755" s="545" t="s">
        <v>284</v>
      </c>
      <c r="AA755" s="545">
        <v>4.0599999999999996</v>
      </c>
      <c r="AB755" s="545" t="s">
        <v>285</v>
      </c>
      <c r="AF755" s="553">
        <f t="shared" si="319"/>
        <v>5.5333894887275203</v>
      </c>
      <c r="AG755" s="553">
        <f t="shared" si="320"/>
        <v>5.5334685369865237</v>
      </c>
      <c r="AH755" s="554"/>
      <c r="AI755" s="554"/>
      <c r="AJ755" s="553"/>
      <c r="AK755" s="555">
        <f t="shared" si="321"/>
        <v>545.82751262902093</v>
      </c>
      <c r="AL755" s="555">
        <f t="shared" si="322"/>
        <v>545.84751262902091</v>
      </c>
      <c r="AM755" s="553">
        <f t="shared" si="323"/>
        <v>6.3023030148986745</v>
      </c>
      <c r="AN755" s="553">
        <f t="shared" si="324"/>
        <v>6.3023396558395026</v>
      </c>
      <c r="AO755" s="556"/>
      <c r="AP755" s="556"/>
      <c r="AR755" s="553">
        <f t="shared" si="315"/>
        <v>248.152666791196</v>
      </c>
      <c r="AS755" s="553">
        <f t="shared" si="316"/>
        <v>248.16175950495807</v>
      </c>
      <c r="AT755" s="553">
        <f t="shared" si="325"/>
        <v>5.514044148665997</v>
      </c>
      <c r="AU755" s="553">
        <f t="shared" si="326"/>
        <v>5.5140807896068251</v>
      </c>
      <c r="AV755" s="556"/>
      <c r="AW755" s="556"/>
      <c r="AX755" s="553"/>
      <c r="AY755" s="553"/>
      <c r="AZ755" s="553"/>
      <c r="BA755" s="553"/>
      <c r="BB755" s="553"/>
      <c r="BC755" s="553"/>
      <c r="BD755" s="554"/>
      <c r="BE755" s="554"/>
    </row>
    <row r="756" spans="1:57" s="545" customFormat="1" x14ac:dyDescent="0.2">
      <c r="A756" s="549" t="s">
        <v>227</v>
      </c>
      <c r="B756" s="549" t="s">
        <v>35</v>
      </c>
      <c r="C756" s="550" t="s">
        <v>272</v>
      </c>
      <c r="D756" s="549" t="s">
        <v>275</v>
      </c>
      <c r="E756" s="551">
        <v>7.1</v>
      </c>
      <c r="F756" s="545">
        <f t="shared" si="314"/>
        <v>3.2755999999999998</v>
      </c>
      <c r="G756" s="551">
        <v>1.9</v>
      </c>
      <c r="H756" s="551">
        <v>30</v>
      </c>
      <c r="I756" s="551">
        <v>27</v>
      </c>
      <c r="J756" s="551">
        <v>0.02</v>
      </c>
      <c r="K756" s="551">
        <v>7</v>
      </c>
      <c r="L756" s="551">
        <v>21</v>
      </c>
      <c r="M756" s="551" t="s">
        <v>104</v>
      </c>
      <c r="N756" s="551">
        <v>42</v>
      </c>
      <c r="O756" s="545">
        <f t="shared" si="317"/>
        <v>42.02</v>
      </c>
      <c r="P756" s="545" t="s">
        <v>248</v>
      </c>
      <c r="R756" s="552">
        <f t="shared" si="318"/>
        <v>3.2801435493616093</v>
      </c>
      <c r="S756" s="545">
        <v>0.6</v>
      </c>
      <c r="T756" s="545" t="s">
        <v>284</v>
      </c>
      <c r="U756" s="545">
        <v>4.0599999999999996</v>
      </c>
      <c r="V756" s="545" t="s">
        <v>285</v>
      </c>
      <c r="Y756" s="545">
        <v>0.6</v>
      </c>
      <c r="Z756" s="545" t="s">
        <v>284</v>
      </c>
      <c r="AA756" s="545">
        <v>4.0599999999999996</v>
      </c>
      <c r="AB756" s="545" t="s">
        <v>285</v>
      </c>
      <c r="AF756" s="553">
        <f t="shared" si="319"/>
        <v>3.7376696182833684</v>
      </c>
      <c r="AG756" s="553">
        <f t="shared" si="320"/>
        <v>3.7381456954168546</v>
      </c>
      <c r="AH756" s="554"/>
      <c r="AI756" s="554"/>
      <c r="AJ756" s="553"/>
      <c r="AK756" s="555">
        <f t="shared" si="321"/>
        <v>137.76602907318758</v>
      </c>
      <c r="AL756" s="555">
        <f t="shared" si="322"/>
        <v>137.78602907318759</v>
      </c>
      <c r="AM756" s="553">
        <f t="shared" si="323"/>
        <v>4.9255568047710296</v>
      </c>
      <c r="AN756" s="553">
        <f t="shared" si="324"/>
        <v>4.9257019679040486</v>
      </c>
      <c r="AO756" s="556"/>
      <c r="AP756" s="556"/>
      <c r="AR756" s="553">
        <f t="shared" si="315"/>
        <v>98.435886892749338</v>
      </c>
      <c r="AS756" s="553">
        <f t="shared" si="316"/>
        <v>98.450177191679344</v>
      </c>
      <c r="AT756" s="553">
        <f t="shared" si="325"/>
        <v>4.5894054417644057</v>
      </c>
      <c r="AU756" s="553">
        <f t="shared" si="326"/>
        <v>4.5895506048974237</v>
      </c>
      <c r="AV756" s="556"/>
      <c r="AW756" s="556"/>
      <c r="AX756" s="287">
        <f>GEOMEAN(AR756:AR763)</f>
        <v>74.287128708749364</v>
      </c>
      <c r="AY756" s="287">
        <f>GEOMEAN(AS756:AS763)</f>
        <v>74.330568412148295</v>
      </c>
      <c r="AZ756" s="553"/>
      <c r="BA756" s="553"/>
      <c r="BB756" s="553"/>
      <c r="BC756" s="553"/>
      <c r="BD756" s="554"/>
      <c r="BE756" s="554"/>
    </row>
    <row r="757" spans="1:57" s="545" customFormat="1" x14ac:dyDescent="0.2">
      <c r="A757" s="549" t="s">
        <v>227</v>
      </c>
      <c r="B757" s="549" t="s">
        <v>35</v>
      </c>
      <c r="C757" s="550" t="s">
        <v>272</v>
      </c>
      <c r="D757" s="549" t="s">
        <v>275</v>
      </c>
      <c r="E757" s="551">
        <v>4.5999999999999996</v>
      </c>
      <c r="F757" s="545">
        <f t="shared" si="314"/>
        <v>3.2755999999999998</v>
      </c>
      <c r="G757" s="551">
        <v>1.9</v>
      </c>
      <c r="H757" s="551">
        <v>2.5</v>
      </c>
      <c r="I757" s="551">
        <v>6.4</v>
      </c>
      <c r="J757" s="551">
        <v>0.02</v>
      </c>
      <c r="K757" s="551">
        <v>7</v>
      </c>
      <c r="L757" s="551">
        <v>21</v>
      </c>
      <c r="M757" s="551" t="s">
        <v>104</v>
      </c>
      <c r="N757" s="551">
        <v>17</v>
      </c>
      <c r="O757" s="545">
        <f t="shared" si="317"/>
        <v>17.02</v>
      </c>
      <c r="P757" s="545" t="s">
        <v>248</v>
      </c>
      <c r="R757" s="552">
        <f t="shared" si="318"/>
        <v>2.5219053467258976</v>
      </c>
      <c r="S757" s="545">
        <v>0.6</v>
      </c>
      <c r="T757" s="545" t="s">
        <v>284</v>
      </c>
      <c r="U757" s="545">
        <v>4.0599999999999996</v>
      </c>
      <c r="V757" s="545" t="s">
        <v>285</v>
      </c>
      <c r="Y757" s="545">
        <v>0.6</v>
      </c>
      <c r="Z757" s="545" t="s">
        <v>284</v>
      </c>
      <c r="AA757" s="545">
        <v>4.0599999999999996</v>
      </c>
      <c r="AB757" s="545" t="s">
        <v>285</v>
      </c>
      <c r="AF757" s="553">
        <f t="shared" si="319"/>
        <v>2.8332133440562162</v>
      </c>
      <c r="AG757" s="553">
        <f t="shared" si="320"/>
        <v>2.8343891231452281</v>
      </c>
      <c r="AH757" s="554"/>
      <c r="AI757" s="554"/>
      <c r="AJ757" s="553"/>
      <c r="AK757" s="555">
        <f t="shared" si="321"/>
        <v>42.872390894340256</v>
      </c>
      <c r="AL757" s="555">
        <f t="shared" si="322"/>
        <v>42.892390894340259</v>
      </c>
      <c r="AM757" s="553">
        <f t="shared" si="323"/>
        <v>3.7582280498581171</v>
      </c>
      <c r="AN757" s="553">
        <f t="shared" si="324"/>
        <v>3.7586944417720343</v>
      </c>
      <c r="AO757" s="556"/>
      <c r="AP757" s="556"/>
      <c r="AR757" s="553">
        <f t="shared" si="315"/>
        <v>178.44365941963457</v>
      </c>
      <c r="AS757" s="553">
        <f t="shared" si="316"/>
        <v>178.52690351015403</v>
      </c>
      <c r="AT757" s="553">
        <f t="shared" si="325"/>
        <v>5.1842729178935079</v>
      </c>
      <c r="AU757" s="553">
        <f t="shared" si="326"/>
        <v>5.1847393098074246</v>
      </c>
      <c r="AV757" s="556"/>
      <c r="AW757" s="556"/>
      <c r="AX757" s="553"/>
      <c r="AY757" s="553"/>
      <c r="AZ757" s="553"/>
      <c r="BA757" s="553"/>
      <c r="BB757" s="553"/>
      <c r="BC757" s="553"/>
      <c r="BD757" s="554"/>
      <c r="BE757" s="554"/>
    </row>
    <row r="758" spans="1:57" s="545" customFormat="1" x14ac:dyDescent="0.2">
      <c r="A758" s="549" t="s">
        <v>227</v>
      </c>
      <c r="B758" s="549" t="s">
        <v>35</v>
      </c>
      <c r="C758" s="550" t="s">
        <v>272</v>
      </c>
      <c r="D758" s="549" t="s">
        <v>275</v>
      </c>
      <c r="E758" s="551">
        <v>5.0999999999999996</v>
      </c>
      <c r="F758" s="545">
        <f t="shared" si="314"/>
        <v>11.8956</v>
      </c>
      <c r="G758" s="551">
        <v>6.9</v>
      </c>
      <c r="H758" s="551">
        <v>14</v>
      </c>
      <c r="I758" s="551">
        <v>12</v>
      </c>
      <c r="J758" s="551">
        <v>0.02</v>
      </c>
      <c r="K758" s="551">
        <v>7</v>
      </c>
      <c r="L758" s="551">
        <v>21</v>
      </c>
      <c r="M758" s="551" t="s">
        <v>104</v>
      </c>
      <c r="N758" s="551">
        <v>54</v>
      </c>
      <c r="O758" s="545">
        <f t="shared" si="317"/>
        <v>54.02</v>
      </c>
      <c r="P758" s="545" t="s">
        <v>248</v>
      </c>
      <c r="R758" s="552">
        <f t="shared" si="318"/>
        <v>1.6070680455632902</v>
      </c>
      <c r="S758" s="545">
        <v>0.6</v>
      </c>
      <c r="T758" s="545" t="s">
        <v>284</v>
      </c>
      <c r="U758" s="545">
        <v>4.0599999999999996</v>
      </c>
      <c r="V758" s="545" t="s">
        <v>285</v>
      </c>
      <c r="Y758" s="545">
        <v>0.6</v>
      </c>
      <c r="Z758" s="545" t="s">
        <v>284</v>
      </c>
      <c r="AA758" s="545">
        <v>4.0599999999999996</v>
      </c>
      <c r="AB758" s="545" t="s">
        <v>285</v>
      </c>
      <c r="AF758" s="553">
        <f t="shared" si="319"/>
        <v>3.9889840465642745</v>
      </c>
      <c r="AG758" s="553">
        <f t="shared" si="320"/>
        <v>3.9893543483644698</v>
      </c>
      <c r="AH758" s="554"/>
      <c r="AI758" s="554"/>
      <c r="AJ758" s="553"/>
      <c r="AK758" s="555">
        <f t="shared" si="321"/>
        <v>86.781674460417676</v>
      </c>
      <c r="AL758" s="555">
        <f t="shared" si="322"/>
        <v>86.801674460417672</v>
      </c>
      <c r="AM758" s="553">
        <f t="shared" si="323"/>
        <v>4.463395475648646</v>
      </c>
      <c r="AN758" s="553">
        <f t="shared" si="324"/>
        <v>4.4636259124988715</v>
      </c>
      <c r="AO758" s="556"/>
      <c r="AP758" s="556"/>
      <c r="AR758" s="553">
        <f t="shared" si="315"/>
        <v>109.58624110940603</v>
      </c>
      <c r="AS758" s="553">
        <f t="shared" si="316"/>
        <v>109.61149672743615</v>
      </c>
      <c r="AT758" s="553">
        <f t="shared" si="325"/>
        <v>4.6967118293105079</v>
      </c>
      <c r="AU758" s="553">
        <f t="shared" si="326"/>
        <v>4.6969422661607343</v>
      </c>
      <c r="AV758" s="556"/>
      <c r="AW758" s="556"/>
      <c r="AX758" s="553"/>
      <c r="AY758" s="553"/>
      <c r="AZ758" s="553"/>
      <c r="BA758" s="553"/>
      <c r="BB758" s="553"/>
      <c r="BC758" s="553"/>
      <c r="BD758" s="554"/>
      <c r="BE758" s="554"/>
    </row>
    <row r="759" spans="1:57" s="545" customFormat="1" x14ac:dyDescent="0.2">
      <c r="A759" s="549" t="s">
        <v>227</v>
      </c>
      <c r="B759" s="549" t="s">
        <v>35</v>
      </c>
      <c r="C759" s="550" t="s">
        <v>272</v>
      </c>
      <c r="D759" s="549" t="s">
        <v>275</v>
      </c>
      <c r="E759" s="551">
        <v>3.6</v>
      </c>
      <c r="F759" s="545">
        <f t="shared" si="314"/>
        <v>2.5859999999999999</v>
      </c>
      <c r="G759" s="551">
        <v>1.5</v>
      </c>
      <c r="H759" s="551">
        <v>1.4</v>
      </c>
      <c r="I759" s="551">
        <v>5.3</v>
      </c>
      <c r="J759" s="551">
        <v>0.02</v>
      </c>
      <c r="K759" s="551">
        <v>7</v>
      </c>
      <c r="L759" s="551">
        <v>21</v>
      </c>
      <c r="M759" s="551" t="s">
        <v>104</v>
      </c>
      <c r="N759" s="551">
        <v>8.6999999999999993</v>
      </c>
      <c r="O759" s="545">
        <f t="shared" si="317"/>
        <v>8.7199999999999989</v>
      </c>
      <c r="P759" s="545" t="s">
        <v>248</v>
      </c>
      <c r="R759" s="552">
        <f t="shared" si="318"/>
        <v>3.2607910460727294</v>
      </c>
      <c r="S759" s="545">
        <v>0.6</v>
      </c>
      <c r="T759" s="545" t="s">
        <v>284</v>
      </c>
      <c r="U759" s="545">
        <v>4.0599999999999996</v>
      </c>
      <c r="V759" s="545" t="s">
        <v>285</v>
      </c>
      <c r="Y759" s="545">
        <v>0.6</v>
      </c>
      <c r="Z759" s="545" t="s">
        <v>284</v>
      </c>
      <c r="AA759" s="545">
        <v>4.0599999999999996</v>
      </c>
      <c r="AB759" s="545" t="s">
        <v>285</v>
      </c>
      <c r="AF759" s="553">
        <f t="shared" si="319"/>
        <v>2.1633230256605378</v>
      </c>
      <c r="AG759" s="553">
        <f t="shared" si="320"/>
        <v>2.1656192379208883</v>
      </c>
      <c r="AH759" s="554"/>
      <c r="AI759" s="554"/>
      <c r="AJ759" s="553"/>
      <c r="AK759" s="555">
        <f t="shared" si="321"/>
        <v>28.368882100832742</v>
      </c>
      <c r="AL759" s="555">
        <f t="shared" si="322"/>
        <v>28.388882100832742</v>
      </c>
      <c r="AM759" s="553">
        <f t="shared" si="323"/>
        <v>3.3452928437734268</v>
      </c>
      <c r="AN759" s="553">
        <f t="shared" si="324"/>
        <v>3.3459975931979011</v>
      </c>
      <c r="AO759" s="556"/>
      <c r="AP759" s="556"/>
      <c r="AR759" s="553">
        <f t="shared" si="315"/>
        <v>368.10497596389774</v>
      </c>
      <c r="AS759" s="553">
        <f t="shared" si="316"/>
        <v>368.36448916900434</v>
      </c>
      <c r="AT759" s="553">
        <f t="shared" si="325"/>
        <v>5.9083681582612746</v>
      </c>
      <c r="AU759" s="553">
        <f t="shared" si="326"/>
        <v>5.9090729076857489</v>
      </c>
      <c r="AV759" s="556"/>
      <c r="AW759" s="556"/>
      <c r="AX759" s="553"/>
      <c r="AY759" s="553"/>
      <c r="AZ759" s="553"/>
      <c r="BA759" s="553"/>
      <c r="BB759" s="553"/>
      <c r="BC759" s="553"/>
      <c r="BD759" s="554"/>
      <c r="BE759" s="554"/>
    </row>
    <row r="760" spans="1:57" s="545" customFormat="1" x14ac:dyDescent="0.2">
      <c r="A760" s="549" t="s">
        <v>227</v>
      </c>
      <c r="B760" s="549" t="s">
        <v>35</v>
      </c>
      <c r="C760" s="550" t="s">
        <v>272</v>
      </c>
      <c r="D760" s="549" t="s">
        <v>275</v>
      </c>
      <c r="E760" s="551">
        <v>5</v>
      </c>
      <c r="F760" s="545">
        <f t="shared" si="314"/>
        <v>9.1372</v>
      </c>
      <c r="G760" s="551">
        <v>5.3</v>
      </c>
      <c r="H760" s="551">
        <v>42</v>
      </c>
      <c r="I760" s="551">
        <v>25</v>
      </c>
      <c r="J760" s="551">
        <v>0.02</v>
      </c>
      <c r="K760" s="551">
        <v>7</v>
      </c>
      <c r="L760" s="551">
        <v>21</v>
      </c>
      <c r="M760" s="551" t="s">
        <v>104</v>
      </c>
      <c r="N760" s="551">
        <v>4.0999999999999996</v>
      </c>
      <c r="O760" s="545">
        <f t="shared" si="317"/>
        <v>4.1199999999999992</v>
      </c>
      <c r="P760" s="545" t="s">
        <v>248</v>
      </c>
      <c r="R760" s="552">
        <f t="shared" si="318"/>
        <v>2.617351588015056</v>
      </c>
      <c r="S760" s="545">
        <v>0.6</v>
      </c>
      <c r="T760" s="545" t="s">
        <v>284</v>
      </c>
      <c r="U760" s="545">
        <v>4.0599999999999996</v>
      </c>
      <c r="V760" s="545" t="s">
        <v>285</v>
      </c>
      <c r="Y760" s="545">
        <v>0.6</v>
      </c>
      <c r="Z760" s="545" t="s">
        <v>284</v>
      </c>
      <c r="AA760" s="545">
        <v>4.0599999999999996</v>
      </c>
      <c r="AB760" s="545" t="s">
        <v>285</v>
      </c>
      <c r="AF760" s="553">
        <f t="shared" si="319"/>
        <v>1.410986973710262</v>
      </c>
      <c r="AG760" s="553">
        <f t="shared" si="320"/>
        <v>1.4158531633614349</v>
      </c>
      <c r="AH760" s="554"/>
      <c r="AI760" s="554"/>
      <c r="AJ760" s="553"/>
      <c r="AK760" s="555">
        <f t="shared" si="321"/>
        <v>10.731141510861729</v>
      </c>
      <c r="AL760" s="555">
        <f t="shared" si="322"/>
        <v>10.751141510861729</v>
      </c>
      <c r="AM760" s="553">
        <f t="shared" si="323"/>
        <v>2.37314993596658</v>
      </c>
      <c r="AN760" s="553">
        <f t="shared" si="324"/>
        <v>2.3750119359931303</v>
      </c>
      <c r="AO760" s="556"/>
      <c r="AP760" s="556"/>
      <c r="AR760" s="553">
        <f t="shared" si="315"/>
        <v>17.20420294227381</v>
      </c>
      <c r="AS760" s="553">
        <f t="shared" si="316"/>
        <v>17.236267010993544</v>
      </c>
      <c r="AT760" s="553">
        <f t="shared" si="325"/>
        <v>2.8451537110780141</v>
      </c>
      <c r="AU760" s="553">
        <f t="shared" si="326"/>
        <v>2.8470157111045644</v>
      </c>
      <c r="AV760" s="556"/>
      <c r="AW760" s="556"/>
      <c r="AX760" s="553"/>
      <c r="AY760" s="553"/>
      <c r="AZ760" s="553"/>
      <c r="BA760" s="553"/>
      <c r="BB760" s="553"/>
      <c r="BC760" s="553"/>
      <c r="BD760" s="554"/>
      <c r="BE760" s="554"/>
    </row>
    <row r="761" spans="1:57" s="545" customFormat="1" x14ac:dyDescent="0.2">
      <c r="A761" s="549" t="s">
        <v>227</v>
      </c>
      <c r="B761" s="549" t="s">
        <v>35</v>
      </c>
      <c r="C761" s="550" t="s">
        <v>272</v>
      </c>
      <c r="D761" s="549" t="s">
        <v>275</v>
      </c>
      <c r="E761" s="551">
        <v>5.5</v>
      </c>
      <c r="F761" s="545">
        <f t="shared" si="314"/>
        <v>1.5516000000000001</v>
      </c>
      <c r="G761" s="551">
        <v>0.9</v>
      </c>
      <c r="H761" s="551">
        <v>60</v>
      </c>
      <c r="I761" s="551">
        <v>13</v>
      </c>
      <c r="J761" s="551">
        <v>0.02</v>
      </c>
      <c r="K761" s="551">
        <v>7</v>
      </c>
      <c r="L761" s="551">
        <v>21</v>
      </c>
      <c r="M761" s="551" t="s">
        <v>104</v>
      </c>
      <c r="N761" s="551">
        <v>6.6</v>
      </c>
      <c r="O761" s="545">
        <f t="shared" si="317"/>
        <v>6.6199999999999992</v>
      </c>
      <c r="P761" s="545" t="s">
        <v>248</v>
      </c>
      <c r="R761" s="552">
        <f t="shared" si="318"/>
        <v>4.3068427278791388</v>
      </c>
      <c r="S761" s="545">
        <v>0.6</v>
      </c>
      <c r="T761" s="545" t="s">
        <v>284</v>
      </c>
      <c r="U761" s="545">
        <v>4.0599999999999996</v>
      </c>
      <c r="V761" s="545" t="s">
        <v>285</v>
      </c>
      <c r="Y761" s="545">
        <v>0.6</v>
      </c>
      <c r="Z761" s="545" t="s">
        <v>284</v>
      </c>
      <c r="AA761" s="545">
        <v>4.0599999999999996</v>
      </c>
      <c r="AB761" s="545" t="s">
        <v>285</v>
      </c>
      <c r="AF761" s="553">
        <f t="shared" si="319"/>
        <v>1.8870696490323797</v>
      </c>
      <c r="AG761" s="553">
        <f t="shared" si="320"/>
        <v>1.8900953699489167</v>
      </c>
      <c r="AH761" s="554"/>
      <c r="AI761" s="554"/>
      <c r="AJ761" s="553"/>
      <c r="AK761" s="555">
        <f t="shared" si="321"/>
        <v>28.425162004002313</v>
      </c>
      <c r="AL761" s="555">
        <f t="shared" si="322"/>
        <v>28.445162004002313</v>
      </c>
      <c r="AM761" s="553">
        <f t="shared" si="323"/>
        <v>3.3472747389696043</v>
      </c>
      <c r="AN761" s="553">
        <f t="shared" si="324"/>
        <v>3.3479780935283614</v>
      </c>
      <c r="AO761" s="556"/>
      <c r="AP761" s="556"/>
      <c r="AR761" s="553">
        <f t="shared" si="315"/>
        <v>89.672091204202516</v>
      </c>
      <c r="AS761" s="553">
        <f t="shared" si="316"/>
        <v>89.7351846642796</v>
      </c>
      <c r="AT761" s="553">
        <f t="shared" si="325"/>
        <v>4.496159585805021</v>
      </c>
      <c r="AU761" s="553">
        <f t="shared" si="326"/>
        <v>4.4968629403637781</v>
      </c>
      <c r="AV761" s="556"/>
      <c r="AW761" s="556"/>
      <c r="AX761" s="553"/>
      <c r="AY761" s="553"/>
      <c r="AZ761" s="553"/>
      <c r="BA761" s="553"/>
      <c r="BB761" s="553"/>
      <c r="BC761" s="553"/>
      <c r="BD761" s="554"/>
      <c r="BE761" s="554"/>
    </row>
    <row r="762" spans="1:57" s="545" customFormat="1" x14ac:dyDescent="0.2">
      <c r="A762" s="549" t="s">
        <v>227</v>
      </c>
      <c r="B762" s="549" t="s">
        <v>35</v>
      </c>
      <c r="C762" s="550" t="s">
        <v>272</v>
      </c>
      <c r="D762" s="549" t="s">
        <v>275</v>
      </c>
      <c r="E762" s="551">
        <v>6.6</v>
      </c>
      <c r="F762" s="545">
        <f t="shared" si="314"/>
        <v>20.687999999999999</v>
      </c>
      <c r="G762" s="551">
        <v>12</v>
      </c>
      <c r="H762" s="551">
        <v>19</v>
      </c>
      <c r="I762" s="551">
        <v>42</v>
      </c>
      <c r="J762" s="551">
        <v>0.02</v>
      </c>
      <c r="K762" s="551">
        <v>7</v>
      </c>
      <c r="L762" s="551">
        <v>21</v>
      </c>
      <c r="M762" s="551" t="s">
        <v>104</v>
      </c>
      <c r="N762" s="551">
        <v>30</v>
      </c>
      <c r="O762" s="545">
        <f t="shared" si="317"/>
        <v>30.02</v>
      </c>
      <c r="P762" s="545" t="s">
        <v>248</v>
      </c>
      <c r="R762" s="552">
        <f t="shared" si="318"/>
        <v>1.7105021714920636</v>
      </c>
      <c r="S762" s="545">
        <v>0.6</v>
      </c>
      <c r="T762" s="545" t="s">
        <v>284</v>
      </c>
      <c r="U762" s="545">
        <v>4.0599999999999996</v>
      </c>
      <c r="V762" s="545" t="s">
        <v>285</v>
      </c>
      <c r="Y762" s="545">
        <v>0.6</v>
      </c>
      <c r="Z762" s="545" t="s">
        <v>284</v>
      </c>
      <c r="AA762" s="545">
        <v>4.0599999999999996</v>
      </c>
      <c r="AB762" s="545" t="s">
        <v>285</v>
      </c>
      <c r="AF762" s="553">
        <f t="shared" si="319"/>
        <v>3.4011973816621555</v>
      </c>
      <c r="AG762" s="553">
        <f t="shared" si="320"/>
        <v>3.4018638262053158</v>
      </c>
      <c r="AH762" s="554"/>
      <c r="AI762" s="554"/>
      <c r="AJ762" s="553"/>
      <c r="AK762" s="555">
        <f t="shared" si="321"/>
        <v>51.31506514476191</v>
      </c>
      <c r="AL762" s="555">
        <f t="shared" si="322"/>
        <v>51.335065144761913</v>
      </c>
      <c r="AM762" s="553">
        <f t="shared" si="323"/>
        <v>3.9379843766040707</v>
      </c>
      <c r="AN762" s="553">
        <f t="shared" si="324"/>
        <v>3.9383740497627246</v>
      </c>
      <c r="AO762" s="556"/>
      <c r="AP762" s="556"/>
      <c r="AR762" s="553">
        <f t="shared" si="315"/>
        <v>16.321502391287559</v>
      </c>
      <c r="AS762" s="553">
        <f t="shared" si="316"/>
        <v>16.327863682009983</v>
      </c>
      <c r="AT762" s="553">
        <f t="shared" si="325"/>
        <v>2.7924834035885353</v>
      </c>
      <c r="AU762" s="553">
        <f t="shared" si="326"/>
        <v>2.7928730767471897</v>
      </c>
      <c r="AV762" s="556"/>
      <c r="AW762" s="556"/>
      <c r="AX762" s="553"/>
      <c r="AY762" s="553"/>
      <c r="AZ762" s="553"/>
      <c r="BA762" s="553"/>
      <c r="BB762" s="553"/>
      <c r="BC762" s="553"/>
      <c r="BD762" s="554"/>
      <c r="BE762" s="554"/>
    </row>
    <row r="763" spans="1:57" s="545" customFormat="1" x14ac:dyDescent="0.2">
      <c r="A763" s="549" t="s">
        <v>227</v>
      </c>
      <c r="B763" s="549" t="s">
        <v>35</v>
      </c>
      <c r="C763" s="550" t="s">
        <v>272</v>
      </c>
      <c r="D763" s="549" t="s">
        <v>275</v>
      </c>
      <c r="E763" s="551">
        <v>8</v>
      </c>
      <c r="F763" s="545">
        <f t="shared" si="314"/>
        <v>3.1032000000000002</v>
      </c>
      <c r="G763" s="551">
        <v>1.8</v>
      </c>
      <c r="H763" s="551">
        <v>12</v>
      </c>
      <c r="I763" s="551">
        <v>13</v>
      </c>
      <c r="J763" s="551">
        <v>0.02</v>
      </c>
      <c r="K763" s="551">
        <v>7</v>
      </c>
      <c r="L763" s="551">
        <v>21</v>
      </c>
      <c r="M763" s="551" t="s">
        <v>104</v>
      </c>
      <c r="N763" s="551">
        <v>53</v>
      </c>
      <c r="O763" s="545">
        <f t="shared" si="317"/>
        <v>53.02</v>
      </c>
      <c r="P763" s="545" t="s">
        <v>248</v>
      </c>
      <c r="R763" s="552">
        <f t="shared" si="318"/>
        <v>2.1574209985336794</v>
      </c>
      <c r="S763" s="545">
        <v>0.6</v>
      </c>
      <c r="T763" s="545" t="s">
        <v>284</v>
      </c>
      <c r="U763" s="545">
        <v>4.0599999999999996</v>
      </c>
      <c r="V763" s="545" t="s">
        <v>285</v>
      </c>
      <c r="Y763" s="545">
        <v>0.6</v>
      </c>
      <c r="Z763" s="545" t="s">
        <v>284</v>
      </c>
      <c r="AA763" s="545">
        <v>4.0599999999999996</v>
      </c>
      <c r="AB763" s="545" t="s">
        <v>285</v>
      </c>
      <c r="AF763" s="553">
        <f t="shared" si="319"/>
        <v>3.970291913552122</v>
      </c>
      <c r="AG763" s="553">
        <f t="shared" si="320"/>
        <v>3.9706692008608795</v>
      </c>
      <c r="AH763" s="554"/>
      <c r="AI763" s="554"/>
      <c r="AJ763" s="553"/>
      <c r="AK763" s="555">
        <f t="shared" si="321"/>
        <v>114.34331292228501</v>
      </c>
      <c r="AL763" s="555">
        <f t="shared" si="322"/>
        <v>114.363312922285</v>
      </c>
      <c r="AM763" s="553">
        <f t="shared" si="323"/>
        <v>4.7392054397232757</v>
      </c>
      <c r="AN763" s="553">
        <f t="shared" si="324"/>
        <v>4.7393803362744986</v>
      </c>
      <c r="AO763" s="556"/>
      <c r="AP763" s="556"/>
      <c r="AR763" s="553">
        <f t="shared" si="315"/>
        <v>51.984550750724843</v>
      </c>
      <c r="AS763" s="553">
        <f t="shared" si="316"/>
        <v>51.993643464486958</v>
      </c>
      <c r="AT763" s="553">
        <f t="shared" si="325"/>
        <v>3.9509465734905982</v>
      </c>
      <c r="AU763" s="553">
        <f t="shared" si="326"/>
        <v>3.9511214700418207</v>
      </c>
      <c r="AV763" s="556"/>
      <c r="AW763" s="556"/>
      <c r="AX763" s="553"/>
      <c r="AY763" s="553"/>
      <c r="AZ763" s="553"/>
      <c r="BA763" s="553"/>
      <c r="BB763" s="553"/>
      <c r="BC763" s="553"/>
      <c r="BD763" s="554"/>
      <c r="BE763" s="554"/>
    </row>
    <row r="764" spans="1:57" s="545" customFormat="1" x14ac:dyDescent="0.2">
      <c r="A764" s="549" t="s">
        <v>227</v>
      </c>
      <c r="B764" s="549" t="s">
        <v>35</v>
      </c>
      <c r="C764" s="550" t="s">
        <v>272</v>
      </c>
      <c r="D764" s="549" t="s">
        <v>276</v>
      </c>
      <c r="E764" s="551">
        <v>7.1</v>
      </c>
      <c r="F764" s="545">
        <f t="shared" si="314"/>
        <v>3.2755999999999998</v>
      </c>
      <c r="G764" s="551">
        <v>1.9</v>
      </c>
      <c r="H764" s="551">
        <v>30</v>
      </c>
      <c r="I764" s="551">
        <v>27</v>
      </c>
      <c r="J764" s="551">
        <v>0.02</v>
      </c>
      <c r="K764" s="543">
        <v>30</v>
      </c>
      <c r="L764" s="543">
        <v>21</v>
      </c>
      <c r="M764" s="543" t="s">
        <v>104</v>
      </c>
      <c r="N764" s="551">
        <v>52</v>
      </c>
      <c r="O764" s="545">
        <f t="shared" si="317"/>
        <v>52.02</v>
      </c>
      <c r="P764" s="545" t="s">
        <v>248</v>
      </c>
      <c r="R764" s="552">
        <f t="shared" si="318"/>
        <v>3.2801435493616093</v>
      </c>
      <c r="S764" s="545">
        <v>0.6</v>
      </c>
      <c r="T764" s="545" t="s">
        <v>284</v>
      </c>
      <c r="U764" s="545">
        <v>4.0599999999999996</v>
      </c>
      <c r="V764" s="545" t="s">
        <v>285</v>
      </c>
      <c r="Y764" s="545">
        <v>0.6</v>
      </c>
      <c r="Z764" s="545" t="s">
        <v>284</v>
      </c>
      <c r="AA764" s="545">
        <v>4.0599999999999996</v>
      </c>
      <c r="AB764" s="545" t="s">
        <v>285</v>
      </c>
      <c r="AF764" s="553">
        <f t="shared" si="319"/>
        <v>3.9512437185814275</v>
      </c>
      <c r="AG764" s="553">
        <f t="shared" si="320"/>
        <v>3.9516282600205055</v>
      </c>
      <c r="AH764" s="554"/>
      <c r="AI764" s="554"/>
      <c r="AJ764" s="553"/>
      <c r="AK764" s="555">
        <f t="shared" si="321"/>
        <v>170.56746456680369</v>
      </c>
      <c r="AL764" s="555">
        <f t="shared" si="322"/>
        <v>170.5874645668037</v>
      </c>
      <c r="AM764" s="553">
        <f t="shared" si="323"/>
        <v>5.1391309050690888</v>
      </c>
      <c r="AN764" s="553">
        <f t="shared" si="324"/>
        <v>5.1392481538514749</v>
      </c>
      <c r="AO764" s="556"/>
      <c r="AP764" s="556"/>
      <c r="AR764" s="553">
        <f t="shared" si="315"/>
        <v>121.87300281959443</v>
      </c>
      <c r="AS764" s="553">
        <f t="shared" si="316"/>
        <v>121.88729311852444</v>
      </c>
      <c r="AT764" s="553">
        <f t="shared" si="325"/>
        <v>4.8029795420624648</v>
      </c>
      <c r="AU764" s="553">
        <f t="shared" si="326"/>
        <v>4.8030967908448501</v>
      </c>
      <c r="AV764" s="556"/>
      <c r="AW764" s="556"/>
      <c r="AX764" s="287">
        <f>GEOMEAN(AR764:AR771)</f>
        <v>67.206789636738051</v>
      </c>
      <c r="AY764" s="287">
        <f>GEOMEAN(AS764:AS771)</f>
        <v>67.260061853658655</v>
      </c>
      <c r="AZ764" s="553"/>
      <c r="BA764" s="553"/>
      <c r="BB764" s="553"/>
      <c r="BC764" s="553"/>
      <c r="BD764" s="554"/>
      <c r="BE764" s="554"/>
    </row>
    <row r="765" spans="1:57" s="545" customFormat="1" x14ac:dyDescent="0.2">
      <c r="A765" s="549" t="s">
        <v>227</v>
      </c>
      <c r="B765" s="549" t="s">
        <v>35</v>
      </c>
      <c r="C765" s="550" t="s">
        <v>272</v>
      </c>
      <c r="D765" s="549" t="s">
        <v>276</v>
      </c>
      <c r="E765" s="551">
        <v>4.5999999999999996</v>
      </c>
      <c r="F765" s="545">
        <f t="shared" si="314"/>
        <v>3.2755999999999998</v>
      </c>
      <c r="G765" s="551">
        <v>1.9</v>
      </c>
      <c r="H765" s="551">
        <v>2.5</v>
      </c>
      <c r="I765" s="551">
        <v>6.4</v>
      </c>
      <c r="J765" s="551">
        <v>0.02</v>
      </c>
      <c r="K765" s="551">
        <v>30</v>
      </c>
      <c r="L765" s="551">
        <v>21</v>
      </c>
      <c r="M765" s="551" t="s">
        <v>104</v>
      </c>
      <c r="N765" s="551">
        <v>5.2</v>
      </c>
      <c r="O765" s="545">
        <f t="shared" si="317"/>
        <v>5.22</v>
      </c>
      <c r="P765" s="545" t="s">
        <v>248</v>
      </c>
      <c r="R765" s="552">
        <f t="shared" si="318"/>
        <v>2.5219053467258976</v>
      </c>
      <c r="S765" s="545">
        <v>0.6</v>
      </c>
      <c r="T765" s="545" t="s">
        <v>284</v>
      </c>
      <c r="U765" s="545">
        <v>4.0599999999999996</v>
      </c>
      <c r="V765" s="545" t="s">
        <v>285</v>
      </c>
      <c r="Y765" s="545">
        <v>0.6</v>
      </c>
      <c r="Z765" s="545" t="s">
        <v>284</v>
      </c>
      <c r="AA765" s="545">
        <v>4.0599999999999996</v>
      </c>
      <c r="AB765" s="545" t="s">
        <v>285</v>
      </c>
      <c r="AF765" s="553">
        <f t="shared" si="319"/>
        <v>1.6486586255873816</v>
      </c>
      <c r="AG765" s="553">
        <f t="shared" si="320"/>
        <v>1.6524974018945473</v>
      </c>
      <c r="AH765" s="554"/>
      <c r="AI765" s="554"/>
      <c r="AJ765" s="553"/>
      <c r="AK765" s="555">
        <f t="shared" si="321"/>
        <v>13.113907802974667</v>
      </c>
      <c r="AL765" s="555">
        <f t="shared" si="322"/>
        <v>13.133907802974667</v>
      </c>
      <c r="AM765" s="553">
        <f t="shared" si="323"/>
        <v>2.573673331389283</v>
      </c>
      <c r="AN765" s="553">
        <f t="shared" si="324"/>
        <v>2.5751972680224027</v>
      </c>
      <c r="AO765" s="556"/>
      <c r="AP765" s="556"/>
      <c r="AR765" s="553">
        <f t="shared" si="315"/>
        <v>54.582766410711756</v>
      </c>
      <c r="AS765" s="553">
        <f t="shared" si="316"/>
        <v>54.666010501231177</v>
      </c>
      <c r="AT765" s="553">
        <f t="shared" si="325"/>
        <v>3.9997181994246733</v>
      </c>
      <c r="AU765" s="553">
        <f t="shared" si="326"/>
        <v>4.001242136057793</v>
      </c>
      <c r="AV765" s="556"/>
      <c r="AW765" s="556"/>
      <c r="AX765" s="553"/>
      <c r="AY765" s="553"/>
      <c r="AZ765" s="553"/>
      <c r="BA765" s="553"/>
      <c r="BB765" s="553"/>
      <c r="BC765" s="553"/>
      <c r="BD765" s="554"/>
      <c r="BE765" s="554"/>
    </row>
    <row r="766" spans="1:57" s="545" customFormat="1" x14ac:dyDescent="0.2">
      <c r="A766" s="549" t="s">
        <v>227</v>
      </c>
      <c r="B766" s="549" t="s">
        <v>35</v>
      </c>
      <c r="C766" s="550" t="s">
        <v>272</v>
      </c>
      <c r="D766" s="549" t="s">
        <v>276</v>
      </c>
      <c r="E766" s="551">
        <v>5.0999999999999996</v>
      </c>
      <c r="F766" s="545">
        <f t="shared" si="314"/>
        <v>11.8956</v>
      </c>
      <c r="G766" s="551">
        <v>6.9</v>
      </c>
      <c r="H766" s="551">
        <v>14</v>
      </c>
      <c r="I766" s="551">
        <v>12</v>
      </c>
      <c r="J766" s="551">
        <v>0.02</v>
      </c>
      <c r="K766" s="551">
        <v>30</v>
      </c>
      <c r="L766" s="551">
        <v>21</v>
      </c>
      <c r="M766" s="551" t="s">
        <v>104</v>
      </c>
      <c r="N766" s="551">
        <v>28</v>
      </c>
      <c r="O766" s="545">
        <f t="shared" si="317"/>
        <v>28.02</v>
      </c>
      <c r="P766" s="545" t="s">
        <v>248</v>
      </c>
      <c r="R766" s="552">
        <f t="shared" si="318"/>
        <v>1.6070680455632902</v>
      </c>
      <c r="S766" s="545">
        <v>0.6</v>
      </c>
      <c r="T766" s="545" t="s">
        <v>284</v>
      </c>
      <c r="U766" s="545">
        <v>4.0599999999999996</v>
      </c>
      <c r="V766" s="545" t="s">
        <v>285</v>
      </c>
      <c r="Y766" s="545">
        <v>0.6</v>
      </c>
      <c r="Z766" s="545" t="s">
        <v>284</v>
      </c>
      <c r="AA766" s="545">
        <v>4.0599999999999996</v>
      </c>
      <c r="AB766" s="545" t="s">
        <v>285</v>
      </c>
      <c r="AF766" s="553">
        <f t="shared" si="319"/>
        <v>3.3322045101752038</v>
      </c>
      <c r="AG766" s="553">
        <f t="shared" si="320"/>
        <v>3.3329185409088611</v>
      </c>
      <c r="AH766" s="554"/>
      <c r="AI766" s="554"/>
      <c r="AJ766" s="553"/>
      <c r="AK766" s="555">
        <f t="shared" si="321"/>
        <v>44.997905275772126</v>
      </c>
      <c r="AL766" s="555">
        <f t="shared" si="322"/>
        <v>45.017905275772129</v>
      </c>
      <c r="AM766" s="553">
        <f t="shared" si="323"/>
        <v>3.8066159392595753</v>
      </c>
      <c r="AN766" s="553">
        <f t="shared" si="324"/>
        <v>3.8070603056482479</v>
      </c>
      <c r="AO766" s="556"/>
      <c r="AP766" s="556"/>
      <c r="AR766" s="553">
        <f t="shared" si="315"/>
        <v>56.822495390062379</v>
      </c>
      <c r="AS766" s="553">
        <f t="shared" si="316"/>
        <v>56.847751008092523</v>
      </c>
      <c r="AT766" s="553">
        <f t="shared" si="325"/>
        <v>4.0399322929214376</v>
      </c>
      <c r="AU766" s="553">
        <f t="shared" si="326"/>
        <v>4.0403766593101098</v>
      </c>
      <c r="AV766" s="556"/>
      <c r="AW766" s="556"/>
      <c r="AX766" s="553"/>
      <c r="AY766" s="553"/>
      <c r="AZ766" s="553"/>
      <c r="BA766" s="553"/>
      <c r="BB766" s="553"/>
      <c r="BC766" s="553"/>
      <c r="BD766" s="554"/>
      <c r="BE766" s="554"/>
    </row>
    <row r="767" spans="1:57" s="545" customFormat="1" x14ac:dyDescent="0.2">
      <c r="A767" s="549" t="s">
        <v>227</v>
      </c>
      <c r="B767" s="549" t="s">
        <v>35</v>
      </c>
      <c r="C767" s="550" t="s">
        <v>272</v>
      </c>
      <c r="D767" s="549" t="s">
        <v>276</v>
      </c>
      <c r="E767" s="551">
        <v>3.6</v>
      </c>
      <c r="F767" s="545">
        <f t="shared" si="314"/>
        <v>2.5859999999999999</v>
      </c>
      <c r="G767" s="551">
        <v>1.5</v>
      </c>
      <c r="H767" s="551">
        <v>1.4</v>
      </c>
      <c r="I767" s="551">
        <v>5.3</v>
      </c>
      <c r="J767" s="551">
        <v>0.02</v>
      </c>
      <c r="K767" s="551">
        <v>30</v>
      </c>
      <c r="L767" s="551">
        <v>21</v>
      </c>
      <c r="M767" s="551" t="s">
        <v>104</v>
      </c>
      <c r="N767" s="551">
        <v>2.2799999999999998</v>
      </c>
      <c r="O767" s="545">
        <f t="shared" si="317"/>
        <v>2.2999999999999998</v>
      </c>
      <c r="P767" s="545" t="s">
        <v>248</v>
      </c>
      <c r="R767" s="552">
        <f t="shared" si="318"/>
        <v>3.2607910460727294</v>
      </c>
      <c r="S767" s="545">
        <v>0.6</v>
      </c>
      <c r="T767" s="545" t="s">
        <v>284</v>
      </c>
      <c r="U767" s="545">
        <v>4.0599999999999996</v>
      </c>
      <c r="V767" s="545" t="s">
        <v>285</v>
      </c>
      <c r="Y767" s="545">
        <v>0.6</v>
      </c>
      <c r="Z767" s="545" t="s">
        <v>284</v>
      </c>
      <c r="AA767" s="545">
        <v>4.0599999999999996</v>
      </c>
      <c r="AB767" s="545" t="s">
        <v>285</v>
      </c>
      <c r="AF767" s="553">
        <f t="shared" si="319"/>
        <v>0.82417544296634937</v>
      </c>
      <c r="AG767" s="553">
        <f t="shared" si="320"/>
        <v>0.83290912293510388</v>
      </c>
      <c r="AH767" s="554"/>
      <c r="AI767" s="554"/>
      <c r="AJ767" s="553"/>
      <c r="AK767" s="555">
        <f t="shared" si="321"/>
        <v>7.4346035850458225</v>
      </c>
      <c r="AL767" s="555">
        <f t="shared" si="322"/>
        <v>7.4546035850458221</v>
      </c>
      <c r="AM767" s="553">
        <f t="shared" si="323"/>
        <v>2.0061452610792383</v>
      </c>
      <c r="AN767" s="553">
        <f t="shared" si="324"/>
        <v>2.00883177242943</v>
      </c>
      <c r="AO767" s="556"/>
      <c r="AP767" s="556"/>
      <c r="AR767" s="553">
        <f t="shared" si="315"/>
        <v>96.468890252607707</v>
      </c>
      <c r="AS767" s="553">
        <f t="shared" si="316"/>
        <v>96.728403457714279</v>
      </c>
      <c r="AT767" s="553">
        <f t="shared" si="325"/>
        <v>4.5692205755670861</v>
      </c>
      <c r="AU767" s="553">
        <f t="shared" si="326"/>
        <v>4.5719070869172773</v>
      </c>
      <c r="AV767" s="556"/>
      <c r="AW767" s="556"/>
      <c r="AX767" s="553"/>
      <c r="AY767" s="553"/>
      <c r="AZ767" s="553"/>
      <c r="BA767" s="553"/>
      <c r="BB767" s="553"/>
      <c r="BC767" s="553"/>
      <c r="BD767" s="554"/>
      <c r="BE767" s="554"/>
    </row>
    <row r="768" spans="1:57" s="545" customFormat="1" x14ac:dyDescent="0.2">
      <c r="A768" s="549" t="s">
        <v>227</v>
      </c>
      <c r="B768" s="549" t="s">
        <v>35</v>
      </c>
      <c r="C768" s="550" t="s">
        <v>272</v>
      </c>
      <c r="D768" s="549" t="s">
        <v>276</v>
      </c>
      <c r="E768" s="551">
        <v>5</v>
      </c>
      <c r="F768" s="545">
        <f t="shared" si="314"/>
        <v>9.1372</v>
      </c>
      <c r="G768" s="551">
        <v>5.3</v>
      </c>
      <c r="H768" s="551">
        <v>42</v>
      </c>
      <c r="I768" s="551">
        <v>25</v>
      </c>
      <c r="J768" s="551">
        <v>0.02</v>
      </c>
      <c r="K768" s="551">
        <v>30</v>
      </c>
      <c r="L768" s="551">
        <v>21</v>
      </c>
      <c r="M768" s="551" t="s">
        <v>104</v>
      </c>
      <c r="N768" s="551">
        <v>16</v>
      </c>
      <c r="O768" s="545">
        <f t="shared" si="317"/>
        <v>16.02</v>
      </c>
      <c r="P768" s="545" t="s">
        <v>248</v>
      </c>
      <c r="R768" s="552">
        <f t="shared" si="318"/>
        <v>2.617351588015056</v>
      </c>
      <c r="S768" s="545">
        <v>0.6</v>
      </c>
      <c r="T768" s="545" t="s">
        <v>284</v>
      </c>
      <c r="U768" s="545">
        <v>4.0599999999999996</v>
      </c>
      <c r="V768" s="545" t="s">
        <v>285</v>
      </c>
      <c r="Y768" s="545">
        <v>0.6</v>
      </c>
      <c r="Z768" s="545" t="s">
        <v>284</v>
      </c>
      <c r="AA768" s="545">
        <v>4.0599999999999996</v>
      </c>
      <c r="AB768" s="545" t="s">
        <v>285</v>
      </c>
      <c r="AF768" s="553">
        <f t="shared" si="319"/>
        <v>2.7725887222397811</v>
      </c>
      <c r="AG768" s="553">
        <f t="shared" si="320"/>
        <v>2.7738379416402132</v>
      </c>
      <c r="AH768" s="554"/>
      <c r="AI768" s="554"/>
      <c r="AJ768" s="553"/>
      <c r="AK768" s="555">
        <f t="shared" si="321"/>
        <v>41.877625408240895</v>
      </c>
      <c r="AL768" s="555">
        <f t="shared" si="322"/>
        <v>41.897625408240899</v>
      </c>
      <c r="AM768" s="553">
        <f t="shared" si="323"/>
        <v>3.7347516844960991</v>
      </c>
      <c r="AN768" s="553">
        <f t="shared" si="324"/>
        <v>3.7352291524877801</v>
      </c>
      <c r="AO768" s="556"/>
      <c r="AP768" s="556"/>
      <c r="AR768" s="553">
        <f t="shared" si="315"/>
        <v>67.138352945458763</v>
      </c>
      <c r="AS768" s="553">
        <f t="shared" si="316"/>
        <v>67.170417014178511</v>
      </c>
      <c r="AT768" s="553">
        <f t="shared" si="325"/>
        <v>4.2067554596075327</v>
      </c>
      <c r="AU768" s="553">
        <f t="shared" si="326"/>
        <v>4.2072329275992146</v>
      </c>
      <c r="AV768" s="556"/>
      <c r="AW768" s="556"/>
      <c r="AX768" s="553"/>
      <c r="AY768" s="553"/>
      <c r="AZ768" s="553"/>
      <c r="BA768" s="553"/>
      <c r="BB768" s="553"/>
      <c r="BC768" s="553"/>
      <c r="BD768" s="554"/>
      <c r="BE768" s="554"/>
    </row>
    <row r="769" spans="1:57" s="545" customFormat="1" x14ac:dyDescent="0.2">
      <c r="A769" s="549" t="s">
        <v>227</v>
      </c>
      <c r="B769" s="549" t="s">
        <v>35</v>
      </c>
      <c r="C769" s="550" t="s">
        <v>272</v>
      </c>
      <c r="D769" s="549" t="s">
        <v>276</v>
      </c>
      <c r="E769" s="551">
        <v>5.5</v>
      </c>
      <c r="F769" s="545">
        <f t="shared" si="314"/>
        <v>1.5516000000000001</v>
      </c>
      <c r="G769" s="551">
        <v>0.9</v>
      </c>
      <c r="H769" s="551">
        <v>60</v>
      </c>
      <c r="I769" s="551">
        <v>13</v>
      </c>
      <c r="J769" s="551">
        <v>0.02</v>
      </c>
      <c r="K769" s="551">
        <v>30</v>
      </c>
      <c r="L769" s="551">
        <v>21</v>
      </c>
      <c r="M769" s="551" t="s">
        <v>104</v>
      </c>
      <c r="N769" s="551">
        <v>6.2</v>
      </c>
      <c r="O769" s="545">
        <f t="shared" si="317"/>
        <v>6.22</v>
      </c>
      <c r="P769" s="545" t="s">
        <v>248</v>
      </c>
      <c r="R769" s="552">
        <f t="shared" si="318"/>
        <v>4.3068427278791388</v>
      </c>
      <c r="S769" s="545">
        <v>0.6</v>
      </c>
      <c r="T769" s="545" t="s">
        <v>284</v>
      </c>
      <c r="U769" s="545">
        <v>4.0599999999999996</v>
      </c>
      <c r="V769" s="545" t="s">
        <v>285</v>
      </c>
      <c r="Y769" s="545">
        <v>0.6</v>
      </c>
      <c r="Z769" s="545" t="s">
        <v>284</v>
      </c>
      <c r="AA769" s="545">
        <v>4.0599999999999996</v>
      </c>
      <c r="AB769" s="545" t="s">
        <v>285</v>
      </c>
      <c r="AF769" s="553">
        <f t="shared" si="319"/>
        <v>1.824549292051046</v>
      </c>
      <c r="AG769" s="553">
        <f t="shared" si="320"/>
        <v>1.827769906751088</v>
      </c>
      <c r="AH769" s="554"/>
      <c r="AI769" s="554"/>
      <c r="AJ769" s="553"/>
      <c r="AK769" s="555">
        <f t="shared" si="321"/>
        <v>26.70242491285066</v>
      </c>
      <c r="AL769" s="555">
        <f t="shared" si="322"/>
        <v>26.722424912850659</v>
      </c>
      <c r="AM769" s="553">
        <f t="shared" si="323"/>
        <v>3.2847543819882703</v>
      </c>
      <c r="AN769" s="553">
        <f t="shared" si="324"/>
        <v>3.2855030972771124</v>
      </c>
      <c r="AO769" s="556"/>
      <c r="AP769" s="556"/>
      <c r="AR769" s="553">
        <f t="shared" si="315"/>
        <v>84.237419010008423</v>
      </c>
      <c r="AS769" s="553">
        <f t="shared" si="316"/>
        <v>84.300512470085508</v>
      </c>
      <c r="AT769" s="553">
        <f t="shared" si="325"/>
        <v>4.4336392288236874</v>
      </c>
      <c r="AU769" s="553">
        <f t="shared" si="326"/>
        <v>4.4343879441125287</v>
      </c>
      <c r="AV769" s="556"/>
      <c r="AW769" s="556"/>
      <c r="AX769" s="553"/>
      <c r="AY769" s="553"/>
      <c r="AZ769" s="553"/>
      <c r="BA769" s="553"/>
      <c r="BB769" s="553"/>
      <c r="BC769" s="553"/>
      <c r="BD769" s="554"/>
      <c r="BE769" s="554"/>
    </row>
    <row r="770" spans="1:57" s="545" customFormat="1" x14ac:dyDescent="0.2">
      <c r="A770" s="549" t="s">
        <v>227</v>
      </c>
      <c r="B770" s="549" t="s">
        <v>35</v>
      </c>
      <c r="C770" s="550" t="s">
        <v>272</v>
      </c>
      <c r="D770" s="549" t="s">
        <v>276</v>
      </c>
      <c r="E770" s="551">
        <v>6.6</v>
      </c>
      <c r="F770" s="545">
        <f t="shared" si="314"/>
        <v>20.687999999999999</v>
      </c>
      <c r="G770" s="551">
        <v>12</v>
      </c>
      <c r="H770" s="551">
        <v>19</v>
      </c>
      <c r="I770" s="551">
        <v>42</v>
      </c>
      <c r="J770" s="551">
        <v>0.02</v>
      </c>
      <c r="K770" s="551">
        <v>30</v>
      </c>
      <c r="L770" s="551">
        <v>21</v>
      </c>
      <c r="M770" s="551" t="s">
        <v>104</v>
      </c>
      <c r="N770" s="551">
        <v>62</v>
      </c>
      <c r="O770" s="545">
        <f t="shared" si="317"/>
        <v>62.02</v>
      </c>
      <c r="P770" s="545" t="s">
        <v>248</v>
      </c>
      <c r="R770" s="552">
        <f t="shared" si="318"/>
        <v>1.7105021714920636</v>
      </c>
      <c r="S770" s="545">
        <v>0.6</v>
      </c>
      <c r="T770" s="545" t="s">
        <v>284</v>
      </c>
      <c r="U770" s="545">
        <v>4.0599999999999996</v>
      </c>
      <c r="V770" s="545" t="s">
        <v>285</v>
      </c>
      <c r="Y770" s="545">
        <v>0.6</v>
      </c>
      <c r="Z770" s="545" t="s">
        <v>284</v>
      </c>
      <c r="AA770" s="545">
        <v>4.0599999999999996</v>
      </c>
      <c r="AB770" s="545" t="s">
        <v>285</v>
      </c>
      <c r="AF770" s="553">
        <f t="shared" si="319"/>
        <v>4.1271343850450917</v>
      </c>
      <c r="AG770" s="553">
        <f t="shared" si="320"/>
        <v>4.1274569136723027</v>
      </c>
      <c r="AH770" s="554"/>
      <c r="AI770" s="554"/>
      <c r="AJ770" s="553"/>
      <c r="AK770" s="555">
        <f t="shared" si="321"/>
        <v>106.05113463250794</v>
      </c>
      <c r="AL770" s="555">
        <f t="shared" si="322"/>
        <v>106.07113463250793</v>
      </c>
      <c r="AM770" s="553">
        <f t="shared" si="323"/>
        <v>4.6639213799870065</v>
      </c>
      <c r="AN770" s="553">
        <f t="shared" si="324"/>
        <v>4.6641099504763623</v>
      </c>
      <c r="AO770" s="556"/>
      <c r="AP770" s="556"/>
      <c r="AR770" s="553">
        <f t="shared" si="315"/>
        <v>33.731104941994296</v>
      </c>
      <c r="AS770" s="553">
        <f t="shared" si="316"/>
        <v>33.737466232716706</v>
      </c>
      <c r="AT770" s="553">
        <f t="shared" si="325"/>
        <v>3.518420406971472</v>
      </c>
      <c r="AU770" s="553">
        <f t="shared" si="326"/>
        <v>3.5186089774608273</v>
      </c>
      <c r="AV770" s="556"/>
      <c r="AW770" s="556"/>
      <c r="AX770" s="553"/>
      <c r="AY770" s="553"/>
      <c r="AZ770" s="553"/>
      <c r="BA770" s="553"/>
      <c r="BB770" s="553"/>
      <c r="BC770" s="553"/>
      <c r="BD770" s="554"/>
      <c r="BE770" s="554"/>
    </row>
    <row r="771" spans="1:57" s="545" customFormat="1" x14ac:dyDescent="0.2">
      <c r="A771" s="549" t="s">
        <v>227</v>
      </c>
      <c r="B771" s="549" t="s">
        <v>35</v>
      </c>
      <c r="C771" s="550" t="s">
        <v>272</v>
      </c>
      <c r="D771" s="549" t="s">
        <v>276</v>
      </c>
      <c r="E771" s="551">
        <v>8</v>
      </c>
      <c r="F771" s="545">
        <f t="shared" si="314"/>
        <v>3.1032000000000002</v>
      </c>
      <c r="G771" s="551">
        <v>1.8</v>
      </c>
      <c r="H771" s="551">
        <v>12</v>
      </c>
      <c r="I771" s="551">
        <v>13</v>
      </c>
      <c r="J771" s="551">
        <v>0.02</v>
      </c>
      <c r="K771" s="551">
        <v>30</v>
      </c>
      <c r="L771" s="551">
        <v>21</v>
      </c>
      <c r="M771" s="551" t="s">
        <v>104</v>
      </c>
      <c r="N771" s="551">
        <v>61</v>
      </c>
      <c r="O771" s="545">
        <f t="shared" si="317"/>
        <v>61.02</v>
      </c>
      <c r="P771" s="545" t="s">
        <v>248</v>
      </c>
      <c r="R771" s="552">
        <f t="shared" si="318"/>
        <v>2.1574209985336794</v>
      </c>
      <c r="S771" s="545">
        <v>0.6</v>
      </c>
      <c r="T771" s="545" t="s">
        <v>284</v>
      </c>
      <c r="U771" s="545">
        <v>4.0599999999999996</v>
      </c>
      <c r="V771" s="545" t="s">
        <v>285</v>
      </c>
      <c r="Y771" s="545">
        <v>0.6</v>
      </c>
      <c r="Z771" s="545" t="s">
        <v>284</v>
      </c>
      <c r="AA771" s="545">
        <v>4.0599999999999996</v>
      </c>
      <c r="AB771" s="545" t="s">
        <v>285</v>
      </c>
      <c r="AF771" s="553">
        <f t="shared" si="319"/>
        <v>4.1108738641733114</v>
      </c>
      <c r="AG771" s="553">
        <f t="shared" si="320"/>
        <v>4.1112016792885235</v>
      </c>
      <c r="AH771" s="554"/>
      <c r="AI771" s="554"/>
      <c r="AJ771" s="553"/>
      <c r="AK771" s="555">
        <f t="shared" si="321"/>
        <v>131.60268091055445</v>
      </c>
      <c r="AL771" s="555">
        <f t="shared" si="322"/>
        <v>131.62268091055446</v>
      </c>
      <c r="AM771" s="553">
        <f t="shared" si="323"/>
        <v>4.8797873903444655</v>
      </c>
      <c r="AN771" s="553">
        <f t="shared" si="324"/>
        <v>4.8799393513857581</v>
      </c>
      <c r="AO771" s="556"/>
      <c r="AP771" s="556"/>
      <c r="AR771" s="553">
        <f t="shared" si="315"/>
        <v>59.831275392343699</v>
      </c>
      <c r="AS771" s="553">
        <f t="shared" si="316"/>
        <v>59.840368106105821</v>
      </c>
      <c r="AT771" s="553">
        <f t="shared" si="325"/>
        <v>4.091528524111788</v>
      </c>
      <c r="AU771" s="553">
        <f t="shared" si="326"/>
        <v>4.0916804851530806</v>
      </c>
      <c r="AV771" s="556"/>
      <c r="AW771" s="556"/>
      <c r="AX771" s="553"/>
      <c r="AY771" s="553"/>
      <c r="AZ771" s="553"/>
      <c r="BA771" s="553"/>
      <c r="BB771" s="553"/>
      <c r="BC771" s="553"/>
      <c r="BD771" s="554"/>
      <c r="BE771" s="554"/>
    </row>
    <row r="772" spans="1:57" s="545" customFormat="1" x14ac:dyDescent="0.2">
      <c r="A772" s="549" t="s">
        <v>227</v>
      </c>
      <c r="B772" s="549" t="s">
        <v>35</v>
      </c>
      <c r="C772" s="550" t="s">
        <v>272</v>
      </c>
      <c r="D772" s="549" t="s">
        <v>277</v>
      </c>
      <c r="E772" s="551">
        <v>7.1</v>
      </c>
      <c r="F772" s="545">
        <f t="shared" si="314"/>
        <v>3.2755999999999998</v>
      </c>
      <c r="G772" s="551">
        <v>1.9</v>
      </c>
      <c r="H772" s="551">
        <v>30</v>
      </c>
      <c r="I772" s="551">
        <v>27</v>
      </c>
      <c r="J772" s="551">
        <v>0.02</v>
      </c>
      <c r="K772" s="551">
        <v>365</v>
      </c>
      <c r="L772" s="551">
        <v>21</v>
      </c>
      <c r="M772" s="551" t="s">
        <v>104</v>
      </c>
      <c r="N772" s="551">
        <v>180</v>
      </c>
      <c r="O772" s="545">
        <f t="shared" si="317"/>
        <v>180.02</v>
      </c>
      <c r="P772" s="545" t="s">
        <v>248</v>
      </c>
      <c r="R772" s="552">
        <f t="shared" si="318"/>
        <v>3.2801435493616093</v>
      </c>
      <c r="S772" s="545">
        <v>0.6</v>
      </c>
      <c r="T772" s="545" t="s">
        <v>284</v>
      </c>
      <c r="U772" s="545">
        <v>4.0599999999999996</v>
      </c>
      <c r="V772" s="545" t="s">
        <v>285</v>
      </c>
      <c r="Y772" s="545">
        <v>0.6</v>
      </c>
      <c r="Z772" s="545" t="s">
        <v>284</v>
      </c>
      <c r="AA772" s="545">
        <v>4.0599999999999996</v>
      </c>
      <c r="AB772" s="545" t="s">
        <v>285</v>
      </c>
      <c r="AF772" s="553">
        <f t="shared" si="319"/>
        <v>5.1929568508902104</v>
      </c>
      <c r="AG772" s="553">
        <f t="shared" si="320"/>
        <v>5.1930679558289397</v>
      </c>
      <c r="AH772" s="554"/>
      <c r="AI772" s="554"/>
      <c r="AJ772" s="553"/>
      <c r="AK772" s="555">
        <f t="shared" si="321"/>
        <v>590.42583888508966</v>
      </c>
      <c r="AL772" s="555">
        <f t="shared" si="322"/>
        <v>590.44583888508964</v>
      </c>
      <c r="AM772" s="553">
        <f t="shared" si="323"/>
        <v>6.3808440373778721</v>
      </c>
      <c r="AN772" s="553">
        <f t="shared" si="324"/>
        <v>6.3808779106604279</v>
      </c>
      <c r="AO772" s="556"/>
      <c r="AP772" s="556"/>
      <c r="AR772" s="553">
        <f t="shared" ref="AR772:AR788" si="327">AK772*((OC/G772)^S772)*((pH/E772)^U772)</f>
        <v>421.86808668321146</v>
      </c>
      <c r="AS772" s="553">
        <f t="shared" ref="AS772:AS788" si="328">AL772*((OC/G772)^Y772)*((pH/E772)^AA772)</f>
        <v>421.88237698214147</v>
      </c>
      <c r="AT772" s="553">
        <f t="shared" si="325"/>
        <v>6.0446926743712472</v>
      </c>
      <c r="AU772" s="553">
        <f t="shared" si="326"/>
        <v>6.0447265476538039</v>
      </c>
      <c r="AV772" s="556"/>
      <c r="AW772" s="556"/>
      <c r="AX772" s="287">
        <f>GEOMEAN(AR772:AR779)</f>
        <v>224.0792760674357</v>
      </c>
      <c r="AY772" s="287">
        <f>GEOMEAN(AS772:AS779)</f>
        <v>224.12794037889117</v>
      </c>
      <c r="AZ772" s="553"/>
      <c r="BA772" s="553"/>
      <c r="BB772" s="553"/>
      <c r="BC772" s="553"/>
      <c r="BD772" s="554"/>
      <c r="BE772" s="554"/>
    </row>
    <row r="773" spans="1:57" s="545" customFormat="1" x14ac:dyDescent="0.2">
      <c r="A773" s="549" t="s">
        <v>227</v>
      </c>
      <c r="B773" s="549" t="s">
        <v>35</v>
      </c>
      <c r="C773" s="550" t="s">
        <v>272</v>
      </c>
      <c r="D773" s="549" t="s">
        <v>277</v>
      </c>
      <c r="E773" s="551">
        <v>4.5999999999999996</v>
      </c>
      <c r="F773" s="545">
        <f t="shared" si="314"/>
        <v>3.2755999999999998</v>
      </c>
      <c r="G773" s="551">
        <v>1.9</v>
      </c>
      <c r="H773" s="551">
        <v>2.5</v>
      </c>
      <c r="I773" s="551">
        <v>6.4</v>
      </c>
      <c r="J773" s="551">
        <v>0.02</v>
      </c>
      <c r="K773" s="551">
        <v>365</v>
      </c>
      <c r="L773" s="551">
        <v>21</v>
      </c>
      <c r="M773" s="551" t="s">
        <v>104</v>
      </c>
      <c r="N773" s="551">
        <v>116</v>
      </c>
      <c r="O773" s="545">
        <f t="shared" si="317"/>
        <v>116.02</v>
      </c>
      <c r="P773" s="545" t="s">
        <v>248</v>
      </c>
      <c r="R773" s="552">
        <f t="shared" si="318"/>
        <v>2.5219053467258976</v>
      </c>
      <c r="S773" s="545">
        <v>0.6</v>
      </c>
      <c r="T773" s="545" t="s">
        <v>284</v>
      </c>
      <c r="U773" s="545">
        <v>4.0599999999999996</v>
      </c>
      <c r="V773" s="545" t="s">
        <v>285</v>
      </c>
      <c r="Y773" s="545">
        <v>0.6</v>
      </c>
      <c r="Z773" s="545" t="s">
        <v>284</v>
      </c>
      <c r="AA773" s="545">
        <v>4.0599999999999996</v>
      </c>
      <c r="AB773" s="545" t="s">
        <v>285</v>
      </c>
      <c r="AF773" s="553">
        <f t="shared" si="319"/>
        <v>4.7535901911063645</v>
      </c>
      <c r="AG773" s="553">
        <f t="shared" si="320"/>
        <v>4.7537625900379181</v>
      </c>
      <c r="AH773" s="554"/>
      <c r="AI773" s="554"/>
      <c r="AJ773" s="553"/>
      <c r="AK773" s="555">
        <f t="shared" si="321"/>
        <v>292.54102022020413</v>
      </c>
      <c r="AL773" s="555">
        <f t="shared" si="322"/>
        <v>292.56102022020411</v>
      </c>
      <c r="AM773" s="553">
        <f t="shared" si="323"/>
        <v>5.6786048969082659</v>
      </c>
      <c r="AN773" s="553">
        <f t="shared" si="324"/>
        <v>5.6786732610520403</v>
      </c>
      <c r="AO773" s="556"/>
      <c r="AP773" s="556"/>
      <c r="AR773" s="553">
        <f t="shared" si="327"/>
        <v>1217.6155583928007</v>
      </c>
      <c r="AS773" s="553">
        <f t="shared" si="328"/>
        <v>1217.6988024833199</v>
      </c>
      <c r="AT773" s="553">
        <f t="shared" si="325"/>
        <v>7.1046497649436562</v>
      </c>
      <c r="AU773" s="553">
        <f t="shared" si="326"/>
        <v>7.1047181290874306</v>
      </c>
      <c r="AV773" s="556"/>
      <c r="AW773" s="556"/>
      <c r="AX773" s="553"/>
      <c r="AY773" s="553"/>
      <c r="AZ773" s="553"/>
      <c r="BA773" s="553"/>
      <c r="BB773" s="553"/>
      <c r="BC773" s="553"/>
      <c r="BD773" s="554"/>
      <c r="BE773" s="554"/>
    </row>
    <row r="774" spans="1:57" s="545" customFormat="1" x14ac:dyDescent="0.2">
      <c r="A774" s="549" t="s">
        <v>227</v>
      </c>
      <c r="B774" s="549" t="s">
        <v>35</v>
      </c>
      <c r="C774" s="550" t="s">
        <v>272</v>
      </c>
      <c r="D774" s="549" t="s">
        <v>277</v>
      </c>
      <c r="E774" s="551">
        <v>5.0999999999999996</v>
      </c>
      <c r="F774" s="545">
        <f t="shared" si="314"/>
        <v>11.8956</v>
      </c>
      <c r="G774" s="551">
        <v>6.9</v>
      </c>
      <c r="H774" s="551">
        <v>14</v>
      </c>
      <c r="I774" s="551">
        <v>12</v>
      </c>
      <c r="J774" s="551">
        <v>0.02</v>
      </c>
      <c r="K774" s="551">
        <v>365</v>
      </c>
      <c r="L774" s="551">
        <v>21</v>
      </c>
      <c r="M774" s="551" t="s">
        <v>104</v>
      </c>
      <c r="N774" s="551">
        <v>47</v>
      </c>
      <c r="O774" s="545">
        <f t="shared" si="317"/>
        <v>47.02</v>
      </c>
      <c r="P774" s="545" t="s">
        <v>248</v>
      </c>
      <c r="R774" s="552">
        <f t="shared" si="318"/>
        <v>1.6070680455632902</v>
      </c>
      <c r="S774" s="545">
        <v>0.6</v>
      </c>
      <c r="T774" s="545" t="s">
        <v>284</v>
      </c>
      <c r="U774" s="545">
        <v>4.0599999999999996</v>
      </c>
      <c r="V774" s="545" t="s">
        <v>285</v>
      </c>
      <c r="Y774" s="545">
        <v>0.6</v>
      </c>
      <c r="Z774" s="545" t="s">
        <v>284</v>
      </c>
      <c r="AA774" s="545">
        <v>4.0599999999999996</v>
      </c>
      <c r="AB774" s="545" t="s">
        <v>285</v>
      </c>
      <c r="AF774" s="553">
        <f t="shared" si="319"/>
        <v>3.8501476017100584</v>
      </c>
      <c r="AG774" s="553">
        <f t="shared" si="320"/>
        <v>3.8505730431119236</v>
      </c>
      <c r="AH774" s="554"/>
      <c r="AI774" s="554"/>
      <c r="AJ774" s="553"/>
      <c r="AK774" s="555">
        <f t="shared" si="321"/>
        <v>75.532198141474638</v>
      </c>
      <c r="AL774" s="555">
        <f t="shared" si="322"/>
        <v>75.552198141474634</v>
      </c>
      <c r="AM774" s="553">
        <f t="shared" si="323"/>
        <v>4.3245590307944299</v>
      </c>
      <c r="AN774" s="553">
        <f t="shared" si="324"/>
        <v>4.3248237834837733</v>
      </c>
      <c r="AO774" s="556"/>
      <c r="AP774" s="556"/>
      <c r="AR774" s="553">
        <f t="shared" si="327"/>
        <v>95.380617261890421</v>
      </c>
      <c r="AS774" s="553">
        <f t="shared" si="328"/>
        <v>95.405872879920551</v>
      </c>
      <c r="AT774" s="553">
        <f t="shared" si="325"/>
        <v>4.5578753844562927</v>
      </c>
      <c r="AU774" s="553">
        <f t="shared" si="326"/>
        <v>4.5581401371456352</v>
      </c>
      <c r="AV774" s="556"/>
      <c r="AW774" s="556"/>
      <c r="AX774" s="553"/>
      <c r="AY774" s="553"/>
      <c r="AZ774" s="553"/>
      <c r="BA774" s="553"/>
      <c r="BB774" s="553"/>
      <c r="BC774" s="553"/>
      <c r="BD774" s="554"/>
      <c r="BE774" s="554"/>
    </row>
    <row r="775" spans="1:57" s="545" customFormat="1" x14ac:dyDescent="0.2">
      <c r="A775" s="549" t="s">
        <v>227</v>
      </c>
      <c r="B775" s="549" t="s">
        <v>35</v>
      </c>
      <c r="C775" s="550" t="s">
        <v>272</v>
      </c>
      <c r="D775" s="549" t="s">
        <v>277</v>
      </c>
      <c r="E775" s="551">
        <v>3.6</v>
      </c>
      <c r="F775" s="545">
        <f t="shared" si="314"/>
        <v>2.5859999999999999</v>
      </c>
      <c r="G775" s="551">
        <v>1.5</v>
      </c>
      <c r="H775" s="551">
        <v>1.4</v>
      </c>
      <c r="I775" s="551">
        <v>5.3</v>
      </c>
      <c r="J775" s="551">
        <v>0.02</v>
      </c>
      <c r="K775" s="551">
        <v>365</v>
      </c>
      <c r="L775" s="551">
        <v>21</v>
      </c>
      <c r="M775" s="551" t="s">
        <v>104</v>
      </c>
      <c r="N775" s="551">
        <v>7.58</v>
      </c>
      <c r="O775" s="545">
        <f t="shared" si="317"/>
        <v>7.6</v>
      </c>
      <c r="P775" s="545" t="s">
        <v>248</v>
      </c>
      <c r="R775" s="552">
        <f t="shared" si="318"/>
        <v>3.2607910460727294</v>
      </c>
      <c r="S775" s="545">
        <v>0.6</v>
      </c>
      <c r="T775" s="545" t="s">
        <v>284</v>
      </c>
      <c r="U775" s="545">
        <v>4.0599999999999996</v>
      </c>
      <c r="V775" s="545" t="s">
        <v>285</v>
      </c>
      <c r="Y775" s="545">
        <v>0.6</v>
      </c>
      <c r="Z775" s="545" t="s">
        <v>284</v>
      </c>
      <c r="AA775" s="545">
        <v>4.0599999999999996</v>
      </c>
      <c r="AB775" s="545" t="s">
        <v>285</v>
      </c>
      <c r="AF775" s="553">
        <f t="shared" si="319"/>
        <v>2.0255131996542803</v>
      </c>
      <c r="AG775" s="553">
        <f t="shared" si="320"/>
        <v>2.0281482472922852</v>
      </c>
      <c r="AH775" s="554"/>
      <c r="AI775" s="554"/>
      <c r="AJ775" s="553"/>
      <c r="AK775" s="555">
        <f t="shared" si="321"/>
        <v>24.716796129231287</v>
      </c>
      <c r="AL775" s="555">
        <f t="shared" si="322"/>
        <v>24.736796129231287</v>
      </c>
      <c r="AM775" s="553">
        <f t="shared" si="323"/>
        <v>3.2074830177671694</v>
      </c>
      <c r="AN775" s="553">
        <f t="shared" si="324"/>
        <v>3.2082918569303929</v>
      </c>
      <c r="AO775" s="556"/>
      <c r="AP775" s="556"/>
      <c r="AR775" s="553">
        <f t="shared" si="327"/>
        <v>320.71674917314317</v>
      </c>
      <c r="AS775" s="553">
        <f t="shared" si="328"/>
        <v>320.97626237824971</v>
      </c>
      <c r="AT775" s="553">
        <f t="shared" si="325"/>
        <v>5.7705583322550167</v>
      </c>
      <c r="AU775" s="553">
        <f t="shared" si="326"/>
        <v>5.7713671714182402</v>
      </c>
      <c r="AV775" s="556"/>
      <c r="AW775" s="556"/>
      <c r="AX775" s="553"/>
      <c r="AY775" s="553"/>
      <c r="AZ775" s="553"/>
      <c r="BA775" s="553"/>
      <c r="BB775" s="553"/>
      <c r="BC775" s="553"/>
      <c r="BD775" s="554"/>
      <c r="BE775" s="554"/>
    </row>
    <row r="776" spans="1:57" s="545" customFormat="1" x14ac:dyDescent="0.2">
      <c r="A776" s="549" t="s">
        <v>227</v>
      </c>
      <c r="B776" s="549" t="s">
        <v>35</v>
      </c>
      <c r="C776" s="550" t="s">
        <v>272</v>
      </c>
      <c r="D776" s="549" t="s">
        <v>277</v>
      </c>
      <c r="E776" s="551">
        <v>5</v>
      </c>
      <c r="F776" s="545">
        <f t="shared" si="314"/>
        <v>9.1372</v>
      </c>
      <c r="G776" s="551">
        <v>5.3</v>
      </c>
      <c r="H776" s="551">
        <v>42</v>
      </c>
      <c r="I776" s="551">
        <v>25</v>
      </c>
      <c r="J776" s="551">
        <v>0.02</v>
      </c>
      <c r="K776" s="551">
        <v>365</v>
      </c>
      <c r="L776" s="551">
        <v>21</v>
      </c>
      <c r="M776" s="551" t="s">
        <v>104</v>
      </c>
      <c r="N776" s="551">
        <v>37</v>
      </c>
      <c r="O776" s="545">
        <f t="shared" si="317"/>
        <v>37.020000000000003</v>
      </c>
      <c r="P776" s="545" t="s">
        <v>248</v>
      </c>
      <c r="R776" s="552">
        <f t="shared" si="318"/>
        <v>2.617351588015056</v>
      </c>
      <c r="S776" s="545">
        <v>0.6</v>
      </c>
      <c r="T776" s="545" t="s">
        <v>284</v>
      </c>
      <c r="U776" s="545">
        <v>4.0599999999999996</v>
      </c>
      <c r="V776" s="545" t="s">
        <v>285</v>
      </c>
      <c r="Y776" s="545">
        <v>0.6</v>
      </c>
      <c r="Z776" s="545" t="s">
        <v>284</v>
      </c>
      <c r="AA776" s="545">
        <v>4.0599999999999996</v>
      </c>
      <c r="AB776" s="545" t="s">
        <v>285</v>
      </c>
      <c r="AF776" s="553">
        <f t="shared" si="319"/>
        <v>3.6109179126442243</v>
      </c>
      <c r="AG776" s="553">
        <f t="shared" si="320"/>
        <v>3.6114583071453517</v>
      </c>
      <c r="AH776" s="554"/>
      <c r="AI776" s="554"/>
      <c r="AJ776" s="553"/>
      <c r="AK776" s="555">
        <f t="shared" si="321"/>
        <v>96.842008756557064</v>
      </c>
      <c r="AL776" s="555">
        <f t="shared" si="322"/>
        <v>96.86200875655706</v>
      </c>
      <c r="AM776" s="553">
        <f t="shared" si="323"/>
        <v>4.5730808749005423</v>
      </c>
      <c r="AN776" s="553">
        <f t="shared" si="324"/>
        <v>4.5732873755227583</v>
      </c>
      <c r="AO776" s="556"/>
      <c r="AP776" s="556"/>
      <c r="AR776" s="553">
        <f t="shared" si="327"/>
        <v>155.2574411863734</v>
      </c>
      <c r="AS776" s="553">
        <f t="shared" si="328"/>
        <v>155.28950525509313</v>
      </c>
      <c r="AT776" s="553">
        <f t="shared" si="325"/>
        <v>5.0450846500119768</v>
      </c>
      <c r="AU776" s="553">
        <f t="shared" si="326"/>
        <v>5.045291150634192</v>
      </c>
      <c r="AV776" s="556"/>
      <c r="AW776" s="556"/>
      <c r="AX776" s="553"/>
      <c r="AY776" s="553"/>
      <c r="AZ776" s="553"/>
      <c r="BA776" s="553"/>
      <c r="BB776" s="553"/>
      <c r="BC776" s="553"/>
      <c r="BD776" s="554"/>
      <c r="BE776" s="554"/>
    </row>
    <row r="777" spans="1:57" s="545" customFormat="1" x14ac:dyDescent="0.2">
      <c r="A777" s="549" t="s">
        <v>227</v>
      </c>
      <c r="B777" s="549" t="s">
        <v>35</v>
      </c>
      <c r="C777" s="550" t="s">
        <v>272</v>
      </c>
      <c r="D777" s="549" t="s">
        <v>277</v>
      </c>
      <c r="E777" s="551">
        <v>5.5</v>
      </c>
      <c r="F777" s="545">
        <f t="shared" si="314"/>
        <v>1.5516000000000001</v>
      </c>
      <c r="G777" s="551">
        <v>0.9</v>
      </c>
      <c r="H777" s="551">
        <v>60</v>
      </c>
      <c r="I777" s="551">
        <v>13</v>
      </c>
      <c r="J777" s="551">
        <v>0.02</v>
      </c>
      <c r="K777" s="551">
        <v>365</v>
      </c>
      <c r="L777" s="551">
        <v>21</v>
      </c>
      <c r="M777" s="551" t="s">
        <v>104</v>
      </c>
      <c r="N777" s="551">
        <v>27</v>
      </c>
      <c r="O777" s="545">
        <f t="shared" si="317"/>
        <v>27.02</v>
      </c>
      <c r="P777" s="545" t="s">
        <v>248</v>
      </c>
      <c r="R777" s="552">
        <f t="shared" si="318"/>
        <v>4.3068427278791388</v>
      </c>
      <c r="S777" s="545">
        <v>0.6</v>
      </c>
      <c r="T777" s="545" t="s">
        <v>284</v>
      </c>
      <c r="U777" s="545">
        <v>4.0599999999999996</v>
      </c>
      <c r="V777" s="545" t="s">
        <v>285</v>
      </c>
      <c r="Y777" s="545">
        <v>0.6</v>
      </c>
      <c r="Z777" s="545" t="s">
        <v>284</v>
      </c>
      <c r="AA777" s="545">
        <v>4.0599999999999996</v>
      </c>
      <c r="AB777" s="545" t="s">
        <v>285</v>
      </c>
      <c r="AF777" s="553">
        <f t="shared" si="319"/>
        <v>3.2958368660043291</v>
      </c>
      <c r="AG777" s="553">
        <f t="shared" si="320"/>
        <v>3.2965773325320527</v>
      </c>
      <c r="AH777" s="554"/>
      <c r="AI777" s="554"/>
      <c r="AJ777" s="553"/>
      <c r="AK777" s="555">
        <f t="shared" si="321"/>
        <v>116.28475365273675</v>
      </c>
      <c r="AL777" s="555">
        <f t="shared" si="322"/>
        <v>116.30475365273675</v>
      </c>
      <c r="AM777" s="553">
        <f t="shared" si="323"/>
        <v>4.7560419559415541</v>
      </c>
      <c r="AN777" s="553">
        <f t="shared" si="324"/>
        <v>4.7562139327455029</v>
      </c>
      <c r="AO777" s="556"/>
      <c r="AP777" s="556"/>
      <c r="AR777" s="553">
        <f t="shared" si="327"/>
        <v>366.84037310810123</v>
      </c>
      <c r="AS777" s="553">
        <f t="shared" si="328"/>
        <v>366.90346656817832</v>
      </c>
      <c r="AT777" s="553">
        <f t="shared" si="325"/>
        <v>5.9049268027769708</v>
      </c>
      <c r="AU777" s="553">
        <f t="shared" si="326"/>
        <v>5.9050987795809196</v>
      </c>
      <c r="AV777" s="556"/>
      <c r="AW777" s="556"/>
      <c r="AX777" s="553"/>
      <c r="AY777" s="553"/>
      <c r="AZ777" s="553"/>
      <c r="BA777" s="553"/>
      <c r="BB777" s="553"/>
      <c r="BC777" s="553"/>
      <c r="BD777" s="554"/>
      <c r="BE777" s="554"/>
    </row>
    <row r="778" spans="1:57" s="545" customFormat="1" x14ac:dyDescent="0.2">
      <c r="A778" s="549" t="s">
        <v>227</v>
      </c>
      <c r="B778" s="549" t="s">
        <v>35</v>
      </c>
      <c r="C778" s="550" t="s">
        <v>272</v>
      </c>
      <c r="D778" s="549" t="s">
        <v>277</v>
      </c>
      <c r="E778" s="551">
        <v>6.6</v>
      </c>
      <c r="F778" s="545">
        <f t="shared" si="314"/>
        <v>20.687999999999999</v>
      </c>
      <c r="G778" s="551">
        <v>12</v>
      </c>
      <c r="H778" s="551">
        <v>19</v>
      </c>
      <c r="I778" s="551">
        <v>42</v>
      </c>
      <c r="J778" s="551">
        <v>0.02</v>
      </c>
      <c r="K778" s="551">
        <v>365</v>
      </c>
      <c r="L778" s="551">
        <v>21</v>
      </c>
      <c r="M778" s="551" t="s">
        <v>104</v>
      </c>
      <c r="N778" s="551">
        <v>110</v>
      </c>
      <c r="O778" s="545">
        <f t="shared" si="317"/>
        <v>110.02</v>
      </c>
      <c r="P778" s="545" t="s">
        <v>248</v>
      </c>
      <c r="R778" s="552">
        <f t="shared" si="318"/>
        <v>1.7105021714920636</v>
      </c>
      <c r="S778" s="545">
        <v>0.6</v>
      </c>
      <c r="T778" s="545" t="s">
        <v>284</v>
      </c>
      <c r="U778" s="545">
        <v>4.0599999999999996</v>
      </c>
      <c r="V778" s="545" t="s">
        <v>285</v>
      </c>
      <c r="Y778" s="545">
        <v>0.6</v>
      </c>
      <c r="Z778" s="545" t="s">
        <v>284</v>
      </c>
      <c r="AA778" s="545">
        <v>4.0599999999999996</v>
      </c>
      <c r="AB778" s="545" t="s">
        <v>285</v>
      </c>
      <c r="AF778" s="553">
        <f t="shared" si="319"/>
        <v>4.7004803657924166</v>
      </c>
      <c r="AG778" s="553">
        <f t="shared" si="320"/>
        <v>4.7006621674473124</v>
      </c>
      <c r="AH778" s="554"/>
      <c r="AI778" s="554"/>
      <c r="AJ778" s="553"/>
      <c r="AK778" s="555">
        <f t="shared" si="321"/>
        <v>188.155238864127</v>
      </c>
      <c r="AL778" s="555">
        <f t="shared" si="322"/>
        <v>188.17523886412701</v>
      </c>
      <c r="AM778" s="553">
        <f t="shared" si="323"/>
        <v>5.2372673607343314</v>
      </c>
      <c r="AN778" s="553">
        <f t="shared" si="324"/>
        <v>5.2373736502920609</v>
      </c>
      <c r="AO778" s="556"/>
      <c r="AP778" s="556"/>
      <c r="AR778" s="553">
        <f t="shared" si="327"/>
        <v>59.845508768054387</v>
      </c>
      <c r="AS778" s="553">
        <f t="shared" si="328"/>
        <v>59.851870058776811</v>
      </c>
      <c r="AT778" s="553">
        <f t="shared" si="325"/>
        <v>4.0917663877187964</v>
      </c>
      <c r="AU778" s="553">
        <f t="shared" si="326"/>
        <v>4.091872677276525</v>
      </c>
      <c r="AV778" s="556"/>
      <c r="AW778" s="556"/>
      <c r="AX778" s="553"/>
      <c r="AY778" s="553"/>
      <c r="AZ778" s="553"/>
      <c r="BA778" s="553"/>
      <c r="BB778" s="553"/>
      <c r="BC778" s="553"/>
      <c r="BD778" s="554"/>
      <c r="BE778" s="554"/>
    </row>
    <row r="779" spans="1:57" s="545" customFormat="1" x14ac:dyDescent="0.2">
      <c r="A779" s="549" t="s">
        <v>227</v>
      </c>
      <c r="B779" s="549" t="s">
        <v>35</v>
      </c>
      <c r="C779" s="550" t="s">
        <v>272</v>
      </c>
      <c r="D779" s="549" t="s">
        <v>277</v>
      </c>
      <c r="E779" s="551">
        <v>8</v>
      </c>
      <c r="F779" s="545">
        <f t="shared" si="314"/>
        <v>3.1032000000000002</v>
      </c>
      <c r="G779" s="551">
        <v>1.8</v>
      </c>
      <c r="H779" s="551">
        <v>12</v>
      </c>
      <c r="I779" s="551">
        <v>13</v>
      </c>
      <c r="J779" s="551">
        <v>0.02</v>
      </c>
      <c r="K779" s="551">
        <v>365</v>
      </c>
      <c r="L779" s="551">
        <v>21</v>
      </c>
      <c r="M779" s="551" t="s">
        <v>104</v>
      </c>
      <c r="N779" s="551">
        <v>121</v>
      </c>
      <c r="O779" s="545">
        <f t="shared" ref="O779:O810" si="329">N779+J779</f>
        <v>121.02</v>
      </c>
      <c r="P779" s="545" t="s">
        <v>248</v>
      </c>
      <c r="R779" s="552">
        <f t="shared" ref="R779:R810" si="330">POWER(10,(0.78+(0.46*LOG10(I779))+(-0.5*LOG10(G779))+(-0.92*LOG10(E779))))</f>
        <v>2.1574209985336794</v>
      </c>
      <c r="S779" s="545">
        <v>0.6</v>
      </c>
      <c r="T779" s="545" t="s">
        <v>284</v>
      </c>
      <c r="U779" s="545">
        <v>4.0599999999999996</v>
      </c>
      <c r="V779" s="545" t="s">
        <v>285</v>
      </c>
      <c r="Y779" s="545">
        <v>0.6</v>
      </c>
      <c r="Z779" s="545" t="s">
        <v>284</v>
      </c>
      <c r="AA779" s="545">
        <v>4.0599999999999996</v>
      </c>
      <c r="AB779" s="545" t="s">
        <v>285</v>
      </c>
      <c r="AF779" s="553">
        <f t="shared" ref="AF779:AF810" si="331">LN(N779)</f>
        <v>4.7957905455967413</v>
      </c>
      <c r="AG779" s="553">
        <f t="shared" ref="AG779:AG810" si="332">LN(O779)</f>
        <v>4.7959558211941751</v>
      </c>
      <c r="AH779" s="554"/>
      <c r="AI779" s="554"/>
      <c r="AJ779" s="553"/>
      <c r="AK779" s="555">
        <f t="shared" ref="AK779:AK810" si="333">N779*R779</f>
        <v>261.04794082257519</v>
      </c>
      <c r="AL779" s="555">
        <f t="shared" ref="AL779:AL810" si="334">AK779+J779</f>
        <v>261.06794082257517</v>
      </c>
      <c r="AM779" s="553">
        <f t="shared" ref="AM779:AM810" si="335">LN(AK779)</f>
        <v>5.5647040717678955</v>
      </c>
      <c r="AN779" s="553">
        <f t="shared" ref="AN779:AN810" si="336">LN(AL779)</f>
        <v>5.5647806831130504</v>
      </c>
      <c r="AO779" s="556"/>
      <c r="AP779" s="556"/>
      <c r="AR779" s="553">
        <f t="shared" si="327"/>
        <v>118.68171020448501</v>
      </c>
      <c r="AS779" s="553">
        <f t="shared" si="328"/>
        <v>118.69080291824712</v>
      </c>
      <c r="AT779" s="553">
        <f t="shared" ref="AT779:AT810" si="337">LN(AR779)</f>
        <v>4.7764452055352171</v>
      </c>
      <c r="AU779" s="553">
        <f t="shared" ref="AU779:AU810" si="338">LN(AS779)</f>
        <v>4.776521816880372</v>
      </c>
      <c r="AV779" s="556"/>
      <c r="AW779" s="556"/>
      <c r="AX779" s="553"/>
      <c r="AY779" s="553"/>
      <c r="AZ779" s="553"/>
      <c r="BA779" s="553"/>
      <c r="BB779" s="553"/>
      <c r="BC779" s="553"/>
      <c r="BD779" s="554"/>
      <c r="BE779" s="554"/>
    </row>
    <row r="780" spans="1:57" s="545" customFormat="1" x14ac:dyDescent="0.2">
      <c r="A780" s="549" t="s">
        <v>227</v>
      </c>
      <c r="B780" s="549" t="s">
        <v>35</v>
      </c>
      <c r="C780" s="550" t="s">
        <v>272</v>
      </c>
      <c r="D780" s="549" t="s">
        <v>278</v>
      </c>
      <c r="E780" s="551">
        <v>7.1</v>
      </c>
      <c r="F780" s="545">
        <f t="shared" si="314"/>
        <v>3.2755999999999998</v>
      </c>
      <c r="G780" s="551">
        <v>1.9</v>
      </c>
      <c r="H780" s="551">
        <v>30</v>
      </c>
      <c r="I780" s="551">
        <v>27</v>
      </c>
      <c r="J780" s="551">
        <v>0.02</v>
      </c>
      <c r="K780" s="551">
        <v>7</v>
      </c>
      <c r="L780" s="551">
        <v>21</v>
      </c>
      <c r="M780" s="551" t="s">
        <v>104</v>
      </c>
      <c r="N780" s="551">
        <v>19</v>
      </c>
      <c r="O780" s="545">
        <f t="shared" si="329"/>
        <v>19.02</v>
      </c>
      <c r="P780" s="545" t="s">
        <v>248</v>
      </c>
      <c r="R780" s="552">
        <f t="shared" si="330"/>
        <v>3.2801435493616093</v>
      </c>
      <c r="S780" s="545">
        <v>0.6</v>
      </c>
      <c r="T780" s="545" t="s">
        <v>284</v>
      </c>
      <c r="U780" s="545">
        <v>4.0599999999999996</v>
      </c>
      <c r="V780" s="545" t="s">
        <v>285</v>
      </c>
      <c r="Y780" s="545">
        <v>0.6</v>
      </c>
      <c r="Z780" s="545" t="s">
        <v>284</v>
      </c>
      <c r="AA780" s="545">
        <v>4.0599999999999996</v>
      </c>
      <c r="AB780" s="545" t="s">
        <v>285</v>
      </c>
      <c r="AF780" s="553">
        <f t="shared" si="331"/>
        <v>2.9444389791664403</v>
      </c>
      <c r="AG780" s="553">
        <f t="shared" si="332"/>
        <v>2.9454910571172443</v>
      </c>
      <c r="AH780" s="554"/>
      <c r="AI780" s="554"/>
      <c r="AJ780" s="553"/>
      <c r="AK780" s="555">
        <f t="shared" si="333"/>
        <v>62.322727437870576</v>
      </c>
      <c r="AL780" s="555">
        <f t="shared" si="334"/>
        <v>62.342727437870579</v>
      </c>
      <c r="AM780" s="553">
        <f t="shared" si="335"/>
        <v>4.1323261656541019</v>
      </c>
      <c r="AN780" s="553">
        <f t="shared" si="336"/>
        <v>4.1326470243906543</v>
      </c>
      <c r="AO780" s="556"/>
      <c r="AP780" s="556"/>
      <c r="AR780" s="553">
        <f t="shared" si="327"/>
        <v>44.530520261005655</v>
      </c>
      <c r="AS780" s="553">
        <f t="shared" si="328"/>
        <v>44.544810559935662</v>
      </c>
      <c r="AT780" s="553">
        <f t="shared" si="337"/>
        <v>3.7961748026474775</v>
      </c>
      <c r="AU780" s="553">
        <f t="shared" si="338"/>
        <v>3.7964956613840299</v>
      </c>
      <c r="AV780" s="556"/>
      <c r="AW780" s="556"/>
      <c r="AX780" s="287">
        <f>GEOMEAN(AR780:AR787)</f>
        <v>19.10202356050165</v>
      </c>
      <c r="AY780" s="287">
        <f>GEOMEAN(AS780:AS787)</f>
        <v>19.173177721789003</v>
      </c>
      <c r="AZ780" s="553"/>
      <c r="BA780" s="553"/>
      <c r="BB780" s="553"/>
      <c r="BC780" s="553"/>
      <c r="BD780" s="554"/>
      <c r="BE780" s="554"/>
    </row>
    <row r="781" spans="1:57" s="545" customFormat="1" x14ac:dyDescent="0.2">
      <c r="A781" s="549" t="s">
        <v>227</v>
      </c>
      <c r="B781" s="549" t="s">
        <v>35</v>
      </c>
      <c r="C781" s="550" t="s">
        <v>272</v>
      </c>
      <c r="D781" s="549" t="s">
        <v>278</v>
      </c>
      <c r="E781" s="551">
        <v>4.5999999999999996</v>
      </c>
      <c r="F781" s="545">
        <f t="shared" si="314"/>
        <v>3.2755999999999998</v>
      </c>
      <c r="G781" s="551">
        <v>1.9</v>
      </c>
      <c r="H781" s="551">
        <v>2.5</v>
      </c>
      <c r="I781" s="551">
        <v>6.4</v>
      </c>
      <c r="J781" s="551">
        <v>0.02</v>
      </c>
      <c r="K781" s="551">
        <v>7</v>
      </c>
      <c r="L781" s="551">
        <v>21</v>
      </c>
      <c r="M781" s="551" t="s">
        <v>104</v>
      </c>
      <c r="N781" s="551">
        <v>0.9</v>
      </c>
      <c r="O781" s="545">
        <f t="shared" si="329"/>
        <v>0.92</v>
      </c>
      <c r="P781" s="545" t="s">
        <v>248</v>
      </c>
      <c r="R781" s="552">
        <f t="shared" si="330"/>
        <v>2.5219053467258976</v>
      </c>
      <c r="S781" s="545">
        <v>0.6</v>
      </c>
      <c r="T781" s="545" t="s">
        <v>284</v>
      </c>
      <c r="U781" s="545">
        <v>4.0599999999999996</v>
      </c>
      <c r="V781" s="545" t="s">
        <v>285</v>
      </c>
      <c r="Y781" s="545">
        <v>0.6</v>
      </c>
      <c r="Z781" s="545" t="s">
        <v>284</v>
      </c>
      <c r="AA781" s="545">
        <v>4.0599999999999996</v>
      </c>
      <c r="AB781" s="545" t="s">
        <v>285</v>
      </c>
      <c r="AF781" s="553">
        <f t="shared" si="331"/>
        <v>-0.10536051565782628</v>
      </c>
      <c r="AG781" s="553">
        <f t="shared" si="332"/>
        <v>-8.3381608939051013E-2</v>
      </c>
      <c r="AH781" s="554"/>
      <c r="AI781" s="554"/>
      <c r="AJ781" s="553"/>
      <c r="AK781" s="555">
        <f t="shared" si="333"/>
        <v>2.2697148120533077</v>
      </c>
      <c r="AL781" s="555">
        <f t="shared" si="334"/>
        <v>2.2897148120533077</v>
      </c>
      <c r="AM781" s="553">
        <f t="shared" si="335"/>
        <v>0.81965419014407492</v>
      </c>
      <c r="AN781" s="553">
        <f t="shared" si="336"/>
        <v>0.82842727358960622</v>
      </c>
      <c r="AO781" s="556"/>
      <c r="AP781" s="556"/>
      <c r="AR781" s="553">
        <f t="shared" si="327"/>
        <v>9.4470172633924197</v>
      </c>
      <c r="AS781" s="553">
        <f t="shared" si="328"/>
        <v>9.530261353911845</v>
      </c>
      <c r="AT781" s="553">
        <f t="shared" si="337"/>
        <v>2.2456990581794654</v>
      </c>
      <c r="AU781" s="553">
        <f t="shared" si="338"/>
        <v>2.2544721416249964</v>
      </c>
      <c r="AV781" s="556"/>
      <c r="AW781" s="556"/>
      <c r="AX781" s="553"/>
      <c r="AY781" s="553"/>
      <c r="AZ781" s="553"/>
      <c r="BA781" s="553"/>
      <c r="BB781" s="553"/>
      <c r="BC781" s="553"/>
      <c r="BD781" s="554"/>
      <c r="BE781" s="554"/>
    </row>
    <row r="782" spans="1:57" s="545" customFormat="1" x14ac:dyDescent="0.2">
      <c r="A782" s="549" t="s">
        <v>227</v>
      </c>
      <c r="B782" s="549" t="s">
        <v>35</v>
      </c>
      <c r="C782" s="550" t="s">
        <v>272</v>
      </c>
      <c r="D782" s="549" t="s">
        <v>278</v>
      </c>
      <c r="E782" s="551">
        <v>5.0999999999999996</v>
      </c>
      <c r="F782" s="545">
        <f t="shared" si="314"/>
        <v>11.8956</v>
      </c>
      <c r="G782" s="551">
        <v>6.9</v>
      </c>
      <c r="H782" s="551">
        <v>14</v>
      </c>
      <c r="I782" s="551">
        <v>12</v>
      </c>
      <c r="J782" s="551">
        <v>0.02</v>
      </c>
      <c r="K782" s="551">
        <v>7</v>
      </c>
      <c r="L782" s="551">
        <v>21</v>
      </c>
      <c r="M782" s="551" t="s">
        <v>104</v>
      </c>
      <c r="N782" s="551">
        <v>21</v>
      </c>
      <c r="O782" s="545">
        <f t="shared" si="329"/>
        <v>21.02</v>
      </c>
      <c r="P782" s="545" t="s">
        <v>248</v>
      </c>
      <c r="R782" s="552">
        <f t="shared" si="330"/>
        <v>1.6070680455632902</v>
      </c>
      <c r="S782" s="545">
        <v>0.6</v>
      </c>
      <c r="T782" s="545" t="s">
        <v>284</v>
      </c>
      <c r="U782" s="545">
        <v>4.0599999999999996</v>
      </c>
      <c r="V782" s="545" t="s">
        <v>285</v>
      </c>
      <c r="Y782" s="545">
        <v>0.6</v>
      </c>
      <c r="Z782" s="545" t="s">
        <v>284</v>
      </c>
      <c r="AA782" s="545">
        <v>4.0599999999999996</v>
      </c>
      <c r="AB782" s="545" t="s">
        <v>285</v>
      </c>
      <c r="AF782" s="553">
        <f t="shared" si="331"/>
        <v>3.044522437723423</v>
      </c>
      <c r="AG782" s="553">
        <f t="shared" si="332"/>
        <v>3.045474365448805</v>
      </c>
      <c r="AH782" s="554"/>
      <c r="AI782" s="554"/>
      <c r="AJ782" s="553"/>
      <c r="AK782" s="555">
        <f t="shared" si="333"/>
        <v>33.748428956829095</v>
      </c>
      <c r="AL782" s="555">
        <f t="shared" si="334"/>
        <v>33.768428956829098</v>
      </c>
      <c r="AM782" s="553">
        <f t="shared" si="335"/>
        <v>3.5189338668077945</v>
      </c>
      <c r="AN782" s="553">
        <f t="shared" si="336"/>
        <v>3.5195263114565241</v>
      </c>
      <c r="AO782" s="556"/>
      <c r="AP782" s="556"/>
      <c r="AR782" s="553">
        <f t="shared" si="327"/>
        <v>42.616871542546782</v>
      </c>
      <c r="AS782" s="553">
        <f t="shared" si="328"/>
        <v>42.642127160576926</v>
      </c>
      <c r="AT782" s="553">
        <f t="shared" si="337"/>
        <v>3.7522502204696568</v>
      </c>
      <c r="AU782" s="553">
        <f t="shared" si="338"/>
        <v>3.7528426651183864</v>
      </c>
      <c r="AV782" s="556"/>
      <c r="AW782" s="556"/>
      <c r="AX782" s="553"/>
      <c r="AY782" s="553"/>
      <c r="AZ782" s="553"/>
      <c r="BA782" s="553"/>
      <c r="BB782" s="553"/>
      <c r="BC782" s="553"/>
      <c r="BD782" s="554"/>
      <c r="BE782" s="554"/>
    </row>
    <row r="783" spans="1:57" s="545" customFormat="1" x14ac:dyDescent="0.2">
      <c r="A783" s="549" t="s">
        <v>227</v>
      </c>
      <c r="B783" s="549" t="s">
        <v>35</v>
      </c>
      <c r="C783" s="550" t="s">
        <v>272</v>
      </c>
      <c r="D783" s="549" t="s">
        <v>278</v>
      </c>
      <c r="E783" s="551">
        <v>3.6</v>
      </c>
      <c r="F783" s="545">
        <f t="shared" si="314"/>
        <v>2.5859999999999999</v>
      </c>
      <c r="G783" s="551">
        <v>1.5</v>
      </c>
      <c r="H783" s="551">
        <v>1.4</v>
      </c>
      <c r="I783" s="551">
        <v>5.3</v>
      </c>
      <c r="J783" s="551">
        <v>0.02</v>
      </c>
      <c r="K783" s="551">
        <v>7</v>
      </c>
      <c r="L783" s="551">
        <v>21</v>
      </c>
      <c r="M783" s="551" t="s">
        <v>104</v>
      </c>
      <c r="N783" s="551">
        <v>4</v>
      </c>
      <c r="O783" s="545">
        <f t="shared" si="329"/>
        <v>4.0199999999999996</v>
      </c>
      <c r="P783" s="545" t="s">
        <v>248</v>
      </c>
      <c r="R783" s="552">
        <f t="shared" si="330"/>
        <v>3.2607910460727294</v>
      </c>
      <c r="S783" s="545">
        <v>0.6</v>
      </c>
      <c r="T783" s="545" t="s">
        <v>284</v>
      </c>
      <c r="U783" s="545">
        <v>4.0599999999999996</v>
      </c>
      <c r="V783" s="545" t="s">
        <v>285</v>
      </c>
      <c r="Y783" s="545">
        <v>0.6</v>
      </c>
      <c r="Z783" s="545" t="s">
        <v>284</v>
      </c>
      <c r="AA783" s="545">
        <v>4.0599999999999996</v>
      </c>
      <c r="AB783" s="545" t="s">
        <v>285</v>
      </c>
      <c r="AF783" s="553">
        <f t="shared" si="331"/>
        <v>1.3862943611198906</v>
      </c>
      <c r="AG783" s="553">
        <f t="shared" si="332"/>
        <v>1.3912819026309295</v>
      </c>
      <c r="AH783" s="554"/>
      <c r="AI783" s="554"/>
      <c r="AJ783" s="553"/>
      <c r="AK783" s="555">
        <f t="shared" si="333"/>
        <v>13.043164184290918</v>
      </c>
      <c r="AL783" s="555">
        <f t="shared" si="334"/>
        <v>13.063164184290917</v>
      </c>
      <c r="AM783" s="553">
        <f t="shared" si="335"/>
        <v>2.5682641792327798</v>
      </c>
      <c r="AN783" s="553">
        <f t="shared" si="336"/>
        <v>2.5697963750766637</v>
      </c>
      <c r="AO783" s="556"/>
      <c r="AP783" s="556"/>
      <c r="AR783" s="553">
        <f t="shared" si="327"/>
        <v>169.24366710983807</v>
      </c>
      <c r="AS783" s="553">
        <f t="shared" si="328"/>
        <v>169.50318031494464</v>
      </c>
      <c r="AT783" s="553">
        <f t="shared" si="337"/>
        <v>5.1313394937206267</v>
      </c>
      <c r="AU783" s="553">
        <f t="shared" si="338"/>
        <v>5.132871689564511</v>
      </c>
      <c r="AV783" s="556"/>
      <c r="AW783" s="556"/>
      <c r="AX783" s="553"/>
      <c r="AY783" s="553"/>
      <c r="AZ783" s="553"/>
      <c r="BA783" s="553"/>
      <c r="BB783" s="553"/>
      <c r="BC783" s="553"/>
      <c r="BD783" s="554"/>
      <c r="BE783" s="554"/>
    </row>
    <row r="784" spans="1:57" s="545" customFormat="1" x14ac:dyDescent="0.2">
      <c r="A784" s="549" t="s">
        <v>227</v>
      </c>
      <c r="B784" s="549" t="s">
        <v>35</v>
      </c>
      <c r="C784" s="550" t="s">
        <v>272</v>
      </c>
      <c r="D784" s="549" t="s">
        <v>278</v>
      </c>
      <c r="E784" s="551">
        <v>5</v>
      </c>
      <c r="F784" s="545">
        <f t="shared" si="314"/>
        <v>9.1372</v>
      </c>
      <c r="G784" s="551">
        <v>5.3</v>
      </c>
      <c r="H784" s="551">
        <v>42</v>
      </c>
      <c r="I784" s="551">
        <v>25</v>
      </c>
      <c r="J784" s="551">
        <v>0.02</v>
      </c>
      <c r="K784" s="551">
        <v>7</v>
      </c>
      <c r="L784" s="551">
        <v>21</v>
      </c>
      <c r="M784" s="551" t="s">
        <v>104</v>
      </c>
      <c r="N784" s="551">
        <v>0.7</v>
      </c>
      <c r="O784" s="545">
        <f t="shared" si="329"/>
        <v>0.72</v>
      </c>
      <c r="P784" s="545" t="s">
        <v>248</v>
      </c>
      <c r="R784" s="552">
        <f t="shared" si="330"/>
        <v>2.617351588015056</v>
      </c>
      <c r="S784" s="545">
        <v>0.6</v>
      </c>
      <c r="T784" s="545" t="s">
        <v>284</v>
      </c>
      <c r="U784" s="545">
        <v>4.0599999999999996</v>
      </c>
      <c r="V784" s="545" t="s">
        <v>285</v>
      </c>
      <c r="Y784" s="545">
        <v>0.6</v>
      </c>
      <c r="Z784" s="545" t="s">
        <v>284</v>
      </c>
      <c r="AA784" s="545">
        <v>4.0599999999999996</v>
      </c>
      <c r="AB784" s="545" t="s">
        <v>285</v>
      </c>
      <c r="AF784" s="553">
        <f t="shared" si="331"/>
        <v>-0.35667494393873245</v>
      </c>
      <c r="AG784" s="553">
        <f t="shared" si="332"/>
        <v>-0.3285040669720361</v>
      </c>
      <c r="AH784" s="554"/>
      <c r="AI784" s="554"/>
      <c r="AJ784" s="553"/>
      <c r="AK784" s="555">
        <f t="shared" si="333"/>
        <v>1.8321461116105391</v>
      </c>
      <c r="AL784" s="555">
        <f t="shared" si="334"/>
        <v>1.8521461116105391</v>
      </c>
      <c r="AM784" s="553">
        <f t="shared" si="335"/>
        <v>0.60548801831758547</v>
      </c>
      <c r="AN784" s="553">
        <f t="shared" si="336"/>
        <v>0.61634502707019745</v>
      </c>
      <c r="AO784" s="556"/>
      <c r="AP784" s="556"/>
      <c r="AR784" s="553">
        <f t="shared" si="327"/>
        <v>2.9373029413638214</v>
      </c>
      <c r="AS784" s="553">
        <f t="shared" si="328"/>
        <v>2.9693670100835563</v>
      </c>
      <c r="AT784" s="553">
        <f t="shared" si="337"/>
        <v>1.0774917934290198</v>
      </c>
      <c r="AU784" s="553">
        <f t="shared" si="338"/>
        <v>1.0883488021816314</v>
      </c>
      <c r="AV784" s="556"/>
      <c r="AW784" s="556"/>
      <c r="AX784" s="553"/>
      <c r="AY784" s="553"/>
      <c r="AZ784" s="553"/>
      <c r="BA784" s="553"/>
      <c r="BB784" s="553"/>
      <c r="BC784" s="553"/>
      <c r="BD784" s="554"/>
      <c r="BE784" s="554"/>
    </row>
    <row r="785" spans="1:57" s="545" customFormat="1" x14ac:dyDescent="0.2">
      <c r="A785" s="549" t="s">
        <v>227</v>
      </c>
      <c r="B785" s="549" t="s">
        <v>35</v>
      </c>
      <c r="C785" s="550" t="s">
        <v>272</v>
      </c>
      <c r="D785" s="549" t="s">
        <v>278</v>
      </c>
      <c r="E785" s="551">
        <v>5.5</v>
      </c>
      <c r="F785" s="545">
        <f t="shared" si="314"/>
        <v>1.5516000000000001</v>
      </c>
      <c r="G785" s="551">
        <v>0.9</v>
      </c>
      <c r="H785" s="551">
        <v>60</v>
      </c>
      <c r="I785" s="551">
        <v>13</v>
      </c>
      <c r="J785" s="551">
        <v>0.02</v>
      </c>
      <c r="K785" s="551">
        <v>7</v>
      </c>
      <c r="L785" s="551">
        <v>21</v>
      </c>
      <c r="M785" s="551" t="s">
        <v>104</v>
      </c>
      <c r="N785" s="551">
        <v>0.86</v>
      </c>
      <c r="O785" s="545">
        <f t="shared" si="329"/>
        <v>0.88</v>
      </c>
      <c r="P785" s="545" t="s">
        <v>248</v>
      </c>
      <c r="R785" s="552">
        <f t="shared" si="330"/>
        <v>4.3068427278791388</v>
      </c>
      <c r="S785" s="545">
        <v>0.6</v>
      </c>
      <c r="T785" s="545" t="s">
        <v>284</v>
      </c>
      <c r="U785" s="545">
        <v>4.0599999999999996</v>
      </c>
      <c r="V785" s="545" t="s">
        <v>285</v>
      </c>
      <c r="Y785" s="545">
        <v>0.6</v>
      </c>
      <c r="Z785" s="545" t="s">
        <v>284</v>
      </c>
      <c r="AA785" s="545">
        <v>4.0599999999999996</v>
      </c>
      <c r="AB785" s="545" t="s">
        <v>285</v>
      </c>
      <c r="AF785" s="553">
        <f t="shared" si="331"/>
        <v>-0.15082288973458366</v>
      </c>
      <c r="AG785" s="553">
        <f t="shared" si="332"/>
        <v>-0.12783337150988489</v>
      </c>
      <c r="AH785" s="554"/>
      <c r="AI785" s="554"/>
      <c r="AJ785" s="553"/>
      <c r="AK785" s="555">
        <f t="shared" si="333"/>
        <v>3.7038847459760591</v>
      </c>
      <c r="AL785" s="555">
        <f t="shared" si="334"/>
        <v>3.7238847459760591</v>
      </c>
      <c r="AM785" s="553">
        <f t="shared" si="335"/>
        <v>1.309382200202641</v>
      </c>
      <c r="AN785" s="553">
        <f t="shared" si="336"/>
        <v>1.3147674099498703</v>
      </c>
      <c r="AO785" s="556"/>
      <c r="AP785" s="556"/>
      <c r="AR785" s="553">
        <f t="shared" si="327"/>
        <v>11.684545217517298</v>
      </c>
      <c r="AS785" s="553">
        <f t="shared" si="328"/>
        <v>11.747638677594377</v>
      </c>
      <c r="AT785" s="553">
        <f t="shared" si="337"/>
        <v>2.4582670470380577</v>
      </c>
      <c r="AU785" s="553">
        <f t="shared" si="338"/>
        <v>2.463652256785287</v>
      </c>
      <c r="AV785" s="556"/>
      <c r="AW785" s="556"/>
      <c r="AX785" s="553"/>
      <c r="AY785" s="553"/>
      <c r="AZ785" s="553"/>
      <c r="BA785" s="553"/>
      <c r="BB785" s="553"/>
      <c r="BC785" s="553"/>
      <c r="BD785" s="554"/>
      <c r="BE785" s="554"/>
    </row>
    <row r="786" spans="1:57" s="545" customFormat="1" x14ac:dyDescent="0.2">
      <c r="A786" s="549" t="s">
        <v>227</v>
      </c>
      <c r="B786" s="549" t="s">
        <v>35</v>
      </c>
      <c r="C786" s="550" t="s">
        <v>272</v>
      </c>
      <c r="D786" s="549" t="s">
        <v>278</v>
      </c>
      <c r="E786" s="551">
        <v>6.6</v>
      </c>
      <c r="F786" s="545">
        <f t="shared" si="314"/>
        <v>20.687999999999999</v>
      </c>
      <c r="G786" s="551">
        <v>12</v>
      </c>
      <c r="H786" s="551">
        <v>19</v>
      </c>
      <c r="I786" s="551">
        <v>42</v>
      </c>
      <c r="J786" s="551">
        <v>0.02</v>
      </c>
      <c r="K786" s="551">
        <v>7</v>
      </c>
      <c r="L786" s="551">
        <v>21</v>
      </c>
      <c r="M786" s="551" t="s">
        <v>104</v>
      </c>
      <c r="N786" s="551">
        <v>5.5</v>
      </c>
      <c r="O786" s="545">
        <f t="shared" si="329"/>
        <v>5.52</v>
      </c>
      <c r="P786" s="545" t="s">
        <v>248</v>
      </c>
      <c r="R786" s="552">
        <f t="shared" si="330"/>
        <v>1.7105021714920636</v>
      </c>
      <c r="S786" s="545">
        <v>0.6</v>
      </c>
      <c r="T786" s="545" t="s">
        <v>284</v>
      </c>
      <c r="U786" s="545">
        <v>4.0599999999999996</v>
      </c>
      <c r="V786" s="545" t="s">
        <v>285</v>
      </c>
      <c r="Y786" s="545">
        <v>0.6</v>
      </c>
      <c r="Z786" s="545" t="s">
        <v>284</v>
      </c>
      <c r="AA786" s="545">
        <v>4.0599999999999996</v>
      </c>
      <c r="AB786" s="545" t="s">
        <v>285</v>
      </c>
      <c r="AF786" s="553">
        <f t="shared" si="331"/>
        <v>1.7047480922384253</v>
      </c>
      <c r="AG786" s="553">
        <f t="shared" si="332"/>
        <v>1.7083778602890038</v>
      </c>
      <c r="AH786" s="554"/>
      <c r="AI786" s="554"/>
      <c r="AJ786" s="553"/>
      <c r="AK786" s="555">
        <f t="shared" si="333"/>
        <v>9.4077619432063493</v>
      </c>
      <c r="AL786" s="555">
        <f t="shared" si="334"/>
        <v>9.4277619432063489</v>
      </c>
      <c r="AM786" s="553">
        <f t="shared" si="335"/>
        <v>2.2415350871803406</v>
      </c>
      <c r="AN786" s="553">
        <f t="shared" si="336"/>
        <v>2.2436587347769854</v>
      </c>
      <c r="AO786" s="556"/>
      <c r="AP786" s="556"/>
      <c r="AR786" s="553">
        <f t="shared" si="327"/>
        <v>2.9922754384027193</v>
      </c>
      <c r="AS786" s="553">
        <f t="shared" si="328"/>
        <v>2.9986367291251392</v>
      </c>
      <c r="AT786" s="553">
        <f t="shared" si="337"/>
        <v>1.0960341141648053</v>
      </c>
      <c r="AU786" s="553">
        <f t="shared" si="338"/>
        <v>1.0981577617614504</v>
      </c>
      <c r="AV786" s="556"/>
      <c r="AW786" s="556"/>
      <c r="AX786" s="553"/>
      <c r="AY786" s="553"/>
      <c r="AZ786" s="553"/>
      <c r="BA786" s="553"/>
      <c r="BB786" s="553"/>
      <c r="BC786" s="553"/>
      <c r="BD786" s="554"/>
      <c r="BE786" s="554"/>
    </row>
    <row r="787" spans="1:57" s="560" customFormat="1" x14ac:dyDescent="0.2">
      <c r="A787" s="557" t="s">
        <v>227</v>
      </c>
      <c r="B787" s="557" t="s">
        <v>35</v>
      </c>
      <c r="C787" s="558" t="s">
        <v>272</v>
      </c>
      <c r="D787" s="557" t="s">
        <v>278</v>
      </c>
      <c r="E787" s="559">
        <v>8</v>
      </c>
      <c r="F787" s="560">
        <f t="shared" si="314"/>
        <v>3.1032000000000002</v>
      </c>
      <c r="G787" s="559">
        <v>1.8</v>
      </c>
      <c r="H787" s="559">
        <v>12</v>
      </c>
      <c r="I787" s="559">
        <v>13</v>
      </c>
      <c r="J787" s="559">
        <v>0.02</v>
      </c>
      <c r="K787" s="559">
        <v>7</v>
      </c>
      <c r="L787" s="559">
        <v>21</v>
      </c>
      <c r="M787" s="559" t="s">
        <v>104</v>
      </c>
      <c r="N787" s="559">
        <v>58</v>
      </c>
      <c r="O787" s="560">
        <f t="shared" si="329"/>
        <v>58.02</v>
      </c>
      <c r="P787" s="560" t="s">
        <v>248</v>
      </c>
      <c r="R787" s="561">
        <f t="shared" si="330"/>
        <v>2.1574209985336794</v>
      </c>
      <c r="S787" s="560">
        <v>0.6</v>
      </c>
      <c r="T787" s="560" t="s">
        <v>284</v>
      </c>
      <c r="U787" s="560">
        <v>4.0599999999999996</v>
      </c>
      <c r="V787" s="560" t="s">
        <v>285</v>
      </c>
      <c r="Y787" s="560">
        <v>0.6</v>
      </c>
      <c r="Z787" s="560" t="s">
        <v>284</v>
      </c>
      <c r="AA787" s="560">
        <v>4.0599999999999996</v>
      </c>
      <c r="AB787" s="560" t="s">
        <v>285</v>
      </c>
      <c r="AF787" s="562">
        <f t="shared" si="331"/>
        <v>4.0604430105464191</v>
      </c>
      <c r="AG787" s="562">
        <f t="shared" si="332"/>
        <v>4.0607877786932578</v>
      </c>
      <c r="AH787" s="563"/>
      <c r="AI787" s="563"/>
      <c r="AJ787" s="562"/>
      <c r="AK787" s="564">
        <f t="shared" si="333"/>
        <v>125.13041791495341</v>
      </c>
      <c r="AL787" s="564">
        <f t="shared" si="334"/>
        <v>125.15041791495341</v>
      </c>
      <c r="AM787" s="562">
        <f t="shared" si="335"/>
        <v>4.8293565367175733</v>
      </c>
      <c r="AN787" s="562">
        <f t="shared" si="336"/>
        <v>4.8295163571846604</v>
      </c>
      <c r="AO787" s="565"/>
      <c r="AP787" s="565"/>
      <c r="AR787" s="562">
        <f t="shared" si="327"/>
        <v>56.888753651736629</v>
      </c>
      <c r="AS787" s="562">
        <f t="shared" si="328"/>
        <v>56.897846365498751</v>
      </c>
      <c r="AT787" s="562">
        <f t="shared" si="337"/>
        <v>4.0410976704848958</v>
      </c>
      <c r="AU787" s="562">
        <f t="shared" si="338"/>
        <v>4.0412574909519821</v>
      </c>
      <c r="AV787" s="565"/>
      <c r="AW787" s="565"/>
      <c r="AX787" s="562"/>
      <c r="AY787" s="562"/>
      <c r="AZ787" s="562"/>
      <c r="BA787" s="562"/>
      <c r="BB787" s="562"/>
      <c r="BC787" s="562"/>
      <c r="BD787" s="563"/>
      <c r="BE787" s="563"/>
    </row>
    <row r="788" spans="1:57" s="573" customFormat="1" x14ac:dyDescent="0.2">
      <c r="A788" s="568" t="s">
        <v>227</v>
      </c>
      <c r="B788" s="568" t="s">
        <v>35</v>
      </c>
      <c r="C788" s="569" t="s">
        <v>279</v>
      </c>
      <c r="D788" s="568" t="s">
        <v>265</v>
      </c>
      <c r="E788" s="570">
        <v>6.4</v>
      </c>
      <c r="F788" s="571">
        <v>7.5316000000000001</v>
      </c>
      <c r="G788" s="572">
        <v>4.3686774941995363</v>
      </c>
      <c r="H788" s="572">
        <v>14.585000000000001</v>
      </c>
      <c r="I788" s="572">
        <v>15.475</v>
      </c>
      <c r="J788" s="572">
        <v>0.2</v>
      </c>
      <c r="K788" s="570"/>
      <c r="L788" s="570">
        <v>5</v>
      </c>
      <c r="M788" s="570" t="s">
        <v>93</v>
      </c>
      <c r="N788" s="570">
        <v>200</v>
      </c>
      <c r="O788" s="573">
        <f t="shared" si="329"/>
        <v>200.2</v>
      </c>
      <c r="P788" s="573" t="s">
        <v>280</v>
      </c>
      <c r="R788" s="574">
        <f t="shared" si="330"/>
        <v>1.8423389498040343</v>
      </c>
      <c r="S788" s="573">
        <v>0.6</v>
      </c>
      <c r="T788" s="573" t="s">
        <v>284</v>
      </c>
      <c r="U788" s="573">
        <v>4.0599999999999996</v>
      </c>
      <c r="V788" s="573" t="s">
        <v>285</v>
      </c>
      <c r="Y788" s="573">
        <v>0.6</v>
      </c>
      <c r="Z788" s="573" t="s">
        <v>284</v>
      </c>
      <c r="AA788" s="573">
        <v>4.0599999999999996</v>
      </c>
      <c r="AB788" s="573" t="s">
        <v>285</v>
      </c>
      <c r="AF788" s="575">
        <f t="shared" si="331"/>
        <v>5.2983173665480363</v>
      </c>
      <c r="AG788" s="575">
        <f t="shared" si="332"/>
        <v>5.2993168668811199</v>
      </c>
      <c r="AH788" s="576"/>
      <c r="AI788" s="576"/>
      <c r="AJ788" s="575"/>
      <c r="AK788" s="577">
        <f t="shared" si="333"/>
        <v>368.46778996080684</v>
      </c>
      <c r="AL788" s="577">
        <f t="shared" si="334"/>
        <v>368.66778996080683</v>
      </c>
      <c r="AM788" s="575">
        <f t="shared" si="335"/>
        <v>5.9093532992902027</v>
      </c>
      <c r="AN788" s="575">
        <f t="shared" si="336"/>
        <v>5.9098959403194931</v>
      </c>
      <c r="AO788" s="578"/>
      <c r="AP788" s="578"/>
      <c r="AR788" s="575">
        <f t="shared" si="327"/>
        <v>243.48444317791447</v>
      </c>
      <c r="AS788" s="575">
        <f t="shared" si="328"/>
        <v>243.61660368138959</v>
      </c>
      <c r="AT788" s="575">
        <f t="shared" si="337"/>
        <v>5.4950530520953063</v>
      </c>
      <c r="AU788" s="575">
        <f t="shared" si="338"/>
        <v>5.4955956931245966</v>
      </c>
      <c r="AV788" s="578"/>
      <c r="AW788" s="578"/>
      <c r="AX788" s="575">
        <f t="shared" ref="AX788" si="339">GEOMEAN(AR788)</f>
        <v>243.48444317791447</v>
      </c>
      <c r="AY788" s="575">
        <f t="shared" ref="AY788" si="340">GEOMEAN(AS788)</f>
        <v>243.61660368138959</v>
      </c>
      <c r="AZ788" s="575">
        <f>MIN(AX788)</f>
        <v>243.48444317791447</v>
      </c>
      <c r="BA788" s="575">
        <f>MIN(AY788)</f>
        <v>243.61660368138959</v>
      </c>
      <c r="BB788" s="575">
        <f>LN(AZ788)</f>
        <v>5.4950530520953063</v>
      </c>
      <c r="BC788" s="575">
        <f>LN(BA788)</f>
        <v>5.4955956931245966</v>
      </c>
      <c r="BD788" s="576"/>
      <c r="BE788" s="576"/>
    </row>
    <row r="789" spans="1:57" s="573" customFormat="1" x14ac:dyDescent="0.2">
      <c r="A789" s="568" t="s">
        <v>227</v>
      </c>
      <c r="B789" s="568" t="s">
        <v>35</v>
      </c>
      <c r="C789" s="569" t="s">
        <v>281</v>
      </c>
      <c r="D789" s="568" t="s">
        <v>265</v>
      </c>
      <c r="E789" s="570">
        <v>6.4</v>
      </c>
      <c r="F789" s="571">
        <v>7.5316000000000001</v>
      </c>
      <c r="G789" s="572">
        <v>4.3686774941995363</v>
      </c>
      <c r="H789" s="572">
        <v>14.585000000000001</v>
      </c>
      <c r="I789" s="572">
        <v>15.475</v>
      </c>
      <c r="J789" s="572">
        <v>0.2</v>
      </c>
      <c r="K789" s="570"/>
      <c r="L789" s="570">
        <v>5</v>
      </c>
      <c r="M789" s="570" t="s">
        <v>93</v>
      </c>
      <c r="N789" s="570">
        <v>300</v>
      </c>
      <c r="O789" s="573">
        <f t="shared" si="329"/>
        <v>300.2</v>
      </c>
      <c r="P789" s="573" t="s">
        <v>280</v>
      </c>
      <c r="R789" s="574">
        <f t="shared" si="330"/>
        <v>1.8423389498040343</v>
      </c>
      <c r="S789" s="573">
        <v>0.49</v>
      </c>
      <c r="T789" s="573" t="s">
        <v>284</v>
      </c>
      <c r="U789" s="573">
        <v>0.84</v>
      </c>
      <c r="V789" s="573" t="s">
        <v>37</v>
      </c>
      <c r="Y789" s="573">
        <v>0.49</v>
      </c>
      <c r="Z789" s="573" t="s">
        <v>284</v>
      </c>
      <c r="AA789" s="573">
        <v>0.84</v>
      </c>
      <c r="AB789" s="573" t="s">
        <v>37</v>
      </c>
      <c r="AF789" s="575">
        <f t="shared" si="331"/>
        <v>5.7037824746562009</v>
      </c>
      <c r="AG789" s="575">
        <f t="shared" si="332"/>
        <v>5.7044489191993613</v>
      </c>
      <c r="AH789" s="576"/>
      <c r="AI789" s="576"/>
      <c r="AJ789" s="575"/>
      <c r="AK789" s="577">
        <f t="shared" si="333"/>
        <v>552.70168494121026</v>
      </c>
      <c r="AL789" s="577">
        <f t="shared" si="334"/>
        <v>552.90168494121031</v>
      </c>
      <c r="AM789" s="575">
        <f t="shared" si="335"/>
        <v>6.3148184073983664</v>
      </c>
      <c r="AN789" s="575">
        <f t="shared" si="336"/>
        <v>6.3151802008002864</v>
      </c>
      <c r="AO789" s="578"/>
      <c r="AP789" s="578"/>
      <c r="AR789" s="575">
        <f>AK789*((OC/G789)^S789)*((eCEC/I789)^U789)</f>
        <v>286.00465367604278</v>
      </c>
      <c r="AS789" s="575">
        <f>AL789*((OC/G789)^Y789)*((eCEC/I789)^AA789)</f>
        <v>286.10814699313175</v>
      </c>
      <c r="AT789" s="575">
        <f t="shared" si="337"/>
        <v>5.6560080822820265</v>
      </c>
      <c r="AU789" s="575">
        <f t="shared" si="338"/>
        <v>5.6563698756839464</v>
      </c>
      <c r="AV789" s="578"/>
      <c r="AW789" s="578"/>
      <c r="AX789" s="575">
        <f t="shared" ref="AX789:AX790" si="341">GEOMEAN(AR789)</f>
        <v>286.00465367604278</v>
      </c>
      <c r="AY789" s="575">
        <f t="shared" ref="AY789:AY790" si="342">GEOMEAN(AS789)</f>
        <v>286.10814699313175</v>
      </c>
      <c r="AZ789" s="575">
        <f t="shared" ref="AZ789:AZ790" si="343">MIN(AX789)</f>
        <v>286.00465367604278</v>
      </c>
      <c r="BA789" s="575">
        <f t="shared" ref="BA789:BA790" si="344">MIN(AY789)</f>
        <v>286.10814699313175</v>
      </c>
      <c r="BB789" s="575">
        <f t="shared" ref="BB789:BB791" si="345">LN(AZ789)</f>
        <v>5.6560080822820265</v>
      </c>
      <c r="BC789" s="575">
        <f t="shared" ref="BC789:BC791" si="346">LN(BA789)</f>
        <v>5.6563698756839464</v>
      </c>
      <c r="BD789" s="576"/>
      <c r="BE789" s="576"/>
    </row>
    <row r="790" spans="1:57" s="582" customFormat="1" ht="13.5" thickBot="1" x14ac:dyDescent="0.25">
      <c r="A790" s="579" t="s">
        <v>227</v>
      </c>
      <c r="B790" s="579" t="s">
        <v>35</v>
      </c>
      <c r="C790" s="580" t="s">
        <v>282</v>
      </c>
      <c r="D790" s="579" t="s">
        <v>258</v>
      </c>
      <c r="E790" s="581">
        <v>6.57</v>
      </c>
      <c r="F790" s="582" t="s">
        <v>252</v>
      </c>
      <c r="G790" s="583">
        <v>0.1</v>
      </c>
      <c r="H790" s="583">
        <v>1</v>
      </c>
      <c r="I790" s="583">
        <v>1.5</v>
      </c>
      <c r="J790" s="581">
        <v>0.2</v>
      </c>
      <c r="K790" s="581"/>
      <c r="L790" s="581"/>
      <c r="M790" s="581"/>
      <c r="N790" s="581">
        <v>8.5</v>
      </c>
      <c r="O790" s="582">
        <f t="shared" si="329"/>
        <v>8.6999999999999993</v>
      </c>
      <c r="P790" s="582" t="s">
        <v>283</v>
      </c>
      <c r="R790" s="584">
        <f t="shared" si="330"/>
        <v>4.0629533808356095</v>
      </c>
      <c r="S790" s="582">
        <v>0.49</v>
      </c>
      <c r="T790" s="582" t="s">
        <v>284</v>
      </c>
      <c r="U790" s="582">
        <v>0.84</v>
      </c>
      <c r="V790" s="582" t="s">
        <v>37</v>
      </c>
      <c r="Y790" s="582">
        <v>0.49</v>
      </c>
      <c r="Z790" s="582" t="s">
        <v>284</v>
      </c>
      <c r="AA790" s="582">
        <v>0.84</v>
      </c>
      <c r="AB790" s="582" t="s">
        <v>37</v>
      </c>
      <c r="AF790" s="585">
        <f t="shared" si="331"/>
        <v>2.1400661634962708</v>
      </c>
      <c r="AG790" s="585">
        <f t="shared" si="332"/>
        <v>2.1633230256605378</v>
      </c>
      <c r="AH790" s="586"/>
      <c r="AI790" s="586"/>
      <c r="AJ790" s="585"/>
      <c r="AK790" s="587">
        <f t="shared" si="333"/>
        <v>34.535103737102681</v>
      </c>
      <c r="AL790" s="587">
        <f t="shared" si="334"/>
        <v>34.735103737102683</v>
      </c>
      <c r="AM790" s="585">
        <f t="shared" si="335"/>
        <v>3.5419763063616072</v>
      </c>
      <c r="AN790" s="585">
        <f t="shared" si="336"/>
        <v>3.5477508106698989</v>
      </c>
      <c r="AO790" s="588"/>
      <c r="AP790" s="588"/>
      <c r="AR790" s="585">
        <f>AK790*((OC/G790)^S790)*((eCEC/I790)^U790)</f>
        <v>807.76989576691324</v>
      </c>
      <c r="AS790" s="585">
        <f>AL790*((OC/G790)^Y790)*((eCEC/I790)^AA790)</f>
        <v>812.44785997351323</v>
      </c>
      <c r="AT790" s="585">
        <f t="shared" si="337"/>
        <v>6.6942772354961768</v>
      </c>
      <c r="AU790" s="585">
        <f t="shared" si="338"/>
        <v>6.7000517398044686</v>
      </c>
      <c r="AV790" s="588"/>
      <c r="AW790" s="588"/>
      <c r="AX790" s="585">
        <f t="shared" si="341"/>
        <v>807.76989576691324</v>
      </c>
      <c r="AY790" s="585">
        <f t="shared" si="342"/>
        <v>812.44785997351323</v>
      </c>
      <c r="AZ790" s="585">
        <f t="shared" si="343"/>
        <v>807.76989576691324</v>
      </c>
      <c r="BA790" s="585">
        <f t="shared" si="344"/>
        <v>812.44785997351323</v>
      </c>
      <c r="BB790" s="585">
        <f t="shared" si="345"/>
        <v>6.6942772354961768</v>
      </c>
      <c r="BC790" s="585">
        <f t="shared" si="346"/>
        <v>6.7000517398044686</v>
      </c>
      <c r="BD790" s="586"/>
      <c r="BE790" s="586"/>
    </row>
    <row r="791" spans="1:57" s="544" customFormat="1" ht="13.5" thickTop="1" x14ac:dyDescent="0.2">
      <c r="A791" s="541" t="s">
        <v>227</v>
      </c>
      <c r="B791" s="541" t="s">
        <v>49</v>
      </c>
      <c r="C791" s="542" t="s">
        <v>52</v>
      </c>
      <c r="D791" s="541" t="s">
        <v>44</v>
      </c>
      <c r="E791" s="543">
        <v>5.67</v>
      </c>
      <c r="F791" s="544">
        <f xml:space="preserve"> G791*1.724</f>
        <v>1.6033200000000001</v>
      </c>
      <c r="G791" s="543">
        <v>0.93</v>
      </c>
      <c r="H791" s="543">
        <v>5</v>
      </c>
      <c r="I791" s="543">
        <v>3.79</v>
      </c>
      <c r="J791" s="589">
        <v>7.6000000000000003E-7</v>
      </c>
      <c r="K791" s="590">
        <v>1</v>
      </c>
      <c r="L791" s="590">
        <v>56</v>
      </c>
      <c r="M791" s="589" t="s">
        <v>104</v>
      </c>
      <c r="N791" s="543">
        <v>21.03</v>
      </c>
      <c r="O791" s="591">
        <f t="shared" si="329"/>
        <v>21.03000076</v>
      </c>
      <c r="P791" s="592" t="s">
        <v>247</v>
      </c>
      <c r="Q791" s="592"/>
      <c r="R791" s="546">
        <f t="shared" si="330"/>
        <v>2.3368785816526287</v>
      </c>
      <c r="S791" s="544">
        <v>1.51</v>
      </c>
      <c r="T791" s="544" t="s">
        <v>284</v>
      </c>
      <c r="Y791" s="544">
        <v>1.51</v>
      </c>
      <c r="Z791" s="544" t="s">
        <v>284</v>
      </c>
      <c r="AF791" s="547">
        <f t="shared" si="331"/>
        <v>3.0459499897146083</v>
      </c>
      <c r="AG791" s="547">
        <f t="shared" si="332"/>
        <v>3.0459500258534571</v>
      </c>
      <c r="AH791" s="566"/>
      <c r="AI791" s="566"/>
      <c r="AJ791" s="547"/>
      <c r="AK791" s="548">
        <f t="shared" si="333"/>
        <v>49.144556572154784</v>
      </c>
      <c r="AL791" s="548">
        <f t="shared" si="334"/>
        <v>49.144557332154783</v>
      </c>
      <c r="AM791" s="547">
        <f t="shared" si="335"/>
        <v>3.8947660891302882</v>
      </c>
      <c r="AN791" s="547">
        <f t="shared" si="336"/>
        <v>3.8947661045948698</v>
      </c>
      <c r="AO791" s="567"/>
      <c r="AP791" s="567"/>
      <c r="AR791" s="547">
        <f t="shared" ref="AR791:AR819" si="347">AK791*((OC/G791)^S791)</f>
        <v>152.88877590194562</v>
      </c>
      <c r="AS791" s="547">
        <f t="shared" ref="AS791:AS819" si="348">AL791*((OC/G791)^Y791)</f>
        <v>152.88877826630656</v>
      </c>
      <c r="AT791" s="547">
        <f t="shared" si="337"/>
        <v>5.0297107021433591</v>
      </c>
      <c r="AU791" s="547">
        <f t="shared" si="338"/>
        <v>5.0297107176079408</v>
      </c>
      <c r="AV791" s="567"/>
      <c r="AW791" s="567"/>
      <c r="AX791" s="547">
        <f>GEOMEAN(AR791:AR792)</f>
        <v>130.79022204373015</v>
      </c>
      <c r="AY791" s="547">
        <f>GEOMEAN(AS791:AS792)</f>
        <v>130.7902237823665</v>
      </c>
      <c r="AZ791" s="547">
        <f>MIN(AX791:AX792)</f>
        <v>130.79022204373015</v>
      </c>
      <c r="BA791" s="547">
        <f>MIN(AY791:AY792)</f>
        <v>130.7902237823665</v>
      </c>
      <c r="BB791" s="547">
        <f t="shared" si="345"/>
        <v>4.8735946812114488</v>
      </c>
      <c r="BC791" s="547">
        <f t="shared" si="346"/>
        <v>4.8735946945047699</v>
      </c>
      <c r="BD791" s="566"/>
      <c r="BE791" s="566"/>
    </row>
    <row r="792" spans="1:57" s="560" customFormat="1" x14ac:dyDescent="0.2">
      <c r="A792" s="557" t="s">
        <v>227</v>
      </c>
      <c r="B792" s="557" t="s">
        <v>49</v>
      </c>
      <c r="C792" s="558" t="s">
        <v>52</v>
      </c>
      <c r="D792" s="557" t="s">
        <v>44</v>
      </c>
      <c r="E792" s="559">
        <v>5.67</v>
      </c>
      <c r="F792" s="560">
        <f xml:space="preserve"> G792*1.724</f>
        <v>1.6033200000000001</v>
      </c>
      <c r="G792" s="559">
        <v>0.93</v>
      </c>
      <c r="H792" s="559">
        <v>5</v>
      </c>
      <c r="I792" s="559">
        <v>3.79</v>
      </c>
      <c r="J792" s="593">
        <v>3.9999999999999998E-7</v>
      </c>
      <c r="K792" s="594">
        <v>1</v>
      </c>
      <c r="L792" s="594">
        <v>56</v>
      </c>
      <c r="M792" s="593" t="s">
        <v>104</v>
      </c>
      <c r="N792" s="559">
        <v>15.39</v>
      </c>
      <c r="O792" s="595">
        <f t="shared" si="329"/>
        <v>15.3900004</v>
      </c>
      <c r="P792" s="596" t="s">
        <v>247</v>
      </c>
      <c r="Q792" s="596"/>
      <c r="R792" s="561">
        <f t="shared" si="330"/>
        <v>2.3368785816526287</v>
      </c>
      <c r="S792" s="560">
        <v>1.51</v>
      </c>
      <c r="T792" s="560" t="s">
        <v>284</v>
      </c>
      <c r="Y792" s="560">
        <v>1.51</v>
      </c>
      <c r="Z792" s="560" t="s">
        <v>284</v>
      </c>
      <c r="AF792" s="562">
        <f t="shared" si="331"/>
        <v>2.733717947850788</v>
      </c>
      <c r="AG792" s="562">
        <f t="shared" si="332"/>
        <v>2.7337179738416908</v>
      </c>
      <c r="AH792" s="563"/>
      <c r="AI792" s="563"/>
      <c r="AJ792" s="562"/>
      <c r="AK792" s="564">
        <f t="shared" si="333"/>
        <v>35.964561371633955</v>
      </c>
      <c r="AL792" s="564">
        <f t="shared" si="334"/>
        <v>35.964561771633953</v>
      </c>
      <c r="AM792" s="562">
        <f t="shared" si="335"/>
        <v>3.5825340472664675</v>
      </c>
      <c r="AN792" s="562">
        <f t="shared" si="336"/>
        <v>3.5825340583885272</v>
      </c>
      <c r="AO792" s="565"/>
      <c r="AP792" s="565"/>
      <c r="AR792" s="562">
        <f t="shared" si="347"/>
        <v>111.88579463295022</v>
      </c>
      <c r="AS792" s="562">
        <f t="shared" si="348"/>
        <v>111.8857958773507</v>
      </c>
      <c r="AT792" s="562">
        <f t="shared" si="337"/>
        <v>4.7174786602795393</v>
      </c>
      <c r="AU792" s="562">
        <f t="shared" si="338"/>
        <v>4.7174786714015982</v>
      </c>
      <c r="AV792" s="565"/>
      <c r="AW792" s="565"/>
      <c r="AX792" s="562"/>
      <c r="AY792" s="562"/>
      <c r="AZ792" s="562"/>
      <c r="BA792" s="562"/>
      <c r="BB792" s="562"/>
      <c r="BC792" s="562"/>
      <c r="BD792" s="563"/>
      <c r="BE792" s="563"/>
    </row>
    <row r="793" spans="1:57" s="544" customFormat="1" x14ac:dyDescent="0.2">
      <c r="A793" s="541" t="s">
        <v>227</v>
      </c>
      <c r="B793" s="541" t="s">
        <v>49</v>
      </c>
      <c r="C793" s="542" t="s">
        <v>53</v>
      </c>
      <c r="D793" s="541" t="s">
        <v>51</v>
      </c>
      <c r="E793" s="543">
        <v>7.1</v>
      </c>
      <c r="F793" s="544">
        <f>G793*1.724</f>
        <v>3.2755999999999998</v>
      </c>
      <c r="G793" s="543">
        <v>1.9</v>
      </c>
      <c r="H793" s="543">
        <v>30</v>
      </c>
      <c r="I793" s="597">
        <v>27</v>
      </c>
      <c r="J793" s="543">
        <v>0.02</v>
      </c>
      <c r="K793" s="543">
        <v>7</v>
      </c>
      <c r="L793" s="543">
        <v>28</v>
      </c>
      <c r="M793" s="543" t="s">
        <v>104</v>
      </c>
      <c r="N793" s="543">
        <v>74</v>
      </c>
      <c r="O793" s="591">
        <f t="shared" si="329"/>
        <v>74.02</v>
      </c>
      <c r="P793" s="544" t="s">
        <v>248</v>
      </c>
      <c r="R793" s="546">
        <f t="shared" si="330"/>
        <v>3.2801435493616093</v>
      </c>
      <c r="S793" s="544">
        <v>1.51</v>
      </c>
      <c r="T793" s="544" t="s">
        <v>284</v>
      </c>
      <c r="Y793" s="544">
        <v>1.51</v>
      </c>
      <c r="Z793" s="544" t="s">
        <v>284</v>
      </c>
      <c r="AF793" s="547">
        <f t="shared" si="331"/>
        <v>4.3040650932041702</v>
      </c>
      <c r="AG793" s="547">
        <f t="shared" si="332"/>
        <v>4.30433532695801</v>
      </c>
      <c r="AH793" s="566"/>
      <c r="AI793" s="566"/>
      <c r="AJ793" s="547"/>
      <c r="AK793" s="548">
        <f t="shared" si="333"/>
        <v>242.73062265275908</v>
      </c>
      <c r="AL793" s="548">
        <f t="shared" si="334"/>
        <v>242.75062265275909</v>
      </c>
      <c r="AM793" s="547">
        <f t="shared" si="335"/>
        <v>5.491952279691831</v>
      </c>
      <c r="AN793" s="547">
        <f t="shared" si="336"/>
        <v>5.4920346721640625</v>
      </c>
      <c r="AO793" s="567"/>
      <c r="AP793" s="567"/>
      <c r="AR793" s="547">
        <f t="shared" si="347"/>
        <v>256.75331969505891</v>
      </c>
      <c r="AS793" s="547">
        <f t="shared" si="348"/>
        <v>256.77447510733356</v>
      </c>
      <c r="AT793" s="547">
        <f t="shared" si="337"/>
        <v>5.548115778403985</v>
      </c>
      <c r="AU793" s="547">
        <f t="shared" si="338"/>
        <v>5.5481981708762165</v>
      </c>
      <c r="AV793" s="567"/>
      <c r="AW793" s="567"/>
      <c r="AX793" s="547">
        <f>GEOMEAN(AR793:AR798)</f>
        <v>39.964914961903354</v>
      </c>
      <c r="AY793" s="547">
        <f>GEOMEAN(AS793:AS798)</f>
        <v>40.014100995717747</v>
      </c>
      <c r="AZ793" s="547">
        <f>MIN(AX793:AX816)</f>
        <v>17.985476233125436</v>
      </c>
      <c r="BA793" s="547">
        <f>MIN(AY793:AY816)</f>
        <v>18.127030767078047</v>
      </c>
      <c r="BB793" s="547">
        <f t="shared" ref="BB793" si="349">LN(AZ793)</f>
        <v>2.8895645562590886</v>
      </c>
      <c r="BC793" s="547">
        <f t="shared" ref="BC793" si="350">LN(BA793)</f>
        <v>2.8974042367860138</v>
      </c>
      <c r="BD793" s="566"/>
      <c r="BE793" s="566"/>
    </row>
    <row r="794" spans="1:57" s="545" customFormat="1" x14ac:dyDescent="0.2">
      <c r="A794" s="549" t="s">
        <v>227</v>
      </c>
      <c r="B794" s="549" t="s">
        <v>49</v>
      </c>
      <c r="C794" s="550" t="s">
        <v>53</v>
      </c>
      <c r="D794" s="549" t="s">
        <v>51</v>
      </c>
      <c r="E794" s="551">
        <v>4.5999999999999996</v>
      </c>
      <c r="F794" s="545">
        <f>G794*1.724</f>
        <v>3.2755999999999998</v>
      </c>
      <c r="G794" s="551">
        <v>1.9</v>
      </c>
      <c r="H794" s="551">
        <v>2.5</v>
      </c>
      <c r="I794" s="598">
        <v>6.4</v>
      </c>
      <c r="J794" s="551">
        <v>0.02</v>
      </c>
      <c r="K794" s="543">
        <v>7</v>
      </c>
      <c r="L794" s="543">
        <v>28</v>
      </c>
      <c r="M794" s="543" t="s">
        <v>104</v>
      </c>
      <c r="N794" s="551">
        <v>12</v>
      </c>
      <c r="O794" s="599">
        <f t="shared" si="329"/>
        <v>12.02</v>
      </c>
      <c r="P794" s="544" t="s">
        <v>248</v>
      </c>
      <c r="Q794" s="544"/>
      <c r="R794" s="552">
        <f t="shared" si="330"/>
        <v>2.5219053467258976</v>
      </c>
      <c r="S794" s="545">
        <v>1.51</v>
      </c>
      <c r="T794" s="545" t="s">
        <v>284</v>
      </c>
      <c r="Y794" s="545">
        <v>1.51</v>
      </c>
      <c r="Z794" s="545" t="s">
        <v>284</v>
      </c>
      <c r="AF794" s="553">
        <f t="shared" si="331"/>
        <v>2.4849066497880004</v>
      </c>
      <c r="AG794" s="553">
        <f t="shared" si="332"/>
        <v>2.4865719291070616</v>
      </c>
      <c r="AH794" s="554"/>
      <c r="AI794" s="554"/>
      <c r="AJ794" s="553"/>
      <c r="AK794" s="555">
        <f t="shared" si="333"/>
        <v>30.26286416071077</v>
      </c>
      <c r="AL794" s="555">
        <f t="shared" si="334"/>
        <v>30.282864160710769</v>
      </c>
      <c r="AM794" s="553">
        <f t="shared" si="335"/>
        <v>3.4099213555899017</v>
      </c>
      <c r="AN794" s="553">
        <f t="shared" si="336"/>
        <v>3.4105820132872133</v>
      </c>
      <c r="AO794" s="556"/>
      <c r="AP794" s="556"/>
      <c r="AR794" s="553">
        <f t="shared" si="347"/>
        <v>32.011168396575577</v>
      </c>
      <c r="AS794" s="553">
        <f t="shared" si="348"/>
        <v>32.032323808850222</v>
      </c>
      <c r="AT794" s="553">
        <f t="shared" si="337"/>
        <v>3.4660848543020553</v>
      </c>
      <c r="AU794" s="553">
        <f t="shared" si="338"/>
        <v>3.4667455119993673</v>
      </c>
      <c r="AV794" s="556"/>
      <c r="AW794" s="556"/>
      <c r="AX794" s="553"/>
      <c r="AY794" s="553"/>
      <c r="AZ794" s="553"/>
      <c r="BA794" s="553"/>
      <c r="BB794" s="553"/>
      <c r="BC794" s="553"/>
      <c r="BD794" s="554"/>
      <c r="BE794" s="554"/>
    </row>
    <row r="795" spans="1:57" s="545" customFormat="1" x14ac:dyDescent="0.2">
      <c r="A795" s="549" t="s">
        <v>227</v>
      </c>
      <c r="B795" s="549" t="s">
        <v>49</v>
      </c>
      <c r="C795" s="550" t="s">
        <v>53</v>
      </c>
      <c r="D795" s="549" t="s">
        <v>51</v>
      </c>
      <c r="E795" s="551">
        <v>5.0999999999999996</v>
      </c>
      <c r="F795" s="545">
        <f>G795*1.724</f>
        <v>11.8956</v>
      </c>
      <c r="G795" s="551">
        <v>6.9</v>
      </c>
      <c r="H795" s="551">
        <v>14</v>
      </c>
      <c r="I795" s="598">
        <v>12</v>
      </c>
      <c r="J795" s="551">
        <v>0.02</v>
      </c>
      <c r="K795" s="543">
        <v>7</v>
      </c>
      <c r="L795" s="543">
        <v>28</v>
      </c>
      <c r="M795" s="543" t="s">
        <v>104</v>
      </c>
      <c r="N795" s="551">
        <v>62</v>
      </c>
      <c r="O795" s="599">
        <f t="shared" si="329"/>
        <v>62.02</v>
      </c>
      <c r="P795" s="541" t="s">
        <v>248</v>
      </c>
      <c r="Q795" s="541"/>
      <c r="R795" s="552">
        <f t="shared" si="330"/>
        <v>1.6070680455632902</v>
      </c>
      <c r="S795" s="545">
        <v>1.51</v>
      </c>
      <c r="T795" s="545" t="s">
        <v>284</v>
      </c>
      <c r="Y795" s="545">
        <v>1.51</v>
      </c>
      <c r="Z795" s="545" t="s">
        <v>284</v>
      </c>
      <c r="AF795" s="553">
        <f t="shared" si="331"/>
        <v>4.1271343850450917</v>
      </c>
      <c r="AG795" s="553">
        <f t="shared" si="332"/>
        <v>4.1274569136723027</v>
      </c>
      <c r="AH795" s="554"/>
      <c r="AI795" s="554"/>
      <c r="AJ795" s="553"/>
      <c r="AK795" s="555">
        <f t="shared" si="333"/>
        <v>99.638218824923996</v>
      </c>
      <c r="AL795" s="555">
        <f t="shared" si="334"/>
        <v>99.658218824923992</v>
      </c>
      <c r="AM795" s="553">
        <f t="shared" si="335"/>
        <v>4.6015458141294632</v>
      </c>
      <c r="AN795" s="553">
        <f t="shared" si="336"/>
        <v>4.6017465201762242</v>
      </c>
      <c r="AO795" s="556"/>
      <c r="AP795" s="556"/>
      <c r="AR795" s="553">
        <f t="shared" si="347"/>
        <v>15.033955599939926</v>
      </c>
      <c r="AS795" s="553">
        <f t="shared" si="348"/>
        <v>15.036973308561624</v>
      </c>
      <c r="AT795" s="553">
        <f t="shared" si="337"/>
        <v>2.71031134944108</v>
      </c>
      <c r="AU795" s="553">
        <f t="shared" si="338"/>
        <v>2.710512055487841</v>
      </c>
      <c r="AV795" s="556"/>
      <c r="AW795" s="556"/>
      <c r="AX795" s="553"/>
      <c r="AY795" s="553"/>
      <c r="AZ795" s="553"/>
      <c r="BA795" s="553"/>
      <c r="BB795" s="553"/>
      <c r="BC795" s="553"/>
      <c r="BD795" s="554"/>
      <c r="BE795" s="554"/>
    </row>
    <row r="796" spans="1:57" s="545" customFormat="1" x14ac:dyDescent="0.2">
      <c r="A796" s="549" t="s">
        <v>227</v>
      </c>
      <c r="B796" s="549" t="s">
        <v>49</v>
      </c>
      <c r="C796" s="550" t="s">
        <v>53</v>
      </c>
      <c r="D796" s="549" t="s">
        <v>51</v>
      </c>
      <c r="E796" s="551">
        <v>5</v>
      </c>
      <c r="F796" s="545">
        <f>G796*1.724</f>
        <v>9.1372</v>
      </c>
      <c r="G796" s="551">
        <v>5.3</v>
      </c>
      <c r="H796" s="551">
        <v>42</v>
      </c>
      <c r="I796" s="598">
        <v>25</v>
      </c>
      <c r="J796" s="551">
        <v>0.02</v>
      </c>
      <c r="K796" s="543">
        <v>7</v>
      </c>
      <c r="L796" s="543">
        <v>28</v>
      </c>
      <c r="M796" s="543" t="s">
        <v>104</v>
      </c>
      <c r="N796" s="545">
        <v>82.98</v>
      </c>
      <c r="O796" s="552">
        <f t="shared" si="329"/>
        <v>83</v>
      </c>
      <c r="P796" s="544" t="s">
        <v>248</v>
      </c>
      <c r="Q796" s="544"/>
      <c r="R796" s="552">
        <f t="shared" si="330"/>
        <v>2.617351588015056</v>
      </c>
      <c r="S796" s="545">
        <v>1.51</v>
      </c>
      <c r="T796" s="545" t="s">
        <v>284</v>
      </c>
      <c r="Y796" s="545">
        <v>1.51</v>
      </c>
      <c r="Z796" s="545" t="s">
        <v>284</v>
      </c>
      <c r="AF796" s="553">
        <f t="shared" si="331"/>
        <v>4.4185996149047222</v>
      </c>
      <c r="AG796" s="553">
        <f t="shared" si="332"/>
        <v>4.4188406077965983</v>
      </c>
      <c r="AH796" s="554"/>
      <c r="AI796" s="554"/>
      <c r="AJ796" s="553"/>
      <c r="AK796" s="555">
        <f t="shared" si="333"/>
        <v>217.18783477348936</v>
      </c>
      <c r="AL796" s="555">
        <f t="shared" si="334"/>
        <v>217.20783477348937</v>
      </c>
      <c r="AM796" s="553">
        <f t="shared" si="335"/>
        <v>5.3807625771610397</v>
      </c>
      <c r="AN796" s="553">
        <f t="shared" si="336"/>
        <v>5.3808546591103603</v>
      </c>
      <c r="AO796" s="556"/>
      <c r="AP796" s="556"/>
      <c r="AR796" s="553">
        <f t="shared" si="347"/>
        <v>48.807702813935222</v>
      </c>
      <c r="AS796" s="553">
        <f t="shared" si="348"/>
        <v>48.812197329280878</v>
      </c>
      <c r="AT796" s="553">
        <f t="shared" si="337"/>
        <v>3.8878881449508147</v>
      </c>
      <c r="AU796" s="553">
        <f t="shared" si="338"/>
        <v>3.8879802269001349</v>
      </c>
      <c r="AV796" s="556"/>
      <c r="AW796" s="556"/>
      <c r="AX796" s="553"/>
      <c r="AY796" s="553"/>
      <c r="AZ796" s="553"/>
      <c r="BA796" s="553"/>
      <c r="BB796" s="553"/>
      <c r="BC796" s="553"/>
      <c r="BD796" s="554"/>
      <c r="BE796" s="554"/>
    </row>
    <row r="797" spans="1:57" s="545" customFormat="1" x14ac:dyDescent="0.2">
      <c r="A797" s="549" t="s">
        <v>227</v>
      </c>
      <c r="B797" s="549" t="s">
        <v>49</v>
      </c>
      <c r="C797" s="550" t="s">
        <v>53</v>
      </c>
      <c r="D797" s="549" t="s">
        <v>249</v>
      </c>
      <c r="E797" s="551">
        <v>7.2</v>
      </c>
      <c r="F797" s="545">
        <f xml:space="preserve"> G797*1.724</f>
        <v>7.4131999999999998</v>
      </c>
      <c r="G797" s="551">
        <v>4.3</v>
      </c>
      <c r="H797" s="551">
        <v>15</v>
      </c>
      <c r="I797" s="598">
        <v>16.5</v>
      </c>
      <c r="J797" s="551">
        <v>0.2</v>
      </c>
      <c r="K797" s="551"/>
      <c r="L797" s="551">
        <v>56</v>
      </c>
      <c r="M797" s="551" t="s">
        <v>104</v>
      </c>
      <c r="N797" s="545">
        <v>22</v>
      </c>
      <c r="O797" s="552">
        <f t="shared" si="329"/>
        <v>22.2</v>
      </c>
      <c r="P797" s="549" t="s">
        <v>250</v>
      </c>
      <c r="Q797" s="549"/>
      <c r="R797" s="552">
        <f t="shared" si="330"/>
        <v>1.7161786301333066</v>
      </c>
      <c r="S797" s="545">
        <v>1.51</v>
      </c>
      <c r="T797" s="545" t="s">
        <v>284</v>
      </c>
      <c r="Y797" s="545">
        <v>1.51</v>
      </c>
      <c r="Z797" s="545" t="s">
        <v>284</v>
      </c>
      <c r="AF797" s="553">
        <f t="shared" si="331"/>
        <v>3.0910424533583161</v>
      </c>
      <c r="AG797" s="553">
        <f t="shared" si="332"/>
        <v>3.1000922888782338</v>
      </c>
      <c r="AH797" s="554"/>
      <c r="AI797" s="554"/>
      <c r="AJ797" s="553"/>
      <c r="AK797" s="555">
        <f t="shared" si="333"/>
        <v>37.755929862932746</v>
      </c>
      <c r="AL797" s="555">
        <f t="shared" si="334"/>
        <v>37.955929862932749</v>
      </c>
      <c r="AM797" s="553">
        <f t="shared" si="335"/>
        <v>3.6311425458206701</v>
      </c>
      <c r="AN797" s="553">
        <f t="shared" si="336"/>
        <v>3.6364257462578906</v>
      </c>
      <c r="AO797" s="556"/>
      <c r="AP797" s="556"/>
      <c r="AR797" s="553">
        <f t="shared" si="347"/>
        <v>11.634754872011356</v>
      </c>
      <c r="AS797" s="553">
        <f t="shared" si="348"/>
        <v>11.696386276213291</v>
      </c>
      <c r="AT797" s="553">
        <f t="shared" si="337"/>
        <v>2.45399672837687</v>
      </c>
      <c r="AU797" s="553">
        <f t="shared" si="338"/>
        <v>2.4592799288140901</v>
      </c>
      <c r="AV797" s="556"/>
      <c r="AW797" s="556"/>
      <c r="AX797" s="553"/>
      <c r="AY797" s="553"/>
      <c r="AZ797" s="553"/>
      <c r="BA797" s="553"/>
      <c r="BB797" s="553"/>
      <c r="BC797" s="553"/>
      <c r="BD797" s="554"/>
      <c r="BE797" s="554"/>
    </row>
    <row r="798" spans="1:57" s="545" customFormat="1" x14ac:dyDescent="0.2">
      <c r="A798" s="549" t="s">
        <v>227</v>
      </c>
      <c r="B798" s="549" t="s">
        <v>49</v>
      </c>
      <c r="C798" s="550" t="s">
        <v>53</v>
      </c>
      <c r="D798" s="549" t="s">
        <v>251</v>
      </c>
      <c r="E798" s="551">
        <v>7.2</v>
      </c>
      <c r="F798" s="545">
        <f xml:space="preserve"> G798*1.724</f>
        <v>7.4131999999999998</v>
      </c>
      <c r="G798" s="551">
        <v>4.3</v>
      </c>
      <c r="H798" s="551">
        <v>15</v>
      </c>
      <c r="I798" s="598">
        <v>16.5</v>
      </c>
      <c r="J798" s="551">
        <v>0.2</v>
      </c>
      <c r="K798" s="551"/>
      <c r="L798" s="551">
        <v>56</v>
      </c>
      <c r="M798" s="551" t="s">
        <v>104</v>
      </c>
      <c r="N798" s="545">
        <v>109.8</v>
      </c>
      <c r="O798" s="552">
        <f t="shared" si="329"/>
        <v>110</v>
      </c>
      <c r="P798" s="549" t="s">
        <v>250</v>
      </c>
      <c r="Q798" s="549"/>
      <c r="R798" s="552">
        <f t="shared" si="330"/>
        <v>1.7161786301333066</v>
      </c>
      <c r="S798" s="545">
        <v>1.51</v>
      </c>
      <c r="T798" s="545" t="s">
        <v>284</v>
      </c>
      <c r="Y798" s="545">
        <v>1.51</v>
      </c>
      <c r="Z798" s="545" t="s">
        <v>284</v>
      </c>
      <c r="AF798" s="553">
        <f t="shared" si="331"/>
        <v>4.69866052907543</v>
      </c>
      <c r="AG798" s="553">
        <f t="shared" si="332"/>
        <v>4.7004803657924166</v>
      </c>
      <c r="AH798" s="554"/>
      <c r="AI798" s="554"/>
      <c r="AJ798" s="553"/>
      <c r="AK798" s="555">
        <f t="shared" si="333"/>
        <v>188.43641358863707</v>
      </c>
      <c r="AL798" s="555">
        <f t="shared" si="334"/>
        <v>188.63641358863705</v>
      </c>
      <c r="AM798" s="553">
        <f t="shared" si="335"/>
        <v>5.2387606215377849</v>
      </c>
      <c r="AN798" s="553">
        <f t="shared" si="336"/>
        <v>5.2398214246736252</v>
      </c>
      <c r="AO798" s="556"/>
      <c r="AP798" s="556"/>
      <c r="AR798" s="553">
        <f t="shared" si="347"/>
        <v>58.068003861220312</v>
      </c>
      <c r="AS798" s="553">
        <f t="shared" si="348"/>
        <v>58.129635265422245</v>
      </c>
      <c r="AT798" s="553">
        <f t="shared" si="337"/>
        <v>4.0616148040939839</v>
      </c>
      <c r="AU798" s="553">
        <f t="shared" si="338"/>
        <v>4.0626756072298251</v>
      </c>
      <c r="AV798" s="556"/>
      <c r="AW798" s="556"/>
      <c r="AX798" s="553"/>
      <c r="AY798" s="553"/>
      <c r="AZ798" s="553"/>
      <c r="BA798" s="553"/>
      <c r="BB798" s="553"/>
      <c r="BC798" s="553"/>
      <c r="BD798" s="554"/>
      <c r="BE798" s="554"/>
    </row>
    <row r="799" spans="1:57" s="603" customFormat="1" x14ac:dyDescent="0.2">
      <c r="A799" s="600" t="s">
        <v>227</v>
      </c>
      <c r="B799" s="600" t="s">
        <v>49</v>
      </c>
      <c r="C799" s="601" t="s">
        <v>53</v>
      </c>
      <c r="D799" s="600" t="s">
        <v>44</v>
      </c>
      <c r="E799" s="602">
        <v>6.23</v>
      </c>
      <c r="F799" s="602">
        <v>7.65</v>
      </c>
      <c r="G799" s="603">
        <f xml:space="preserve"> F799/1.724</f>
        <v>4.4373549883990719</v>
      </c>
      <c r="H799" s="602">
        <v>14.17</v>
      </c>
      <c r="I799" s="604">
        <v>14.45</v>
      </c>
      <c r="J799" s="605">
        <v>0.2</v>
      </c>
      <c r="K799" s="602"/>
      <c r="L799" s="602">
        <v>28</v>
      </c>
      <c r="M799" s="602" t="s">
        <v>93</v>
      </c>
      <c r="N799" s="602">
        <v>8.3800000000000008</v>
      </c>
      <c r="O799" s="606">
        <f t="shared" si="329"/>
        <v>8.58</v>
      </c>
      <c r="P799" s="603" t="s">
        <v>253</v>
      </c>
      <c r="R799" s="607">
        <f t="shared" si="330"/>
        <v>1.8157168333671294</v>
      </c>
      <c r="S799" s="603">
        <v>1.51</v>
      </c>
      <c r="T799" s="603" t="s">
        <v>284</v>
      </c>
      <c r="Y799" s="603">
        <v>1.51</v>
      </c>
      <c r="Z799" s="603" t="s">
        <v>284</v>
      </c>
      <c r="AF799" s="608">
        <f t="shared" si="331"/>
        <v>2.1258479144939919</v>
      </c>
      <c r="AG799" s="608">
        <f t="shared" si="332"/>
        <v>2.149433913499871</v>
      </c>
      <c r="AH799" s="609"/>
      <c r="AI799" s="609"/>
      <c r="AJ799" s="608"/>
      <c r="AK799" s="610">
        <f t="shared" si="333"/>
        <v>15.215707063616545</v>
      </c>
      <c r="AL799" s="610">
        <f t="shared" si="334"/>
        <v>15.415707063616544</v>
      </c>
      <c r="AM799" s="608">
        <f t="shared" si="335"/>
        <v>2.7223282537523459</v>
      </c>
      <c r="AN799" s="608">
        <f t="shared" si="336"/>
        <v>2.7353869288308839</v>
      </c>
      <c r="AO799" s="611"/>
      <c r="AP799" s="611"/>
      <c r="AR799" s="608">
        <f t="shared" si="347"/>
        <v>4.4714056506879682</v>
      </c>
      <c r="AS799" s="608">
        <f t="shared" si="348"/>
        <v>4.5301792013615332</v>
      </c>
      <c r="AT799" s="608">
        <f t="shared" si="337"/>
        <v>1.4977028224334317</v>
      </c>
      <c r="AU799" s="608">
        <f t="shared" si="338"/>
        <v>1.5107614975119694</v>
      </c>
      <c r="AV799" s="611"/>
      <c r="AW799" s="611"/>
      <c r="AX799" s="547">
        <f>GEOMEAN(AR799:AR807)</f>
        <v>17.985476233125436</v>
      </c>
      <c r="AY799" s="547">
        <f>GEOMEAN(AS799:AS807)</f>
        <v>18.127030767078047</v>
      </c>
      <c r="AZ799" s="608"/>
      <c r="BA799" s="608"/>
      <c r="BB799" s="608"/>
      <c r="BC799" s="608"/>
      <c r="BD799" s="609"/>
      <c r="BE799" s="609"/>
    </row>
    <row r="800" spans="1:57" s="545" customFormat="1" x14ac:dyDescent="0.2">
      <c r="A800" s="549" t="s">
        <v>227</v>
      </c>
      <c r="B800" s="549" t="s">
        <v>49</v>
      </c>
      <c r="C800" s="550" t="s">
        <v>53</v>
      </c>
      <c r="D800" s="549" t="s">
        <v>44</v>
      </c>
      <c r="E800" s="551">
        <v>7.1</v>
      </c>
      <c r="F800" s="545">
        <f>G800*1.724</f>
        <v>3.2755999999999998</v>
      </c>
      <c r="G800" s="551">
        <v>1.9</v>
      </c>
      <c r="H800" s="551">
        <v>30</v>
      </c>
      <c r="I800" s="598">
        <v>27</v>
      </c>
      <c r="J800" s="551">
        <v>0.02</v>
      </c>
      <c r="K800" s="543">
        <v>7</v>
      </c>
      <c r="L800" s="543">
        <v>70</v>
      </c>
      <c r="M800" s="543" t="s">
        <v>104</v>
      </c>
      <c r="N800" s="551">
        <v>64</v>
      </c>
      <c r="O800" s="599">
        <f t="shared" si="329"/>
        <v>64.02</v>
      </c>
      <c r="P800" s="544" t="s">
        <v>248</v>
      </c>
      <c r="Q800" s="544"/>
      <c r="R800" s="552">
        <f t="shared" si="330"/>
        <v>3.2801435493616093</v>
      </c>
      <c r="S800" s="545">
        <v>1.51</v>
      </c>
      <c r="T800" s="545" t="s">
        <v>284</v>
      </c>
      <c r="Y800" s="545">
        <v>1.51</v>
      </c>
      <c r="Z800" s="545" t="s">
        <v>284</v>
      </c>
      <c r="AF800" s="553">
        <f t="shared" si="331"/>
        <v>4.1588830833596715</v>
      </c>
      <c r="AG800" s="553">
        <f t="shared" si="332"/>
        <v>4.1591955345417171</v>
      </c>
      <c r="AH800" s="554"/>
      <c r="AI800" s="554"/>
      <c r="AJ800" s="553"/>
      <c r="AK800" s="555">
        <f t="shared" si="333"/>
        <v>209.929187159143</v>
      </c>
      <c r="AL800" s="555">
        <f t="shared" si="334"/>
        <v>209.94918715914301</v>
      </c>
      <c r="AM800" s="553">
        <f t="shared" si="335"/>
        <v>5.3467702698473332</v>
      </c>
      <c r="AN800" s="553">
        <f t="shared" si="336"/>
        <v>5.346865535530152</v>
      </c>
      <c r="AO800" s="556"/>
      <c r="AP800" s="556"/>
      <c r="AR800" s="553">
        <f t="shared" si="347"/>
        <v>222.05692514167259</v>
      </c>
      <c r="AS800" s="553">
        <f t="shared" si="348"/>
        <v>222.07808055394725</v>
      </c>
      <c r="AT800" s="553">
        <f t="shared" si="337"/>
        <v>5.4029337685594871</v>
      </c>
      <c r="AU800" s="553">
        <f t="shared" si="338"/>
        <v>5.403029034242306</v>
      </c>
      <c r="AV800" s="556"/>
      <c r="AW800" s="556"/>
      <c r="AX800" s="553"/>
      <c r="AY800" s="553"/>
      <c r="AZ800" s="553"/>
      <c r="BA800" s="553"/>
      <c r="BB800" s="553"/>
      <c r="BC800" s="553"/>
      <c r="BD800" s="554"/>
      <c r="BE800" s="554"/>
    </row>
    <row r="801" spans="1:57" s="545" customFormat="1" x14ac:dyDescent="0.2">
      <c r="A801" s="549" t="s">
        <v>227</v>
      </c>
      <c r="B801" s="549" t="s">
        <v>49</v>
      </c>
      <c r="C801" s="550" t="s">
        <v>53</v>
      </c>
      <c r="D801" s="549" t="s">
        <v>44</v>
      </c>
      <c r="E801" s="551">
        <v>5</v>
      </c>
      <c r="F801" s="545">
        <f>G801*1.724</f>
        <v>9.1372</v>
      </c>
      <c r="G801" s="551">
        <v>5.3</v>
      </c>
      <c r="H801" s="551">
        <v>42</v>
      </c>
      <c r="I801" s="598">
        <v>25</v>
      </c>
      <c r="J801" s="551">
        <v>0.02</v>
      </c>
      <c r="K801" s="543">
        <v>7</v>
      </c>
      <c r="L801" s="543">
        <v>70</v>
      </c>
      <c r="M801" s="543" t="s">
        <v>104</v>
      </c>
      <c r="N801" s="545">
        <v>66.98</v>
      </c>
      <c r="O801" s="552">
        <f t="shared" si="329"/>
        <v>67</v>
      </c>
      <c r="P801" s="544" t="s">
        <v>248</v>
      </c>
      <c r="Q801" s="544"/>
      <c r="R801" s="552">
        <f t="shared" si="330"/>
        <v>2.617351588015056</v>
      </c>
      <c r="S801" s="545">
        <v>1.51</v>
      </c>
      <c r="T801" s="545" t="s">
        <v>284</v>
      </c>
      <c r="Y801" s="545">
        <v>1.51</v>
      </c>
      <c r="Z801" s="545" t="s">
        <v>284</v>
      </c>
      <c r="AF801" s="553">
        <f t="shared" si="331"/>
        <v>4.2043940673660583</v>
      </c>
      <c r="AG801" s="553">
        <f t="shared" si="332"/>
        <v>4.2046926193909657</v>
      </c>
      <c r="AH801" s="554"/>
      <c r="AI801" s="554"/>
      <c r="AJ801" s="553"/>
      <c r="AK801" s="555">
        <f t="shared" si="333"/>
        <v>175.31020936524845</v>
      </c>
      <c r="AL801" s="555">
        <f t="shared" si="334"/>
        <v>175.33020936524846</v>
      </c>
      <c r="AM801" s="553">
        <f t="shared" si="335"/>
        <v>5.1665570296223766</v>
      </c>
      <c r="AN801" s="553">
        <f t="shared" si="336"/>
        <v>5.1666711066024016</v>
      </c>
      <c r="AO801" s="556"/>
      <c r="AP801" s="556"/>
      <c r="AR801" s="553">
        <f t="shared" si="347"/>
        <v>39.396721312091842</v>
      </c>
      <c r="AS801" s="553">
        <f t="shared" si="348"/>
        <v>39.401215827437497</v>
      </c>
      <c r="AT801" s="553">
        <f t="shared" si="337"/>
        <v>3.6736825974121512</v>
      </c>
      <c r="AU801" s="553">
        <f t="shared" si="338"/>
        <v>3.6737966743921757</v>
      </c>
      <c r="AV801" s="556"/>
      <c r="AW801" s="556"/>
      <c r="AX801" s="553"/>
      <c r="AY801" s="553"/>
      <c r="AZ801" s="553"/>
      <c r="BA801" s="553"/>
      <c r="BB801" s="553"/>
      <c r="BC801" s="553"/>
      <c r="BD801" s="554"/>
      <c r="BE801" s="554"/>
    </row>
    <row r="802" spans="1:57" s="545" customFormat="1" x14ac:dyDescent="0.2">
      <c r="A802" s="549" t="s">
        <v>227</v>
      </c>
      <c r="B802" s="549" t="s">
        <v>49</v>
      </c>
      <c r="C802" s="550" t="s">
        <v>53</v>
      </c>
      <c r="D802" s="549" t="s">
        <v>44</v>
      </c>
      <c r="E802" s="551">
        <v>5.5</v>
      </c>
      <c r="F802" s="545">
        <f>G802*1.724</f>
        <v>1.5516000000000001</v>
      </c>
      <c r="G802" s="551">
        <v>0.9</v>
      </c>
      <c r="H802" s="551">
        <v>60</v>
      </c>
      <c r="I802" s="598">
        <v>13</v>
      </c>
      <c r="J802" s="551">
        <v>0.02</v>
      </c>
      <c r="K802" s="543">
        <v>7</v>
      </c>
      <c r="L802" s="543">
        <v>70</v>
      </c>
      <c r="M802" s="543" t="s">
        <v>104</v>
      </c>
      <c r="N802" s="545">
        <v>5.8800000000000008</v>
      </c>
      <c r="O802" s="552">
        <f t="shared" si="329"/>
        <v>5.9</v>
      </c>
      <c r="P802" s="544" t="s">
        <v>248</v>
      </c>
      <c r="Q802" s="544"/>
      <c r="R802" s="552">
        <f t="shared" si="330"/>
        <v>4.3068427278791388</v>
      </c>
      <c r="S802" s="545">
        <v>1.51</v>
      </c>
      <c r="T802" s="545" t="s">
        <v>284</v>
      </c>
      <c r="Y802" s="545">
        <v>1.51</v>
      </c>
      <c r="Z802" s="545" t="s">
        <v>284</v>
      </c>
      <c r="AF802" s="553">
        <f t="shared" si="331"/>
        <v>1.7715567619105357</v>
      </c>
      <c r="AG802" s="553">
        <f t="shared" si="332"/>
        <v>1.7749523509116738</v>
      </c>
      <c r="AH802" s="554"/>
      <c r="AI802" s="554"/>
      <c r="AJ802" s="553"/>
      <c r="AK802" s="555">
        <f t="shared" si="333"/>
        <v>25.32423523992934</v>
      </c>
      <c r="AL802" s="555">
        <f t="shared" si="334"/>
        <v>25.34423523992934</v>
      </c>
      <c r="AM802" s="553">
        <f t="shared" si="335"/>
        <v>3.2317618518477604</v>
      </c>
      <c r="AN802" s="553">
        <f t="shared" si="336"/>
        <v>3.2325512974674639</v>
      </c>
      <c r="AO802" s="556"/>
      <c r="AP802" s="556"/>
      <c r="AR802" s="553">
        <f t="shared" si="347"/>
        <v>82.782699582842966</v>
      </c>
      <c r="AS802" s="553">
        <f t="shared" si="348"/>
        <v>82.848077825304017</v>
      </c>
      <c r="AT802" s="553">
        <f t="shared" si="337"/>
        <v>4.4162190973235482</v>
      </c>
      <c r="AU802" s="553">
        <f t="shared" si="338"/>
        <v>4.4170085429432513</v>
      </c>
      <c r="AV802" s="556"/>
      <c r="AW802" s="556"/>
      <c r="AX802" s="553"/>
      <c r="AY802" s="553"/>
      <c r="AZ802" s="553"/>
      <c r="BA802" s="553"/>
      <c r="BB802" s="553"/>
      <c r="BC802" s="553"/>
      <c r="BD802" s="554"/>
      <c r="BE802" s="554"/>
    </row>
    <row r="803" spans="1:57" s="545" customFormat="1" x14ac:dyDescent="0.2">
      <c r="A803" s="549" t="s">
        <v>227</v>
      </c>
      <c r="B803" s="549" t="s">
        <v>49</v>
      </c>
      <c r="C803" s="550" t="s">
        <v>53</v>
      </c>
      <c r="D803" s="549" t="s">
        <v>44</v>
      </c>
      <c r="E803" s="551">
        <v>5.96</v>
      </c>
      <c r="F803" s="551">
        <v>4.18</v>
      </c>
      <c r="G803" s="545">
        <f xml:space="preserve"> F803/1.724</f>
        <v>2.4245939675174011</v>
      </c>
      <c r="H803" s="612">
        <v>6.7</v>
      </c>
      <c r="I803" s="598">
        <v>10</v>
      </c>
      <c r="J803" s="612">
        <v>0.01</v>
      </c>
      <c r="K803" s="551"/>
      <c r="L803" s="551">
        <v>14</v>
      </c>
      <c r="M803" s="551" t="s">
        <v>104</v>
      </c>
      <c r="N803" s="551">
        <v>57.3</v>
      </c>
      <c r="O803" s="599">
        <f t="shared" si="329"/>
        <v>57.309999999999995</v>
      </c>
      <c r="P803" s="549" t="s">
        <v>254</v>
      </c>
      <c r="Q803" s="549"/>
      <c r="R803" s="552">
        <f t="shared" si="330"/>
        <v>2.1600008939764139</v>
      </c>
      <c r="S803" s="545">
        <v>1.51</v>
      </c>
      <c r="T803" s="545" t="s">
        <v>284</v>
      </c>
      <c r="Y803" s="545">
        <v>1.51</v>
      </c>
      <c r="Z803" s="545" t="s">
        <v>284</v>
      </c>
      <c r="AF803" s="553">
        <f t="shared" si="331"/>
        <v>4.048300623720694</v>
      </c>
      <c r="AG803" s="553">
        <f t="shared" si="332"/>
        <v>4.0484751285636458</v>
      </c>
      <c r="AH803" s="554"/>
      <c r="AI803" s="554"/>
      <c r="AJ803" s="553"/>
      <c r="AK803" s="555">
        <f t="shared" si="333"/>
        <v>123.76805122484851</v>
      </c>
      <c r="AL803" s="555">
        <f t="shared" si="334"/>
        <v>123.77805122484851</v>
      </c>
      <c r="AM803" s="553">
        <f t="shared" si="335"/>
        <v>4.8184092592946515</v>
      </c>
      <c r="AN803" s="553">
        <f t="shared" si="336"/>
        <v>4.8184900523259815</v>
      </c>
      <c r="AO803" s="556"/>
      <c r="AP803" s="556"/>
      <c r="AR803" s="553">
        <f t="shared" si="347"/>
        <v>90.596843631842475</v>
      </c>
      <c r="AS803" s="553">
        <f t="shared" si="348"/>
        <v>90.604163521162477</v>
      </c>
      <c r="AT803" s="553">
        <f t="shared" si="337"/>
        <v>4.5064193739414238</v>
      </c>
      <c r="AU803" s="553">
        <f t="shared" si="338"/>
        <v>4.5065001669727538</v>
      </c>
      <c r="AV803" s="556"/>
      <c r="AW803" s="556"/>
      <c r="AX803" s="553"/>
      <c r="AY803" s="553"/>
      <c r="AZ803" s="553"/>
      <c r="BA803" s="553"/>
      <c r="BB803" s="553"/>
      <c r="BC803" s="553"/>
      <c r="BD803" s="554"/>
      <c r="BE803" s="554"/>
    </row>
    <row r="804" spans="1:57" s="545" customFormat="1" x14ac:dyDescent="0.2">
      <c r="A804" s="549" t="s">
        <v>227</v>
      </c>
      <c r="B804" s="549" t="s">
        <v>49</v>
      </c>
      <c r="C804" s="550" t="s">
        <v>53</v>
      </c>
      <c r="D804" s="549" t="s">
        <v>44</v>
      </c>
      <c r="E804" s="551">
        <v>7.2</v>
      </c>
      <c r="F804" s="545">
        <f xml:space="preserve"> G804*1.724</f>
        <v>7.4131999999999998</v>
      </c>
      <c r="G804" s="551">
        <v>4.3</v>
      </c>
      <c r="H804" s="551">
        <v>15</v>
      </c>
      <c r="I804" s="598">
        <v>16.5</v>
      </c>
      <c r="J804" s="551">
        <v>0.2</v>
      </c>
      <c r="K804" s="551"/>
      <c r="L804" s="551">
        <v>28</v>
      </c>
      <c r="M804" s="551" t="s">
        <v>104</v>
      </c>
      <c r="N804" s="545">
        <v>14.850000000000001</v>
      </c>
      <c r="O804" s="552">
        <f t="shared" si="329"/>
        <v>15.05</v>
      </c>
      <c r="P804" s="549" t="s">
        <v>250</v>
      </c>
      <c r="Q804" s="549"/>
      <c r="R804" s="552">
        <f t="shared" si="330"/>
        <v>1.7161786301333066</v>
      </c>
      <c r="S804" s="545">
        <v>1.51</v>
      </c>
      <c r="T804" s="545" t="s">
        <v>284</v>
      </c>
      <c r="Y804" s="545">
        <v>1.51</v>
      </c>
      <c r="Z804" s="545" t="s">
        <v>284</v>
      </c>
      <c r="AF804" s="553">
        <f t="shared" si="331"/>
        <v>2.6979998652487089</v>
      </c>
      <c r="AG804" s="553">
        <f t="shared" si="332"/>
        <v>2.711377991194885</v>
      </c>
      <c r="AH804" s="554"/>
      <c r="AI804" s="554"/>
      <c r="AJ804" s="553"/>
      <c r="AK804" s="555">
        <f t="shared" si="333"/>
        <v>25.485252657479606</v>
      </c>
      <c r="AL804" s="555">
        <f t="shared" si="334"/>
        <v>25.685252657479605</v>
      </c>
      <c r="AM804" s="553">
        <f t="shared" si="335"/>
        <v>3.238099957711063</v>
      </c>
      <c r="AN804" s="553">
        <f t="shared" si="336"/>
        <v>3.2459170006424918</v>
      </c>
      <c r="AO804" s="556"/>
      <c r="AP804" s="556"/>
      <c r="AR804" s="553">
        <f t="shared" si="347"/>
        <v>7.853459538607666</v>
      </c>
      <c r="AS804" s="553">
        <f t="shared" si="348"/>
        <v>7.9150909428095995</v>
      </c>
      <c r="AT804" s="553">
        <f t="shared" si="337"/>
        <v>2.0609541402672629</v>
      </c>
      <c r="AU804" s="553">
        <f t="shared" si="338"/>
        <v>2.0687711831986912</v>
      </c>
      <c r="AV804" s="556"/>
      <c r="AW804" s="556"/>
      <c r="AX804" s="553"/>
      <c r="AY804" s="553"/>
      <c r="AZ804" s="553"/>
      <c r="BA804" s="553"/>
      <c r="BB804" s="553"/>
      <c r="BC804" s="553"/>
      <c r="BD804" s="554"/>
      <c r="BE804" s="554"/>
    </row>
    <row r="805" spans="1:57" s="545" customFormat="1" x14ac:dyDescent="0.2">
      <c r="A805" s="549" t="s">
        <v>227</v>
      </c>
      <c r="B805" s="549" t="s">
        <v>49</v>
      </c>
      <c r="C805" s="550" t="s">
        <v>53</v>
      </c>
      <c r="D805" s="549" t="s">
        <v>44</v>
      </c>
      <c r="E805" s="551">
        <v>8</v>
      </c>
      <c r="F805" s="545">
        <f>G805*1.724</f>
        <v>3.1032000000000002</v>
      </c>
      <c r="G805" s="551">
        <v>1.8</v>
      </c>
      <c r="H805" s="551">
        <v>12</v>
      </c>
      <c r="I805" s="598">
        <v>13</v>
      </c>
      <c r="J805" s="551">
        <v>0.02</v>
      </c>
      <c r="K805" s="543">
        <v>7</v>
      </c>
      <c r="L805" s="543">
        <v>70</v>
      </c>
      <c r="M805" s="543" t="s">
        <v>104</v>
      </c>
      <c r="N805" s="551">
        <v>0.2</v>
      </c>
      <c r="O805" s="599">
        <f t="shared" si="329"/>
        <v>0.22</v>
      </c>
      <c r="P805" s="544" t="s">
        <v>248</v>
      </c>
      <c r="Q805" s="544"/>
      <c r="R805" s="552">
        <f t="shared" si="330"/>
        <v>2.1574209985336794</v>
      </c>
      <c r="S805" s="545">
        <v>1.51</v>
      </c>
      <c r="T805" s="545" t="s">
        <v>284</v>
      </c>
      <c r="Y805" s="545">
        <v>1.51</v>
      </c>
      <c r="Z805" s="545" t="s">
        <v>284</v>
      </c>
      <c r="AF805" s="553">
        <f t="shared" si="331"/>
        <v>-1.6094379124341003</v>
      </c>
      <c r="AG805" s="553">
        <f t="shared" si="332"/>
        <v>-1.5141277326297755</v>
      </c>
      <c r="AH805" s="554"/>
      <c r="AI805" s="554"/>
      <c r="AJ805" s="553"/>
      <c r="AK805" s="555">
        <f t="shared" si="333"/>
        <v>0.4314841997067359</v>
      </c>
      <c r="AL805" s="555">
        <f t="shared" si="334"/>
        <v>0.45148419970673592</v>
      </c>
      <c r="AM805" s="553">
        <f t="shared" si="335"/>
        <v>-0.84052438626294612</v>
      </c>
      <c r="AN805" s="553">
        <f t="shared" si="336"/>
        <v>-0.79521490184987442</v>
      </c>
      <c r="AO805" s="556"/>
      <c r="AP805" s="556"/>
      <c r="AR805" s="553">
        <f t="shared" si="347"/>
        <v>0.49523673241575933</v>
      </c>
      <c r="AS805" s="553">
        <f t="shared" si="348"/>
        <v>0.51819176681805512</v>
      </c>
      <c r="AT805" s="553">
        <f t="shared" si="337"/>
        <v>-0.70271938343267604</v>
      </c>
      <c r="AU805" s="553">
        <f t="shared" si="338"/>
        <v>-0.65740989901960434</v>
      </c>
      <c r="AV805" s="556"/>
      <c r="AW805" s="556"/>
      <c r="AX805" s="553"/>
      <c r="AY805" s="553"/>
      <c r="AZ805" s="553"/>
      <c r="BA805" s="553"/>
      <c r="BB805" s="553"/>
      <c r="BC805" s="553"/>
      <c r="BD805" s="554"/>
      <c r="BE805" s="554"/>
    </row>
    <row r="806" spans="1:57" s="545" customFormat="1" x14ac:dyDescent="0.2">
      <c r="A806" s="549" t="s">
        <v>227</v>
      </c>
      <c r="B806" s="549" t="s">
        <v>49</v>
      </c>
      <c r="C806" s="550" t="s">
        <v>53</v>
      </c>
      <c r="D806" s="549" t="s">
        <v>44</v>
      </c>
      <c r="E806" s="551">
        <v>7.7</v>
      </c>
      <c r="F806" s="545">
        <f>G806*1.724</f>
        <v>9.654399999999999</v>
      </c>
      <c r="G806" s="551">
        <v>5.6</v>
      </c>
      <c r="H806" s="551">
        <v>5.3</v>
      </c>
      <c r="I806" s="613">
        <f>(30+4.4*E806)*(H806/100)+(-34.66+29.72*E806)*(F806/100)</f>
        <v>22.132940095999995</v>
      </c>
      <c r="J806" s="551">
        <v>0.02</v>
      </c>
      <c r="K806" s="543">
        <v>7</v>
      </c>
      <c r="L806" s="543">
        <v>70</v>
      </c>
      <c r="M806" s="543" t="s">
        <v>104</v>
      </c>
      <c r="N806" s="551">
        <v>5.5</v>
      </c>
      <c r="O806" s="599">
        <f t="shared" si="329"/>
        <v>5.52</v>
      </c>
      <c r="P806" s="544" t="s">
        <v>248</v>
      </c>
      <c r="Q806" s="544"/>
      <c r="R806" s="552">
        <f t="shared" si="330"/>
        <v>1.6182756868298245</v>
      </c>
      <c r="S806" s="545">
        <v>1.51</v>
      </c>
      <c r="T806" s="545" t="s">
        <v>284</v>
      </c>
      <c r="Y806" s="545">
        <v>1.51</v>
      </c>
      <c r="Z806" s="545" t="s">
        <v>284</v>
      </c>
      <c r="AF806" s="553">
        <f t="shared" si="331"/>
        <v>1.7047480922384253</v>
      </c>
      <c r="AG806" s="553">
        <f t="shared" si="332"/>
        <v>1.7083778602890038</v>
      </c>
      <c r="AH806" s="554"/>
      <c r="AI806" s="554"/>
      <c r="AJ806" s="553"/>
      <c r="AK806" s="555">
        <f t="shared" si="333"/>
        <v>8.9005162775640354</v>
      </c>
      <c r="AL806" s="555">
        <f t="shared" si="334"/>
        <v>8.920516277564035</v>
      </c>
      <c r="AM806" s="553">
        <f t="shared" si="335"/>
        <v>2.1861092837707137</v>
      </c>
      <c r="AN806" s="553">
        <f t="shared" si="336"/>
        <v>2.1883538235676903</v>
      </c>
      <c r="AO806" s="556"/>
      <c r="AP806" s="556"/>
      <c r="AR806" s="553">
        <f t="shared" si="347"/>
        <v>1.8406054897660982</v>
      </c>
      <c r="AS806" s="553">
        <f t="shared" si="348"/>
        <v>1.8447414419566599</v>
      </c>
      <c r="AT806" s="553">
        <f t="shared" si="337"/>
        <v>0.61009458801411753</v>
      </c>
      <c r="AU806" s="553">
        <f t="shared" si="338"/>
        <v>0.61233912781109379</v>
      </c>
      <c r="AV806" s="556"/>
      <c r="AW806" s="556"/>
      <c r="AX806" s="553"/>
      <c r="AY806" s="553"/>
      <c r="AZ806" s="553"/>
      <c r="BA806" s="553"/>
      <c r="BB806" s="553"/>
      <c r="BC806" s="553"/>
      <c r="BD806" s="554"/>
      <c r="BE806" s="554"/>
    </row>
    <row r="807" spans="1:57" s="545" customFormat="1" x14ac:dyDescent="0.2">
      <c r="A807" s="549" t="s">
        <v>227</v>
      </c>
      <c r="B807" s="549" t="s">
        <v>49</v>
      </c>
      <c r="C807" s="550" t="s">
        <v>53</v>
      </c>
      <c r="D807" s="549" t="s">
        <v>44</v>
      </c>
      <c r="E807" s="551">
        <v>6.91</v>
      </c>
      <c r="F807" s="551">
        <v>1.78</v>
      </c>
      <c r="G807" s="545">
        <f xml:space="preserve"> F807/1.724</f>
        <v>1.0324825986078887</v>
      </c>
      <c r="H807" s="612">
        <v>9</v>
      </c>
      <c r="I807" s="613">
        <f>(30+4.4*E807)*(H807/100)+(-34.66+29.72*E807)*(F807/100)</f>
        <v>8.4749125599999999</v>
      </c>
      <c r="J807" s="551">
        <v>3.6999999999999998E-2</v>
      </c>
      <c r="K807" s="551"/>
      <c r="L807" s="551">
        <v>14</v>
      </c>
      <c r="M807" s="551" t="s">
        <v>104</v>
      </c>
      <c r="N807" s="545">
        <v>13.183</v>
      </c>
      <c r="O807" s="552">
        <f t="shared" si="329"/>
        <v>13.22</v>
      </c>
      <c r="P807" s="549" t="s">
        <v>254</v>
      </c>
      <c r="Q807" s="549"/>
      <c r="R807" s="552">
        <f t="shared" si="330"/>
        <v>2.677201317115153</v>
      </c>
      <c r="S807" s="545">
        <v>1.51</v>
      </c>
      <c r="T807" s="545" t="s">
        <v>284</v>
      </c>
      <c r="Y807" s="545">
        <v>1.51</v>
      </c>
      <c r="Z807" s="545" t="s">
        <v>284</v>
      </c>
      <c r="AF807" s="553">
        <f t="shared" si="331"/>
        <v>2.5789281207758328</v>
      </c>
      <c r="AG807" s="553">
        <f t="shared" si="332"/>
        <v>2.5817308344235403</v>
      </c>
      <c r="AH807" s="554"/>
      <c r="AI807" s="554"/>
      <c r="AJ807" s="553"/>
      <c r="AK807" s="555">
        <f t="shared" si="333"/>
        <v>35.293544963529058</v>
      </c>
      <c r="AL807" s="555">
        <f t="shared" si="334"/>
        <v>35.330544963529057</v>
      </c>
      <c r="AM807" s="553">
        <f t="shared" si="335"/>
        <v>3.5637000849949434</v>
      </c>
      <c r="AN807" s="553">
        <f t="shared" si="336"/>
        <v>3.5647478862033801</v>
      </c>
      <c r="AO807" s="556"/>
      <c r="AP807" s="556"/>
      <c r="AR807" s="553">
        <f t="shared" si="347"/>
        <v>93.765220325614422</v>
      </c>
      <c r="AS807" s="553">
        <f t="shared" si="348"/>
        <v>93.863519126588727</v>
      </c>
      <c r="AT807" s="553">
        <f t="shared" si="337"/>
        <v>4.5407940018130493</v>
      </c>
      <c r="AU807" s="553">
        <f t="shared" si="338"/>
        <v>4.5418418030214864</v>
      </c>
      <c r="AV807" s="556"/>
      <c r="AW807" s="556"/>
      <c r="AX807" s="553"/>
      <c r="AY807" s="553"/>
      <c r="AZ807" s="553"/>
      <c r="BA807" s="553"/>
      <c r="BB807" s="553"/>
      <c r="BC807" s="553"/>
      <c r="BD807" s="554"/>
      <c r="BE807" s="554"/>
    </row>
    <row r="808" spans="1:57" s="545" customFormat="1" x14ac:dyDescent="0.2">
      <c r="A808" s="549" t="s">
        <v>227</v>
      </c>
      <c r="B808" s="549" t="s">
        <v>49</v>
      </c>
      <c r="C808" s="550" t="s">
        <v>53</v>
      </c>
      <c r="D808" s="549" t="s">
        <v>255</v>
      </c>
      <c r="E808" s="551">
        <v>7.1</v>
      </c>
      <c r="F808" s="545">
        <f>G808*1.724</f>
        <v>3.2755999999999998</v>
      </c>
      <c r="G808" s="551">
        <v>1.9</v>
      </c>
      <c r="H808" s="551">
        <v>30</v>
      </c>
      <c r="I808" s="598">
        <v>27</v>
      </c>
      <c r="J808" s="551">
        <v>0.02</v>
      </c>
      <c r="K808" s="543">
        <v>7</v>
      </c>
      <c r="L808" s="543">
        <v>28</v>
      </c>
      <c r="M808" s="543" t="s">
        <v>104</v>
      </c>
      <c r="N808" s="551">
        <v>141</v>
      </c>
      <c r="O808" s="599">
        <f t="shared" si="329"/>
        <v>141.02000000000001</v>
      </c>
      <c r="P808" s="544" t="s">
        <v>248</v>
      </c>
      <c r="Q808" s="544"/>
      <c r="R808" s="552">
        <f t="shared" si="330"/>
        <v>3.2801435493616093</v>
      </c>
      <c r="S808" s="545">
        <v>1.1299999999999999</v>
      </c>
      <c r="T808" s="545" t="s">
        <v>284</v>
      </c>
      <c r="Y808" s="545">
        <v>1.1299999999999999</v>
      </c>
      <c r="Z808" s="545" t="s">
        <v>284</v>
      </c>
      <c r="AF808" s="553">
        <f t="shared" si="331"/>
        <v>4.9487598903781684</v>
      </c>
      <c r="AG808" s="553">
        <f t="shared" si="332"/>
        <v>4.948901724290895</v>
      </c>
      <c r="AH808" s="554"/>
      <c r="AI808" s="554"/>
      <c r="AJ808" s="553"/>
      <c r="AK808" s="555">
        <f t="shared" si="333"/>
        <v>462.50024045998691</v>
      </c>
      <c r="AL808" s="555">
        <f t="shared" si="334"/>
        <v>462.52024045998689</v>
      </c>
      <c r="AM808" s="553">
        <f t="shared" si="335"/>
        <v>6.1366470768658301</v>
      </c>
      <c r="AN808" s="553">
        <f t="shared" si="336"/>
        <v>6.1366903191516293</v>
      </c>
      <c r="AO808" s="556"/>
      <c r="AP808" s="556"/>
      <c r="AR808" s="553">
        <f t="shared" si="347"/>
        <v>482.35324302280816</v>
      </c>
      <c r="AS808" s="553">
        <f t="shared" si="348"/>
        <v>482.37410153058067</v>
      </c>
      <c r="AT808" s="553">
        <f t="shared" si="337"/>
        <v>6.1786767149749249</v>
      </c>
      <c r="AU808" s="553">
        <f t="shared" si="338"/>
        <v>6.1787199572607241</v>
      </c>
      <c r="AV808" s="556"/>
      <c r="AW808" s="556"/>
      <c r="AX808" s="547">
        <f>GEOMEAN(AR808:AR816)</f>
        <v>109.20935836570284</v>
      </c>
      <c r="AY808" s="547">
        <f>GEOMEAN(AS808:AS816)</f>
        <v>109.23934317150001</v>
      </c>
      <c r="AZ808" s="553"/>
      <c r="BA808" s="553"/>
      <c r="BB808" s="553"/>
      <c r="BC808" s="553"/>
      <c r="BD808" s="554"/>
      <c r="BE808" s="554"/>
    </row>
    <row r="809" spans="1:57" s="545" customFormat="1" x14ac:dyDescent="0.2">
      <c r="A809" s="549" t="s">
        <v>227</v>
      </c>
      <c r="B809" s="549" t="s">
        <v>49</v>
      </c>
      <c r="C809" s="550" t="s">
        <v>53</v>
      </c>
      <c r="D809" s="549" t="s">
        <v>255</v>
      </c>
      <c r="E809" s="551">
        <v>5.0999999999999996</v>
      </c>
      <c r="F809" s="545">
        <f>G809*1.724</f>
        <v>11.8956</v>
      </c>
      <c r="G809" s="551">
        <v>6.9</v>
      </c>
      <c r="H809" s="551">
        <v>14</v>
      </c>
      <c r="I809" s="598">
        <v>12</v>
      </c>
      <c r="J809" s="551">
        <v>0.02</v>
      </c>
      <c r="K809" s="543">
        <v>7</v>
      </c>
      <c r="L809" s="543">
        <v>28</v>
      </c>
      <c r="M809" s="543" t="s">
        <v>104</v>
      </c>
      <c r="N809" s="551">
        <v>77</v>
      </c>
      <c r="O809" s="599">
        <f t="shared" si="329"/>
        <v>77.02</v>
      </c>
      <c r="P809" s="544" t="s">
        <v>248</v>
      </c>
      <c r="Q809" s="544"/>
      <c r="R809" s="552">
        <f t="shared" si="330"/>
        <v>1.6070680455632902</v>
      </c>
      <c r="S809" s="545">
        <v>1.1299999999999999</v>
      </c>
      <c r="T809" s="545" t="s">
        <v>284</v>
      </c>
      <c r="Y809" s="545">
        <v>1.1299999999999999</v>
      </c>
      <c r="Z809" s="545" t="s">
        <v>284</v>
      </c>
      <c r="AF809" s="553">
        <f t="shared" si="331"/>
        <v>4.3438054218536841</v>
      </c>
      <c r="AG809" s="553">
        <f t="shared" si="332"/>
        <v>4.3440651283867631</v>
      </c>
      <c r="AH809" s="554"/>
      <c r="AI809" s="554"/>
      <c r="AJ809" s="553"/>
      <c r="AK809" s="555">
        <f t="shared" si="333"/>
        <v>123.74423950837334</v>
      </c>
      <c r="AL809" s="555">
        <f t="shared" si="334"/>
        <v>123.76423950837334</v>
      </c>
      <c r="AM809" s="553">
        <f t="shared" si="335"/>
        <v>4.8182168509380556</v>
      </c>
      <c r="AN809" s="553">
        <f t="shared" si="336"/>
        <v>4.8183784615634604</v>
      </c>
      <c r="AO809" s="556"/>
      <c r="AP809" s="556"/>
      <c r="AR809" s="553">
        <f t="shared" si="347"/>
        <v>30.051788759326538</v>
      </c>
      <c r="AS809" s="553">
        <f t="shared" si="348"/>
        <v>30.05664584016985</v>
      </c>
      <c r="AT809" s="553">
        <f t="shared" si="337"/>
        <v>3.4029221853103251</v>
      </c>
      <c r="AU809" s="553">
        <f t="shared" si="338"/>
        <v>3.4030837959357307</v>
      </c>
      <c r="AV809" s="556"/>
      <c r="AW809" s="556"/>
      <c r="AX809" s="553"/>
      <c r="AY809" s="553"/>
      <c r="AZ809" s="553"/>
      <c r="BA809" s="553"/>
      <c r="BB809" s="553"/>
      <c r="BC809" s="553"/>
      <c r="BD809" s="554"/>
      <c r="BE809" s="554"/>
    </row>
    <row r="810" spans="1:57" s="545" customFormat="1" x14ac:dyDescent="0.2">
      <c r="A810" s="549" t="s">
        <v>227</v>
      </c>
      <c r="B810" s="549" t="s">
        <v>49</v>
      </c>
      <c r="C810" s="550" t="s">
        <v>53</v>
      </c>
      <c r="D810" s="549" t="s">
        <v>255</v>
      </c>
      <c r="E810" s="551">
        <v>5</v>
      </c>
      <c r="F810" s="545">
        <f>G810*1.724</f>
        <v>9.1372</v>
      </c>
      <c r="G810" s="551">
        <v>5.3</v>
      </c>
      <c r="H810" s="551">
        <v>42</v>
      </c>
      <c r="I810" s="598">
        <v>25</v>
      </c>
      <c r="J810" s="551">
        <v>0.02</v>
      </c>
      <c r="K810" s="543">
        <v>7</v>
      </c>
      <c r="L810" s="543">
        <v>28</v>
      </c>
      <c r="M810" s="543" t="s">
        <v>104</v>
      </c>
      <c r="N810" s="545">
        <v>62.98</v>
      </c>
      <c r="O810" s="552">
        <f t="shared" si="329"/>
        <v>63</v>
      </c>
      <c r="P810" s="544" t="s">
        <v>248</v>
      </c>
      <c r="Q810" s="544"/>
      <c r="R810" s="552">
        <f t="shared" si="330"/>
        <v>2.617351588015056</v>
      </c>
      <c r="S810" s="545">
        <v>1.1299999999999999</v>
      </c>
      <c r="T810" s="545" t="s">
        <v>284</v>
      </c>
      <c r="Y810" s="545">
        <v>1.1299999999999999</v>
      </c>
      <c r="Z810" s="545" t="s">
        <v>284</v>
      </c>
      <c r="AF810" s="553">
        <f t="shared" si="331"/>
        <v>4.1428172156728786</v>
      </c>
      <c r="AG810" s="553">
        <f t="shared" si="332"/>
        <v>4.1431347263915326</v>
      </c>
      <c r="AH810" s="554"/>
      <c r="AI810" s="554"/>
      <c r="AJ810" s="553"/>
      <c r="AK810" s="555">
        <f t="shared" si="333"/>
        <v>164.84080301318821</v>
      </c>
      <c r="AL810" s="555">
        <f t="shared" si="334"/>
        <v>164.86080301318822</v>
      </c>
      <c r="AM810" s="553">
        <f t="shared" si="335"/>
        <v>5.1049801779291961</v>
      </c>
      <c r="AN810" s="553">
        <f t="shared" si="336"/>
        <v>5.1051014997526813</v>
      </c>
      <c r="AO810" s="556"/>
      <c r="AP810" s="556"/>
      <c r="AR810" s="553">
        <f t="shared" si="347"/>
        <v>53.935883589558827</v>
      </c>
      <c r="AS810" s="553">
        <f t="shared" si="348"/>
        <v>53.942427586263967</v>
      </c>
      <c r="AT810" s="553">
        <f t="shared" si="337"/>
        <v>3.9877960001824717</v>
      </c>
      <c r="AU810" s="553">
        <f t="shared" si="338"/>
        <v>3.9879173220059569</v>
      </c>
      <c r="AV810" s="556"/>
      <c r="AW810" s="556"/>
      <c r="AX810" s="553"/>
      <c r="AY810" s="553"/>
      <c r="AZ810" s="553"/>
      <c r="BA810" s="553"/>
      <c r="BB810" s="553"/>
      <c r="BC810" s="553"/>
      <c r="BD810" s="554"/>
      <c r="BE810" s="554"/>
    </row>
    <row r="811" spans="1:57" s="545" customFormat="1" x14ac:dyDescent="0.2">
      <c r="A811" s="549" t="s">
        <v>227</v>
      </c>
      <c r="B811" s="549" t="s">
        <v>49</v>
      </c>
      <c r="C811" s="550" t="s">
        <v>53</v>
      </c>
      <c r="D811" s="549" t="s">
        <v>255</v>
      </c>
      <c r="E811" s="551">
        <v>5.5</v>
      </c>
      <c r="F811" s="545">
        <f>G811*1.724</f>
        <v>1.5516000000000001</v>
      </c>
      <c r="G811" s="551">
        <v>0.9</v>
      </c>
      <c r="H811" s="551">
        <v>60</v>
      </c>
      <c r="I811" s="598">
        <v>13</v>
      </c>
      <c r="J811" s="551">
        <v>0.02</v>
      </c>
      <c r="K811" s="543">
        <v>7</v>
      </c>
      <c r="L811" s="543">
        <v>28</v>
      </c>
      <c r="M811" s="543" t="s">
        <v>104</v>
      </c>
      <c r="N811" s="545">
        <v>5.28</v>
      </c>
      <c r="O811" s="552">
        <f t="shared" ref="O811:O833" si="351">N811+J811</f>
        <v>5.3</v>
      </c>
      <c r="P811" s="544" t="s">
        <v>248</v>
      </c>
      <c r="Q811" s="544"/>
      <c r="R811" s="552">
        <f t="shared" ref="R811:R833" si="352">POWER(10,(0.78+(0.46*LOG10(I811))+(-0.5*LOG10(G811))+(-0.92*LOG10(E811))))</f>
        <v>4.3068427278791388</v>
      </c>
      <c r="S811" s="545">
        <v>1.1299999999999999</v>
      </c>
      <c r="T811" s="545" t="s">
        <v>284</v>
      </c>
      <c r="Y811" s="545">
        <v>1.1299999999999999</v>
      </c>
      <c r="Z811" s="545" t="s">
        <v>284</v>
      </c>
      <c r="AF811" s="553">
        <f t="shared" ref="AF811:AF833" si="353">LN(N811)</f>
        <v>1.6639260977181702</v>
      </c>
      <c r="AG811" s="553">
        <f t="shared" ref="AG811:AG833" si="354">LN(O811)</f>
        <v>1.6677068205580761</v>
      </c>
      <c r="AH811" s="554"/>
      <c r="AI811" s="554"/>
      <c r="AJ811" s="553"/>
      <c r="AK811" s="555">
        <f t="shared" ref="AK811:AK833" si="355">N811*R811</f>
        <v>22.740129603201854</v>
      </c>
      <c r="AL811" s="555">
        <f t="shared" ref="AL811:AL833" si="356">AK811+J811</f>
        <v>22.760129603201854</v>
      </c>
      <c r="AM811" s="553">
        <f t="shared" ref="AM811:AM833" si="357">LN(AK811)</f>
        <v>3.1241311876553945</v>
      </c>
      <c r="AN811" s="553">
        <f t="shared" ref="AN811:AN833" si="358">LN(AL811)</f>
        <v>3.1250103035829482</v>
      </c>
      <c r="AO811" s="556"/>
      <c r="AP811" s="556"/>
      <c r="AR811" s="553">
        <f t="shared" si="347"/>
        <v>55.175173674060233</v>
      </c>
      <c r="AS811" s="553">
        <f t="shared" si="348"/>
        <v>55.223700375215259</v>
      </c>
      <c r="AT811" s="553">
        <f t="shared" ref="AT811:AT833" si="359">LN(AR811)</f>
        <v>4.0105130998326395</v>
      </c>
      <c r="AU811" s="553">
        <f t="shared" ref="AU811:AU833" si="360">LN(AS811)</f>
        <v>4.0113922157601927</v>
      </c>
      <c r="AV811" s="556"/>
      <c r="AW811" s="556"/>
      <c r="AX811" s="553"/>
      <c r="AY811" s="553"/>
      <c r="AZ811" s="553"/>
      <c r="BA811" s="553"/>
      <c r="BB811" s="553"/>
      <c r="BC811" s="553"/>
      <c r="BD811" s="554"/>
      <c r="BE811" s="554"/>
    </row>
    <row r="812" spans="1:57" s="545" customFormat="1" x14ac:dyDescent="0.2">
      <c r="A812" s="549" t="s">
        <v>227</v>
      </c>
      <c r="B812" s="549" t="s">
        <v>49</v>
      </c>
      <c r="C812" s="550" t="s">
        <v>53</v>
      </c>
      <c r="D812" s="549" t="s">
        <v>255</v>
      </c>
      <c r="E812" s="551">
        <v>5.96</v>
      </c>
      <c r="F812" s="551">
        <v>4.18</v>
      </c>
      <c r="G812" s="545">
        <f xml:space="preserve"> F812/1.724</f>
        <v>2.4245939675174011</v>
      </c>
      <c r="H812" s="612">
        <v>6.7</v>
      </c>
      <c r="I812" s="598">
        <v>10</v>
      </c>
      <c r="J812" s="612">
        <v>0.01</v>
      </c>
      <c r="K812" s="551"/>
      <c r="L812" s="551">
        <v>14</v>
      </c>
      <c r="M812" s="551" t="s">
        <v>104</v>
      </c>
      <c r="N812" s="551">
        <v>190.77</v>
      </c>
      <c r="O812" s="599">
        <f t="shared" si="351"/>
        <v>190.78</v>
      </c>
      <c r="P812" s="549" t="s">
        <v>254</v>
      </c>
      <c r="Q812" s="549"/>
      <c r="R812" s="552">
        <f t="shared" si="352"/>
        <v>2.1600008939764139</v>
      </c>
      <c r="S812" s="545">
        <v>1.1299999999999999</v>
      </c>
      <c r="T812" s="545" t="s">
        <v>284</v>
      </c>
      <c r="Y812" s="545">
        <v>1.1299999999999999</v>
      </c>
      <c r="Z812" s="545" t="s">
        <v>284</v>
      </c>
      <c r="AF812" s="553">
        <f t="shared" si="353"/>
        <v>5.251068513947426</v>
      </c>
      <c r="AG812" s="553">
        <f t="shared" si="354"/>
        <v>5.251120931717062</v>
      </c>
      <c r="AH812" s="554"/>
      <c r="AI812" s="554"/>
      <c r="AJ812" s="553"/>
      <c r="AK812" s="555">
        <f t="shared" si="355"/>
        <v>412.06337054388052</v>
      </c>
      <c r="AL812" s="555">
        <f t="shared" si="356"/>
        <v>412.07337054388051</v>
      </c>
      <c r="AM812" s="553">
        <f t="shared" si="357"/>
        <v>6.0211771495213835</v>
      </c>
      <c r="AN812" s="553">
        <f t="shared" si="358"/>
        <v>6.0212014173388511</v>
      </c>
      <c r="AO812" s="556"/>
      <c r="AP812" s="556"/>
      <c r="AR812" s="553">
        <f t="shared" si="347"/>
        <v>326.26217470750061</v>
      </c>
      <c r="AS812" s="553">
        <f t="shared" si="348"/>
        <v>326.27009247447603</v>
      </c>
      <c r="AT812" s="553">
        <f t="shared" si="359"/>
        <v>5.7877012750517505</v>
      </c>
      <c r="AU812" s="553">
        <f t="shared" si="360"/>
        <v>5.7877255428692171</v>
      </c>
      <c r="AV812" s="556"/>
      <c r="AW812" s="556"/>
      <c r="AX812" s="553"/>
      <c r="AY812" s="553"/>
      <c r="AZ812" s="553"/>
      <c r="BA812" s="553"/>
      <c r="BB812" s="553"/>
      <c r="BC812" s="553"/>
      <c r="BD812" s="554"/>
      <c r="BE812" s="554"/>
    </row>
    <row r="813" spans="1:57" s="545" customFormat="1" x14ac:dyDescent="0.2">
      <c r="A813" s="549" t="s">
        <v>227</v>
      </c>
      <c r="B813" s="549" t="s">
        <v>49</v>
      </c>
      <c r="C813" s="550" t="s">
        <v>53</v>
      </c>
      <c r="D813" s="549" t="s">
        <v>255</v>
      </c>
      <c r="E813" s="551">
        <v>7.2</v>
      </c>
      <c r="F813" s="545">
        <f xml:space="preserve"> G813*1.724</f>
        <v>7.4131999999999998</v>
      </c>
      <c r="G813" s="551">
        <v>4.3</v>
      </c>
      <c r="H813" s="551">
        <v>15</v>
      </c>
      <c r="I813" s="598">
        <v>16.5</v>
      </c>
      <c r="J813" s="551">
        <v>0.2</v>
      </c>
      <c r="K813" s="551"/>
      <c r="L813" s="551">
        <v>56</v>
      </c>
      <c r="M813" s="551" t="s">
        <v>104</v>
      </c>
      <c r="N813" s="545">
        <v>194.3</v>
      </c>
      <c r="O813" s="552">
        <f t="shared" si="351"/>
        <v>194.5</v>
      </c>
      <c r="P813" s="549" t="s">
        <v>250</v>
      </c>
      <c r="Q813" s="549"/>
      <c r="R813" s="552">
        <f t="shared" si="352"/>
        <v>1.7161786301333066</v>
      </c>
      <c r="S813" s="545">
        <v>1.1299999999999999</v>
      </c>
      <c r="T813" s="545" t="s">
        <v>284</v>
      </c>
      <c r="Y813" s="545">
        <v>1.1299999999999999</v>
      </c>
      <c r="Z813" s="545" t="s">
        <v>284</v>
      </c>
      <c r="AF813" s="553">
        <f t="shared" si="353"/>
        <v>5.2694033563833944</v>
      </c>
      <c r="AG813" s="553">
        <f t="shared" si="354"/>
        <v>5.2704321630585014</v>
      </c>
      <c r="AH813" s="554"/>
      <c r="AI813" s="554"/>
      <c r="AJ813" s="553"/>
      <c r="AK813" s="555">
        <f t="shared" si="355"/>
        <v>333.45350783490147</v>
      </c>
      <c r="AL813" s="555">
        <f t="shared" si="356"/>
        <v>333.65350783490146</v>
      </c>
      <c r="AM813" s="553">
        <f t="shared" si="357"/>
        <v>5.8095034488457484</v>
      </c>
      <c r="AN813" s="553">
        <f t="shared" si="358"/>
        <v>5.8101030528112121</v>
      </c>
      <c r="AO813" s="556"/>
      <c r="AP813" s="556"/>
      <c r="AR813" s="553">
        <f t="shared" si="347"/>
        <v>138.18494964353749</v>
      </c>
      <c r="AS813" s="553">
        <f t="shared" si="348"/>
        <v>138.26783073274288</v>
      </c>
      <c r="AT813" s="553">
        <f t="shared" si="359"/>
        <v>4.9285930026791958</v>
      </c>
      <c r="AU813" s="553">
        <f t="shared" si="360"/>
        <v>4.9291926066446594</v>
      </c>
      <c r="AV813" s="556"/>
      <c r="AW813" s="556"/>
      <c r="AX813" s="553"/>
      <c r="AY813" s="553"/>
      <c r="AZ813" s="553"/>
      <c r="BA813" s="553"/>
      <c r="BB813" s="553"/>
      <c r="BC813" s="553"/>
      <c r="BD813" s="554"/>
      <c r="BE813" s="554"/>
    </row>
    <row r="814" spans="1:57" s="545" customFormat="1" x14ac:dyDescent="0.2">
      <c r="A814" s="549" t="s">
        <v>227</v>
      </c>
      <c r="B814" s="549" t="s">
        <v>49</v>
      </c>
      <c r="C814" s="550" t="s">
        <v>53</v>
      </c>
      <c r="D814" s="549" t="s">
        <v>255</v>
      </c>
      <c r="E814" s="551">
        <v>8</v>
      </c>
      <c r="F814" s="545">
        <f>G814*1.724</f>
        <v>3.1032000000000002</v>
      </c>
      <c r="G814" s="551">
        <v>1.8</v>
      </c>
      <c r="H814" s="551">
        <v>12</v>
      </c>
      <c r="I814" s="598">
        <v>13</v>
      </c>
      <c r="J814" s="551">
        <v>0.02</v>
      </c>
      <c r="K814" s="543">
        <v>7</v>
      </c>
      <c r="L814" s="543">
        <v>28</v>
      </c>
      <c r="M814" s="543" t="s">
        <v>104</v>
      </c>
      <c r="N814" s="551">
        <v>36</v>
      </c>
      <c r="O814" s="599">
        <f t="shared" si="351"/>
        <v>36.020000000000003</v>
      </c>
      <c r="P814" s="544" t="s">
        <v>248</v>
      </c>
      <c r="Q814" s="544"/>
      <c r="R814" s="552">
        <f t="shared" si="352"/>
        <v>2.1574209985336794</v>
      </c>
      <c r="S814" s="545">
        <v>1.1299999999999999</v>
      </c>
      <c r="T814" s="545" t="s">
        <v>284</v>
      </c>
      <c r="Y814" s="545">
        <v>1.1299999999999999</v>
      </c>
      <c r="Z814" s="545" t="s">
        <v>284</v>
      </c>
      <c r="AF814" s="553">
        <f t="shared" si="353"/>
        <v>3.5835189384561099</v>
      </c>
      <c r="AG814" s="553">
        <f t="shared" si="354"/>
        <v>3.5840743397478101</v>
      </c>
      <c r="AH814" s="554"/>
      <c r="AI814" s="554"/>
      <c r="AJ814" s="553"/>
      <c r="AK814" s="555">
        <f t="shared" si="355"/>
        <v>77.667155947212464</v>
      </c>
      <c r="AL814" s="555">
        <f t="shared" si="356"/>
        <v>77.68715594721246</v>
      </c>
      <c r="AM814" s="553">
        <f t="shared" si="357"/>
        <v>4.3524324646272641</v>
      </c>
      <c r="AN814" s="553">
        <f t="shared" si="358"/>
        <v>4.352689940584856</v>
      </c>
      <c r="AO814" s="556"/>
      <c r="AP814" s="556"/>
      <c r="AR814" s="553">
        <f t="shared" si="347"/>
        <v>86.104188982108155</v>
      </c>
      <c r="AS814" s="553">
        <f t="shared" si="348"/>
        <v>86.126361594953821</v>
      </c>
      <c r="AT814" s="553">
        <f t="shared" si="359"/>
        <v>4.4555580627717708</v>
      </c>
      <c r="AU814" s="553">
        <f t="shared" si="360"/>
        <v>4.4558155387293619</v>
      </c>
      <c r="AV814" s="556"/>
      <c r="AW814" s="556"/>
      <c r="AX814" s="553"/>
      <c r="AY814" s="553"/>
      <c r="AZ814" s="553"/>
      <c r="BA814" s="553"/>
      <c r="BB814" s="553"/>
      <c r="BC814" s="553"/>
      <c r="BD814" s="554"/>
      <c r="BE814" s="554"/>
    </row>
    <row r="815" spans="1:57" s="545" customFormat="1" x14ac:dyDescent="0.2">
      <c r="A815" s="549" t="s">
        <v>227</v>
      </c>
      <c r="B815" s="549" t="s">
        <v>49</v>
      </c>
      <c r="C815" s="550" t="s">
        <v>53</v>
      </c>
      <c r="D815" s="549" t="s">
        <v>255</v>
      </c>
      <c r="E815" s="551">
        <v>7.7</v>
      </c>
      <c r="F815" s="545">
        <f>G815*1.724</f>
        <v>9.654399999999999</v>
      </c>
      <c r="G815" s="551">
        <v>5.6</v>
      </c>
      <c r="H815" s="551">
        <v>5.3</v>
      </c>
      <c r="I815" s="613">
        <f>(30+4.4*E815)*(H815/100)+(-34.66+29.72*E815)*(F815/100)</f>
        <v>22.132940095999995</v>
      </c>
      <c r="J815" s="551">
        <v>0.02</v>
      </c>
      <c r="K815" s="543">
        <v>7</v>
      </c>
      <c r="L815" s="543">
        <v>28</v>
      </c>
      <c r="M815" s="543" t="s">
        <v>104</v>
      </c>
      <c r="N815" s="551">
        <v>55</v>
      </c>
      <c r="O815" s="599">
        <f t="shared" si="351"/>
        <v>55.02</v>
      </c>
      <c r="P815" s="544" t="s">
        <v>248</v>
      </c>
      <c r="Q815" s="544"/>
      <c r="R815" s="552">
        <f t="shared" si="352"/>
        <v>1.6182756868298245</v>
      </c>
      <c r="S815" s="545">
        <v>1.1299999999999999</v>
      </c>
      <c r="T815" s="545" t="s">
        <v>284</v>
      </c>
      <c r="Y815" s="545">
        <v>1.1299999999999999</v>
      </c>
      <c r="Z815" s="545" t="s">
        <v>284</v>
      </c>
      <c r="AF815" s="553">
        <f t="shared" si="353"/>
        <v>4.0073331852324712</v>
      </c>
      <c r="AG815" s="553">
        <f t="shared" si="354"/>
        <v>4.0076967554964282</v>
      </c>
      <c r="AH815" s="554"/>
      <c r="AI815" s="554"/>
      <c r="AJ815" s="553"/>
      <c r="AK815" s="555">
        <f t="shared" si="355"/>
        <v>89.005162775640343</v>
      </c>
      <c r="AL815" s="555">
        <f t="shared" si="356"/>
        <v>89.025162775640339</v>
      </c>
      <c r="AM815" s="553">
        <f t="shared" si="357"/>
        <v>4.4886943767647596</v>
      </c>
      <c r="AN815" s="553">
        <f t="shared" si="358"/>
        <v>4.4889190575883458</v>
      </c>
      <c r="AO815" s="556"/>
      <c r="AP815" s="556"/>
      <c r="AR815" s="553">
        <f t="shared" si="347"/>
        <v>27.365761474703344</v>
      </c>
      <c r="AS815" s="553">
        <f t="shared" si="348"/>
        <v>27.37191072731326</v>
      </c>
      <c r="AT815" s="553">
        <f t="shared" si="359"/>
        <v>3.3092926508012139</v>
      </c>
      <c r="AU815" s="553">
        <f t="shared" si="360"/>
        <v>3.3095173316248006</v>
      </c>
      <c r="AV815" s="556"/>
      <c r="AW815" s="556"/>
      <c r="AX815" s="553"/>
      <c r="AY815" s="553"/>
      <c r="AZ815" s="553"/>
      <c r="BA815" s="553"/>
      <c r="BB815" s="553"/>
      <c r="BC815" s="553"/>
      <c r="BD815" s="554"/>
      <c r="BE815" s="554"/>
    </row>
    <row r="816" spans="1:57" s="560" customFormat="1" x14ac:dyDescent="0.2">
      <c r="A816" s="557" t="s">
        <v>227</v>
      </c>
      <c r="B816" s="557" t="s">
        <v>49</v>
      </c>
      <c r="C816" s="558" t="s">
        <v>53</v>
      </c>
      <c r="D816" s="557" t="s">
        <v>255</v>
      </c>
      <c r="E816" s="559">
        <v>6.91</v>
      </c>
      <c r="F816" s="559">
        <v>1.78</v>
      </c>
      <c r="G816" s="560">
        <f xml:space="preserve"> F816/1.724</f>
        <v>1.0324825986078887</v>
      </c>
      <c r="H816" s="614">
        <v>9</v>
      </c>
      <c r="I816" s="615">
        <f>(30+4.4*E816)*(H816/100)+(-34.66+29.72*E816)*(F816/100)</f>
        <v>8.4749125599999999</v>
      </c>
      <c r="J816" s="559">
        <v>3.6999999999999998E-2</v>
      </c>
      <c r="K816" s="559"/>
      <c r="L816" s="559">
        <v>14</v>
      </c>
      <c r="M816" s="559" t="s">
        <v>104</v>
      </c>
      <c r="N816" s="560">
        <v>86.692999999999998</v>
      </c>
      <c r="O816" s="561">
        <f t="shared" si="351"/>
        <v>86.73</v>
      </c>
      <c r="P816" s="557" t="s">
        <v>254</v>
      </c>
      <c r="Q816" s="557"/>
      <c r="R816" s="561">
        <f t="shared" si="352"/>
        <v>2.677201317115153</v>
      </c>
      <c r="S816" s="560">
        <v>1.1299999999999999</v>
      </c>
      <c r="T816" s="560" t="s">
        <v>284</v>
      </c>
      <c r="Y816" s="560">
        <v>1.1299999999999999</v>
      </c>
      <c r="Z816" s="560" t="s">
        <v>284</v>
      </c>
      <c r="AF816" s="562">
        <f t="shared" si="353"/>
        <v>4.46237314234937</v>
      </c>
      <c r="AG816" s="562">
        <f t="shared" si="354"/>
        <v>4.4627998446963648</v>
      </c>
      <c r="AH816" s="563"/>
      <c r="AI816" s="563"/>
      <c r="AJ816" s="562"/>
      <c r="AK816" s="564">
        <f t="shared" si="355"/>
        <v>232.09461378466395</v>
      </c>
      <c r="AL816" s="564">
        <f t="shared" si="356"/>
        <v>232.13161378466395</v>
      </c>
      <c r="AM816" s="562">
        <f t="shared" si="357"/>
        <v>5.4471451065684811</v>
      </c>
      <c r="AN816" s="562">
        <f t="shared" si="358"/>
        <v>5.447304511608011</v>
      </c>
      <c r="AO816" s="565"/>
      <c r="AP816" s="565"/>
      <c r="AR816" s="562">
        <f t="shared" si="347"/>
        <v>482.19463472290687</v>
      </c>
      <c r="AS816" s="562">
        <f t="shared" si="348"/>
        <v>482.27150510431647</v>
      </c>
      <c r="AT816" s="562">
        <f t="shared" si="359"/>
        <v>6.1783478390217654</v>
      </c>
      <c r="AU816" s="562">
        <f t="shared" si="360"/>
        <v>6.1785072440612954</v>
      </c>
      <c r="AV816" s="565"/>
      <c r="AW816" s="565"/>
      <c r="AX816" s="562"/>
      <c r="AY816" s="562"/>
      <c r="AZ816" s="562"/>
      <c r="BA816" s="562"/>
      <c r="BB816" s="562"/>
      <c r="BC816" s="562"/>
      <c r="BD816" s="563"/>
      <c r="BE816" s="563"/>
    </row>
    <row r="817" spans="1:57" s="573" customFormat="1" x14ac:dyDescent="0.2">
      <c r="A817" s="568" t="s">
        <v>227</v>
      </c>
      <c r="B817" s="568" t="s">
        <v>49</v>
      </c>
      <c r="C817" s="569" t="s">
        <v>57</v>
      </c>
      <c r="D817" s="568" t="s">
        <v>44</v>
      </c>
      <c r="E817" s="570">
        <v>5.5</v>
      </c>
      <c r="F817" s="573">
        <f t="shared" ref="F817:F820" si="361" xml:space="preserve"> G817*1.724</f>
        <v>3.6031599999999999</v>
      </c>
      <c r="G817" s="570">
        <v>2.09</v>
      </c>
      <c r="H817" s="572">
        <v>6.7</v>
      </c>
      <c r="I817" s="570">
        <v>10</v>
      </c>
      <c r="J817" s="570">
        <v>0.01</v>
      </c>
      <c r="K817" s="570"/>
      <c r="L817" s="570">
        <v>28</v>
      </c>
      <c r="M817" s="570" t="s">
        <v>104</v>
      </c>
      <c r="N817" s="573">
        <v>47.59</v>
      </c>
      <c r="O817" s="574">
        <f t="shared" si="351"/>
        <v>47.6</v>
      </c>
      <c r="P817" s="568" t="s">
        <v>256</v>
      </c>
      <c r="Q817" s="568"/>
      <c r="R817" s="574">
        <f t="shared" si="352"/>
        <v>2.5049160912401911</v>
      </c>
      <c r="S817" s="573">
        <v>1.51</v>
      </c>
      <c r="T817" s="573" t="s">
        <v>284</v>
      </c>
      <c r="Y817" s="573">
        <v>1.51</v>
      </c>
      <c r="Z817" s="573" t="s">
        <v>284</v>
      </c>
      <c r="AF817" s="575">
        <f t="shared" si="353"/>
        <v>3.8626226551330189</v>
      </c>
      <c r="AG817" s="575">
        <f t="shared" si="354"/>
        <v>3.8628327612373745</v>
      </c>
      <c r="AH817" s="576"/>
      <c r="AI817" s="576"/>
      <c r="AJ817" s="575"/>
      <c r="AK817" s="577">
        <f t="shared" si="355"/>
        <v>119.20895678212071</v>
      </c>
      <c r="AL817" s="577">
        <f t="shared" si="356"/>
        <v>119.21895678212071</v>
      </c>
      <c r="AM817" s="575">
        <f t="shared" si="357"/>
        <v>4.7808778925979247</v>
      </c>
      <c r="AN817" s="575">
        <f t="shared" si="358"/>
        <v>4.7809617753938305</v>
      </c>
      <c r="AO817" s="578"/>
      <c r="AP817" s="578"/>
      <c r="AR817" s="575">
        <f t="shared" si="347"/>
        <v>109.19366183317247</v>
      </c>
      <c r="AS817" s="575">
        <f t="shared" si="348"/>
        <v>109.20282168699393</v>
      </c>
      <c r="AT817" s="575">
        <f t="shared" si="359"/>
        <v>4.6931230198055482</v>
      </c>
      <c r="AU817" s="575">
        <f t="shared" si="360"/>
        <v>4.693206902601454</v>
      </c>
      <c r="AV817" s="578"/>
      <c r="AW817" s="578"/>
      <c r="AX817" s="575">
        <f t="shared" ref="AX817" si="362">GEOMEAN(AR817)</f>
        <v>109.19366183317247</v>
      </c>
      <c r="AY817" s="575">
        <f t="shared" ref="AY817" si="363">GEOMEAN(AS817)</f>
        <v>109.20282168699393</v>
      </c>
      <c r="AZ817" s="575">
        <f t="shared" ref="AZ817" si="364">MIN(AX817)</f>
        <v>109.19366183317247</v>
      </c>
      <c r="BA817" s="575">
        <f t="shared" ref="BA817" si="365">MIN(AY817)</f>
        <v>109.20282168699393</v>
      </c>
      <c r="BB817" s="575">
        <f t="shared" ref="BB817:BB818" si="366">LN(AZ817)</f>
        <v>4.6931230198055482</v>
      </c>
      <c r="BC817" s="575">
        <f t="shared" ref="BC817:BC818" si="367">LN(BA817)</f>
        <v>4.693206902601454</v>
      </c>
      <c r="BD817" s="576"/>
      <c r="BE817" s="576"/>
    </row>
    <row r="818" spans="1:57" s="544" customFormat="1" x14ac:dyDescent="0.2">
      <c r="A818" s="541" t="s">
        <v>227</v>
      </c>
      <c r="B818" s="541" t="s">
        <v>49</v>
      </c>
      <c r="C818" s="542" t="s">
        <v>257</v>
      </c>
      <c r="D818" s="541" t="s">
        <v>258</v>
      </c>
      <c r="E818" s="543">
        <v>5.5</v>
      </c>
      <c r="F818" s="544">
        <f t="shared" si="361"/>
        <v>3.6031599999999999</v>
      </c>
      <c r="G818" s="543">
        <v>2.09</v>
      </c>
      <c r="H818" s="616">
        <v>6.7</v>
      </c>
      <c r="I818" s="543">
        <v>10</v>
      </c>
      <c r="J818" s="543">
        <v>2.8</v>
      </c>
      <c r="K818" s="543"/>
      <c r="L818" s="543">
        <v>14</v>
      </c>
      <c r="M818" s="543" t="s">
        <v>104</v>
      </c>
      <c r="N818" s="544">
        <v>173.76</v>
      </c>
      <c r="O818" s="546">
        <f t="shared" si="351"/>
        <v>176.56</v>
      </c>
      <c r="P818" s="541" t="s">
        <v>259</v>
      </c>
      <c r="Q818" s="541"/>
      <c r="R818" s="546">
        <f t="shared" si="352"/>
        <v>2.5049160912401911</v>
      </c>
      <c r="S818" s="544">
        <v>1.51</v>
      </c>
      <c r="T818" s="544" t="s">
        <v>284</v>
      </c>
      <c r="Y818" s="544">
        <v>1.51</v>
      </c>
      <c r="Z818" s="544" t="s">
        <v>284</v>
      </c>
      <c r="AF818" s="547">
        <f t="shared" si="353"/>
        <v>5.1576750367455704</v>
      </c>
      <c r="AG818" s="547">
        <f t="shared" si="354"/>
        <v>5.1736607619484811</v>
      </c>
      <c r="AH818" s="566"/>
      <c r="AI818" s="566"/>
      <c r="AJ818" s="547"/>
      <c r="AK818" s="548">
        <f t="shared" si="355"/>
        <v>435.25422001389558</v>
      </c>
      <c r="AL818" s="548">
        <f t="shared" si="356"/>
        <v>438.05422001389559</v>
      </c>
      <c r="AM818" s="547">
        <f t="shared" si="357"/>
        <v>6.0759302742104762</v>
      </c>
      <c r="AN818" s="547">
        <f t="shared" si="358"/>
        <v>6.082342692701161</v>
      </c>
      <c r="AO818" s="567"/>
      <c r="AP818" s="567"/>
      <c r="AR818" s="547">
        <f t="shared" si="347"/>
        <v>398.68650304963319</v>
      </c>
      <c r="AS818" s="547">
        <f t="shared" si="348"/>
        <v>401.25126211963908</v>
      </c>
      <c r="AT818" s="547">
        <f t="shared" si="359"/>
        <v>5.9881754014180997</v>
      </c>
      <c r="AU818" s="547">
        <f t="shared" si="360"/>
        <v>5.9945878199087845</v>
      </c>
      <c r="AV818" s="567"/>
      <c r="AW818" s="567"/>
      <c r="AX818" s="547">
        <f t="shared" ref="AX818:AX819" si="368">GEOMEAN(AR818)</f>
        <v>398.68650304963319</v>
      </c>
      <c r="AY818" s="547">
        <f t="shared" ref="AY818:AY819" si="369">GEOMEAN(AS818)</f>
        <v>401.25126211963908</v>
      </c>
      <c r="AZ818" s="547">
        <f>MIN(AX818:AX819)</f>
        <v>95.094726268042706</v>
      </c>
      <c r="BA818" s="547">
        <f>MIN(AY818:AY819)</f>
        <v>97.716755547476751</v>
      </c>
      <c r="BB818" s="547">
        <f t="shared" si="366"/>
        <v>4.5548735134189675</v>
      </c>
      <c r="BC818" s="547">
        <f t="shared" si="367"/>
        <v>4.582073044318471</v>
      </c>
      <c r="BD818" s="566"/>
      <c r="BE818" s="566"/>
    </row>
    <row r="819" spans="1:57" s="620" customFormat="1" ht="13.5" thickBot="1" x14ac:dyDescent="0.25">
      <c r="A819" s="617" t="s">
        <v>227</v>
      </c>
      <c r="B819" s="617" t="s">
        <v>49</v>
      </c>
      <c r="C819" s="618" t="s">
        <v>257</v>
      </c>
      <c r="D819" s="617" t="s">
        <v>255</v>
      </c>
      <c r="E819" s="619">
        <v>5.5</v>
      </c>
      <c r="F819" s="620">
        <f t="shared" si="361"/>
        <v>3.6031599999999999</v>
      </c>
      <c r="G819" s="619">
        <v>2.09</v>
      </c>
      <c r="H819" s="621">
        <v>6.7</v>
      </c>
      <c r="I819" s="619">
        <v>10</v>
      </c>
      <c r="J819" s="619">
        <v>2.8</v>
      </c>
      <c r="K819" s="619"/>
      <c r="L819" s="619">
        <v>14</v>
      </c>
      <c r="M819" s="619" t="s">
        <v>104</v>
      </c>
      <c r="N819" s="619">
        <v>40.54</v>
      </c>
      <c r="O819" s="622">
        <f t="shared" si="351"/>
        <v>43.339999999999996</v>
      </c>
      <c r="P819" s="617" t="s">
        <v>259</v>
      </c>
      <c r="Q819" s="617"/>
      <c r="R819" s="623">
        <f t="shared" si="352"/>
        <v>2.5049160912401911</v>
      </c>
      <c r="S819" s="620">
        <v>1.1299999999999999</v>
      </c>
      <c r="T819" s="620" t="s">
        <v>284</v>
      </c>
      <c r="Y819" s="620">
        <v>1.1299999999999999</v>
      </c>
      <c r="Z819" s="620" t="s">
        <v>284</v>
      </c>
      <c r="AF819" s="624">
        <f t="shared" si="353"/>
        <v>3.7022891410238539</v>
      </c>
      <c r="AG819" s="624">
        <f t="shared" si="354"/>
        <v>3.7690759961082128</v>
      </c>
      <c r="AH819" s="625"/>
      <c r="AI819" s="625"/>
      <c r="AJ819" s="624"/>
      <c r="AK819" s="626">
        <f t="shared" si="355"/>
        <v>101.54929833887735</v>
      </c>
      <c r="AL819" s="626">
        <f t="shared" si="356"/>
        <v>104.34929833887735</v>
      </c>
      <c r="AM819" s="624">
        <f t="shared" si="357"/>
        <v>4.6205443784887601</v>
      </c>
      <c r="AN819" s="624">
        <f t="shared" si="358"/>
        <v>4.6477439093882627</v>
      </c>
      <c r="AO819" s="627"/>
      <c r="AP819" s="627"/>
      <c r="AR819" s="624">
        <f t="shared" si="347"/>
        <v>95.094726268042706</v>
      </c>
      <c r="AS819" s="624">
        <f t="shared" si="348"/>
        <v>97.716755547476751</v>
      </c>
      <c r="AT819" s="624">
        <f t="shared" si="359"/>
        <v>4.5548735134189675</v>
      </c>
      <c r="AU819" s="624">
        <f t="shared" si="360"/>
        <v>4.582073044318471</v>
      </c>
      <c r="AV819" s="627"/>
      <c r="AW819" s="627"/>
      <c r="AX819" s="624">
        <f t="shared" si="368"/>
        <v>95.094726268042706</v>
      </c>
      <c r="AY819" s="624">
        <f t="shared" si="369"/>
        <v>97.716755547476751</v>
      </c>
      <c r="AZ819" s="624"/>
      <c r="BA819" s="624"/>
      <c r="BB819" s="624"/>
      <c r="BC819" s="624"/>
      <c r="BD819" s="625"/>
      <c r="BE819" s="625"/>
    </row>
    <row r="820" spans="1:57" s="544" customFormat="1" ht="13.5" thickTop="1" x14ac:dyDescent="0.2">
      <c r="A820" s="541" t="s">
        <v>227</v>
      </c>
      <c r="B820" s="541" t="s">
        <v>260</v>
      </c>
      <c r="C820" s="541" t="s">
        <v>341</v>
      </c>
      <c r="D820" s="541" t="s">
        <v>261</v>
      </c>
      <c r="E820" s="543">
        <v>5.67</v>
      </c>
      <c r="F820" s="544">
        <f t="shared" si="361"/>
        <v>1.6033200000000001</v>
      </c>
      <c r="G820" s="543">
        <v>0.93</v>
      </c>
      <c r="H820" s="543">
        <v>5</v>
      </c>
      <c r="I820" s="543">
        <v>3.79</v>
      </c>
      <c r="J820" s="628">
        <v>5.7999999999999995E-7</v>
      </c>
      <c r="K820" s="589"/>
      <c r="L820" s="590">
        <v>28</v>
      </c>
      <c r="M820" s="589" t="s">
        <v>104</v>
      </c>
      <c r="N820" s="543">
        <v>1.4</v>
      </c>
      <c r="O820" s="591">
        <f t="shared" si="351"/>
        <v>1.4000005799999999</v>
      </c>
      <c r="P820" s="592" t="s">
        <v>247</v>
      </c>
      <c r="Q820" s="592"/>
      <c r="R820" s="546">
        <f t="shared" si="352"/>
        <v>2.3368785816526287</v>
      </c>
      <c r="S820" s="544">
        <v>1.71</v>
      </c>
      <c r="T820" s="544" t="s">
        <v>284</v>
      </c>
      <c r="U820" s="544">
        <v>7.62</v>
      </c>
      <c r="V820" s="544" t="s">
        <v>285</v>
      </c>
      <c r="Y820" s="544">
        <v>1.71</v>
      </c>
      <c r="Z820" s="544" t="s">
        <v>284</v>
      </c>
      <c r="AA820" s="544">
        <v>7.62</v>
      </c>
      <c r="AB820" s="544" t="s">
        <v>285</v>
      </c>
      <c r="AF820" s="547">
        <f t="shared" si="353"/>
        <v>0.33647223662121289</v>
      </c>
      <c r="AG820" s="547">
        <f t="shared" si="354"/>
        <v>0.33647265090684136</v>
      </c>
      <c r="AH820" s="566"/>
      <c r="AI820" s="566"/>
      <c r="AJ820" s="547"/>
      <c r="AK820" s="548">
        <f t="shared" si="355"/>
        <v>3.2716300143136801</v>
      </c>
      <c r="AL820" s="548">
        <f t="shared" si="356"/>
        <v>3.2716305943136801</v>
      </c>
      <c r="AM820" s="547">
        <f t="shared" si="357"/>
        <v>1.1852883360368927</v>
      </c>
      <c r="AN820" s="547">
        <f t="shared" si="358"/>
        <v>1.1852885133185371</v>
      </c>
      <c r="AO820" s="567"/>
      <c r="AP820" s="567"/>
      <c r="AR820" s="547">
        <f>AK820*((OC/G820)^S820)*((pH/E820)^U820)</f>
        <v>33.500094163135358</v>
      </c>
      <c r="AS820" s="547">
        <f>AL820*((OC/G820)^Y820)*((pH/E820)^AA820)</f>
        <v>33.500100102087664</v>
      </c>
      <c r="AT820" s="547">
        <f t="shared" si="359"/>
        <v>3.5115482496669319</v>
      </c>
      <c r="AU820" s="547">
        <f t="shared" si="360"/>
        <v>3.5115484269485759</v>
      </c>
      <c r="AV820" s="567"/>
      <c r="AW820" s="567"/>
      <c r="AX820" s="547">
        <f>GEOMEAN(AR820)</f>
        <v>33.500094163135358</v>
      </c>
      <c r="AY820" s="547">
        <f>GEOMEAN(AS820)</f>
        <v>33.500100102087664</v>
      </c>
      <c r="AZ820" s="547">
        <f>MIN(AX820:AX833)</f>
        <v>16.092842588514678</v>
      </c>
      <c r="BA820" s="547">
        <f>MIN(AY820:AY833)</f>
        <v>16.24013669222137</v>
      </c>
      <c r="BB820" s="547">
        <f t="shared" ref="BB820" si="370">LN(AZ820)</f>
        <v>2.7783746134248637</v>
      </c>
      <c r="BC820" s="547">
        <f t="shared" ref="BC820" si="371">LN(BA820)</f>
        <v>2.7874857517068139</v>
      </c>
      <c r="BD820" s="566"/>
      <c r="BE820" s="566"/>
    </row>
    <row r="821" spans="1:57" s="545" customFormat="1" x14ac:dyDescent="0.2">
      <c r="A821" s="549" t="s">
        <v>227</v>
      </c>
      <c r="B821" s="549" t="s">
        <v>260</v>
      </c>
      <c r="C821" s="549" t="s">
        <v>341</v>
      </c>
      <c r="D821" s="549" t="s">
        <v>262</v>
      </c>
      <c r="E821" s="551">
        <v>7.1</v>
      </c>
      <c r="F821" s="545">
        <f t="shared" ref="F821:F833" si="372">G821*1.724</f>
        <v>3.2755999999999998</v>
      </c>
      <c r="G821" s="551">
        <v>1.9</v>
      </c>
      <c r="H821" s="551">
        <v>30</v>
      </c>
      <c r="I821" s="551">
        <v>27</v>
      </c>
      <c r="J821" s="551">
        <v>0.02</v>
      </c>
      <c r="K821" s="551">
        <v>7</v>
      </c>
      <c r="L821" s="551">
        <v>28</v>
      </c>
      <c r="M821" s="551" t="s">
        <v>104</v>
      </c>
      <c r="N821" s="551">
        <v>61</v>
      </c>
      <c r="O821" s="599">
        <f t="shared" si="351"/>
        <v>61.02</v>
      </c>
      <c r="P821" s="544" t="s">
        <v>248</v>
      </c>
      <c r="Q821" s="544"/>
      <c r="R821" s="552">
        <f t="shared" si="352"/>
        <v>3.2801435493616093</v>
      </c>
      <c r="S821" s="545">
        <v>1.47</v>
      </c>
      <c r="T821" s="545" t="s">
        <v>284</v>
      </c>
      <c r="U821" s="545">
        <v>7.35</v>
      </c>
      <c r="V821" s="545" t="s">
        <v>285</v>
      </c>
      <c r="W821" s="545">
        <v>0.65</v>
      </c>
      <c r="X821" s="545" t="s">
        <v>287</v>
      </c>
      <c r="Y821" s="545">
        <v>1.47</v>
      </c>
      <c r="Z821" s="545" t="s">
        <v>284</v>
      </c>
      <c r="AA821" s="545">
        <v>7.35</v>
      </c>
      <c r="AB821" s="545" t="s">
        <v>285</v>
      </c>
      <c r="AC821" s="545">
        <v>0.65</v>
      </c>
      <c r="AD821" s="545" t="s">
        <v>287</v>
      </c>
      <c r="AF821" s="553">
        <f t="shared" si="353"/>
        <v>4.1108738641733114</v>
      </c>
      <c r="AG821" s="553">
        <f t="shared" si="354"/>
        <v>4.1112016792885235</v>
      </c>
      <c r="AH821" s="554"/>
      <c r="AI821" s="554"/>
      <c r="AJ821" s="553"/>
      <c r="AK821" s="555">
        <f t="shared" si="355"/>
        <v>200.08875651105816</v>
      </c>
      <c r="AL821" s="555">
        <f t="shared" si="356"/>
        <v>200.10875651105817</v>
      </c>
      <c r="AM821" s="553">
        <f t="shared" si="357"/>
        <v>5.298761050660973</v>
      </c>
      <c r="AN821" s="553">
        <f t="shared" si="358"/>
        <v>5.2988610013071709</v>
      </c>
      <c r="AO821" s="556"/>
      <c r="AP821" s="556"/>
      <c r="AR821" s="553">
        <f t="shared" ref="AR821:AR827" si="373">AK821*((OC/G821)^S821)*((pH/E821)^U821)*((clay/H821)^W821)</f>
        <v>54.075873457746141</v>
      </c>
      <c r="AS821" s="553">
        <f t="shared" ref="AS821:AS827" si="374">AL821*((OC/G821)^Y821)*((pH/E821)^AA821)*((clay/H821)^AC821)</f>
        <v>54.081278646363508</v>
      </c>
      <c r="AT821" s="553">
        <f t="shared" si="359"/>
        <v>3.9903881244177977</v>
      </c>
      <c r="AU821" s="553">
        <f t="shared" si="360"/>
        <v>3.9904880750639955</v>
      </c>
      <c r="AV821" s="556"/>
      <c r="AW821" s="556"/>
      <c r="AX821" s="547">
        <f>GEOMEAN(AR821:AR827)</f>
        <v>16.092842588514678</v>
      </c>
      <c r="AY821" s="547">
        <f>GEOMEAN(AS821:AS827)</f>
        <v>16.24013669222137</v>
      </c>
      <c r="AZ821" s="553"/>
      <c r="BA821" s="553"/>
      <c r="BB821" s="553"/>
      <c r="BC821" s="553"/>
      <c r="BD821" s="554"/>
      <c r="BE821" s="554"/>
    </row>
    <row r="822" spans="1:57" s="545" customFormat="1" x14ac:dyDescent="0.2">
      <c r="A822" s="549" t="s">
        <v>227</v>
      </c>
      <c r="B822" s="549" t="s">
        <v>260</v>
      </c>
      <c r="C822" s="549" t="s">
        <v>341</v>
      </c>
      <c r="D822" s="549" t="s">
        <v>262</v>
      </c>
      <c r="E822" s="551">
        <v>4.5999999999999996</v>
      </c>
      <c r="F822" s="545">
        <f t="shared" si="372"/>
        <v>3.2755999999999998</v>
      </c>
      <c r="G822" s="551">
        <v>1.9</v>
      </c>
      <c r="H822" s="551">
        <v>2.5</v>
      </c>
      <c r="I822" s="551">
        <v>6.4</v>
      </c>
      <c r="J822" s="551">
        <v>0.02</v>
      </c>
      <c r="K822" s="551">
        <v>7</v>
      </c>
      <c r="L822" s="551">
        <v>28</v>
      </c>
      <c r="M822" s="551" t="s">
        <v>104</v>
      </c>
      <c r="N822" s="551">
        <v>0.65</v>
      </c>
      <c r="O822" s="599">
        <f t="shared" si="351"/>
        <v>0.67</v>
      </c>
      <c r="P822" s="544" t="s">
        <v>248</v>
      </c>
      <c r="Q822" s="544"/>
      <c r="R822" s="552">
        <f t="shared" si="352"/>
        <v>2.5219053467258976</v>
      </c>
      <c r="S822" s="545">
        <v>1.47</v>
      </c>
      <c r="T822" s="545" t="s">
        <v>284</v>
      </c>
      <c r="U822" s="545">
        <v>7.35</v>
      </c>
      <c r="V822" s="545" t="s">
        <v>285</v>
      </c>
      <c r="W822" s="545">
        <v>0.65</v>
      </c>
      <c r="X822" s="545" t="s">
        <v>287</v>
      </c>
      <c r="Y822" s="545">
        <v>1.47</v>
      </c>
      <c r="Z822" s="545" t="s">
        <v>284</v>
      </c>
      <c r="AA822" s="545">
        <v>7.35</v>
      </c>
      <c r="AB822" s="545" t="s">
        <v>285</v>
      </c>
      <c r="AC822" s="545">
        <v>0.65</v>
      </c>
      <c r="AD822" s="545" t="s">
        <v>287</v>
      </c>
      <c r="AF822" s="553">
        <f t="shared" si="353"/>
        <v>-0.43078291609245423</v>
      </c>
      <c r="AG822" s="553">
        <f t="shared" si="354"/>
        <v>-0.40047756659712525</v>
      </c>
      <c r="AH822" s="554"/>
      <c r="AI822" s="554"/>
      <c r="AJ822" s="553"/>
      <c r="AK822" s="555">
        <f t="shared" si="355"/>
        <v>1.6392384753718334</v>
      </c>
      <c r="AL822" s="555">
        <f t="shared" si="356"/>
        <v>1.6592384753718334</v>
      </c>
      <c r="AM822" s="553">
        <f t="shared" si="357"/>
        <v>0.49423178970944698</v>
      </c>
      <c r="AN822" s="553">
        <f t="shared" si="358"/>
        <v>0.50635874733457686</v>
      </c>
      <c r="AO822" s="556"/>
      <c r="AP822" s="556"/>
      <c r="AR822" s="553">
        <f t="shared" si="373"/>
        <v>54.121472873365967</v>
      </c>
      <c r="AS822" s="553">
        <f t="shared" si="374"/>
        <v>54.781797453181476</v>
      </c>
      <c r="AT822" s="553">
        <f t="shared" si="359"/>
        <v>3.9912310178872925</v>
      </c>
      <c r="AU822" s="553">
        <f t="shared" si="360"/>
        <v>4.0033579755124222</v>
      </c>
      <c r="AV822" s="556"/>
      <c r="AW822" s="556"/>
      <c r="AX822" s="553"/>
      <c r="AY822" s="553"/>
      <c r="AZ822" s="553"/>
      <c r="BA822" s="553"/>
      <c r="BB822" s="553"/>
      <c r="BC822" s="553"/>
      <c r="BD822" s="554"/>
      <c r="BE822" s="554"/>
    </row>
    <row r="823" spans="1:57" s="545" customFormat="1" x14ac:dyDescent="0.2">
      <c r="A823" s="549" t="s">
        <v>227</v>
      </c>
      <c r="B823" s="549" t="s">
        <v>260</v>
      </c>
      <c r="C823" s="549" t="s">
        <v>341</v>
      </c>
      <c r="D823" s="549" t="s">
        <v>262</v>
      </c>
      <c r="E823" s="551">
        <v>5.0999999999999996</v>
      </c>
      <c r="F823" s="545">
        <f t="shared" si="372"/>
        <v>11.8956</v>
      </c>
      <c r="G823" s="551">
        <v>6.9</v>
      </c>
      <c r="H823" s="551">
        <v>14</v>
      </c>
      <c r="I823" s="551">
        <v>12</v>
      </c>
      <c r="J823" s="551">
        <v>0.02</v>
      </c>
      <c r="K823" s="551">
        <v>7</v>
      </c>
      <c r="L823" s="551">
        <v>28</v>
      </c>
      <c r="M823" s="551" t="s">
        <v>104</v>
      </c>
      <c r="N823" s="551">
        <v>26</v>
      </c>
      <c r="O823" s="599">
        <f t="shared" si="351"/>
        <v>26.02</v>
      </c>
      <c r="P823" s="544" t="s">
        <v>248</v>
      </c>
      <c r="Q823" s="544"/>
      <c r="R823" s="552">
        <f t="shared" si="352"/>
        <v>1.6070680455632902</v>
      </c>
      <c r="S823" s="545">
        <v>1.47</v>
      </c>
      <c r="T823" s="545" t="s">
        <v>284</v>
      </c>
      <c r="U823" s="545">
        <v>7.35</v>
      </c>
      <c r="V823" s="545" t="s">
        <v>285</v>
      </c>
      <c r="W823" s="545">
        <v>0.65</v>
      </c>
      <c r="X823" s="545" t="s">
        <v>287</v>
      </c>
      <c r="Y823" s="545">
        <v>1.47</v>
      </c>
      <c r="Z823" s="545" t="s">
        <v>284</v>
      </c>
      <c r="AA823" s="545">
        <v>7.35</v>
      </c>
      <c r="AB823" s="545" t="s">
        <v>285</v>
      </c>
      <c r="AC823" s="545">
        <v>0.65</v>
      </c>
      <c r="AD823" s="545" t="s">
        <v>287</v>
      </c>
      <c r="AF823" s="553">
        <f t="shared" si="353"/>
        <v>3.2580965380214821</v>
      </c>
      <c r="AG823" s="553">
        <f t="shared" si="354"/>
        <v>3.2588654730843594</v>
      </c>
      <c r="AH823" s="554"/>
      <c r="AI823" s="554"/>
      <c r="AJ823" s="553"/>
      <c r="AK823" s="555">
        <f t="shared" si="355"/>
        <v>41.783769184645543</v>
      </c>
      <c r="AL823" s="555">
        <f t="shared" si="356"/>
        <v>41.803769184645546</v>
      </c>
      <c r="AM823" s="553">
        <f t="shared" si="357"/>
        <v>3.7325079671058536</v>
      </c>
      <c r="AN823" s="553">
        <f t="shared" si="358"/>
        <v>3.7329865073469435</v>
      </c>
      <c r="AO823" s="556"/>
      <c r="AP823" s="556"/>
      <c r="AR823" s="553">
        <f t="shared" si="373"/>
        <v>31.673916158089014</v>
      </c>
      <c r="AS823" s="553">
        <f t="shared" si="374"/>
        <v>31.689077028817607</v>
      </c>
      <c r="AT823" s="553">
        <f t="shared" si="359"/>
        <v>3.4554935080397322</v>
      </c>
      <c r="AU823" s="553">
        <f t="shared" si="360"/>
        <v>3.4559720482808216</v>
      </c>
      <c r="AV823" s="556"/>
      <c r="AW823" s="556"/>
      <c r="AX823" s="553"/>
      <c r="AY823" s="553"/>
      <c r="AZ823" s="553"/>
      <c r="BA823" s="553"/>
      <c r="BB823" s="553"/>
      <c r="BC823" s="553"/>
      <c r="BD823" s="554"/>
      <c r="BE823" s="554"/>
    </row>
    <row r="824" spans="1:57" s="545" customFormat="1" x14ac:dyDescent="0.2">
      <c r="A824" s="549" t="s">
        <v>227</v>
      </c>
      <c r="B824" s="549" t="s">
        <v>260</v>
      </c>
      <c r="C824" s="549" t="s">
        <v>341</v>
      </c>
      <c r="D824" s="549" t="s">
        <v>262</v>
      </c>
      <c r="E824" s="551">
        <v>5</v>
      </c>
      <c r="F824" s="545">
        <f t="shared" si="372"/>
        <v>9.1372</v>
      </c>
      <c r="G824" s="551">
        <v>5.3</v>
      </c>
      <c r="H824" s="551">
        <v>42</v>
      </c>
      <c r="I824" s="551">
        <v>25</v>
      </c>
      <c r="J824" s="551">
        <v>0.02</v>
      </c>
      <c r="K824" s="551">
        <v>7</v>
      </c>
      <c r="L824" s="551">
        <v>28</v>
      </c>
      <c r="M824" s="551" t="s">
        <v>104</v>
      </c>
      <c r="N824" s="551">
        <v>30</v>
      </c>
      <c r="O824" s="599">
        <f t="shared" si="351"/>
        <v>30.02</v>
      </c>
      <c r="P824" s="544" t="s">
        <v>248</v>
      </c>
      <c r="Q824" s="544"/>
      <c r="R824" s="552">
        <f t="shared" si="352"/>
        <v>2.617351588015056</v>
      </c>
      <c r="S824" s="545">
        <v>1.47</v>
      </c>
      <c r="T824" s="545" t="s">
        <v>284</v>
      </c>
      <c r="U824" s="545">
        <v>7.35</v>
      </c>
      <c r="V824" s="545" t="s">
        <v>285</v>
      </c>
      <c r="W824" s="545">
        <v>0.65</v>
      </c>
      <c r="X824" s="545" t="s">
        <v>287</v>
      </c>
      <c r="Y824" s="545">
        <v>1.47</v>
      </c>
      <c r="Z824" s="545" t="s">
        <v>284</v>
      </c>
      <c r="AA824" s="545">
        <v>7.35</v>
      </c>
      <c r="AB824" s="545" t="s">
        <v>285</v>
      </c>
      <c r="AC824" s="545">
        <v>0.65</v>
      </c>
      <c r="AD824" s="545" t="s">
        <v>287</v>
      </c>
      <c r="AF824" s="553">
        <f t="shared" si="353"/>
        <v>3.4011973816621555</v>
      </c>
      <c r="AG824" s="553">
        <f t="shared" si="354"/>
        <v>3.4018638262053158</v>
      </c>
      <c r="AH824" s="554"/>
      <c r="AI824" s="554"/>
      <c r="AJ824" s="553"/>
      <c r="AK824" s="555">
        <f t="shared" si="355"/>
        <v>78.520547640451682</v>
      </c>
      <c r="AL824" s="555">
        <f t="shared" si="356"/>
        <v>78.540547640451678</v>
      </c>
      <c r="AM824" s="553">
        <f t="shared" si="357"/>
        <v>4.3633603439184734</v>
      </c>
      <c r="AN824" s="553">
        <f t="shared" si="358"/>
        <v>4.3636150218840424</v>
      </c>
      <c r="AO824" s="556"/>
      <c r="AP824" s="556"/>
      <c r="AR824" s="553">
        <f t="shared" si="373"/>
        <v>49.680110242830843</v>
      </c>
      <c r="AS824" s="553">
        <f t="shared" si="374"/>
        <v>49.692764283521001</v>
      </c>
      <c r="AT824" s="553">
        <f t="shared" si="359"/>
        <v>3.9056046566813531</v>
      </c>
      <c r="AU824" s="553">
        <f t="shared" si="360"/>
        <v>3.9058593346469221</v>
      </c>
      <c r="AV824" s="556"/>
      <c r="AW824" s="556"/>
      <c r="AX824" s="553"/>
      <c r="AY824" s="553"/>
      <c r="AZ824" s="553"/>
      <c r="BA824" s="553"/>
      <c r="BB824" s="553"/>
      <c r="BC824" s="553"/>
      <c r="BD824" s="554"/>
      <c r="BE824" s="554"/>
    </row>
    <row r="825" spans="1:57" s="545" customFormat="1" x14ac:dyDescent="0.2">
      <c r="A825" s="549" t="s">
        <v>227</v>
      </c>
      <c r="B825" s="549" t="s">
        <v>260</v>
      </c>
      <c r="C825" s="549" t="s">
        <v>341</v>
      </c>
      <c r="D825" s="549" t="s">
        <v>262</v>
      </c>
      <c r="E825" s="551">
        <v>6.6</v>
      </c>
      <c r="F825" s="545">
        <f t="shared" si="372"/>
        <v>20.687999999999999</v>
      </c>
      <c r="G825" s="551">
        <v>12</v>
      </c>
      <c r="H825" s="551">
        <v>19</v>
      </c>
      <c r="I825" s="551">
        <v>42</v>
      </c>
      <c r="J825" s="551">
        <v>0.02</v>
      </c>
      <c r="K825" s="551">
        <v>7</v>
      </c>
      <c r="L825" s="551">
        <v>28</v>
      </c>
      <c r="M825" s="551" t="s">
        <v>104</v>
      </c>
      <c r="N825" s="551">
        <v>37</v>
      </c>
      <c r="O825" s="599">
        <f t="shared" si="351"/>
        <v>37.020000000000003</v>
      </c>
      <c r="P825" s="544" t="s">
        <v>248</v>
      </c>
      <c r="Q825" s="544"/>
      <c r="R825" s="552">
        <f t="shared" si="352"/>
        <v>1.7105021714920636</v>
      </c>
      <c r="S825" s="545">
        <v>1.47</v>
      </c>
      <c r="T825" s="545" t="s">
        <v>284</v>
      </c>
      <c r="U825" s="545">
        <v>7.35</v>
      </c>
      <c r="V825" s="545" t="s">
        <v>285</v>
      </c>
      <c r="W825" s="545">
        <v>0.65</v>
      </c>
      <c r="X825" s="545" t="s">
        <v>287</v>
      </c>
      <c r="Y825" s="545">
        <v>1.47</v>
      </c>
      <c r="Z825" s="545" t="s">
        <v>284</v>
      </c>
      <c r="AA825" s="545">
        <v>7.35</v>
      </c>
      <c r="AB825" s="545" t="s">
        <v>285</v>
      </c>
      <c r="AC825" s="545">
        <v>0.65</v>
      </c>
      <c r="AD825" s="545" t="s">
        <v>287</v>
      </c>
      <c r="AF825" s="553">
        <f t="shared" si="353"/>
        <v>3.6109179126442243</v>
      </c>
      <c r="AG825" s="553">
        <f t="shared" si="354"/>
        <v>3.6114583071453517</v>
      </c>
      <c r="AH825" s="554"/>
      <c r="AI825" s="554"/>
      <c r="AJ825" s="553"/>
      <c r="AK825" s="555">
        <f t="shared" si="355"/>
        <v>63.288580345206356</v>
      </c>
      <c r="AL825" s="555">
        <f t="shared" si="356"/>
        <v>63.308580345206359</v>
      </c>
      <c r="AM825" s="553">
        <f t="shared" si="357"/>
        <v>4.1477049075861396</v>
      </c>
      <c r="AN825" s="553">
        <f t="shared" si="358"/>
        <v>4.1480208704411883</v>
      </c>
      <c r="AO825" s="556"/>
      <c r="AP825" s="556"/>
      <c r="AR825" s="553">
        <f t="shared" si="373"/>
        <v>2.6213045738808711</v>
      </c>
      <c r="AS825" s="553">
        <f t="shared" si="374"/>
        <v>2.6221329396174959</v>
      </c>
      <c r="AT825" s="553">
        <f t="shared" si="359"/>
        <v>0.96367212280968007</v>
      </c>
      <c r="AU825" s="553">
        <f t="shared" si="360"/>
        <v>0.96398808566472838</v>
      </c>
      <c r="AV825" s="556"/>
      <c r="AW825" s="556"/>
      <c r="AX825" s="553"/>
      <c r="AY825" s="553"/>
      <c r="AZ825" s="553"/>
      <c r="BA825" s="553"/>
      <c r="BB825" s="553"/>
      <c r="BC825" s="553"/>
      <c r="BD825" s="554"/>
      <c r="BE825" s="554"/>
    </row>
    <row r="826" spans="1:57" s="545" customFormat="1" x14ac:dyDescent="0.2">
      <c r="A826" s="549" t="s">
        <v>227</v>
      </c>
      <c r="B826" s="549" t="s">
        <v>260</v>
      </c>
      <c r="C826" s="549" t="s">
        <v>341</v>
      </c>
      <c r="D826" s="549" t="s">
        <v>262</v>
      </c>
      <c r="E826" s="551">
        <v>8</v>
      </c>
      <c r="F826" s="545">
        <f t="shared" si="372"/>
        <v>3.1032000000000002</v>
      </c>
      <c r="G826" s="551">
        <v>1.8</v>
      </c>
      <c r="H826" s="551">
        <v>12</v>
      </c>
      <c r="I826" s="551">
        <v>13</v>
      </c>
      <c r="J826" s="551">
        <v>0.02</v>
      </c>
      <c r="K826" s="551">
        <v>7</v>
      </c>
      <c r="L826" s="551">
        <v>28</v>
      </c>
      <c r="M826" s="551" t="s">
        <v>104</v>
      </c>
      <c r="N826" s="551">
        <v>85</v>
      </c>
      <c r="O826" s="599">
        <f t="shared" si="351"/>
        <v>85.02</v>
      </c>
      <c r="P826" s="544" t="s">
        <v>248</v>
      </c>
      <c r="Q826" s="544"/>
      <c r="R826" s="552">
        <f t="shared" si="352"/>
        <v>2.1574209985336794</v>
      </c>
      <c r="S826" s="545">
        <v>1.47</v>
      </c>
      <c r="T826" s="545" t="s">
        <v>284</v>
      </c>
      <c r="U826" s="545">
        <v>7.35</v>
      </c>
      <c r="V826" s="545" t="s">
        <v>285</v>
      </c>
      <c r="W826" s="545">
        <v>0.65</v>
      </c>
      <c r="X826" s="545" t="s">
        <v>287</v>
      </c>
      <c r="Y826" s="545">
        <v>1.47</v>
      </c>
      <c r="Z826" s="545" t="s">
        <v>284</v>
      </c>
      <c r="AA826" s="545">
        <v>7.35</v>
      </c>
      <c r="AB826" s="545" t="s">
        <v>285</v>
      </c>
      <c r="AC826" s="545">
        <v>0.65</v>
      </c>
      <c r="AD826" s="545" t="s">
        <v>287</v>
      </c>
      <c r="AF826" s="553">
        <f t="shared" si="353"/>
        <v>4.4426512564903167</v>
      </c>
      <c r="AG826" s="553">
        <f t="shared" si="354"/>
        <v>4.4428865229306442</v>
      </c>
      <c r="AH826" s="554"/>
      <c r="AI826" s="554"/>
      <c r="AJ826" s="553"/>
      <c r="AK826" s="555">
        <f t="shared" si="355"/>
        <v>183.38078487536276</v>
      </c>
      <c r="AL826" s="555">
        <f t="shared" si="356"/>
        <v>183.40078487536277</v>
      </c>
      <c r="AM826" s="553">
        <f t="shared" si="357"/>
        <v>5.2115647826614708</v>
      </c>
      <c r="AN826" s="553">
        <f t="shared" si="358"/>
        <v>5.2116738393953375</v>
      </c>
      <c r="AO826" s="556"/>
      <c r="AP826" s="556"/>
      <c r="AR826" s="553">
        <f t="shared" si="373"/>
        <v>40.490240866023832</v>
      </c>
      <c r="AS826" s="553">
        <f t="shared" si="374"/>
        <v>40.49465684023766</v>
      </c>
      <c r="AT826" s="553">
        <f t="shared" si="359"/>
        <v>3.7010609788044402</v>
      </c>
      <c r="AU826" s="553">
        <f t="shared" si="360"/>
        <v>3.7011700355383077</v>
      </c>
      <c r="AV826" s="556"/>
      <c r="AW826" s="556"/>
      <c r="AX826" s="553"/>
      <c r="AY826" s="553"/>
      <c r="AZ826" s="553"/>
      <c r="BA826" s="553"/>
      <c r="BB826" s="553"/>
      <c r="BC826" s="553"/>
      <c r="BD826" s="554"/>
      <c r="BE826" s="554"/>
    </row>
    <row r="827" spans="1:57" s="545" customFormat="1" x14ac:dyDescent="0.2">
      <c r="A827" s="549" t="s">
        <v>263</v>
      </c>
      <c r="B827" s="549" t="s">
        <v>260</v>
      </c>
      <c r="C827" s="549" t="s">
        <v>341</v>
      </c>
      <c r="D827" s="549" t="s">
        <v>262</v>
      </c>
      <c r="E827" s="551">
        <v>7.3</v>
      </c>
      <c r="F827" s="545">
        <f t="shared" si="372"/>
        <v>2.2412000000000001</v>
      </c>
      <c r="G827" s="551">
        <v>1.3</v>
      </c>
      <c r="H827" s="551">
        <v>11</v>
      </c>
      <c r="I827" s="551">
        <v>15.3</v>
      </c>
      <c r="J827" s="551">
        <v>0.04</v>
      </c>
      <c r="K827" s="551"/>
      <c r="L827" s="551"/>
      <c r="M827" s="551"/>
      <c r="N827" s="551">
        <v>0.26</v>
      </c>
      <c r="O827" s="599">
        <f t="shared" si="351"/>
        <v>0.3</v>
      </c>
      <c r="R827" s="552">
        <f t="shared" si="352"/>
        <v>2.9766608170538085</v>
      </c>
      <c r="S827" s="545">
        <v>1.47</v>
      </c>
      <c r="T827" s="545" t="s">
        <v>284</v>
      </c>
      <c r="U827" s="545">
        <v>7.35</v>
      </c>
      <c r="V827" s="545" t="s">
        <v>285</v>
      </c>
      <c r="W827" s="545">
        <v>0.65</v>
      </c>
      <c r="X827" s="545" t="s">
        <v>287</v>
      </c>
      <c r="Y827" s="545">
        <v>1.47</v>
      </c>
      <c r="Z827" s="545" t="s">
        <v>284</v>
      </c>
      <c r="AA827" s="545">
        <v>7.35</v>
      </c>
      <c r="AB827" s="545" t="s">
        <v>285</v>
      </c>
      <c r="AC827" s="545">
        <v>0.65</v>
      </c>
      <c r="AD827" s="545" t="s">
        <v>287</v>
      </c>
      <c r="AF827" s="553">
        <f t="shared" si="353"/>
        <v>-1.3470736479666092</v>
      </c>
      <c r="AG827" s="553">
        <f t="shared" si="354"/>
        <v>-1.2039728043259361</v>
      </c>
      <c r="AH827" s="554"/>
      <c r="AI827" s="554"/>
      <c r="AJ827" s="553"/>
      <c r="AK827" s="555">
        <f t="shared" si="355"/>
        <v>0.77393181243399023</v>
      </c>
      <c r="AL827" s="555">
        <f t="shared" si="356"/>
        <v>0.81393181243399026</v>
      </c>
      <c r="AM827" s="553">
        <f t="shared" si="357"/>
        <v>-0.25627150690373768</v>
      </c>
      <c r="AN827" s="553">
        <f t="shared" si="358"/>
        <v>-0.20587868499698569</v>
      </c>
      <c r="AO827" s="556"/>
      <c r="AP827" s="556"/>
      <c r="AR827" s="553">
        <f t="shared" si="373"/>
        <v>0.57187884775155806</v>
      </c>
      <c r="AS827" s="553">
        <f t="shared" si="374"/>
        <v>0.60143591407516706</v>
      </c>
      <c r="AT827" s="553">
        <f t="shared" si="359"/>
        <v>-0.55882811466625082</v>
      </c>
      <c r="AU827" s="553">
        <f t="shared" si="360"/>
        <v>-0.50843529275949884</v>
      </c>
      <c r="AV827" s="556"/>
      <c r="AW827" s="556"/>
      <c r="AX827" s="553"/>
      <c r="AY827" s="553"/>
      <c r="AZ827" s="553"/>
      <c r="BA827" s="553"/>
      <c r="BB827" s="553"/>
      <c r="BC827" s="553"/>
      <c r="BD827" s="554"/>
      <c r="BE827" s="554"/>
    </row>
    <row r="828" spans="1:57" s="545" customFormat="1" x14ac:dyDescent="0.2">
      <c r="A828" s="549" t="s">
        <v>227</v>
      </c>
      <c r="B828" s="549" t="s">
        <v>260</v>
      </c>
      <c r="C828" s="549" t="s">
        <v>341</v>
      </c>
      <c r="D828" s="629" t="s">
        <v>303</v>
      </c>
      <c r="E828" s="551">
        <v>7.1</v>
      </c>
      <c r="F828" s="545">
        <f t="shared" si="372"/>
        <v>3.2755999999999998</v>
      </c>
      <c r="G828" s="551">
        <v>1.9</v>
      </c>
      <c r="H828" s="551">
        <v>30</v>
      </c>
      <c r="I828" s="551">
        <v>27</v>
      </c>
      <c r="J828" s="551">
        <v>0.02</v>
      </c>
      <c r="K828" s="551">
        <v>7</v>
      </c>
      <c r="L828" s="551">
        <v>14</v>
      </c>
      <c r="M828" s="551" t="s">
        <v>104</v>
      </c>
      <c r="N828" s="551">
        <v>36</v>
      </c>
      <c r="O828" s="599">
        <f t="shared" si="351"/>
        <v>36.020000000000003</v>
      </c>
      <c r="P828" s="544" t="s">
        <v>248</v>
      </c>
      <c r="Q828" s="544"/>
      <c r="R828" s="552">
        <f t="shared" si="352"/>
        <v>3.2801435493616093</v>
      </c>
      <c r="S828" s="545">
        <v>1.71</v>
      </c>
      <c r="T828" s="545" t="s">
        <v>284</v>
      </c>
      <c r="U828" s="545">
        <v>7.62</v>
      </c>
      <c r="V828" s="545" t="s">
        <v>285</v>
      </c>
      <c r="Y828" s="545">
        <v>1.71</v>
      </c>
      <c r="Z828" s="545" t="s">
        <v>284</v>
      </c>
      <c r="AA828" s="545">
        <v>7.62</v>
      </c>
      <c r="AB828" s="545" t="s">
        <v>285</v>
      </c>
      <c r="AF828" s="553">
        <f t="shared" si="353"/>
        <v>3.5835189384561099</v>
      </c>
      <c r="AG828" s="553">
        <f t="shared" si="354"/>
        <v>3.5840743397478101</v>
      </c>
      <c r="AH828" s="554"/>
      <c r="AI828" s="554"/>
      <c r="AJ828" s="553"/>
      <c r="AK828" s="555">
        <f t="shared" si="355"/>
        <v>118.08516777701794</v>
      </c>
      <c r="AL828" s="555">
        <f t="shared" si="356"/>
        <v>118.10516777701794</v>
      </c>
      <c r="AM828" s="553">
        <f t="shared" si="357"/>
        <v>4.7714061249437716</v>
      </c>
      <c r="AN828" s="553">
        <f t="shared" si="358"/>
        <v>4.771575479883726</v>
      </c>
      <c r="AO828" s="556"/>
      <c r="AP828" s="556"/>
      <c r="AR828" s="553">
        <f t="shared" ref="AR828:AR833" si="375">AK828*((OC/G828)^S828)*((pH/E828)^U828)</f>
        <v>64.213844329348632</v>
      </c>
      <c r="AS828" s="553">
        <f t="shared" ref="AS828:AS833" si="376">AL828*((OC/G828)^Y828)*((pH/E828)^AA828)</f>
        <v>64.224720182012959</v>
      </c>
      <c r="AT828" s="553">
        <f t="shared" si="359"/>
        <v>4.1622188312074666</v>
      </c>
      <c r="AU828" s="553">
        <f t="shared" si="360"/>
        <v>4.162388186147421</v>
      </c>
      <c r="AV828" s="556"/>
      <c r="AW828" s="556"/>
      <c r="AX828" s="547">
        <f>GEOMEAN(AR828:AR833)</f>
        <v>37.963562241757415</v>
      </c>
      <c r="AY828" s="547">
        <f>GEOMEAN(AS828:AS833)</f>
        <v>38.01552336412616</v>
      </c>
      <c r="AZ828" s="553"/>
      <c r="BA828" s="553"/>
      <c r="BB828" s="553"/>
      <c r="BC828" s="553"/>
      <c r="BD828" s="554"/>
      <c r="BE828" s="554"/>
    </row>
    <row r="829" spans="1:57" s="545" customFormat="1" x14ac:dyDescent="0.2">
      <c r="A829" s="549" t="s">
        <v>227</v>
      </c>
      <c r="B829" s="549" t="s">
        <v>260</v>
      </c>
      <c r="C829" s="549" t="s">
        <v>341</v>
      </c>
      <c r="D829" s="629" t="s">
        <v>303</v>
      </c>
      <c r="E829" s="551">
        <v>4.5999999999999996</v>
      </c>
      <c r="F829" s="545">
        <f t="shared" si="372"/>
        <v>3.2755999999999998</v>
      </c>
      <c r="G829" s="551">
        <v>1.9</v>
      </c>
      <c r="H829" s="551">
        <v>2.5</v>
      </c>
      <c r="I829" s="551">
        <v>6.4</v>
      </c>
      <c r="J829" s="551">
        <v>0.02</v>
      </c>
      <c r="K829" s="551">
        <v>7</v>
      </c>
      <c r="L829" s="551">
        <v>14</v>
      </c>
      <c r="M829" s="551" t="s">
        <v>104</v>
      </c>
      <c r="N829" s="551">
        <v>1.2</v>
      </c>
      <c r="O829" s="599">
        <f t="shared" si="351"/>
        <v>1.22</v>
      </c>
      <c r="P829" s="544" t="s">
        <v>248</v>
      </c>
      <c r="Q829" s="544"/>
      <c r="R829" s="552">
        <f t="shared" si="352"/>
        <v>2.5219053467258976</v>
      </c>
      <c r="S829" s="545">
        <v>1.71</v>
      </c>
      <c r="T829" s="545" t="s">
        <v>284</v>
      </c>
      <c r="U829" s="545">
        <v>7.62</v>
      </c>
      <c r="V829" s="545" t="s">
        <v>285</v>
      </c>
      <c r="Y829" s="545">
        <v>1.71</v>
      </c>
      <c r="Z829" s="545" t="s">
        <v>284</v>
      </c>
      <c r="AA829" s="545">
        <v>7.62</v>
      </c>
      <c r="AB829" s="545" t="s">
        <v>285</v>
      </c>
      <c r="AF829" s="553">
        <f t="shared" si="353"/>
        <v>0.18232155679395459</v>
      </c>
      <c r="AG829" s="553">
        <f t="shared" si="354"/>
        <v>0.19885085874516517</v>
      </c>
      <c r="AH829" s="554"/>
      <c r="AI829" s="554"/>
      <c r="AJ829" s="553"/>
      <c r="AK829" s="555">
        <f t="shared" si="355"/>
        <v>3.026286416071077</v>
      </c>
      <c r="AL829" s="555">
        <f t="shared" si="356"/>
        <v>3.046286416071077</v>
      </c>
      <c r="AM829" s="553">
        <f t="shared" si="357"/>
        <v>1.1073362625958558</v>
      </c>
      <c r="AN829" s="553">
        <f t="shared" si="358"/>
        <v>1.1139232802792856</v>
      </c>
      <c r="AO829" s="556"/>
      <c r="AP829" s="556"/>
      <c r="AR829" s="553">
        <f t="shared" si="375"/>
        <v>44.948715785600619</v>
      </c>
      <c r="AS829" s="553">
        <f t="shared" si="376"/>
        <v>45.245771051400325</v>
      </c>
      <c r="AT829" s="553">
        <f t="shared" si="359"/>
        <v>3.8055221906674706</v>
      </c>
      <c r="AU829" s="553">
        <f t="shared" si="360"/>
        <v>3.8121092083509005</v>
      </c>
      <c r="AV829" s="556"/>
      <c r="AW829" s="556"/>
      <c r="AX829" s="553"/>
      <c r="AY829" s="553"/>
      <c r="AZ829" s="553"/>
      <c r="BA829" s="553"/>
      <c r="BB829" s="553"/>
      <c r="BC829" s="553"/>
      <c r="BD829" s="554"/>
      <c r="BE829" s="554"/>
    </row>
    <row r="830" spans="1:57" s="545" customFormat="1" x14ac:dyDescent="0.2">
      <c r="A830" s="549" t="s">
        <v>227</v>
      </c>
      <c r="B830" s="549" t="s">
        <v>260</v>
      </c>
      <c r="C830" s="549" t="s">
        <v>341</v>
      </c>
      <c r="D830" s="629" t="s">
        <v>303</v>
      </c>
      <c r="E830" s="551">
        <v>5.0999999999999996</v>
      </c>
      <c r="F830" s="545">
        <f t="shared" si="372"/>
        <v>11.8956</v>
      </c>
      <c r="G830" s="551">
        <v>6.9</v>
      </c>
      <c r="H830" s="551">
        <v>14</v>
      </c>
      <c r="I830" s="551">
        <v>12</v>
      </c>
      <c r="J830" s="551">
        <v>0.02</v>
      </c>
      <c r="K830" s="551">
        <v>7</v>
      </c>
      <c r="L830" s="551">
        <v>14</v>
      </c>
      <c r="M830" s="551" t="s">
        <v>104</v>
      </c>
      <c r="N830" s="551">
        <v>14</v>
      </c>
      <c r="O830" s="599">
        <f t="shared" si="351"/>
        <v>14.02</v>
      </c>
      <c r="P830" s="544" t="s">
        <v>248</v>
      </c>
      <c r="Q830" s="544"/>
      <c r="R830" s="552">
        <f t="shared" si="352"/>
        <v>1.6070680455632902</v>
      </c>
      <c r="S830" s="545">
        <v>1.71</v>
      </c>
      <c r="T830" s="545" t="s">
        <v>284</v>
      </c>
      <c r="U830" s="545">
        <v>7.62</v>
      </c>
      <c r="V830" s="545" t="s">
        <v>285</v>
      </c>
      <c r="Y830" s="545">
        <v>1.71</v>
      </c>
      <c r="Z830" s="545" t="s">
        <v>284</v>
      </c>
      <c r="AA830" s="545">
        <v>7.62</v>
      </c>
      <c r="AB830" s="545" t="s">
        <v>285</v>
      </c>
      <c r="AF830" s="553">
        <f t="shared" si="353"/>
        <v>2.6390573296152584</v>
      </c>
      <c r="AG830" s="553">
        <f t="shared" si="354"/>
        <v>2.6404848816064441</v>
      </c>
      <c r="AH830" s="554"/>
      <c r="AI830" s="554"/>
      <c r="AJ830" s="553"/>
      <c r="AK830" s="555">
        <f t="shared" si="355"/>
        <v>22.498952637886063</v>
      </c>
      <c r="AL830" s="555">
        <f t="shared" si="356"/>
        <v>22.518952637886063</v>
      </c>
      <c r="AM830" s="553">
        <f t="shared" si="357"/>
        <v>3.1134687586996304</v>
      </c>
      <c r="AN830" s="553">
        <f t="shared" si="358"/>
        <v>3.1143572941031903</v>
      </c>
      <c r="AO830" s="556"/>
      <c r="AP830" s="556"/>
      <c r="AR830" s="553">
        <f t="shared" si="375"/>
        <v>16.777846209328512</v>
      </c>
      <c r="AS830" s="553">
        <f t="shared" si="376"/>
        <v>16.792760544657234</v>
      </c>
      <c r="AT830" s="553">
        <f t="shared" si="359"/>
        <v>2.8200593381720864</v>
      </c>
      <c r="AU830" s="553">
        <f t="shared" si="360"/>
        <v>2.8209478735756464</v>
      </c>
      <c r="AV830" s="556"/>
      <c r="AW830" s="556"/>
      <c r="AX830" s="553"/>
      <c r="AY830" s="553"/>
      <c r="AZ830" s="553"/>
      <c r="BA830" s="553"/>
      <c r="BB830" s="553"/>
      <c r="BC830" s="553"/>
      <c r="BD830" s="554"/>
      <c r="BE830" s="554"/>
    </row>
    <row r="831" spans="1:57" s="545" customFormat="1" x14ac:dyDescent="0.2">
      <c r="A831" s="549" t="s">
        <v>227</v>
      </c>
      <c r="B831" s="549" t="s">
        <v>260</v>
      </c>
      <c r="C831" s="549" t="s">
        <v>341</v>
      </c>
      <c r="D831" s="629" t="s">
        <v>303</v>
      </c>
      <c r="E831" s="551">
        <v>5</v>
      </c>
      <c r="F831" s="545">
        <f t="shared" si="372"/>
        <v>9.1372</v>
      </c>
      <c r="G831" s="551">
        <v>5.3</v>
      </c>
      <c r="H831" s="551">
        <v>42</v>
      </c>
      <c r="I831" s="551">
        <v>25</v>
      </c>
      <c r="J831" s="551">
        <v>0.02</v>
      </c>
      <c r="K831" s="551">
        <v>7</v>
      </c>
      <c r="L831" s="551">
        <v>14</v>
      </c>
      <c r="M831" s="551" t="s">
        <v>104</v>
      </c>
      <c r="N831" s="551">
        <v>26</v>
      </c>
      <c r="O831" s="599">
        <f t="shared" si="351"/>
        <v>26.02</v>
      </c>
      <c r="P831" s="544" t="s">
        <v>248</v>
      </c>
      <c r="Q831" s="544"/>
      <c r="R831" s="552">
        <f t="shared" si="352"/>
        <v>2.617351588015056</v>
      </c>
      <c r="S831" s="545">
        <v>1.71</v>
      </c>
      <c r="T831" s="545" t="s">
        <v>284</v>
      </c>
      <c r="U831" s="545">
        <v>7.62</v>
      </c>
      <c r="V831" s="545" t="s">
        <v>285</v>
      </c>
      <c r="Y831" s="545">
        <v>1.71</v>
      </c>
      <c r="Z831" s="545" t="s">
        <v>284</v>
      </c>
      <c r="AA831" s="545">
        <v>7.62</v>
      </c>
      <c r="AB831" s="545" t="s">
        <v>285</v>
      </c>
      <c r="AF831" s="553">
        <f t="shared" si="353"/>
        <v>3.2580965380214821</v>
      </c>
      <c r="AG831" s="553">
        <f t="shared" si="354"/>
        <v>3.2588654730843594</v>
      </c>
      <c r="AH831" s="554"/>
      <c r="AI831" s="554"/>
      <c r="AJ831" s="553"/>
      <c r="AK831" s="555">
        <f t="shared" si="355"/>
        <v>68.051141288391449</v>
      </c>
      <c r="AL831" s="555">
        <f t="shared" si="356"/>
        <v>68.071141288391445</v>
      </c>
      <c r="AM831" s="553">
        <f t="shared" si="357"/>
        <v>4.2202595002778001</v>
      </c>
      <c r="AN831" s="553">
        <f t="shared" si="358"/>
        <v>4.2205533537125985</v>
      </c>
      <c r="AO831" s="556"/>
      <c r="AP831" s="556"/>
      <c r="AR831" s="553">
        <f t="shared" si="375"/>
        <v>92.653715126662902</v>
      </c>
      <c r="AS831" s="553">
        <f t="shared" si="376"/>
        <v>92.680945739808379</v>
      </c>
      <c r="AT831" s="553">
        <f t="shared" si="359"/>
        <v>4.5288690504343299</v>
      </c>
      <c r="AU831" s="553">
        <f t="shared" si="360"/>
        <v>4.5291629038691292</v>
      </c>
      <c r="AV831" s="556"/>
      <c r="AW831" s="556"/>
      <c r="AX831" s="553"/>
      <c r="AY831" s="553"/>
      <c r="AZ831" s="553"/>
      <c r="BA831" s="553"/>
      <c r="BB831" s="553"/>
      <c r="BC831" s="553"/>
      <c r="BD831" s="554"/>
      <c r="BE831" s="554"/>
    </row>
    <row r="832" spans="1:57" s="545" customFormat="1" x14ac:dyDescent="0.2">
      <c r="A832" s="549" t="s">
        <v>227</v>
      </c>
      <c r="B832" s="549" t="s">
        <v>260</v>
      </c>
      <c r="C832" s="549" t="s">
        <v>341</v>
      </c>
      <c r="D832" s="629" t="s">
        <v>303</v>
      </c>
      <c r="E832" s="551">
        <v>6.6</v>
      </c>
      <c r="F832" s="545">
        <f t="shared" si="372"/>
        <v>20.687999999999999</v>
      </c>
      <c r="G832" s="551">
        <v>12</v>
      </c>
      <c r="H832" s="551">
        <v>19</v>
      </c>
      <c r="I832" s="551">
        <v>42</v>
      </c>
      <c r="J832" s="551">
        <v>0.02</v>
      </c>
      <c r="K832" s="551">
        <v>7</v>
      </c>
      <c r="L832" s="551">
        <v>14</v>
      </c>
      <c r="M832" s="551" t="s">
        <v>104</v>
      </c>
      <c r="N832" s="551">
        <v>488</v>
      </c>
      <c r="O832" s="599">
        <f t="shared" si="351"/>
        <v>488.02</v>
      </c>
      <c r="P832" s="544" t="s">
        <v>248</v>
      </c>
      <c r="Q832" s="544"/>
      <c r="R832" s="552">
        <f t="shared" si="352"/>
        <v>1.7105021714920636</v>
      </c>
      <c r="S832" s="545">
        <v>1.71</v>
      </c>
      <c r="T832" s="545" t="s">
        <v>284</v>
      </c>
      <c r="U832" s="545">
        <v>7.62</v>
      </c>
      <c r="V832" s="545" t="s">
        <v>285</v>
      </c>
      <c r="Y832" s="545">
        <v>1.71</v>
      </c>
      <c r="Z832" s="545" t="s">
        <v>284</v>
      </c>
      <c r="AA832" s="545">
        <v>7.62</v>
      </c>
      <c r="AB832" s="545" t="s">
        <v>285</v>
      </c>
      <c r="AF832" s="553">
        <f t="shared" si="353"/>
        <v>6.1903154058531475</v>
      </c>
      <c r="AG832" s="553">
        <f t="shared" si="354"/>
        <v>6.1903563886198993</v>
      </c>
      <c r="AH832" s="554"/>
      <c r="AI832" s="554"/>
      <c r="AJ832" s="553"/>
      <c r="AK832" s="555">
        <f t="shared" si="355"/>
        <v>834.72505968812709</v>
      </c>
      <c r="AL832" s="555">
        <f t="shared" si="356"/>
        <v>834.74505968812707</v>
      </c>
      <c r="AM832" s="553">
        <f t="shared" si="357"/>
        <v>6.7271024007950624</v>
      </c>
      <c r="AN832" s="553">
        <f t="shared" si="358"/>
        <v>6.7271263604931351</v>
      </c>
      <c r="AO832" s="556"/>
      <c r="AP832" s="556"/>
      <c r="AR832" s="553">
        <f t="shared" si="375"/>
        <v>33.87734188983503</v>
      </c>
      <c r="AS832" s="553">
        <f t="shared" si="376"/>
        <v>33.878153590442231</v>
      </c>
      <c r="AT832" s="553">
        <f t="shared" si="359"/>
        <v>3.5227464100895327</v>
      </c>
      <c r="AU832" s="553">
        <f t="shared" si="360"/>
        <v>3.5227703697876058</v>
      </c>
      <c r="AV832" s="556"/>
      <c r="AW832" s="556"/>
      <c r="AX832" s="553"/>
      <c r="AY832" s="553"/>
      <c r="AZ832" s="553"/>
      <c r="BA832" s="553"/>
      <c r="BB832" s="553"/>
      <c r="BC832" s="553"/>
      <c r="BD832" s="554"/>
      <c r="BE832" s="554"/>
    </row>
    <row r="833" spans="1:62" s="633" customFormat="1" ht="13.5" thickBot="1" x14ac:dyDescent="0.25">
      <c r="A833" s="630" t="s">
        <v>227</v>
      </c>
      <c r="B833" s="630" t="s">
        <v>260</v>
      </c>
      <c r="C833" s="630" t="s">
        <v>341</v>
      </c>
      <c r="D833" s="631" t="s">
        <v>303</v>
      </c>
      <c r="E833" s="632">
        <v>8</v>
      </c>
      <c r="F833" s="633">
        <f t="shared" si="372"/>
        <v>3.1032000000000002</v>
      </c>
      <c r="G833" s="632">
        <v>1.8</v>
      </c>
      <c r="H833" s="632">
        <v>12</v>
      </c>
      <c r="I833" s="632">
        <v>13</v>
      </c>
      <c r="J833" s="632">
        <v>0.02</v>
      </c>
      <c r="K833" s="632">
        <v>7</v>
      </c>
      <c r="L833" s="632">
        <v>14</v>
      </c>
      <c r="M833" s="632" t="s">
        <v>104</v>
      </c>
      <c r="N833" s="632">
        <v>38</v>
      </c>
      <c r="O833" s="634">
        <f t="shared" si="351"/>
        <v>38.020000000000003</v>
      </c>
      <c r="P833" s="635" t="s">
        <v>248</v>
      </c>
      <c r="Q833" s="635"/>
      <c r="R833" s="636">
        <f t="shared" si="352"/>
        <v>2.1574209985336794</v>
      </c>
      <c r="S833" s="633">
        <v>1.71</v>
      </c>
      <c r="T833" s="633" t="s">
        <v>284</v>
      </c>
      <c r="U833" s="633">
        <v>7.62</v>
      </c>
      <c r="V833" s="633" t="s">
        <v>285</v>
      </c>
      <c r="Y833" s="633">
        <v>1.71</v>
      </c>
      <c r="Z833" s="633" t="s">
        <v>284</v>
      </c>
      <c r="AA833" s="633">
        <v>7.62</v>
      </c>
      <c r="AB833" s="633" t="s">
        <v>285</v>
      </c>
      <c r="AF833" s="637">
        <f t="shared" si="353"/>
        <v>3.6375861597263857</v>
      </c>
      <c r="AG833" s="637">
        <f t="shared" si="354"/>
        <v>3.6381123370602833</v>
      </c>
      <c r="AH833" s="638"/>
      <c r="AI833" s="638"/>
      <c r="AJ833" s="637"/>
      <c r="AK833" s="639">
        <f t="shared" si="355"/>
        <v>81.981997944279811</v>
      </c>
      <c r="AL833" s="639">
        <f t="shared" si="356"/>
        <v>82.001997944279807</v>
      </c>
      <c r="AM833" s="637">
        <f t="shared" si="357"/>
        <v>4.4064996858975398</v>
      </c>
      <c r="AN833" s="637">
        <f t="shared" si="358"/>
        <v>4.4067436121415708</v>
      </c>
      <c r="AO833" s="640"/>
      <c r="AP833" s="640"/>
      <c r="AR833" s="637">
        <f t="shared" si="375"/>
        <v>19.69461104630853</v>
      </c>
      <c r="AS833" s="637">
        <f t="shared" si="376"/>
        <v>19.699415664771156</v>
      </c>
      <c r="AT833" s="637">
        <f t="shared" si="359"/>
        <v>2.9803450473732518</v>
      </c>
      <c r="AU833" s="637">
        <f t="shared" si="360"/>
        <v>2.9805889736172828</v>
      </c>
      <c r="AV833" s="640"/>
      <c r="AW833" s="640"/>
      <c r="AX833" s="637"/>
      <c r="AY833" s="637"/>
      <c r="AZ833" s="637"/>
      <c r="BA833" s="637"/>
      <c r="BB833" s="637"/>
      <c r="BC833" s="637"/>
      <c r="BD833" s="638"/>
      <c r="BE833" s="638"/>
    </row>
    <row r="834" spans="1:62" s="544" customFormat="1" x14ac:dyDescent="0.2">
      <c r="A834" s="541"/>
      <c r="B834" s="541"/>
      <c r="C834" s="542"/>
      <c r="D834" s="541"/>
      <c r="E834" s="543"/>
      <c r="G834" s="543"/>
      <c r="H834" s="543"/>
      <c r="I834" s="543"/>
      <c r="J834" s="543"/>
      <c r="K834" s="543"/>
      <c r="L834" s="543"/>
      <c r="M834" s="543"/>
      <c r="N834" s="543"/>
      <c r="O834" s="591"/>
      <c r="R834" s="546"/>
      <c r="AH834" s="567"/>
      <c r="AI834" s="567"/>
      <c r="AO834" s="567"/>
      <c r="AP834" s="567"/>
      <c r="AR834" s="548"/>
      <c r="AS834" s="548"/>
      <c r="AV834" s="567"/>
      <c r="AW834" s="567"/>
      <c r="BD834" s="567"/>
      <c r="BE834" s="567"/>
    </row>
    <row r="835" spans="1:62" s="272" customFormat="1" x14ac:dyDescent="0.2">
      <c r="A835" s="143" t="s">
        <v>305</v>
      </c>
      <c r="B835" s="266"/>
      <c r="C835" s="266"/>
      <c r="D835" s="266"/>
      <c r="E835" s="267"/>
      <c r="F835" s="267"/>
      <c r="G835" s="267"/>
      <c r="H835" s="267"/>
      <c r="I835" s="267"/>
      <c r="J835" s="267"/>
      <c r="K835" s="267"/>
      <c r="L835" s="267"/>
      <c r="M835" s="267"/>
      <c r="N835" s="267"/>
      <c r="O835" s="267"/>
      <c r="P835" s="267"/>
      <c r="Q835" s="267"/>
      <c r="R835" s="267"/>
      <c r="S835" s="268"/>
      <c r="T835" s="269"/>
      <c r="U835" s="268"/>
      <c r="V835" s="269"/>
      <c r="W835" s="268"/>
      <c r="X835" s="269"/>
      <c r="Y835" s="268"/>
      <c r="Z835" s="269"/>
      <c r="AA835" s="268"/>
      <c r="AB835" s="269"/>
      <c r="AC835" s="268"/>
      <c r="AD835" s="269"/>
      <c r="AE835" s="270"/>
      <c r="AF835" s="271"/>
      <c r="AG835" s="271"/>
      <c r="AH835" s="155">
        <f>LOGINV(0.05,AVERAGE(AF836:AF870),STDEV(AF836:AF870))</f>
        <v>4.1453879994294613</v>
      </c>
      <c r="AI835" s="155">
        <f>LOGINV(0.05,AVERAGE(AG836:AG870),STDEV(AG836:AG870))</f>
        <v>17.270462269328156</v>
      </c>
      <c r="AJ835" s="271"/>
      <c r="AK835" s="271"/>
      <c r="AL835" s="271"/>
      <c r="AM835" s="271"/>
      <c r="AN835" s="271"/>
      <c r="AO835" s="155">
        <f>LOGINV(0.05,AVERAGE(AM836:AM870),STDEV(AM836:AM870))</f>
        <v>6.1254952293654172</v>
      </c>
      <c r="AP835" s="155">
        <f>LOGINV(0.05,AVERAGE(AN836:AN870),STDEV(AN836:AN870))</f>
        <v>20.639890607627684</v>
      </c>
      <c r="AQ835" s="271"/>
      <c r="AR835" s="271"/>
      <c r="AS835" s="271"/>
      <c r="AT835" s="271"/>
      <c r="AU835" s="271"/>
      <c r="AV835" s="155">
        <f>LOGINV(0.05,AVERAGE(AT836:AT870),STDEV(AT836:AT870))</f>
        <v>6.1254952293654172</v>
      </c>
      <c r="AW835" s="155">
        <f>LOGINV(0.05,AVERAGE(AU836:AU870),STDEV(AU836:AU870))</f>
        <v>20.639890607627684</v>
      </c>
      <c r="AX835" s="271"/>
      <c r="AY835" s="271"/>
      <c r="BD835" s="155">
        <f>LOGINV(0.05,AVERAGE(BB836:BB870),STDEV(BB836:BB870))</f>
        <v>21.683068923289895</v>
      </c>
      <c r="BE835" s="155">
        <f>LOGINV(0.05,AVERAGE(BC836:BC870),STDEV(BC836:BC870))</f>
        <v>34.400650469718194</v>
      </c>
      <c r="BG835" s="271">
        <f>COUNT(BB836:BB870)</f>
        <v>13</v>
      </c>
      <c r="BH835" s="273">
        <v>1.6870000000000001</v>
      </c>
      <c r="BI835" s="274">
        <f>EXP(AVERAGE(BB836:BB870)-BH835*STDEV(BB836:BB870))</f>
        <v>21.429948072609193</v>
      </c>
      <c r="BJ835" s="274">
        <f>EXP(AVERAGE(BC836:BC870)-BH835*STDEV(BC836:BC870))</f>
        <v>33.975714549144961</v>
      </c>
    </row>
    <row r="836" spans="1:62" s="648" customFormat="1" ht="15" customHeight="1" x14ac:dyDescent="0.2">
      <c r="A836" s="641" t="s">
        <v>305</v>
      </c>
      <c r="B836" s="641" t="s">
        <v>35</v>
      </c>
      <c r="C836" s="428" t="s">
        <v>289</v>
      </c>
      <c r="D836" s="327" t="s">
        <v>72</v>
      </c>
      <c r="E836" s="361">
        <v>8.1999999999999993</v>
      </c>
      <c r="F836" s="361">
        <v>0.72</v>
      </c>
      <c r="G836" s="642">
        <f>F836*0.58</f>
        <v>0.41759999999999997</v>
      </c>
      <c r="H836" s="361">
        <v>20</v>
      </c>
      <c r="I836" s="161">
        <f>(30+4.4*E836)*H836/100+(-34.66+29.72*E836)*F836/100</f>
        <v>14.721116799999999</v>
      </c>
      <c r="J836" s="361">
        <v>66.7</v>
      </c>
      <c r="K836" s="643" t="s">
        <v>290</v>
      </c>
      <c r="L836" s="643">
        <v>45</v>
      </c>
      <c r="M836" s="644" t="s">
        <v>93</v>
      </c>
      <c r="N836" s="645">
        <v>30</v>
      </c>
      <c r="O836" s="646">
        <f t="shared" ref="O836:O847" si="377">N836+J836</f>
        <v>96.7</v>
      </c>
      <c r="P836" s="327" t="s">
        <v>291</v>
      </c>
      <c r="Q836" s="327"/>
      <c r="R836" s="647">
        <v>1.5</v>
      </c>
      <c r="S836" s="647"/>
      <c r="T836" s="646"/>
      <c r="U836" s="645"/>
      <c r="V836" s="645"/>
      <c r="X836" s="649"/>
      <c r="Y836" s="649"/>
      <c r="Z836" s="649"/>
      <c r="AA836" s="649"/>
      <c r="AB836" s="649"/>
      <c r="AC836" s="649"/>
      <c r="AD836" s="649"/>
      <c r="AE836" s="649"/>
      <c r="AF836" s="650">
        <f t="shared" ref="AF836:AF870" si="378">LN(N836)</f>
        <v>3.4011973816621555</v>
      </c>
      <c r="AG836" s="650">
        <f t="shared" ref="AG836:AG870" si="379">LN(O836)</f>
        <v>4.5716134024592483</v>
      </c>
      <c r="AJ836" s="650"/>
      <c r="AK836" s="651">
        <f t="shared" ref="AK836:AK870" si="380">N836*R836</f>
        <v>45</v>
      </c>
      <c r="AL836" s="651">
        <f t="shared" ref="AL836:AL870" si="381">AK836+J836</f>
        <v>111.7</v>
      </c>
      <c r="AM836" s="652">
        <f t="shared" ref="AM836:AM870" si="382">LN(AK836)</f>
        <v>3.8066624897703196</v>
      </c>
      <c r="AN836" s="652">
        <f t="shared" ref="AN836:AN870" si="383">LN(AL836)</f>
        <v>4.715816706075155</v>
      </c>
      <c r="AR836" s="653">
        <f t="shared" ref="AR836:AR870" si="384">AK836</f>
        <v>45</v>
      </c>
      <c r="AS836" s="653">
        <f t="shared" ref="AS836:AS870" si="385">AL836</f>
        <v>111.7</v>
      </c>
      <c r="AT836" s="652">
        <f t="shared" ref="AT836:AT870" si="386">LN(AR836)</f>
        <v>3.8066624897703196</v>
      </c>
      <c r="AU836" s="652">
        <f t="shared" ref="AU836:AU870" si="387">LN(AS836)</f>
        <v>4.715816706075155</v>
      </c>
      <c r="AX836" s="648">
        <f t="shared" ref="AX836" si="388">GEOMEAN(AR836)</f>
        <v>45</v>
      </c>
      <c r="AY836" s="653">
        <f t="shared" ref="AY836" si="389">GEOMEAN(AS836)</f>
        <v>111.7</v>
      </c>
      <c r="AZ836" s="653">
        <f>MIN(AX836:AX836)</f>
        <v>45</v>
      </c>
      <c r="BA836" s="653">
        <f>MIN(AY836:AY836)</f>
        <v>111.7</v>
      </c>
      <c r="BB836" s="652">
        <f t="shared" ref="BB836" si="390">LN(AZ836)</f>
        <v>3.8066624897703196</v>
      </c>
      <c r="BC836" s="652">
        <f t="shared" ref="BC836" si="391">LN(BA836)</f>
        <v>4.715816706075155</v>
      </c>
    </row>
    <row r="837" spans="1:62" s="660" customFormat="1" ht="15" customHeight="1" x14ac:dyDescent="0.2">
      <c r="A837" s="629" t="s">
        <v>305</v>
      </c>
      <c r="B837" s="629" t="s">
        <v>35</v>
      </c>
      <c r="C837" s="654" t="s">
        <v>48</v>
      </c>
      <c r="D837" s="629" t="s">
        <v>72</v>
      </c>
      <c r="E837" s="655">
        <v>7.8</v>
      </c>
      <c r="F837" s="655">
        <f t="shared" ref="F837:F847" si="392">G837/0.58</f>
        <v>0.86206896551724144</v>
      </c>
      <c r="G837" s="655">
        <v>0.5</v>
      </c>
      <c r="H837" s="656">
        <v>24</v>
      </c>
      <c r="I837" s="655">
        <v>14.1</v>
      </c>
      <c r="J837" s="656">
        <v>16.399999999999999</v>
      </c>
      <c r="K837" s="657" t="s">
        <v>292</v>
      </c>
      <c r="L837" s="656">
        <v>14</v>
      </c>
      <c r="M837" s="657" t="s">
        <v>104</v>
      </c>
      <c r="N837" s="658">
        <v>11</v>
      </c>
      <c r="O837" s="657">
        <f t="shared" si="377"/>
        <v>27.4</v>
      </c>
      <c r="P837" s="629" t="s">
        <v>293</v>
      </c>
      <c r="Q837" s="629"/>
      <c r="R837" s="659">
        <v>1.5</v>
      </c>
      <c r="S837" s="659"/>
      <c r="T837" s="658"/>
      <c r="U837" s="658"/>
      <c r="V837" s="658"/>
      <c r="X837" s="661"/>
      <c r="Y837" s="661"/>
      <c r="Z837" s="661"/>
      <c r="AA837" s="661"/>
      <c r="AB837" s="661"/>
      <c r="AC837" s="661"/>
      <c r="AD837" s="661"/>
      <c r="AE837" s="662"/>
      <c r="AF837" s="663">
        <f t="shared" si="378"/>
        <v>2.3978952727983707</v>
      </c>
      <c r="AG837" s="663">
        <f t="shared" si="379"/>
        <v>3.3105430133940246</v>
      </c>
      <c r="AH837" s="664"/>
      <c r="AI837" s="664"/>
      <c r="AJ837" s="663"/>
      <c r="AK837" s="665">
        <f t="shared" si="380"/>
        <v>16.5</v>
      </c>
      <c r="AL837" s="665">
        <f t="shared" si="381"/>
        <v>32.9</v>
      </c>
      <c r="AM837" s="666">
        <f t="shared" si="382"/>
        <v>2.8033603809065348</v>
      </c>
      <c r="AN837" s="666">
        <f t="shared" si="383"/>
        <v>3.493472657771326</v>
      </c>
      <c r="AO837" s="667"/>
      <c r="AP837" s="667"/>
      <c r="AQ837" s="666"/>
      <c r="AR837" s="668">
        <f t="shared" si="384"/>
        <v>16.5</v>
      </c>
      <c r="AS837" s="668">
        <f t="shared" si="385"/>
        <v>32.9</v>
      </c>
      <c r="AT837" s="666">
        <f t="shared" si="386"/>
        <v>2.8033603809065348</v>
      </c>
      <c r="AU837" s="666">
        <f t="shared" si="387"/>
        <v>3.493472657771326</v>
      </c>
      <c r="AV837" s="669"/>
      <c r="AW837" s="669"/>
      <c r="AX837" s="670">
        <f>GEOMEAN(AR837:AR841)</f>
        <v>31.059901689957538</v>
      </c>
      <c r="AY837" s="670">
        <f>GEOMEAN(AS837:AS841)</f>
        <v>59.890824628193236</v>
      </c>
      <c r="AZ837" s="670">
        <f>MIN(AX837:AX841)</f>
        <v>31.059901689957538</v>
      </c>
      <c r="BA837" s="670">
        <f>MIN(AY837:AY841)</f>
        <v>59.890824628193236</v>
      </c>
      <c r="BB837" s="671">
        <f t="shared" ref="BB837" si="393">LN(AZ837)</f>
        <v>3.4359176525499664</v>
      </c>
      <c r="BC837" s="671">
        <f t="shared" ref="BC837" si="394">LN(BA837)</f>
        <v>4.0925233152280507</v>
      </c>
      <c r="BD837" s="672"/>
      <c r="BE837" s="672"/>
    </row>
    <row r="838" spans="1:62" s="660" customFormat="1" ht="15" customHeight="1" x14ac:dyDescent="0.2">
      <c r="A838" s="629" t="s">
        <v>305</v>
      </c>
      <c r="B838" s="629" t="s">
        <v>35</v>
      </c>
      <c r="C838" s="654" t="s">
        <v>48</v>
      </c>
      <c r="D838" s="629" t="s">
        <v>72</v>
      </c>
      <c r="E838" s="655">
        <v>5.2</v>
      </c>
      <c r="F838" s="655">
        <f t="shared" si="392"/>
        <v>2.7586206896551726</v>
      </c>
      <c r="G838" s="655">
        <v>1.6</v>
      </c>
      <c r="H838" s="656">
        <v>6</v>
      </c>
      <c r="I838" s="655">
        <v>3</v>
      </c>
      <c r="J838" s="656">
        <v>15</v>
      </c>
      <c r="K838" s="657" t="s">
        <v>292</v>
      </c>
      <c r="L838" s="656">
        <v>14</v>
      </c>
      <c r="M838" s="657" t="s">
        <v>104</v>
      </c>
      <c r="N838" s="658">
        <v>11</v>
      </c>
      <c r="O838" s="657">
        <f t="shared" si="377"/>
        <v>26</v>
      </c>
      <c r="P838" s="629" t="s">
        <v>293</v>
      </c>
      <c r="Q838" s="629"/>
      <c r="R838" s="659">
        <v>1.5</v>
      </c>
      <c r="S838" s="659"/>
      <c r="T838" s="659"/>
      <c r="U838" s="658"/>
      <c r="V838" s="658"/>
      <c r="X838" s="661"/>
      <c r="Y838" s="661"/>
      <c r="Z838" s="661"/>
      <c r="AA838" s="661"/>
      <c r="AB838" s="661"/>
      <c r="AC838" s="661"/>
      <c r="AD838" s="661"/>
      <c r="AE838" s="662"/>
      <c r="AF838" s="663">
        <f t="shared" si="378"/>
        <v>2.3978952727983707</v>
      </c>
      <c r="AG838" s="663">
        <f t="shared" si="379"/>
        <v>3.2580965380214821</v>
      </c>
      <c r="AH838" s="664"/>
      <c r="AI838" s="664"/>
      <c r="AJ838" s="663"/>
      <c r="AK838" s="665">
        <f t="shared" si="380"/>
        <v>16.5</v>
      </c>
      <c r="AL838" s="665">
        <f t="shared" si="381"/>
        <v>31.5</v>
      </c>
      <c r="AM838" s="666">
        <f t="shared" si="382"/>
        <v>2.8033603809065348</v>
      </c>
      <c r="AN838" s="666">
        <f t="shared" si="383"/>
        <v>3.4499875458315872</v>
      </c>
      <c r="AO838" s="667"/>
      <c r="AP838" s="667"/>
      <c r="AQ838" s="666"/>
      <c r="AR838" s="668">
        <f t="shared" si="384"/>
        <v>16.5</v>
      </c>
      <c r="AS838" s="668">
        <f t="shared" si="385"/>
        <v>31.5</v>
      </c>
      <c r="AT838" s="666">
        <f t="shared" si="386"/>
        <v>2.8033603809065348</v>
      </c>
      <c r="AU838" s="666">
        <f t="shared" si="387"/>
        <v>3.4499875458315872</v>
      </c>
      <c r="AV838" s="669"/>
      <c r="AW838" s="669"/>
      <c r="AX838" s="666"/>
      <c r="AY838" s="666"/>
      <c r="AZ838" s="666"/>
      <c r="BA838" s="666"/>
      <c r="BB838" s="666"/>
      <c r="BC838" s="666"/>
      <c r="BD838" s="667"/>
      <c r="BE838" s="667"/>
    </row>
    <row r="839" spans="1:62" s="660" customFormat="1" ht="15" customHeight="1" x14ac:dyDescent="0.2">
      <c r="A839" s="629" t="s">
        <v>305</v>
      </c>
      <c r="B839" s="629" t="s">
        <v>35</v>
      </c>
      <c r="C839" s="654" t="s">
        <v>48</v>
      </c>
      <c r="D839" s="629" t="s">
        <v>72</v>
      </c>
      <c r="E839" s="655">
        <v>5.9</v>
      </c>
      <c r="F839" s="655">
        <f t="shared" si="392"/>
        <v>1.8965517241379313</v>
      </c>
      <c r="G839" s="655">
        <v>1.1000000000000001</v>
      </c>
      <c r="H839" s="656">
        <v>11</v>
      </c>
      <c r="I839" s="655">
        <v>4.3</v>
      </c>
      <c r="J839" s="656">
        <v>27.2</v>
      </c>
      <c r="K839" s="657" t="s">
        <v>292</v>
      </c>
      <c r="L839" s="656">
        <v>14</v>
      </c>
      <c r="M839" s="657" t="s">
        <v>104</v>
      </c>
      <c r="N839" s="658">
        <v>11</v>
      </c>
      <c r="O839" s="657">
        <f t="shared" si="377"/>
        <v>38.200000000000003</v>
      </c>
      <c r="P839" s="629" t="s">
        <v>293</v>
      </c>
      <c r="Q839" s="629"/>
      <c r="R839" s="659">
        <v>1.5</v>
      </c>
      <c r="S839" s="659"/>
      <c r="T839" s="659"/>
      <c r="U839" s="658"/>
      <c r="V839" s="658"/>
      <c r="X839" s="661"/>
      <c r="Y839" s="661"/>
      <c r="Z839" s="661"/>
      <c r="AA839" s="661"/>
      <c r="AB839" s="661"/>
      <c r="AC839" s="661"/>
      <c r="AD839" s="661"/>
      <c r="AE839" s="662"/>
      <c r="AF839" s="663">
        <f t="shared" si="378"/>
        <v>2.3978952727983707</v>
      </c>
      <c r="AG839" s="663">
        <f t="shared" si="379"/>
        <v>3.6428355156125294</v>
      </c>
      <c r="AH839" s="664"/>
      <c r="AI839" s="664"/>
      <c r="AJ839" s="663"/>
      <c r="AK839" s="665">
        <f t="shared" si="380"/>
        <v>16.5</v>
      </c>
      <c r="AL839" s="665">
        <f t="shared" si="381"/>
        <v>43.7</v>
      </c>
      <c r="AM839" s="666">
        <f t="shared" si="382"/>
        <v>2.8033603809065348</v>
      </c>
      <c r="AN839" s="666">
        <f t="shared" si="383"/>
        <v>3.7773481021015445</v>
      </c>
      <c r="AO839" s="667"/>
      <c r="AP839" s="667"/>
      <c r="AQ839" s="666"/>
      <c r="AR839" s="668">
        <f t="shared" si="384"/>
        <v>16.5</v>
      </c>
      <c r="AS839" s="668">
        <f t="shared" si="385"/>
        <v>43.7</v>
      </c>
      <c r="AT839" s="666">
        <f t="shared" si="386"/>
        <v>2.8033603809065348</v>
      </c>
      <c r="AU839" s="666">
        <f t="shared" si="387"/>
        <v>3.7773481021015445</v>
      </c>
      <c r="AV839" s="669"/>
      <c r="AW839" s="669"/>
      <c r="AX839" s="666"/>
      <c r="AY839" s="666"/>
      <c r="AZ839" s="666"/>
      <c r="BA839" s="666"/>
      <c r="BB839" s="666"/>
      <c r="BC839" s="666"/>
      <c r="BD839" s="667"/>
      <c r="BE839" s="667"/>
    </row>
    <row r="840" spans="1:62" s="660" customFormat="1" ht="15" customHeight="1" x14ac:dyDescent="0.2">
      <c r="A840" s="629" t="s">
        <v>305</v>
      </c>
      <c r="B840" s="629" t="s">
        <v>35</v>
      </c>
      <c r="C840" s="654" t="s">
        <v>48</v>
      </c>
      <c r="D840" s="629" t="s">
        <v>72</v>
      </c>
      <c r="E840" s="655">
        <v>5.5</v>
      </c>
      <c r="F840" s="655">
        <f t="shared" si="392"/>
        <v>4.3103448275862073</v>
      </c>
      <c r="G840" s="655">
        <v>2.5</v>
      </c>
      <c r="H840" s="656">
        <v>29</v>
      </c>
      <c r="I840" s="655">
        <v>10.199999999999999</v>
      </c>
      <c r="J840" s="656">
        <v>57.7</v>
      </c>
      <c r="K840" s="657" t="s">
        <v>292</v>
      </c>
      <c r="L840" s="656">
        <v>14</v>
      </c>
      <c r="M840" s="657" t="s">
        <v>104</v>
      </c>
      <c r="N840" s="658">
        <v>110</v>
      </c>
      <c r="O840" s="657">
        <f t="shared" si="377"/>
        <v>167.7</v>
      </c>
      <c r="P840" s="629" t="s">
        <v>293</v>
      </c>
      <c r="Q840" s="629"/>
      <c r="R840" s="659">
        <v>1.5</v>
      </c>
      <c r="S840" s="659"/>
      <c r="T840" s="659"/>
      <c r="U840" s="658"/>
      <c r="V840" s="658"/>
      <c r="X840" s="661"/>
      <c r="Y840" s="661"/>
      <c r="Z840" s="661"/>
      <c r="AA840" s="661"/>
      <c r="AB840" s="661"/>
      <c r="AC840" s="661"/>
      <c r="AD840" s="661"/>
      <c r="AE840" s="662"/>
      <c r="AF840" s="663">
        <f t="shared" si="378"/>
        <v>4.7004803657924166</v>
      </c>
      <c r="AG840" s="663">
        <f t="shared" si="379"/>
        <v>5.1221766688291632</v>
      </c>
      <c r="AH840" s="664"/>
      <c r="AI840" s="664"/>
      <c r="AJ840" s="663"/>
      <c r="AK840" s="665">
        <f t="shared" si="380"/>
        <v>165</v>
      </c>
      <c r="AL840" s="665">
        <f t="shared" si="381"/>
        <v>222.7</v>
      </c>
      <c r="AM840" s="666">
        <f t="shared" si="382"/>
        <v>5.1059454739005803</v>
      </c>
      <c r="AN840" s="666">
        <f t="shared" si="383"/>
        <v>5.4058255742633223</v>
      </c>
      <c r="AO840" s="667"/>
      <c r="AP840" s="667"/>
      <c r="AQ840" s="666"/>
      <c r="AR840" s="668">
        <f t="shared" si="384"/>
        <v>165</v>
      </c>
      <c r="AS840" s="668">
        <f t="shared" si="385"/>
        <v>222.7</v>
      </c>
      <c r="AT840" s="666">
        <f t="shared" si="386"/>
        <v>5.1059454739005803</v>
      </c>
      <c r="AU840" s="666">
        <f t="shared" si="387"/>
        <v>5.4058255742633223</v>
      </c>
      <c r="AV840" s="669"/>
      <c r="AW840" s="669"/>
      <c r="AX840" s="666"/>
      <c r="AY840" s="666"/>
      <c r="AZ840" s="666"/>
      <c r="BA840" s="666"/>
      <c r="BB840" s="666"/>
      <c r="BC840" s="666"/>
      <c r="BD840" s="667"/>
      <c r="BE840" s="667"/>
    </row>
    <row r="841" spans="1:62" s="674" customFormat="1" ht="15" customHeight="1" x14ac:dyDescent="0.2">
      <c r="A841" s="157" t="s">
        <v>305</v>
      </c>
      <c r="B841" s="157" t="s">
        <v>35</v>
      </c>
      <c r="C841" s="158" t="s">
        <v>48</v>
      </c>
      <c r="D841" s="157" t="s">
        <v>72</v>
      </c>
      <c r="E841" s="673">
        <v>6.6</v>
      </c>
      <c r="F841" s="673">
        <f t="shared" si="392"/>
        <v>1.5517241379310347</v>
      </c>
      <c r="G841" s="673">
        <v>0.9</v>
      </c>
      <c r="H841" s="643">
        <v>17</v>
      </c>
      <c r="I841" s="673">
        <v>7.3</v>
      </c>
      <c r="J841" s="643">
        <v>37.4</v>
      </c>
      <c r="K841" s="644" t="s">
        <v>292</v>
      </c>
      <c r="L841" s="643">
        <v>14</v>
      </c>
      <c r="M841" s="644" t="s">
        <v>104</v>
      </c>
      <c r="N841" s="645">
        <v>26</v>
      </c>
      <c r="O841" s="644">
        <f t="shared" si="377"/>
        <v>63.4</v>
      </c>
      <c r="P841" s="157" t="s">
        <v>293</v>
      </c>
      <c r="Q841" s="157"/>
      <c r="R841" s="647">
        <v>1.5</v>
      </c>
      <c r="S841" s="647"/>
      <c r="T841" s="647"/>
      <c r="U841" s="645"/>
      <c r="V841" s="645"/>
      <c r="X841" s="675"/>
      <c r="Y841" s="675"/>
      <c r="Z841" s="675"/>
      <c r="AA841" s="675"/>
      <c r="AB841" s="675"/>
      <c r="AC841" s="675"/>
      <c r="AD841" s="675"/>
      <c r="AE841" s="649"/>
      <c r="AF841" s="676">
        <f t="shared" si="378"/>
        <v>3.2580965380214821</v>
      </c>
      <c r="AG841" s="676">
        <f t="shared" si="379"/>
        <v>4.1494638614431798</v>
      </c>
      <c r="AH841" s="677"/>
      <c r="AI841" s="677"/>
      <c r="AJ841" s="676"/>
      <c r="AK841" s="678">
        <f t="shared" si="380"/>
        <v>39</v>
      </c>
      <c r="AL841" s="678">
        <f t="shared" si="381"/>
        <v>76.400000000000006</v>
      </c>
      <c r="AM841" s="679">
        <f t="shared" si="382"/>
        <v>3.6635616461296463</v>
      </c>
      <c r="AN841" s="679">
        <f t="shared" si="383"/>
        <v>4.3359826961724748</v>
      </c>
      <c r="AO841" s="680"/>
      <c r="AP841" s="680"/>
      <c r="AQ841" s="679"/>
      <c r="AR841" s="681">
        <f t="shared" si="384"/>
        <v>39</v>
      </c>
      <c r="AS841" s="681">
        <f t="shared" si="385"/>
        <v>76.400000000000006</v>
      </c>
      <c r="AT841" s="679">
        <f t="shared" si="386"/>
        <v>3.6635616461296463</v>
      </c>
      <c r="AU841" s="679">
        <f t="shared" si="387"/>
        <v>4.3359826961724748</v>
      </c>
      <c r="AV841" s="682"/>
      <c r="AW841" s="682"/>
      <c r="AX841" s="679"/>
      <c r="AY841" s="679"/>
      <c r="AZ841" s="679"/>
      <c r="BA841" s="679"/>
      <c r="BB841" s="679"/>
      <c r="BC841" s="679"/>
      <c r="BD841" s="680"/>
      <c r="BE841" s="680"/>
    </row>
    <row r="842" spans="1:62" s="660" customFormat="1" ht="15" customHeight="1" x14ac:dyDescent="0.2">
      <c r="A842" s="629" t="s">
        <v>305</v>
      </c>
      <c r="B842" s="629" t="s">
        <v>35</v>
      </c>
      <c r="C842" s="654" t="s">
        <v>41</v>
      </c>
      <c r="D842" s="629" t="s">
        <v>72</v>
      </c>
      <c r="E842" s="655">
        <v>7.8</v>
      </c>
      <c r="F842" s="655">
        <f t="shared" si="392"/>
        <v>0.86206896551724144</v>
      </c>
      <c r="G842" s="655">
        <v>0.5</v>
      </c>
      <c r="H842" s="656">
        <v>24</v>
      </c>
      <c r="I842" s="655">
        <v>14.1</v>
      </c>
      <c r="J842" s="656">
        <v>16.399999999999999</v>
      </c>
      <c r="K842" s="657" t="s">
        <v>292</v>
      </c>
      <c r="L842" s="656">
        <v>14</v>
      </c>
      <c r="M842" s="657" t="s">
        <v>104</v>
      </c>
      <c r="N842" s="658">
        <v>28</v>
      </c>
      <c r="O842" s="657">
        <f t="shared" si="377"/>
        <v>44.4</v>
      </c>
      <c r="P842" s="629" t="s">
        <v>293</v>
      </c>
      <c r="Q842" s="629"/>
      <c r="R842" s="659">
        <v>1.5</v>
      </c>
      <c r="S842" s="659"/>
      <c r="T842" s="658"/>
      <c r="U842" s="658"/>
      <c r="V842" s="658"/>
      <c r="X842" s="661"/>
      <c r="Y842" s="661"/>
      <c r="Z842" s="661"/>
      <c r="AA842" s="661"/>
      <c r="AB842" s="661"/>
      <c r="AC842" s="661"/>
      <c r="AD842" s="661"/>
      <c r="AE842" s="662"/>
      <c r="AF842" s="663">
        <f t="shared" si="378"/>
        <v>3.3322045101752038</v>
      </c>
      <c r="AG842" s="663">
        <f t="shared" si="379"/>
        <v>3.7932394694381792</v>
      </c>
      <c r="AH842" s="664"/>
      <c r="AI842" s="664"/>
      <c r="AJ842" s="663"/>
      <c r="AK842" s="665">
        <f t="shared" si="380"/>
        <v>42</v>
      </c>
      <c r="AL842" s="665">
        <f t="shared" si="381"/>
        <v>58.4</v>
      </c>
      <c r="AM842" s="666">
        <f t="shared" si="382"/>
        <v>3.7376696182833684</v>
      </c>
      <c r="AN842" s="666">
        <f t="shared" si="383"/>
        <v>4.0673158898341812</v>
      </c>
      <c r="AO842" s="667"/>
      <c r="AP842" s="667"/>
      <c r="AQ842" s="666"/>
      <c r="AR842" s="668">
        <f t="shared" si="384"/>
        <v>42</v>
      </c>
      <c r="AS842" s="668">
        <f t="shared" si="385"/>
        <v>58.4</v>
      </c>
      <c r="AT842" s="666">
        <f t="shared" si="386"/>
        <v>3.7376696182833684</v>
      </c>
      <c r="AU842" s="666">
        <f t="shared" si="387"/>
        <v>4.0673158898341812</v>
      </c>
      <c r="AV842" s="669"/>
      <c r="AW842" s="669"/>
      <c r="AX842" s="670">
        <f>GEOMEAN(AR842:AR846)</f>
        <v>44.527051477321322</v>
      </c>
      <c r="AY842" s="670">
        <f>GEOMEAN(AS842:AS846)</f>
        <v>72.682739195380464</v>
      </c>
      <c r="AZ842" s="670">
        <f>MIN(AX842:AX846)</f>
        <v>44.527051477321322</v>
      </c>
      <c r="BA842" s="670">
        <f>MIN(AY842:AY846)</f>
        <v>72.682739195380464</v>
      </c>
      <c r="BB842" s="671">
        <f t="shared" ref="BB842" si="395">LN(AZ842)</f>
        <v>3.7960969028436007</v>
      </c>
      <c r="BC842" s="671">
        <f t="shared" ref="BC842" si="396">LN(BA842)</f>
        <v>4.286103931251743</v>
      </c>
      <c r="BD842" s="672"/>
      <c r="BE842" s="672"/>
    </row>
    <row r="843" spans="1:62" s="660" customFormat="1" ht="15" customHeight="1" x14ac:dyDescent="0.2">
      <c r="A843" s="629" t="s">
        <v>305</v>
      </c>
      <c r="B843" s="629" t="s">
        <v>35</v>
      </c>
      <c r="C843" s="654" t="s">
        <v>41</v>
      </c>
      <c r="D843" s="629" t="s">
        <v>72</v>
      </c>
      <c r="E843" s="655">
        <v>5.2</v>
      </c>
      <c r="F843" s="655">
        <f t="shared" si="392"/>
        <v>2.7586206896551726</v>
      </c>
      <c r="G843" s="655">
        <v>1.6</v>
      </c>
      <c r="H843" s="656">
        <v>6</v>
      </c>
      <c r="I843" s="655">
        <v>3</v>
      </c>
      <c r="J843" s="656">
        <v>15</v>
      </c>
      <c r="K843" s="657" t="s">
        <v>292</v>
      </c>
      <c r="L843" s="656">
        <v>14</v>
      </c>
      <c r="M843" s="657" t="s">
        <v>104</v>
      </c>
      <c r="N843" s="658">
        <v>14</v>
      </c>
      <c r="O843" s="657">
        <f t="shared" si="377"/>
        <v>29</v>
      </c>
      <c r="P843" s="629" t="s">
        <v>293</v>
      </c>
      <c r="Q843" s="629"/>
      <c r="R843" s="659">
        <v>1.5</v>
      </c>
      <c r="S843" s="659"/>
      <c r="T843" s="659"/>
      <c r="U843" s="658"/>
      <c r="V843" s="658"/>
      <c r="X843" s="661"/>
      <c r="Y843" s="661"/>
      <c r="Z843" s="661"/>
      <c r="AA843" s="661"/>
      <c r="AB843" s="661"/>
      <c r="AC843" s="661"/>
      <c r="AD843" s="661"/>
      <c r="AE843" s="662"/>
      <c r="AF843" s="663">
        <f t="shared" si="378"/>
        <v>2.6390573296152584</v>
      </c>
      <c r="AG843" s="663">
        <f t="shared" si="379"/>
        <v>3.3672958299864741</v>
      </c>
      <c r="AH843" s="664"/>
      <c r="AI843" s="664"/>
      <c r="AJ843" s="663"/>
      <c r="AK843" s="665">
        <f t="shared" si="380"/>
        <v>21</v>
      </c>
      <c r="AL843" s="665">
        <f t="shared" si="381"/>
        <v>36</v>
      </c>
      <c r="AM843" s="666">
        <f t="shared" si="382"/>
        <v>3.044522437723423</v>
      </c>
      <c r="AN843" s="666">
        <f t="shared" si="383"/>
        <v>3.5835189384561099</v>
      </c>
      <c r="AO843" s="667"/>
      <c r="AP843" s="667"/>
      <c r="AQ843" s="666"/>
      <c r="AR843" s="668">
        <f t="shared" si="384"/>
        <v>21</v>
      </c>
      <c r="AS843" s="668">
        <f t="shared" si="385"/>
        <v>36</v>
      </c>
      <c r="AT843" s="666">
        <f t="shared" si="386"/>
        <v>3.044522437723423</v>
      </c>
      <c r="AU843" s="666">
        <f t="shared" si="387"/>
        <v>3.5835189384561099</v>
      </c>
      <c r="AV843" s="669"/>
      <c r="AW843" s="669"/>
      <c r="AX843" s="666"/>
      <c r="AY843" s="666"/>
      <c r="AZ843" s="666"/>
      <c r="BA843" s="666"/>
      <c r="BB843" s="666"/>
      <c r="BC843" s="666"/>
      <c r="BD843" s="667"/>
      <c r="BE843" s="667"/>
    </row>
    <row r="844" spans="1:62" s="660" customFormat="1" ht="15" customHeight="1" x14ac:dyDescent="0.2">
      <c r="A844" s="629" t="s">
        <v>305</v>
      </c>
      <c r="B844" s="629" t="s">
        <v>35</v>
      </c>
      <c r="C844" s="654" t="s">
        <v>41</v>
      </c>
      <c r="D844" s="629" t="s">
        <v>72</v>
      </c>
      <c r="E844" s="655">
        <v>5.9</v>
      </c>
      <c r="F844" s="655">
        <f t="shared" si="392"/>
        <v>1.8965517241379313</v>
      </c>
      <c r="G844" s="655">
        <v>1.1000000000000001</v>
      </c>
      <c r="H844" s="656">
        <v>11</v>
      </c>
      <c r="I844" s="655">
        <v>4.3</v>
      </c>
      <c r="J844" s="656">
        <v>27.2</v>
      </c>
      <c r="K844" s="657" t="s">
        <v>292</v>
      </c>
      <c r="L844" s="656">
        <v>14</v>
      </c>
      <c r="M844" s="657" t="s">
        <v>104</v>
      </c>
      <c r="N844" s="658">
        <v>20</v>
      </c>
      <c r="O844" s="657">
        <f t="shared" si="377"/>
        <v>47.2</v>
      </c>
      <c r="P844" s="629" t="s">
        <v>293</v>
      </c>
      <c r="Q844" s="629"/>
      <c r="R844" s="659">
        <v>1.5</v>
      </c>
      <c r="S844" s="659"/>
      <c r="T844" s="659"/>
      <c r="U844" s="658"/>
      <c r="V844" s="658"/>
      <c r="X844" s="661"/>
      <c r="Y844" s="661"/>
      <c r="Z844" s="661"/>
      <c r="AA844" s="661"/>
      <c r="AB844" s="661"/>
      <c r="AC844" s="661"/>
      <c r="AD844" s="661"/>
      <c r="AE844" s="662"/>
      <c r="AF844" s="663">
        <f t="shared" si="378"/>
        <v>2.9957322735539909</v>
      </c>
      <c r="AG844" s="663">
        <f t="shared" si="379"/>
        <v>3.8543938925915096</v>
      </c>
      <c r="AH844" s="664"/>
      <c r="AI844" s="664"/>
      <c r="AJ844" s="663"/>
      <c r="AK844" s="665">
        <f t="shared" si="380"/>
        <v>30</v>
      </c>
      <c r="AL844" s="665">
        <f t="shared" si="381"/>
        <v>57.2</v>
      </c>
      <c r="AM844" s="666">
        <f t="shared" si="382"/>
        <v>3.4011973816621555</v>
      </c>
      <c r="AN844" s="666">
        <f t="shared" si="383"/>
        <v>4.0465538983857519</v>
      </c>
      <c r="AO844" s="667"/>
      <c r="AP844" s="667"/>
      <c r="AQ844" s="666"/>
      <c r="AR844" s="668">
        <f t="shared" si="384"/>
        <v>30</v>
      </c>
      <c r="AS844" s="668">
        <f t="shared" si="385"/>
        <v>57.2</v>
      </c>
      <c r="AT844" s="666">
        <f t="shared" si="386"/>
        <v>3.4011973816621555</v>
      </c>
      <c r="AU844" s="666">
        <f t="shared" si="387"/>
        <v>4.0465538983857519</v>
      </c>
      <c r="AV844" s="669"/>
      <c r="AW844" s="669"/>
      <c r="AX844" s="666"/>
      <c r="AY844" s="666"/>
      <c r="AZ844" s="666"/>
      <c r="BA844" s="666"/>
      <c r="BB844" s="666"/>
      <c r="BC844" s="666"/>
      <c r="BD844" s="667"/>
      <c r="BE844" s="667"/>
    </row>
    <row r="845" spans="1:62" s="660" customFormat="1" ht="15" customHeight="1" x14ac:dyDescent="0.2">
      <c r="A845" s="629" t="s">
        <v>305</v>
      </c>
      <c r="B845" s="629" t="s">
        <v>35</v>
      </c>
      <c r="C845" s="654" t="s">
        <v>41</v>
      </c>
      <c r="D845" s="629" t="s">
        <v>72</v>
      </c>
      <c r="E845" s="655">
        <v>5.5</v>
      </c>
      <c r="F845" s="655">
        <f t="shared" si="392"/>
        <v>4.3103448275862073</v>
      </c>
      <c r="G845" s="655">
        <v>2.5</v>
      </c>
      <c r="H845" s="656">
        <v>29</v>
      </c>
      <c r="I845" s="655">
        <v>10.199999999999999</v>
      </c>
      <c r="J845" s="656">
        <v>57.7</v>
      </c>
      <c r="K845" s="657" t="s">
        <v>292</v>
      </c>
      <c r="L845" s="656">
        <v>14</v>
      </c>
      <c r="M845" s="657" t="s">
        <v>104</v>
      </c>
      <c r="N845" s="658">
        <v>98</v>
      </c>
      <c r="O845" s="657">
        <f t="shared" si="377"/>
        <v>155.69999999999999</v>
      </c>
      <c r="P845" s="629" t="s">
        <v>293</v>
      </c>
      <c r="Q845" s="629"/>
      <c r="R845" s="659">
        <v>1.5</v>
      </c>
      <c r="S845" s="659"/>
      <c r="T845" s="659"/>
      <c r="U845" s="658"/>
      <c r="V845" s="658"/>
      <c r="X845" s="661"/>
      <c r="Y845" s="661"/>
      <c r="Z845" s="661"/>
      <c r="AA845" s="661"/>
      <c r="AB845" s="661"/>
      <c r="AC845" s="661"/>
      <c r="AD845" s="661"/>
      <c r="AE845" s="662"/>
      <c r="AF845" s="663">
        <f t="shared" si="378"/>
        <v>4.5849674786705723</v>
      </c>
      <c r="AG845" s="663">
        <f t="shared" si="379"/>
        <v>5.0479310788399525</v>
      </c>
      <c r="AH845" s="664"/>
      <c r="AI845" s="664"/>
      <c r="AJ845" s="663"/>
      <c r="AK845" s="665">
        <f t="shared" si="380"/>
        <v>147</v>
      </c>
      <c r="AL845" s="665">
        <f t="shared" si="381"/>
        <v>204.7</v>
      </c>
      <c r="AM845" s="666">
        <f t="shared" si="382"/>
        <v>4.990432586778736</v>
      </c>
      <c r="AN845" s="666">
        <f t="shared" si="383"/>
        <v>5.3215454926672434</v>
      </c>
      <c r="AO845" s="667"/>
      <c r="AP845" s="667"/>
      <c r="AQ845" s="666"/>
      <c r="AR845" s="668">
        <f t="shared" si="384"/>
        <v>147</v>
      </c>
      <c r="AS845" s="668">
        <f t="shared" si="385"/>
        <v>204.7</v>
      </c>
      <c r="AT845" s="666">
        <f t="shared" si="386"/>
        <v>4.990432586778736</v>
      </c>
      <c r="AU845" s="666">
        <f t="shared" si="387"/>
        <v>5.3215454926672434</v>
      </c>
      <c r="AV845" s="669"/>
      <c r="AW845" s="669"/>
      <c r="AX845" s="666"/>
      <c r="AY845" s="666"/>
      <c r="AZ845" s="666"/>
      <c r="BA845" s="666"/>
      <c r="BB845" s="666"/>
      <c r="BC845" s="666"/>
      <c r="BD845" s="667"/>
      <c r="BE845" s="667"/>
    </row>
    <row r="846" spans="1:62" s="660" customFormat="1" ht="15" customHeight="1" x14ac:dyDescent="0.2">
      <c r="A846" s="629" t="s">
        <v>305</v>
      </c>
      <c r="B846" s="629" t="s">
        <v>35</v>
      </c>
      <c r="C846" s="654" t="s">
        <v>41</v>
      </c>
      <c r="D846" s="629" t="s">
        <v>72</v>
      </c>
      <c r="E846" s="655">
        <v>6.6</v>
      </c>
      <c r="F846" s="655">
        <f t="shared" si="392"/>
        <v>1.5517241379310347</v>
      </c>
      <c r="G846" s="655">
        <v>0.9</v>
      </c>
      <c r="H846" s="656">
        <v>17</v>
      </c>
      <c r="I846" s="655">
        <v>7.3</v>
      </c>
      <c r="J846" s="656">
        <v>37.4</v>
      </c>
      <c r="K846" s="657" t="s">
        <v>292</v>
      </c>
      <c r="L846" s="656">
        <v>14</v>
      </c>
      <c r="M846" s="657" t="s">
        <v>104</v>
      </c>
      <c r="N846" s="658">
        <v>30</v>
      </c>
      <c r="O846" s="657">
        <f t="shared" si="377"/>
        <v>67.400000000000006</v>
      </c>
      <c r="P846" s="629" t="s">
        <v>293</v>
      </c>
      <c r="Q846" s="629"/>
      <c r="R846" s="659">
        <v>1.5</v>
      </c>
      <c r="S846" s="659"/>
      <c r="T846" s="659"/>
      <c r="U846" s="658"/>
      <c r="V846" s="658"/>
      <c r="X846" s="661"/>
      <c r="Y846" s="661"/>
      <c r="Z846" s="661"/>
      <c r="AA846" s="661"/>
      <c r="AB846" s="661"/>
      <c r="AC846" s="661"/>
      <c r="AD846" s="661"/>
      <c r="AE846" s="662"/>
      <c r="AF846" s="663">
        <f t="shared" si="378"/>
        <v>3.4011973816621555</v>
      </c>
      <c r="AG846" s="663">
        <f t="shared" si="379"/>
        <v>4.2106450179182611</v>
      </c>
      <c r="AH846" s="664"/>
      <c r="AI846" s="664"/>
      <c r="AJ846" s="663"/>
      <c r="AK846" s="665">
        <f t="shared" si="380"/>
        <v>45</v>
      </c>
      <c r="AL846" s="665">
        <f t="shared" si="381"/>
        <v>82.4</v>
      </c>
      <c r="AM846" s="666">
        <f t="shared" si="382"/>
        <v>3.8066624897703196</v>
      </c>
      <c r="AN846" s="666">
        <f t="shared" si="383"/>
        <v>4.4115854369154262</v>
      </c>
      <c r="AO846" s="667"/>
      <c r="AP846" s="667"/>
      <c r="AQ846" s="666"/>
      <c r="AR846" s="668">
        <f t="shared" si="384"/>
        <v>45</v>
      </c>
      <c r="AS846" s="668">
        <f t="shared" si="385"/>
        <v>82.4</v>
      </c>
      <c r="AT846" s="666">
        <f t="shared" si="386"/>
        <v>3.8066624897703196</v>
      </c>
      <c r="AU846" s="666">
        <f t="shared" si="387"/>
        <v>4.4115854369154262</v>
      </c>
      <c r="AV846" s="669"/>
      <c r="AW846" s="669"/>
      <c r="AX846" s="666"/>
      <c r="AY846" s="666"/>
      <c r="AZ846" s="666"/>
      <c r="BA846" s="666"/>
      <c r="BB846" s="666"/>
      <c r="BC846" s="666"/>
      <c r="BD846" s="667"/>
      <c r="BE846" s="667"/>
    </row>
    <row r="847" spans="1:62" s="692" customFormat="1" ht="15" customHeight="1" x14ac:dyDescent="0.2">
      <c r="A847" s="683" t="s">
        <v>305</v>
      </c>
      <c r="B847" s="683" t="s">
        <v>35</v>
      </c>
      <c r="C847" s="684" t="s">
        <v>295</v>
      </c>
      <c r="D847" s="683" t="s">
        <v>72</v>
      </c>
      <c r="E847" s="685">
        <v>4.8</v>
      </c>
      <c r="F847" s="685">
        <f t="shared" si="392"/>
        <v>10</v>
      </c>
      <c r="G847" s="685">
        <v>5.8</v>
      </c>
      <c r="H847" s="686">
        <v>20</v>
      </c>
      <c r="I847" s="687">
        <f>(-34.66+29.72*E847)*F847/100</f>
        <v>10.799599999999998</v>
      </c>
      <c r="J847" s="685">
        <v>0</v>
      </c>
      <c r="K847" s="688" t="s">
        <v>296</v>
      </c>
      <c r="L847" s="686" t="s">
        <v>297</v>
      </c>
      <c r="M847" s="688" t="s">
        <v>93</v>
      </c>
      <c r="N847" s="689">
        <v>28</v>
      </c>
      <c r="O847" s="688">
        <f t="shared" si="377"/>
        <v>28</v>
      </c>
      <c r="P847" s="683" t="s">
        <v>298</v>
      </c>
      <c r="Q847" s="683"/>
      <c r="R847" s="690">
        <v>1.5</v>
      </c>
      <c r="S847" s="690"/>
      <c r="T847" s="691"/>
      <c r="U847" s="689"/>
      <c r="V847" s="689"/>
      <c r="X847" s="693"/>
      <c r="Y847" s="693"/>
      <c r="Z847" s="693"/>
      <c r="AA847" s="693"/>
      <c r="AB847" s="693"/>
      <c r="AC847" s="693"/>
      <c r="AD847" s="693"/>
      <c r="AE847" s="693"/>
      <c r="AF847" s="694">
        <f t="shared" si="378"/>
        <v>3.3322045101752038</v>
      </c>
      <c r="AG847" s="694">
        <f t="shared" si="379"/>
        <v>3.3322045101752038</v>
      </c>
      <c r="AH847" s="695"/>
      <c r="AI847" s="695"/>
      <c r="AJ847" s="694"/>
      <c r="AK847" s="696">
        <f t="shared" si="380"/>
        <v>42</v>
      </c>
      <c r="AL847" s="696">
        <f t="shared" si="381"/>
        <v>42</v>
      </c>
      <c r="AM847" s="697">
        <f t="shared" si="382"/>
        <v>3.7376696182833684</v>
      </c>
      <c r="AN847" s="697">
        <f t="shared" si="383"/>
        <v>3.7376696182833684</v>
      </c>
      <c r="AO847" s="698"/>
      <c r="AP847" s="698"/>
      <c r="AQ847" s="697"/>
      <c r="AR847" s="699">
        <f t="shared" si="384"/>
        <v>42</v>
      </c>
      <c r="AS847" s="699">
        <f t="shared" si="385"/>
        <v>42</v>
      </c>
      <c r="AT847" s="697">
        <f t="shared" si="386"/>
        <v>3.7376696182833684</v>
      </c>
      <c r="AU847" s="697">
        <f t="shared" si="387"/>
        <v>3.7376696182833684</v>
      </c>
      <c r="AV847" s="700"/>
      <c r="AW847" s="700"/>
      <c r="AX847" s="699">
        <f t="shared" ref="AX847:AX851" si="397">GEOMEAN(AR847)</f>
        <v>42</v>
      </c>
      <c r="AY847" s="699">
        <f t="shared" ref="AY847:AY851" si="398">GEOMEAN(AS847)</f>
        <v>42</v>
      </c>
      <c r="AZ847" s="699">
        <f t="shared" ref="AZ847:AZ851" si="399">MIN(AX847)</f>
        <v>42</v>
      </c>
      <c r="BA847" s="699">
        <f t="shared" ref="BA847:BA851" si="400">MIN(AY847)</f>
        <v>42</v>
      </c>
      <c r="BB847" s="697">
        <f t="shared" ref="BB847:BB851" si="401">LN(AZ847)</f>
        <v>3.7376696182833684</v>
      </c>
      <c r="BC847" s="697">
        <f t="shared" ref="BC847:BC851" si="402">LN(BA847)</f>
        <v>3.7376696182833684</v>
      </c>
      <c r="BD847" s="698"/>
      <c r="BE847" s="698"/>
    </row>
    <row r="848" spans="1:62" s="674" customFormat="1" ht="15" customHeight="1" x14ac:dyDescent="0.2">
      <c r="A848" s="157" t="s">
        <v>305</v>
      </c>
      <c r="B848" s="157" t="s">
        <v>35</v>
      </c>
      <c r="C848" s="158" t="s">
        <v>299</v>
      </c>
      <c r="D848" s="157" t="s">
        <v>72</v>
      </c>
      <c r="E848" s="673">
        <v>4.8</v>
      </c>
      <c r="F848" s="673">
        <v>10</v>
      </c>
      <c r="G848" s="673">
        <v>5.8</v>
      </c>
      <c r="H848" s="643">
        <v>20</v>
      </c>
      <c r="I848" s="161">
        <f>(-34.66+29.72*E848)*F848/100</f>
        <v>10.799599999999998</v>
      </c>
      <c r="J848" s="673">
        <v>0</v>
      </c>
      <c r="K848" s="644" t="s">
        <v>296</v>
      </c>
      <c r="L848" s="643" t="s">
        <v>297</v>
      </c>
      <c r="M848" s="644" t="s">
        <v>93</v>
      </c>
      <c r="N848" s="645">
        <v>28</v>
      </c>
      <c r="O848" s="644">
        <v>28</v>
      </c>
      <c r="P848" s="157" t="s">
        <v>298</v>
      </c>
      <c r="Q848" s="157"/>
      <c r="R848" s="647">
        <v>1.5</v>
      </c>
      <c r="S848" s="647"/>
      <c r="T848" s="646"/>
      <c r="U848" s="645"/>
      <c r="V848" s="645"/>
      <c r="X848" s="675"/>
      <c r="Y848" s="675"/>
      <c r="Z848" s="675"/>
      <c r="AA848" s="675"/>
      <c r="AB848" s="675"/>
      <c r="AC848" s="675"/>
      <c r="AD848" s="675"/>
      <c r="AE848" s="675"/>
      <c r="AF848" s="676">
        <f t="shared" si="378"/>
        <v>3.3322045101752038</v>
      </c>
      <c r="AG848" s="676">
        <f t="shared" si="379"/>
        <v>3.3322045101752038</v>
      </c>
      <c r="AH848" s="677"/>
      <c r="AI848" s="677"/>
      <c r="AJ848" s="676"/>
      <c r="AK848" s="678">
        <f t="shared" si="380"/>
        <v>42</v>
      </c>
      <c r="AL848" s="678">
        <f t="shared" si="381"/>
        <v>42</v>
      </c>
      <c r="AM848" s="679">
        <f t="shared" si="382"/>
        <v>3.7376696182833684</v>
      </c>
      <c r="AN848" s="679">
        <f t="shared" si="383"/>
        <v>3.7376696182833684</v>
      </c>
      <c r="AO848" s="680"/>
      <c r="AP848" s="680"/>
      <c r="AQ848" s="679"/>
      <c r="AR848" s="681">
        <f t="shared" si="384"/>
        <v>42</v>
      </c>
      <c r="AS848" s="681">
        <f t="shared" si="385"/>
        <v>42</v>
      </c>
      <c r="AT848" s="679">
        <f t="shared" si="386"/>
        <v>3.7376696182833684</v>
      </c>
      <c r="AU848" s="679">
        <f t="shared" si="387"/>
        <v>3.7376696182833684</v>
      </c>
      <c r="AV848" s="682"/>
      <c r="AW848" s="682"/>
      <c r="AX848" s="681">
        <f t="shared" si="397"/>
        <v>42</v>
      </c>
      <c r="AY848" s="681">
        <f t="shared" si="398"/>
        <v>42</v>
      </c>
      <c r="AZ848" s="681">
        <f t="shared" si="399"/>
        <v>42</v>
      </c>
      <c r="BA848" s="681">
        <f t="shared" si="400"/>
        <v>42</v>
      </c>
      <c r="BB848" s="679">
        <f t="shared" si="401"/>
        <v>3.7376696182833684</v>
      </c>
      <c r="BC848" s="679">
        <f t="shared" si="402"/>
        <v>3.7376696182833684</v>
      </c>
      <c r="BD848" s="680"/>
      <c r="BE848" s="680"/>
    </row>
    <row r="849" spans="1:57" s="674" customFormat="1" ht="15" customHeight="1" x14ac:dyDescent="0.2">
      <c r="A849" s="157" t="s">
        <v>305</v>
      </c>
      <c r="B849" s="157" t="s">
        <v>35</v>
      </c>
      <c r="C849" s="158" t="s">
        <v>300</v>
      </c>
      <c r="D849" s="157" t="s">
        <v>72</v>
      </c>
      <c r="E849" s="673">
        <v>4.8</v>
      </c>
      <c r="F849" s="673">
        <v>10</v>
      </c>
      <c r="G849" s="673">
        <v>5.8</v>
      </c>
      <c r="H849" s="643">
        <v>20</v>
      </c>
      <c r="I849" s="161">
        <f>(-34.66+29.72*E849)*F849/100</f>
        <v>10.799599999999998</v>
      </c>
      <c r="J849" s="673">
        <v>0</v>
      </c>
      <c r="K849" s="644" t="s">
        <v>296</v>
      </c>
      <c r="L849" s="643" t="s">
        <v>297</v>
      </c>
      <c r="M849" s="644" t="s">
        <v>93</v>
      </c>
      <c r="N849" s="645">
        <v>28</v>
      </c>
      <c r="O849" s="644">
        <v>28</v>
      </c>
      <c r="P849" s="157" t="s">
        <v>298</v>
      </c>
      <c r="Q849" s="157"/>
      <c r="R849" s="647">
        <v>1.5</v>
      </c>
      <c r="S849" s="647"/>
      <c r="T849" s="646"/>
      <c r="U849" s="645"/>
      <c r="V849" s="645"/>
      <c r="X849" s="675"/>
      <c r="Y849" s="675"/>
      <c r="Z849" s="675"/>
      <c r="AA849" s="675"/>
      <c r="AB849" s="675"/>
      <c r="AC849" s="675"/>
      <c r="AD849" s="675"/>
      <c r="AE849" s="675"/>
      <c r="AF849" s="676">
        <f t="shared" si="378"/>
        <v>3.3322045101752038</v>
      </c>
      <c r="AG849" s="676">
        <f t="shared" si="379"/>
        <v>3.3322045101752038</v>
      </c>
      <c r="AH849" s="677"/>
      <c r="AI849" s="677"/>
      <c r="AJ849" s="676"/>
      <c r="AK849" s="678">
        <f t="shared" si="380"/>
        <v>42</v>
      </c>
      <c r="AL849" s="678">
        <f t="shared" si="381"/>
        <v>42</v>
      </c>
      <c r="AM849" s="679">
        <f t="shared" si="382"/>
        <v>3.7376696182833684</v>
      </c>
      <c r="AN849" s="679">
        <f t="shared" si="383"/>
        <v>3.7376696182833684</v>
      </c>
      <c r="AO849" s="680"/>
      <c r="AP849" s="680"/>
      <c r="AQ849" s="679"/>
      <c r="AR849" s="681">
        <f t="shared" si="384"/>
        <v>42</v>
      </c>
      <c r="AS849" s="681">
        <f t="shared" si="385"/>
        <v>42</v>
      </c>
      <c r="AT849" s="679">
        <f t="shared" si="386"/>
        <v>3.7376696182833684</v>
      </c>
      <c r="AU849" s="679">
        <f t="shared" si="387"/>
        <v>3.7376696182833684</v>
      </c>
      <c r="AV849" s="682"/>
      <c r="AW849" s="682"/>
      <c r="AX849" s="681">
        <f t="shared" si="397"/>
        <v>42</v>
      </c>
      <c r="AY849" s="681">
        <f t="shared" si="398"/>
        <v>42</v>
      </c>
      <c r="AZ849" s="681">
        <f t="shared" si="399"/>
        <v>42</v>
      </c>
      <c r="BA849" s="681">
        <f t="shared" si="400"/>
        <v>42</v>
      </c>
      <c r="BB849" s="679">
        <f t="shared" si="401"/>
        <v>3.7376696182833684</v>
      </c>
      <c r="BC849" s="679">
        <f t="shared" si="402"/>
        <v>3.7376696182833684</v>
      </c>
      <c r="BD849" s="680"/>
      <c r="BE849" s="680"/>
    </row>
    <row r="850" spans="1:57" s="674" customFormat="1" ht="15" customHeight="1" x14ac:dyDescent="0.2">
      <c r="A850" s="157" t="s">
        <v>305</v>
      </c>
      <c r="B850" s="157" t="s">
        <v>35</v>
      </c>
      <c r="C850" s="158" t="s">
        <v>301</v>
      </c>
      <c r="D850" s="157" t="s">
        <v>72</v>
      </c>
      <c r="E850" s="673">
        <v>4.8</v>
      </c>
      <c r="F850" s="673">
        <v>10</v>
      </c>
      <c r="G850" s="673">
        <v>5.8</v>
      </c>
      <c r="H850" s="643">
        <v>20</v>
      </c>
      <c r="I850" s="161">
        <f>(-34.66+29.72*E850)*F850/100</f>
        <v>10.799599999999998</v>
      </c>
      <c r="J850" s="673">
        <v>0</v>
      </c>
      <c r="K850" s="644" t="s">
        <v>296</v>
      </c>
      <c r="L850" s="643" t="s">
        <v>297</v>
      </c>
      <c r="M850" s="644" t="s">
        <v>93</v>
      </c>
      <c r="N850" s="645">
        <v>28</v>
      </c>
      <c r="O850" s="644">
        <v>28</v>
      </c>
      <c r="P850" s="157" t="s">
        <v>298</v>
      </c>
      <c r="Q850" s="157"/>
      <c r="R850" s="647">
        <v>1.5</v>
      </c>
      <c r="S850" s="647"/>
      <c r="T850" s="646"/>
      <c r="U850" s="645"/>
      <c r="V850" s="645"/>
      <c r="X850" s="675"/>
      <c r="Y850" s="675"/>
      <c r="Z850" s="675"/>
      <c r="AA850" s="675"/>
      <c r="AB850" s="675"/>
      <c r="AC850" s="675"/>
      <c r="AD850" s="675"/>
      <c r="AE850" s="675"/>
      <c r="AF850" s="676">
        <f t="shared" si="378"/>
        <v>3.3322045101752038</v>
      </c>
      <c r="AG850" s="676">
        <f t="shared" si="379"/>
        <v>3.3322045101752038</v>
      </c>
      <c r="AH850" s="677"/>
      <c r="AI850" s="677"/>
      <c r="AJ850" s="676"/>
      <c r="AK850" s="678">
        <f t="shared" si="380"/>
        <v>42</v>
      </c>
      <c r="AL850" s="678">
        <f t="shared" si="381"/>
        <v>42</v>
      </c>
      <c r="AM850" s="679">
        <f t="shared" si="382"/>
        <v>3.7376696182833684</v>
      </c>
      <c r="AN850" s="679">
        <f t="shared" si="383"/>
        <v>3.7376696182833684</v>
      </c>
      <c r="AO850" s="680"/>
      <c r="AP850" s="680"/>
      <c r="AQ850" s="679"/>
      <c r="AR850" s="681">
        <f t="shared" si="384"/>
        <v>42</v>
      </c>
      <c r="AS850" s="681">
        <f t="shared" si="385"/>
        <v>42</v>
      </c>
      <c r="AT850" s="679">
        <f t="shared" si="386"/>
        <v>3.7376696182833684</v>
      </c>
      <c r="AU850" s="679">
        <f t="shared" si="387"/>
        <v>3.7376696182833684</v>
      </c>
      <c r="AV850" s="682"/>
      <c r="AW850" s="682"/>
      <c r="AX850" s="681">
        <f t="shared" si="397"/>
        <v>42</v>
      </c>
      <c r="AY850" s="681">
        <f t="shared" si="398"/>
        <v>42</v>
      </c>
      <c r="AZ850" s="681">
        <f t="shared" si="399"/>
        <v>42</v>
      </c>
      <c r="BA850" s="681">
        <f t="shared" si="400"/>
        <v>42</v>
      </c>
      <c r="BB850" s="679">
        <f t="shared" si="401"/>
        <v>3.7376696182833684</v>
      </c>
      <c r="BC850" s="679">
        <f t="shared" si="402"/>
        <v>3.7376696182833684</v>
      </c>
      <c r="BD850" s="680"/>
      <c r="BE850" s="680"/>
    </row>
    <row r="851" spans="1:57" s="707" customFormat="1" ht="15" customHeight="1" thickBot="1" x14ac:dyDescent="0.25">
      <c r="A851" s="171" t="s">
        <v>305</v>
      </c>
      <c r="B851" s="171" t="s">
        <v>35</v>
      </c>
      <c r="C851" s="172" t="s">
        <v>79</v>
      </c>
      <c r="D851" s="171" t="s">
        <v>72</v>
      </c>
      <c r="E851" s="701">
        <v>4.8</v>
      </c>
      <c r="F851" s="701">
        <v>10</v>
      </c>
      <c r="G851" s="701">
        <v>5.8</v>
      </c>
      <c r="H851" s="702">
        <v>20</v>
      </c>
      <c r="I851" s="175">
        <f>(-34.66+29.72*E851)*F851/100</f>
        <v>10.799599999999998</v>
      </c>
      <c r="J851" s="701">
        <v>0</v>
      </c>
      <c r="K851" s="703" t="s">
        <v>296</v>
      </c>
      <c r="L851" s="702" t="s">
        <v>297</v>
      </c>
      <c r="M851" s="703" t="s">
        <v>93</v>
      </c>
      <c r="N851" s="704">
        <v>28</v>
      </c>
      <c r="O851" s="703">
        <v>28</v>
      </c>
      <c r="P851" s="171" t="s">
        <v>298</v>
      </c>
      <c r="Q851" s="171"/>
      <c r="R851" s="705">
        <v>1.5</v>
      </c>
      <c r="S851" s="705"/>
      <c r="T851" s="706"/>
      <c r="U851" s="704"/>
      <c r="V851" s="704"/>
      <c r="X851" s="708"/>
      <c r="Y851" s="708"/>
      <c r="Z851" s="708"/>
      <c r="AA851" s="708"/>
      <c r="AB851" s="708"/>
      <c r="AC851" s="708"/>
      <c r="AD851" s="708"/>
      <c r="AE851" s="708"/>
      <c r="AF851" s="709">
        <f t="shared" si="378"/>
        <v>3.3322045101752038</v>
      </c>
      <c r="AG851" s="709">
        <f t="shared" si="379"/>
        <v>3.3322045101752038</v>
      </c>
      <c r="AH851" s="710"/>
      <c r="AI851" s="710"/>
      <c r="AJ851" s="709"/>
      <c r="AK851" s="711">
        <f t="shared" si="380"/>
        <v>42</v>
      </c>
      <c r="AL851" s="711">
        <f t="shared" si="381"/>
        <v>42</v>
      </c>
      <c r="AM851" s="712">
        <f t="shared" si="382"/>
        <v>3.7376696182833684</v>
      </c>
      <c r="AN851" s="712">
        <f t="shared" si="383"/>
        <v>3.7376696182833684</v>
      </c>
      <c r="AO851" s="713"/>
      <c r="AP851" s="713"/>
      <c r="AQ851" s="712"/>
      <c r="AR851" s="714">
        <f t="shared" si="384"/>
        <v>42</v>
      </c>
      <c r="AS851" s="714">
        <f t="shared" si="385"/>
        <v>42</v>
      </c>
      <c r="AT851" s="712">
        <f t="shared" si="386"/>
        <v>3.7376696182833684</v>
      </c>
      <c r="AU851" s="712">
        <f t="shared" si="387"/>
        <v>3.7376696182833684</v>
      </c>
      <c r="AV851" s="715"/>
      <c r="AW851" s="715"/>
      <c r="AX851" s="714">
        <f t="shared" si="397"/>
        <v>42</v>
      </c>
      <c r="AY851" s="714">
        <f t="shared" si="398"/>
        <v>42</v>
      </c>
      <c r="AZ851" s="714">
        <f t="shared" si="399"/>
        <v>42</v>
      </c>
      <c r="BA851" s="714">
        <f t="shared" si="400"/>
        <v>42</v>
      </c>
      <c r="BB851" s="712">
        <f t="shared" si="401"/>
        <v>3.7376696182833684</v>
      </c>
      <c r="BC851" s="712">
        <f t="shared" si="402"/>
        <v>3.7376696182833684</v>
      </c>
      <c r="BD851" s="713"/>
      <c r="BE851" s="713"/>
    </row>
    <row r="852" spans="1:57" s="674" customFormat="1" ht="15" customHeight="1" thickTop="1" x14ac:dyDescent="0.2">
      <c r="A852" s="157" t="s">
        <v>305</v>
      </c>
      <c r="B852" s="157" t="s">
        <v>49</v>
      </c>
      <c r="C852" s="158" t="s">
        <v>53</v>
      </c>
      <c r="D852" s="157" t="s">
        <v>44</v>
      </c>
      <c r="E852" s="673">
        <v>5.2</v>
      </c>
      <c r="F852" s="673">
        <f t="shared" ref="F852:F870" si="403">G852/0.58</f>
        <v>3.6206896551724141</v>
      </c>
      <c r="G852" s="673">
        <v>2.1</v>
      </c>
      <c r="H852" s="643">
        <v>13</v>
      </c>
      <c r="I852" s="673">
        <v>7.6</v>
      </c>
      <c r="J852" s="673">
        <v>30.3</v>
      </c>
      <c r="K852" s="644" t="s">
        <v>294</v>
      </c>
      <c r="L852" s="644">
        <v>56</v>
      </c>
      <c r="M852" s="644" t="s">
        <v>104</v>
      </c>
      <c r="N852" s="645">
        <v>22</v>
      </c>
      <c r="O852" s="716">
        <f t="shared" ref="O852:O870" si="404">N852+J852</f>
        <v>52.3</v>
      </c>
      <c r="P852" s="157" t="s">
        <v>302</v>
      </c>
      <c r="Q852" s="157"/>
      <c r="R852" s="647">
        <v>1</v>
      </c>
      <c r="S852" s="647"/>
      <c r="T852" s="647"/>
      <c r="U852" s="645"/>
      <c r="V852" s="645"/>
      <c r="X852" s="675"/>
      <c r="Y852" s="675"/>
      <c r="Z852" s="675"/>
      <c r="AA852" s="675"/>
      <c r="AB852" s="675"/>
      <c r="AC852" s="675"/>
      <c r="AD852" s="675"/>
      <c r="AE852" s="675"/>
      <c r="AF852" s="676">
        <f t="shared" si="378"/>
        <v>3.0910424533583161</v>
      </c>
      <c r="AG852" s="676">
        <f t="shared" si="379"/>
        <v>3.9569963710708773</v>
      </c>
      <c r="AH852" s="677"/>
      <c r="AI852" s="677"/>
      <c r="AJ852" s="676"/>
      <c r="AK852" s="678">
        <f t="shared" si="380"/>
        <v>22</v>
      </c>
      <c r="AL852" s="678">
        <f t="shared" si="381"/>
        <v>52.3</v>
      </c>
      <c r="AM852" s="679">
        <f t="shared" si="382"/>
        <v>3.0910424533583161</v>
      </c>
      <c r="AN852" s="679">
        <f t="shared" si="383"/>
        <v>3.9569963710708773</v>
      </c>
      <c r="AO852" s="680"/>
      <c r="AP852" s="680"/>
      <c r="AQ852" s="679"/>
      <c r="AR852" s="681">
        <f t="shared" si="384"/>
        <v>22</v>
      </c>
      <c r="AS852" s="681">
        <f t="shared" si="385"/>
        <v>52.3</v>
      </c>
      <c r="AT852" s="679">
        <f t="shared" si="386"/>
        <v>3.0910424533583161</v>
      </c>
      <c r="AU852" s="679">
        <f t="shared" si="387"/>
        <v>3.9569963710708773</v>
      </c>
      <c r="AV852" s="682"/>
      <c r="AW852" s="682"/>
      <c r="AX852" s="681">
        <f t="shared" ref="AX852" si="405">GEOMEAN(AR852)</f>
        <v>22</v>
      </c>
      <c r="AY852" s="681">
        <f t="shared" ref="AY852" si="406">GEOMEAN(AS852)</f>
        <v>52.3</v>
      </c>
      <c r="AZ852" s="681">
        <f t="shared" ref="AZ852" si="407">MIN(AX852)</f>
        <v>22</v>
      </c>
      <c r="BA852" s="681">
        <f t="shared" ref="BA852" si="408">MIN(AY852)</f>
        <v>52.3</v>
      </c>
      <c r="BB852" s="679">
        <f t="shared" ref="BB852:BB853" si="409">LN(AZ852)</f>
        <v>3.0910424533583161</v>
      </c>
      <c r="BC852" s="679">
        <f t="shared" ref="BC852:BC853" si="410">LN(BA852)</f>
        <v>3.9569963710708773</v>
      </c>
      <c r="BD852" s="680"/>
      <c r="BE852" s="680"/>
    </row>
    <row r="853" spans="1:57" s="660" customFormat="1" ht="15" customHeight="1" x14ac:dyDescent="0.2">
      <c r="A853" s="629" t="s">
        <v>305</v>
      </c>
      <c r="B853" s="629" t="s">
        <v>49</v>
      </c>
      <c r="C853" s="654" t="s">
        <v>57</v>
      </c>
      <c r="D853" s="629" t="s">
        <v>44</v>
      </c>
      <c r="E853" s="655">
        <v>5.2</v>
      </c>
      <c r="F853" s="655">
        <f t="shared" si="403"/>
        <v>2.7586206896551726</v>
      </c>
      <c r="G853" s="655">
        <v>1.6</v>
      </c>
      <c r="H853" s="656">
        <v>6</v>
      </c>
      <c r="I853" s="655">
        <v>3</v>
      </c>
      <c r="J853" s="655">
        <v>17.2</v>
      </c>
      <c r="K853" s="657" t="s">
        <v>292</v>
      </c>
      <c r="L853" s="657">
        <v>28</v>
      </c>
      <c r="M853" s="657" t="s">
        <v>104</v>
      </c>
      <c r="N853" s="717">
        <v>44</v>
      </c>
      <c r="O853" s="717">
        <f t="shared" si="404"/>
        <v>61.2</v>
      </c>
      <c r="P853" s="629" t="s">
        <v>302</v>
      </c>
      <c r="Q853" s="629"/>
      <c r="R853" s="659">
        <v>1.5</v>
      </c>
      <c r="S853" s="659"/>
      <c r="T853" s="658"/>
      <c r="U853" s="658"/>
      <c r="V853" s="658"/>
      <c r="X853" s="661"/>
      <c r="Y853" s="661"/>
      <c r="Z853" s="661"/>
      <c r="AA853" s="661"/>
      <c r="AB853" s="661"/>
      <c r="AC853" s="661"/>
      <c r="AD853" s="661"/>
      <c r="AE853" s="661"/>
      <c r="AF853" s="663">
        <f t="shared" si="378"/>
        <v>3.784189633918261</v>
      </c>
      <c r="AG853" s="663">
        <f t="shared" si="379"/>
        <v>4.1141471895182802</v>
      </c>
      <c r="AH853" s="664"/>
      <c r="AI853" s="664"/>
      <c r="AJ853" s="663"/>
      <c r="AK853" s="665">
        <f t="shared" si="380"/>
        <v>66</v>
      </c>
      <c r="AL853" s="665">
        <f t="shared" si="381"/>
        <v>83.2</v>
      </c>
      <c r="AM853" s="666">
        <f t="shared" si="382"/>
        <v>4.1896547420264252</v>
      </c>
      <c r="AN853" s="666">
        <f t="shared" si="383"/>
        <v>4.4212473478271628</v>
      </c>
      <c r="AO853" s="667"/>
      <c r="AP853" s="667"/>
      <c r="AQ853" s="666"/>
      <c r="AR853" s="668">
        <f t="shared" si="384"/>
        <v>66</v>
      </c>
      <c r="AS853" s="668">
        <f t="shared" si="385"/>
        <v>83.2</v>
      </c>
      <c r="AT853" s="666">
        <f t="shared" si="386"/>
        <v>4.1896547420264252</v>
      </c>
      <c r="AU853" s="666">
        <f t="shared" si="387"/>
        <v>4.4212473478271628</v>
      </c>
      <c r="AV853" s="669"/>
      <c r="AW853" s="669"/>
      <c r="AX853" s="668">
        <f>GEOMEAN(AR853:AR856)</f>
        <v>23.179586192112549</v>
      </c>
      <c r="AY853" s="668">
        <f>GEOMEAN(AS853:AS856)</f>
        <v>65.77414003199226</v>
      </c>
      <c r="AZ853" s="668">
        <f>MIN(AX853:AX856)</f>
        <v>23.179586192112549</v>
      </c>
      <c r="BA853" s="668">
        <f>MIN(AY853:AY856)</f>
        <v>65.77414003199226</v>
      </c>
      <c r="BB853" s="666">
        <f t="shared" si="409"/>
        <v>3.1432719858157845</v>
      </c>
      <c r="BC853" s="666">
        <f t="shared" si="410"/>
        <v>4.1862267524508026</v>
      </c>
      <c r="BD853" s="667"/>
      <c r="BE853" s="667"/>
    </row>
    <row r="854" spans="1:57" s="660" customFormat="1" ht="15" customHeight="1" x14ac:dyDescent="0.2">
      <c r="A854" s="629" t="s">
        <v>305</v>
      </c>
      <c r="B854" s="629" t="s">
        <v>49</v>
      </c>
      <c r="C854" s="654" t="s">
        <v>57</v>
      </c>
      <c r="D854" s="629" t="s">
        <v>44</v>
      </c>
      <c r="E854" s="655">
        <v>5.9</v>
      </c>
      <c r="F854" s="655">
        <f t="shared" si="403"/>
        <v>1.8965517241379313</v>
      </c>
      <c r="G854" s="655">
        <v>1.1000000000000001</v>
      </c>
      <c r="H854" s="656">
        <v>11</v>
      </c>
      <c r="I854" s="655">
        <v>4.3</v>
      </c>
      <c r="J854" s="655">
        <v>26.4</v>
      </c>
      <c r="K854" s="657" t="s">
        <v>292</v>
      </c>
      <c r="L854" s="657">
        <v>28</v>
      </c>
      <c r="M854" s="657" t="s">
        <v>104</v>
      </c>
      <c r="N854" s="717">
        <v>4.5</v>
      </c>
      <c r="O854" s="717">
        <f t="shared" si="404"/>
        <v>30.9</v>
      </c>
      <c r="P854" s="629" t="s">
        <v>302</v>
      </c>
      <c r="Q854" s="629"/>
      <c r="R854" s="659">
        <v>1.5</v>
      </c>
      <c r="S854" s="659"/>
      <c r="T854" s="659"/>
      <c r="U854" s="658"/>
      <c r="V854" s="658"/>
      <c r="X854" s="661"/>
      <c r="Y854" s="661"/>
      <c r="Z854" s="661"/>
      <c r="AA854" s="661"/>
      <c r="AB854" s="661"/>
      <c r="AC854" s="661"/>
      <c r="AD854" s="661"/>
      <c r="AE854" s="661"/>
      <c r="AF854" s="663">
        <f t="shared" si="378"/>
        <v>1.5040773967762742</v>
      </c>
      <c r="AG854" s="663">
        <f t="shared" si="379"/>
        <v>3.4307561839036995</v>
      </c>
      <c r="AH854" s="664"/>
      <c r="AI854" s="664"/>
      <c r="AJ854" s="663"/>
      <c r="AK854" s="665">
        <f t="shared" si="380"/>
        <v>6.75</v>
      </c>
      <c r="AL854" s="665">
        <f t="shared" si="381"/>
        <v>33.15</v>
      </c>
      <c r="AM854" s="666">
        <f t="shared" si="382"/>
        <v>1.9095425048844386</v>
      </c>
      <c r="AN854" s="666">
        <f t="shared" si="383"/>
        <v>3.5010427166318716</v>
      </c>
      <c r="AO854" s="667"/>
      <c r="AP854" s="667"/>
      <c r="AQ854" s="666"/>
      <c r="AR854" s="668">
        <f t="shared" si="384"/>
        <v>6.75</v>
      </c>
      <c r="AS854" s="668">
        <f t="shared" si="385"/>
        <v>33.15</v>
      </c>
      <c r="AT854" s="666">
        <f t="shared" si="386"/>
        <v>1.9095425048844386</v>
      </c>
      <c r="AU854" s="666">
        <f t="shared" si="387"/>
        <v>3.5010427166318716</v>
      </c>
      <c r="AV854" s="669"/>
      <c r="AW854" s="669"/>
      <c r="AX854" s="666"/>
      <c r="AY854" s="666"/>
      <c r="AZ854" s="666"/>
      <c r="BA854" s="666"/>
      <c r="BB854" s="666"/>
      <c r="BC854" s="666"/>
      <c r="BD854" s="667"/>
      <c r="BE854" s="667"/>
    </row>
    <row r="855" spans="1:57" s="660" customFormat="1" ht="15" customHeight="1" x14ac:dyDescent="0.2">
      <c r="A855" s="629" t="s">
        <v>305</v>
      </c>
      <c r="B855" s="629" t="s">
        <v>49</v>
      </c>
      <c r="C855" s="654" t="s">
        <v>57</v>
      </c>
      <c r="D855" s="629" t="s">
        <v>44</v>
      </c>
      <c r="E855" s="655">
        <v>5.5</v>
      </c>
      <c r="F855" s="655">
        <f t="shared" si="403"/>
        <v>4.3103448275862073</v>
      </c>
      <c r="G855" s="655">
        <v>2.5</v>
      </c>
      <c r="H855" s="656">
        <v>29</v>
      </c>
      <c r="I855" s="655">
        <v>10.199999999999999</v>
      </c>
      <c r="J855" s="655">
        <v>51</v>
      </c>
      <c r="K855" s="657" t="s">
        <v>292</v>
      </c>
      <c r="L855" s="657">
        <v>28</v>
      </c>
      <c r="M855" s="657" t="s">
        <v>93</v>
      </c>
      <c r="N855" s="717">
        <v>96</v>
      </c>
      <c r="O855" s="717">
        <f t="shared" si="404"/>
        <v>147</v>
      </c>
      <c r="P855" s="629" t="s">
        <v>302</v>
      </c>
      <c r="Q855" s="629"/>
      <c r="R855" s="659">
        <v>1.5</v>
      </c>
      <c r="S855" s="659"/>
      <c r="T855" s="659"/>
      <c r="U855" s="658"/>
      <c r="V855" s="658"/>
      <c r="X855" s="661"/>
      <c r="Y855" s="661"/>
      <c r="Z855" s="661"/>
      <c r="AA855" s="661"/>
      <c r="AB855" s="661"/>
      <c r="AC855" s="661"/>
      <c r="AD855" s="661"/>
      <c r="AE855" s="661"/>
      <c r="AF855" s="663">
        <f t="shared" si="378"/>
        <v>4.5643481914678361</v>
      </c>
      <c r="AG855" s="663">
        <f t="shared" si="379"/>
        <v>4.990432586778736</v>
      </c>
      <c r="AH855" s="664"/>
      <c r="AI855" s="664"/>
      <c r="AJ855" s="663"/>
      <c r="AK855" s="665">
        <f t="shared" si="380"/>
        <v>144</v>
      </c>
      <c r="AL855" s="665">
        <f t="shared" si="381"/>
        <v>195</v>
      </c>
      <c r="AM855" s="666">
        <f t="shared" si="382"/>
        <v>4.9698132995760007</v>
      </c>
      <c r="AN855" s="666">
        <f t="shared" si="383"/>
        <v>5.2729995585637468</v>
      </c>
      <c r="AO855" s="667"/>
      <c r="AP855" s="667"/>
      <c r="AQ855" s="666"/>
      <c r="AR855" s="668">
        <f t="shared" si="384"/>
        <v>144</v>
      </c>
      <c r="AS855" s="668">
        <f t="shared" si="385"/>
        <v>195</v>
      </c>
      <c r="AT855" s="666">
        <f t="shared" si="386"/>
        <v>4.9698132995760007</v>
      </c>
      <c r="AU855" s="666">
        <f t="shared" si="387"/>
        <v>5.2729995585637468</v>
      </c>
      <c r="AV855" s="669"/>
      <c r="AW855" s="669"/>
      <c r="AX855" s="666"/>
      <c r="AY855" s="666"/>
      <c r="AZ855" s="666"/>
      <c r="BA855" s="666"/>
      <c r="BB855" s="666"/>
      <c r="BC855" s="666"/>
      <c r="BD855" s="667"/>
      <c r="BE855" s="667"/>
    </row>
    <row r="856" spans="1:57" s="674" customFormat="1" ht="15" customHeight="1" x14ac:dyDescent="0.2">
      <c r="A856" s="157" t="s">
        <v>305</v>
      </c>
      <c r="B856" s="157" t="s">
        <v>49</v>
      </c>
      <c r="C856" s="158" t="s">
        <v>57</v>
      </c>
      <c r="D856" s="157" t="s">
        <v>44</v>
      </c>
      <c r="E856" s="673">
        <v>5.2</v>
      </c>
      <c r="F856" s="673">
        <f t="shared" si="403"/>
        <v>3.6206896551724141</v>
      </c>
      <c r="G856" s="673">
        <v>2.1</v>
      </c>
      <c r="H856" s="643">
        <v>13</v>
      </c>
      <c r="I856" s="673">
        <v>7.6</v>
      </c>
      <c r="J856" s="673">
        <v>30.3</v>
      </c>
      <c r="K856" s="644" t="s">
        <v>292</v>
      </c>
      <c r="L856" s="644">
        <v>28</v>
      </c>
      <c r="M856" s="644" t="s">
        <v>104</v>
      </c>
      <c r="N856" s="716">
        <v>3</v>
      </c>
      <c r="O856" s="716">
        <f t="shared" si="404"/>
        <v>33.299999999999997</v>
      </c>
      <c r="P856" s="157" t="s">
        <v>302</v>
      </c>
      <c r="Q856" s="157"/>
      <c r="R856" s="647">
        <v>1.5</v>
      </c>
      <c r="S856" s="647"/>
      <c r="T856" s="647"/>
      <c r="U856" s="645"/>
      <c r="V856" s="645"/>
      <c r="X856" s="675"/>
      <c r="Y856" s="675"/>
      <c r="Z856" s="675"/>
      <c r="AA856" s="675"/>
      <c r="AB856" s="675"/>
      <c r="AC856" s="675"/>
      <c r="AD856" s="675"/>
      <c r="AE856" s="675"/>
      <c r="AF856" s="676">
        <f t="shared" si="378"/>
        <v>1.0986122886681098</v>
      </c>
      <c r="AG856" s="676">
        <f t="shared" si="379"/>
        <v>3.505557396986398</v>
      </c>
      <c r="AH856" s="677"/>
      <c r="AI856" s="677"/>
      <c r="AJ856" s="676"/>
      <c r="AK856" s="678">
        <f t="shared" si="380"/>
        <v>4.5</v>
      </c>
      <c r="AL856" s="678">
        <f t="shared" si="381"/>
        <v>34.799999999999997</v>
      </c>
      <c r="AM856" s="679">
        <f t="shared" si="382"/>
        <v>1.5040773967762742</v>
      </c>
      <c r="AN856" s="679">
        <f t="shared" si="383"/>
        <v>3.5496173867804286</v>
      </c>
      <c r="AO856" s="680"/>
      <c r="AP856" s="680"/>
      <c r="AQ856" s="679"/>
      <c r="AR856" s="681">
        <f t="shared" si="384"/>
        <v>4.5</v>
      </c>
      <c r="AS856" s="681">
        <f t="shared" si="385"/>
        <v>34.799999999999997</v>
      </c>
      <c r="AT856" s="679">
        <f t="shared" si="386"/>
        <v>1.5040773967762742</v>
      </c>
      <c r="AU856" s="679">
        <f t="shared" si="387"/>
        <v>3.5496173867804286</v>
      </c>
      <c r="AV856" s="682"/>
      <c r="AW856" s="682"/>
      <c r="AX856" s="679"/>
      <c r="AY856" s="679"/>
      <c r="AZ856" s="679"/>
      <c r="BA856" s="679"/>
      <c r="BB856" s="679"/>
      <c r="BC856" s="679"/>
      <c r="BD856" s="680"/>
      <c r="BE856" s="680"/>
    </row>
    <row r="857" spans="1:57" s="660" customFormat="1" ht="15" customHeight="1" x14ac:dyDescent="0.2">
      <c r="A857" s="629" t="s">
        <v>305</v>
      </c>
      <c r="B857" s="629" t="s">
        <v>49</v>
      </c>
      <c r="C857" s="654" t="s">
        <v>202</v>
      </c>
      <c r="D857" s="629" t="s">
        <v>44</v>
      </c>
      <c r="E857" s="655">
        <v>5.2</v>
      </c>
      <c r="F857" s="655">
        <f t="shared" si="403"/>
        <v>2.7586206896551726</v>
      </c>
      <c r="G857" s="655">
        <v>1.6</v>
      </c>
      <c r="H857" s="656">
        <v>6</v>
      </c>
      <c r="I857" s="655">
        <v>3</v>
      </c>
      <c r="J857" s="655">
        <v>17.2</v>
      </c>
      <c r="K857" s="657" t="s">
        <v>292</v>
      </c>
      <c r="L857" s="656">
        <v>28</v>
      </c>
      <c r="M857" s="657" t="s">
        <v>104</v>
      </c>
      <c r="N857" s="717">
        <v>2</v>
      </c>
      <c r="O857" s="717">
        <f t="shared" si="404"/>
        <v>19.2</v>
      </c>
      <c r="P857" s="629" t="s">
        <v>302</v>
      </c>
      <c r="Q857" s="629"/>
      <c r="R857" s="659">
        <v>1.5</v>
      </c>
      <c r="S857" s="659"/>
      <c r="T857" s="658"/>
      <c r="U857" s="658"/>
      <c r="V857" s="658"/>
      <c r="X857" s="661"/>
      <c r="Y857" s="661"/>
      <c r="Z857" s="661"/>
      <c r="AA857" s="661"/>
      <c r="AB857" s="661"/>
      <c r="AC857" s="661"/>
      <c r="AD857" s="661"/>
      <c r="AE857" s="662"/>
      <c r="AF857" s="663">
        <f t="shared" si="378"/>
        <v>0.69314718055994529</v>
      </c>
      <c r="AG857" s="663">
        <f t="shared" si="379"/>
        <v>2.954910279033736</v>
      </c>
      <c r="AH857" s="664"/>
      <c r="AI857" s="664"/>
      <c r="AJ857" s="663"/>
      <c r="AK857" s="665">
        <f t="shared" si="380"/>
        <v>3</v>
      </c>
      <c r="AL857" s="665">
        <f t="shared" si="381"/>
        <v>20.2</v>
      </c>
      <c r="AM857" s="666">
        <f t="shared" si="382"/>
        <v>1.0986122886681098</v>
      </c>
      <c r="AN857" s="666">
        <f t="shared" si="383"/>
        <v>3.0056826044071592</v>
      </c>
      <c r="AO857" s="667"/>
      <c r="AP857" s="667"/>
      <c r="AQ857" s="666"/>
      <c r="AR857" s="668">
        <f t="shared" si="384"/>
        <v>3</v>
      </c>
      <c r="AS857" s="668">
        <f t="shared" si="385"/>
        <v>20.2</v>
      </c>
      <c r="AT857" s="666">
        <f t="shared" si="386"/>
        <v>1.0986122886681098</v>
      </c>
      <c r="AU857" s="666">
        <f t="shared" si="387"/>
        <v>3.0056826044071592</v>
      </c>
      <c r="AV857" s="669"/>
      <c r="AW857" s="669"/>
      <c r="AX857" s="668">
        <f>GEOMEAN(AR857:AR860)</f>
        <v>21.864586496430611</v>
      </c>
      <c r="AY857" s="668">
        <f>GEOMEAN(AS857:AS860)</f>
        <v>55.172839887073636</v>
      </c>
      <c r="AZ857" s="668">
        <f>MIN(AX857:AX860)</f>
        <v>21.864586496430611</v>
      </c>
      <c r="BA857" s="668">
        <f>MIN(AY857:AY860)</f>
        <v>55.172839887073636</v>
      </c>
      <c r="BB857" s="666">
        <f t="shared" ref="BB857" si="411">LN(AZ857)</f>
        <v>3.0848682730204082</v>
      </c>
      <c r="BC857" s="666">
        <f t="shared" ref="BC857" si="412">LN(BA857)</f>
        <v>4.0104708011647867</v>
      </c>
      <c r="BD857" s="667"/>
      <c r="BE857" s="667"/>
    </row>
    <row r="858" spans="1:57" s="660" customFormat="1" ht="15" customHeight="1" x14ac:dyDescent="0.2">
      <c r="A858" s="629" t="s">
        <v>305</v>
      </c>
      <c r="B858" s="629" t="s">
        <v>49</v>
      </c>
      <c r="C858" s="654" t="s">
        <v>202</v>
      </c>
      <c r="D858" s="629" t="s">
        <v>44</v>
      </c>
      <c r="E858" s="655">
        <v>5.9</v>
      </c>
      <c r="F858" s="655">
        <f t="shared" si="403"/>
        <v>1.8965517241379313</v>
      </c>
      <c r="G858" s="655">
        <v>1.1000000000000001</v>
      </c>
      <c r="H858" s="656">
        <v>11</v>
      </c>
      <c r="I858" s="655">
        <v>4.3</v>
      </c>
      <c r="J858" s="655">
        <v>26.4</v>
      </c>
      <c r="K858" s="657" t="s">
        <v>292</v>
      </c>
      <c r="L858" s="656">
        <v>28</v>
      </c>
      <c r="M858" s="657" t="s">
        <v>104</v>
      </c>
      <c r="N858" s="717">
        <v>19</v>
      </c>
      <c r="O858" s="717">
        <f t="shared" si="404"/>
        <v>45.4</v>
      </c>
      <c r="P858" s="629" t="s">
        <v>302</v>
      </c>
      <c r="Q858" s="629"/>
      <c r="R858" s="659">
        <v>1.5</v>
      </c>
      <c r="S858" s="659"/>
      <c r="T858" s="659"/>
      <c r="U858" s="658"/>
      <c r="V858" s="658"/>
      <c r="X858" s="661"/>
      <c r="Y858" s="661"/>
      <c r="Z858" s="661"/>
      <c r="AA858" s="661"/>
      <c r="AB858" s="661"/>
      <c r="AC858" s="661"/>
      <c r="AD858" s="661"/>
      <c r="AE858" s="662"/>
      <c r="AF858" s="663">
        <f t="shared" si="378"/>
        <v>2.9444389791664403</v>
      </c>
      <c r="AG858" s="663">
        <f t="shared" si="379"/>
        <v>3.8155121050473024</v>
      </c>
      <c r="AH858" s="664"/>
      <c r="AI858" s="664"/>
      <c r="AJ858" s="663"/>
      <c r="AK858" s="665">
        <f t="shared" si="380"/>
        <v>28.5</v>
      </c>
      <c r="AL858" s="665">
        <f t="shared" si="381"/>
        <v>54.9</v>
      </c>
      <c r="AM858" s="666">
        <f t="shared" si="382"/>
        <v>3.3499040872746049</v>
      </c>
      <c r="AN858" s="666">
        <f t="shared" si="383"/>
        <v>4.0055133485154846</v>
      </c>
      <c r="AO858" s="667"/>
      <c r="AP858" s="667"/>
      <c r="AQ858" s="666"/>
      <c r="AR858" s="668">
        <f t="shared" si="384"/>
        <v>28.5</v>
      </c>
      <c r="AS858" s="668">
        <f t="shared" si="385"/>
        <v>54.9</v>
      </c>
      <c r="AT858" s="666">
        <f t="shared" si="386"/>
        <v>3.3499040872746049</v>
      </c>
      <c r="AU858" s="666">
        <f t="shared" si="387"/>
        <v>4.0055133485154846</v>
      </c>
      <c r="AV858" s="669"/>
      <c r="AW858" s="669"/>
      <c r="AX858" s="666"/>
      <c r="AY858" s="666"/>
      <c r="AZ858" s="666"/>
      <c r="BA858" s="666"/>
      <c r="BB858" s="666"/>
      <c r="BC858" s="666"/>
      <c r="BD858" s="667"/>
      <c r="BE858" s="667"/>
    </row>
    <row r="859" spans="1:57" s="660" customFormat="1" ht="15" customHeight="1" x14ac:dyDescent="0.2">
      <c r="A859" s="629" t="s">
        <v>305</v>
      </c>
      <c r="B859" s="629" t="s">
        <v>49</v>
      </c>
      <c r="C859" s="654" t="s">
        <v>202</v>
      </c>
      <c r="D859" s="629" t="s">
        <v>44</v>
      </c>
      <c r="E859" s="655">
        <v>5.5</v>
      </c>
      <c r="F859" s="655">
        <f t="shared" si="403"/>
        <v>4.3103448275862073</v>
      </c>
      <c r="G859" s="655">
        <v>2.5</v>
      </c>
      <c r="H859" s="656">
        <v>29</v>
      </c>
      <c r="I859" s="655">
        <v>10.199999999999999</v>
      </c>
      <c r="J859" s="655">
        <v>51</v>
      </c>
      <c r="K859" s="657" t="s">
        <v>292</v>
      </c>
      <c r="L859" s="656">
        <v>28</v>
      </c>
      <c r="M859" s="657" t="s">
        <v>104</v>
      </c>
      <c r="N859" s="717">
        <v>54</v>
      </c>
      <c r="O859" s="717">
        <f t="shared" si="404"/>
        <v>105</v>
      </c>
      <c r="P859" s="629" t="s">
        <v>302</v>
      </c>
      <c r="Q859" s="629"/>
      <c r="R859" s="659">
        <v>1.5</v>
      </c>
      <c r="S859" s="659"/>
      <c r="T859" s="659"/>
      <c r="U859" s="658"/>
      <c r="V859" s="658"/>
      <c r="X859" s="661"/>
      <c r="Y859" s="661"/>
      <c r="Z859" s="661"/>
      <c r="AA859" s="661"/>
      <c r="AB859" s="661"/>
      <c r="AC859" s="661"/>
      <c r="AD859" s="661"/>
      <c r="AE859" s="662"/>
      <c r="AF859" s="663">
        <f t="shared" si="378"/>
        <v>3.9889840465642745</v>
      </c>
      <c r="AG859" s="663">
        <f t="shared" si="379"/>
        <v>4.6539603501575231</v>
      </c>
      <c r="AH859" s="664"/>
      <c r="AI859" s="664"/>
      <c r="AJ859" s="663"/>
      <c r="AK859" s="665">
        <f t="shared" si="380"/>
        <v>81</v>
      </c>
      <c r="AL859" s="665">
        <f t="shared" si="381"/>
        <v>132</v>
      </c>
      <c r="AM859" s="666">
        <f t="shared" si="382"/>
        <v>4.3944491546724391</v>
      </c>
      <c r="AN859" s="666">
        <f t="shared" si="383"/>
        <v>4.8828019225863706</v>
      </c>
      <c r="AO859" s="667"/>
      <c r="AP859" s="667"/>
      <c r="AQ859" s="666"/>
      <c r="AR859" s="668">
        <f t="shared" si="384"/>
        <v>81</v>
      </c>
      <c r="AS859" s="668">
        <f t="shared" si="385"/>
        <v>132</v>
      </c>
      <c r="AT859" s="666">
        <f t="shared" si="386"/>
        <v>4.3944491546724391</v>
      </c>
      <c r="AU859" s="666">
        <f t="shared" si="387"/>
        <v>4.8828019225863706</v>
      </c>
      <c r="AV859" s="669"/>
      <c r="AW859" s="669"/>
      <c r="AX859" s="666"/>
      <c r="AY859" s="666"/>
      <c r="AZ859" s="666"/>
      <c r="BA859" s="666"/>
      <c r="BB859" s="666"/>
      <c r="BC859" s="666"/>
      <c r="BD859" s="667"/>
      <c r="BE859" s="667"/>
    </row>
    <row r="860" spans="1:57" s="726" customFormat="1" ht="15" customHeight="1" thickBot="1" x14ac:dyDescent="0.25">
      <c r="A860" s="718" t="s">
        <v>305</v>
      </c>
      <c r="B860" s="718" t="s">
        <v>49</v>
      </c>
      <c r="C860" s="719" t="s">
        <v>202</v>
      </c>
      <c r="D860" s="718" t="s">
        <v>44</v>
      </c>
      <c r="E860" s="720">
        <v>5.2</v>
      </c>
      <c r="F860" s="720">
        <f t="shared" si="403"/>
        <v>3.6206896551724141</v>
      </c>
      <c r="G860" s="720">
        <v>2.1</v>
      </c>
      <c r="H860" s="721">
        <v>13</v>
      </c>
      <c r="I860" s="720">
        <v>7.6</v>
      </c>
      <c r="J860" s="720">
        <v>30.3</v>
      </c>
      <c r="K860" s="722" t="s">
        <v>292</v>
      </c>
      <c r="L860" s="721">
        <v>28</v>
      </c>
      <c r="M860" s="722" t="s">
        <v>104</v>
      </c>
      <c r="N860" s="723">
        <v>22</v>
      </c>
      <c r="O860" s="723">
        <f t="shared" si="404"/>
        <v>52.3</v>
      </c>
      <c r="P860" s="718" t="s">
        <v>302</v>
      </c>
      <c r="Q860" s="718"/>
      <c r="R860" s="724">
        <v>1.5</v>
      </c>
      <c r="S860" s="724"/>
      <c r="T860" s="724"/>
      <c r="U860" s="725"/>
      <c r="V860" s="725"/>
      <c r="X860" s="727"/>
      <c r="Y860" s="727"/>
      <c r="Z860" s="727"/>
      <c r="AA860" s="727"/>
      <c r="AB860" s="727"/>
      <c r="AC860" s="727"/>
      <c r="AD860" s="727"/>
      <c r="AE860" s="728"/>
      <c r="AF860" s="729">
        <f t="shared" si="378"/>
        <v>3.0910424533583161</v>
      </c>
      <c r="AG860" s="729">
        <f t="shared" si="379"/>
        <v>3.9569963710708773</v>
      </c>
      <c r="AH860" s="730"/>
      <c r="AI860" s="730"/>
      <c r="AJ860" s="729"/>
      <c r="AK860" s="731">
        <f t="shared" si="380"/>
        <v>33</v>
      </c>
      <c r="AL860" s="731">
        <f t="shared" si="381"/>
        <v>63.3</v>
      </c>
      <c r="AM860" s="732">
        <f t="shared" si="382"/>
        <v>3.4965075614664802</v>
      </c>
      <c r="AN860" s="732">
        <f t="shared" si="383"/>
        <v>4.1478853291501308</v>
      </c>
      <c r="AO860" s="733"/>
      <c r="AP860" s="733"/>
      <c r="AQ860" s="732"/>
      <c r="AR860" s="734">
        <f t="shared" si="384"/>
        <v>33</v>
      </c>
      <c r="AS860" s="734">
        <f t="shared" si="385"/>
        <v>63.3</v>
      </c>
      <c r="AT860" s="732">
        <f t="shared" si="386"/>
        <v>3.4965075614664802</v>
      </c>
      <c r="AU860" s="732">
        <f t="shared" si="387"/>
        <v>4.1478853291501308</v>
      </c>
      <c r="AV860" s="735"/>
      <c r="AW860" s="735"/>
      <c r="AX860" s="732"/>
      <c r="AY860" s="732"/>
      <c r="AZ860" s="732"/>
      <c r="BA860" s="732"/>
      <c r="BB860" s="732"/>
      <c r="BC860" s="732"/>
      <c r="BD860" s="733"/>
      <c r="BE860" s="733"/>
    </row>
    <row r="861" spans="1:57" s="660" customFormat="1" ht="15" customHeight="1" thickTop="1" x14ac:dyDescent="0.2">
      <c r="A861" s="629" t="s">
        <v>305</v>
      </c>
      <c r="B861" s="629" t="s">
        <v>62</v>
      </c>
      <c r="C861" s="654" t="s">
        <v>224</v>
      </c>
      <c r="D861" s="629" t="s">
        <v>303</v>
      </c>
      <c r="E861" s="655">
        <v>7.8</v>
      </c>
      <c r="F861" s="655">
        <f t="shared" si="403"/>
        <v>0.86206896551724144</v>
      </c>
      <c r="G861" s="655">
        <v>0.5</v>
      </c>
      <c r="H861" s="656">
        <v>24</v>
      </c>
      <c r="I861" s="655">
        <v>14.1</v>
      </c>
      <c r="J861" s="656">
        <v>16.399999999999999</v>
      </c>
      <c r="K861" s="657" t="s">
        <v>292</v>
      </c>
      <c r="L861" s="656">
        <v>7</v>
      </c>
      <c r="M861" s="657" t="s">
        <v>104</v>
      </c>
      <c r="N861" s="658">
        <v>19</v>
      </c>
      <c r="O861" s="657">
        <f t="shared" si="404"/>
        <v>35.4</v>
      </c>
      <c r="P861" s="629" t="s">
        <v>293</v>
      </c>
      <c r="Q861" s="629"/>
      <c r="R861" s="659">
        <v>1.5</v>
      </c>
      <c r="S861" s="659"/>
      <c r="T861" s="658"/>
      <c r="U861" s="658"/>
      <c r="V861" s="658"/>
      <c r="X861" s="661"/>
      <c r="Y861" s="661"/>
      <c r="Z861" s="661"/>
      <c r="AA861" s="661"/>
      <c r="AB861" s="661"/>
      <c r="AC861" s="661"/>
      <c r="AD861" s="661"/>
      <c r="AE861" s="662"/>
      <c r="AF861" s="663">
        <f t="shared" si="378"/>
        <v>2.9444389791664403</v>
      </c>
      <c r="AG861" s="663">
        <f t="shared" si="379"/>
        <v>3.5667118201397288</v>
      </c>
      <c r="AH861" s="664"/>
      <c r="AI861" s="664"/>
      <c r="AJ861" s="663"/>
      <c r="AK861" s="665">
        <f t="shared" si="380"/>
        <v>28.5</v>
      </c>
      <c r="AL861" s="665">
        <f t="shared" si="381"/>
        <v>44.9</v>
      </c>
      <c r="AM861" s="666">
        <f t="shared" si="382"/>
        <v>3.3499040872746049</v>
      </c>
      <c r="AN861" s="666">
        <f t="shared" si="383"/>
        <v>3.8044377947482086</v>
      </c>
      <c r="AO861" s="667"/>
      <c r="AP861" s="667"/>
      <c r="AQ861" s="666"/>
      <c r="AR861" s="668">
        <f t="shared" si="384"/>
        <v>28.5</v>
      </c>
      <c r="AS861" s="668">
        <f t="shared" si="385"/>
        <v>44.9</v>
      </c>
      <c r="AT861" s="666">
        <f t="shared" si="386"/>
        <v>3.3499040872746049</v>
      </c>
      <c r="AU861" s="666">
        <f t="shared" si="387"/>
        <v>3.8044377947482086</v>
      </c>
      <c r="AV861" s="669"/>
      <c r="AW861" s="669"/>
      <c r="AX861" s="668">
        <f>GEOMEAN(AR861:AR865)</f>
        <v>33.624970431318374</v>
      </c>
      <c r="AY861" s="668">
        <f>GEOMEAN(AS861:AS865)</f>
        <v>66.700098172540621</v>
      </c>
      <c r="AZ861" s="668">
        <f>MIN(AX861:AX865)</f>
        <v>33.624970431318374</v>
      </c>
      <c r="BA861" s="668">
        <f>MIN(AY861:AY865)</f>
        <v>66.700098172540621</v>
      </c>
      <c r="BB861" s="666">
        <f t="shared" ref="BB861" si="413">LN(AZ861)</f>
        <v>3.51526895855562</v>
      </c>
      <c r="BC861" s="666">
        <f t="shared" ref="BC861" si="414">LN(BA861)</f>
        <v>4.200206424772678</v>
      </c>
      <c r="BD861" s="667"/>
      <c r="BE861" s="667"/>
    </row>
    <row r="862" spans="1:57" s="660" customFormat="1" ht="15" customHeight="1" x14ac:dyDescent="0.2">
      <c r="A862" s="629" t="s">
        <v>305</v>
      </c>
      <c r="B862" s="629" t="s">
        <v>62</v>
      </c>
      <c r="C862" s="654" t="s">
        <v>224</v>
      </c>
      <c r="D862" s="629" t="s">
        <v>303</v>
      </c>
      <c r="E862" s="655">
        <v>5.2</v>
      </c>
      <c r="F862" s="655">
        <f t="shared" si="403"/>
        <v>2.7586206896551726</v>
      </c>
      <c r="G862" s="655">
        <v>1.6</v>
      </c>
      <c r="H862" s="656">
        <v>6</v>
      </c>
      <c r="I862" s="655">
        <v>3</v>
      </c>
      <c r="J862" s="656">
        <v>15</v>
      </c>
      <c r="K862" s="657" t="s">
        <v>292</v>
      </c>
      <c r="L862" s="656">
        <v>28</v>
      </c>
      <c r="M862" s="657" t="s">
        <v>93</v>
      </c>
      <c r="N862" s="717">
        <v>3.2</v>
      </c>
      <c r="O862" s="657">
        <f t="shared" si="404"/>
        <v>18.2</v>
      </c>
      <c r="P862" s="629" t="s">
        <v>293</v>
      </c>
      <c r="Q862" s="629"/>
      <c r="R862" s="659">
        <v>1.5</v>
      </c>
      <c r="S862" s="659"/>
      <c r="T862" s="659"/>
      <c r="U862" s="717"/>
      <c r="V862" s="717"/>
      <c r="X862" s="661"/>
      <c r="Y862" s="661"/>
      <c r="Z862" s="661"/>
      <c r="AA862" s="661"/>
      <c r="AB862" s="661"/>
      <c r="AC862" s="661"/>
      <c r="AD862" s="661"/>
      <c r="AE862" s="662"/>
      <c r="AF862" s="663">
        <f t="shared" si="378"/>
        <v>1.1631508098056809</v>
      </c>
      <c r="AG862" s="663">
        <f t="shared" si="379"/>
        <v>2.9014215940827497</v>
      </c>
      <c r="AH862" s="664"/>
      <c r="AI862" s="664"/>
      <c r="AJ862" s="663"/>
      <c r="AK862" s="665">
        <f t="shared" si="380"/>
        <v>4.8000000000000007</v>
      </c>
      <c r="AL862" s="665">
        <f t="shared" si="381"/>
        <v>19.8</v>
      </c>
      <c r="AM862" s="666">
        <f t="shared" si="382"/>
        <v>1.5686159179138455</v>
      </c>
      <c r="AN862" s="666">
        <f t="shared" si="383"/>
        <v>2.9856819377004897</v>
      </c>
      <c r="AO862" s="667"/>
      <c r="AP862" s="667"/>
      <c r="AQ862" s="666"/>
      <c r="AR862" s="668">
        <f t="shared" si="384"/>
        <v>4.8000000000000007</v>
      </c>
      <c r="AS862" s="668">
        <f t="shared" si="385"/>
        <v>19.8</v>
      </c>
      <c r="AT862" s="666">
        <f t="shared" si="386"/>
        <v>1.5686159179138455</v>
      </c>
      <c r="AU862" s="666">
        <f t="shared" si="387"/>
        <v>2.9856819377004897</v>
      </c>
      <c r="AV862" s="669"/>
      <c r="AW862" s="669"/>
      <c r="AX862" s="666"/>
      <c r="AY862" s="666"/>
      <c r="AZ862" s="666"/>
      <c r="BA862" s="666"/>
      <c r="BB862" s="666"/>
      <c r="BC862" s="666"/>
      <c r="BD862" s="667"/>
      <c r="BE862" s="667"/>
    </row>
    <row r="863" spans="1:57" s="660" customFormat="1" ht="15" customHeight="1" x14ac:dyDescent="0.2">
      <c r="A863" s="629" t="s">
        <v>305</v>
      </c>
      <c r="B863" s="629" t="s">
        <v>62</v>
      </c>
      <c r="C863" s="654" t="s">
        <v>224</v>
      </c>
      <c r="D863" s="629" t="s">
        <v>303</v>
      </c>
      <c r="E863" s="655">
        <v>5.9</v>
      </c>
      <c r="F863" s="655">
        <f t="shared" si="403"/>
        <v>1.8965517241379313</v>
      </c>
      <c r="G863" s="655">
        <v>1.1000000000000001</v>
      </c>
      <c r="H863" s="656">
        <v>11</v>
      </c>
      <c r="I863" s="655">
        <v>4.3</v>
      </c>
      <c r="J863" s="656">
        <v>27.2</v>
      </c>
      <c r="K863" s="657" t="s">
        <v>292</v>
      </c>
      <c r="L863" s="656">
        <v>7</v>
      </c>
      <c r="M863" s="657" t="s">
        <v>104</v>
      </c>
      <c r="N863" s="658">
        <v>14</v>
      </c>
      <c r="O863" s="657">
        <f t="shared" si="404"/>
        <v>41.2</v>
      </c>
      <c r="P863" s="629" t="s">
        <v>293</v>
      </c>
      <c r="Q863" s="629"/>
      <c r="R863" s="659">
        <v>1.5</v>
      </c>
      <c r="S863" s="659"/>
      <c r="T863" s="659"/>
      <c r="U863" s="658"/>
      <c r="V863" s="658"/>
      <c r="X863" s="661"/>
      <c r="Y863" s="661"/>
      <c r="Z863" s="661"/>
      <c r="AA863" s="661"/>
      <c r="AB863" s="661"/>
      <c r="AC863" s="661"/>
      <c r="AD863" s="661"/>
      <c r="AE863" s="662"/>
      <c r="AF863" s="663">
        <f t="shared" si="378"/>
        <v>2.6390573296152584</v>
      </c>
      <c r="AG863" s="663">
        <f t="shared" si="379"/>
        <v>3.7184382563554808</v>
      </c>
      <c r="AH863" s="664"/>
      <c r="AI863" s="664"/>
      <c r="AJ863" s="663"/>
      <c r="AK863" s="665">
        <f t="shared" si="380"/>
        <v>21</v>
      </c>
      <c r="AL863" s="665">
        <f t="shared" si="381"/>
        <v>48.2</v>
      </c>
      <c r="AM863" s="666">
        <f t="shared" si="382"/>
        <v>3.044522437723423</v>
      </c>
      <c r="AN863" s="666">
        <f t="shared" si="383"/>
        <v>3.8753590210565547</v>
      </c>
      <c r="AO863" s="667"/>
      <c r="AP863" s="667"/>
      <c r="AQ863" s="666"/>
      <c r="AR863" s="668">
        <f t="shared" si="384"/>
        <v>21</v>
      </c>
      <c r="AS863" s="668">
        <f t="shared" si="385"/>
        <v>48.2</v>
      </c>
      <c r="AT863" s="666">
        <f t="shared" si="386"/>
        <v>3.044522437723423</v>
      </c>
      <c r="AU863" s="666">
        <f t="shared" si="387"/>
        <v>3.8753590210565547</v>
      </c>
      <c r="AV863" s="669"/>
      <c r="AW863" s="669"/>
      <c r="AX863" s="666"/>
      <c r="AY863" s="666"/>
      <c r="AZ863" s="666"/>
      <c r="BA863" s="666"/>
      <c r="BB863" s="666"/>
      <c r="BC863" s="666"/>
      <c r="BD863" s="667"/>
      <c r="BE863" s="667"/>
    </row>
    <row r="864" spans="1:57" s="660" customFormat="1" ht="15" customHeight="1" x14ac:dyDescent="0.2">
      <c r="A864" s="629" t="s">
        <v>305</v>
      </c>
      <c r="B864" s="629" t="s">
        <v>62</v>
      </c>
      <c r="C864" s="654" t="s">
        <v>224</v>
      </c>
      <c r="D864" s="629" t="s">
        <v>303</v>
      </c>
      <c r="E864" s="655">
        <v>5.5</v>
      </c>
      <c r="F864" s="655">
        <f t="shared" si="403"/>
        <v>4.3103448275862073</v>
      </c>
      <c r="G864" s="655">
        <v>2.5</v>
      </c>
      <c r="H864" s="656">
        <v>29</v>
      </c>
      <c r="I864" s="655">
        <v>10.199999999999999</v>
      </c>
      <c r="J864" s="656">
        <v>57.7</v>
      </c>
      <c r="K864" s="657" t="s">
        <v>292</v>
      </c>
      <c r="L864" s="656">
        <v>7</v>
      </c>
      <c r="M864" s="657" t="s">
        <v>104</v>
      </c>
      <c r="N864" s="658">
        <v>190</v>
      </c>
      <c r="O864" s="657">
        <f t="shared" si="404"/>
        <v>247.7</v>
      </c>
      <c r="P864" s="629" t="s">
        <v>293</v>
      </c>
      <c r="Q864" s="629"/>
      <c r="R864" s="659">
        <v>1.5</v>
      </c>
      <c r="S864" s="659"/>
      <c r="T864" s="659"/>
      <c r="U864" s="658"/>
      <c r="V864" s="658"/>
      <c r="X864" s="661"/>
      <c r="Y864" s="661"/>
      <c r="Z864" s="661"/>
      <c r="AA864" s="661"/>
      <c r="AB864" s="661"/>
      <c r="AC864" s="661"/>
      <c r="AD864" s="661"/>
      <c r="AE864" s="662"/>
      <c r="AF864" s="663">
        <f t="shared" si="378"/>
        <v>5.2470240721604862</v>
      </c>
      <c r="AG864" s="663">
        <f t="shared" si="379"/>
        <v>5.5122183364953141</v>
      </c>
      <c r="AH864" s="664"/>
      <c r="AI864" s="664"/>
      <c r="AJ864" s="663"/>
      <c r="AK864" s="665">
        <f t="shared" si="380"/>
        <v>285</v>
      </c>
      <c r="AL864" s="665">
        <f t="shared" si="381"/>
        <v>342.7</v>
      </c>
      <c r="AM864" s="666">
        <f t="shared" si="382"/>
        <v>5.6524891802686508</v>
      </c>
      <c r="AN864" s="666">
        <f t="shared" si="383"/>
        <v>5.836855428880563</v>
      </c>
      <c r="AO864" s="667"/>
      <c r="AP864" s="667"/>
      <c r="AQ864" s="666"/>
      <c r="AR864" s="668">
        <f t="shared" si="384"/>
        <v>285</v>
      </c>
      <c r="AS864" s="668">
        <f t="shared" si="385"/>
        <v>342.7</v>
      </c>
      <c r="AT864" s="666">
        <f t="shared" si="386"/>
        <v>5.6524891802686508</v>
      </c>
      <c r="AU864" s="666">
        <f t="shared" si="387"/>
        <v>5.836855428880563</v>
      </c>
      <c r="AV864" s="669"/>
      <c r="AW864" s="669"/>
      <c r="AX864" s="666"/>
      <c r="AY864" s="666"/>
      <c r="AZ864" s="666"/>
      <c r="BA864" s="666"/>
      <c r="BB864" s="666"/>
      <c r="BC864" s="666"/>
      <c r="BD864" s="667"/>
      <c r="BE864" s="667"/>
    </row>
    <row r="865" spans="1:62" s="674" customFormat="1" ht="15" customHeight="1" x14ac:dyDescent="0.2">
      <c r="A865" s="157" t="s">
        <v>305</v>
      </c>
      <c r="B865" s="157" t="s">
        <v>62</v>
      </c>
      <c r="C865" s="158" t="s">
        <v>224</v>
      </c>
      <c r="D865" s="157" t="s">
        <v>303</v>
      </c>
      <c r="E865" s="673">
        <v>6.6</v>
      </c>
      <c r="F865" s="673">
        <f t="shared" si="403"/>
        <v>1.5517241379310347</v>
      </c>
      <c r="G865" s="673">
        <v>0.9</v>
      </c>
      <c r="H865" s="643">
        <v>17</v>
      </c>
      <c r="I865" s="673">
        <v>7.3</v>
      </c>
      <c r="J865" s="643">
        <v>37.4</v>
      </c>
      <c r="K865" s="644" t="s">
        <v>292</v>
      </c>
      <c r="L865" s="643">
        <v>7</v>
      </c>
      <c r="M865" s="644" t="s">
        <v>104</v>
      </c>
      <c r="N865" s="645">
        <v>35</v>
      </c>
      <c r="O865" s="644">
        <f t="shared" si="404"/>
        <v>72.400000000000006</v>
      </c>
      <c r="P865" s="157" t="s">
        <v>293</v>
      </c>
      <c r="Q865" s="157"/>
      <c r="R865" s="647">
        <v>1.5</v>
      </c>
      <c r="S865" s="647"/>
      <c r="T865" s="647"/>
      <c r="U865" s="645"/>
      <c r="V865" s="645"/>
      <c r="X865" s="675"/>
      <c r="Y865" s="675"/>
      <c r="Z865" s="675"/>
      <c r="AA865" s="675"/>
      <c r="AB865" s="675"/>
      <c r="AC865" s="675"/>
      <c r="AD865" s="675"/>
      <c r="AE865" s="649"/>
      <c r="AF865" s="676">
        <f t="shared" si="378"/>
        <v>3.5553480614894135</v>
      </c>
      <c r="AG865" s="676">
        <f t="shared" si="379"/>
        <v>4.282206299391671</v>
      </c>
      <c r="AH865" s="677"/>
      <c r="AI865" s="677"/>
      <c r="AJ865" s="676"/>
      <c r="AK865" s="678">
        <f t="shared" si="380"/>
        <v>52.5</v>
      </c>
      <c r="AL865" s="678">
        <f t="shared" si="381"/>
        <v>89.9</v>
      </c>
      <c r="AM865" s="679">
        <f t="shared" si="382"/>
        <v>3.9608131695975781</v>
      </c>
      <c r="AN865" s="679">
        <f t="shared" si="383"/>
        <v>4.498697941477575</v>
      </c>
      <c r="AO865" s="680"/>
      <c r="AP865" s="680"/>
      <c r="AQ865" s="679"/>
      <c r="AR865" s="681">
        <f t="shared" si="384"/>
        <v>52.5</v>
      </c>
      <c r="AS865" s="681">
        <f t="shared" si="385"/>
        <v>89.9</v>
      </c>
      <c r="AT865" s="679">
        <f t="shared" si="386"/>
        <v>3.9608131695975781</v>
      </c>
      <c r="AU865" s="679">
        <f t="shared" si="387"/>
        <v>4.498697941477575</v>
      </c>
      <c r="AV865" s="682"/>
      <c r="AW865" s="682"/>
      <c r="AX865" s="679"/>
      <c r="AY865" s="679"/>
      <c r="AZ865" s="679"/>
      <c r="BA865" s="679"/>
      <c r="BB865" s="679"/>
      <c r="BC865" s="679"/>
      <c r="BD865" s="680"/>
      <c r="BE865" s="680"/>
    </row>
    <row r="866" spans="1:62" s="660" customFormat="1" ht="15" customHeight="1" x14ac:dyDescent="0.2">
      <c r="A866" s="629" t="s">
        <v>305</v>
      </c>
      <c r="B866" s="629" t="s">
        <v>62</v>
      </c>
      <c r="C866" s="654" t="s">
        <v>224</v>
      </c>
      <c r="D866" s="629" t="s">
        <v>304</v>
      </c>
      <c r="E866" s="655">
        <v>7.8</v>
      </c>
      <c r="F866" s="655">
        <f t="shared" si="403"/>
        <v>0.86206896551724144</v>
      </c>
      <c r="G866" s="655">
        <v>0.5</v>
      </c>
      <c r="H866" s="656">
        <v>24</v>
      </c>
      <c r="I866" s="655">
        <v>14.1</v>
      </c>
      <c r="J866" s="656">
        <v>16.399999999999999</v>
      </c>
      <c r="K866" s="657" t="s">
        <v>292</v>
      </c>
      <c r="L866" s="656">
        <v>1</v>
      </c>
      <c r="M866" s="657" t="s">
        <v>104</v>
      </c>
      <c r="N866" s="658">
        <v>58</v>
      </c>
      <c r="O866" s="657">
        <f t="shared" si="404"/>
        <v>74.400000000000006</v>
      </c>
      <c r="P866" s="629" t="s">
        <v>293</v>
      </c>
      <c r="Q866" s="629"/>
      <c r="R866" s="659">
        <v>1.5</v>
      </c>
      <c r="S866" s="659"/>
      <c r="T866" s="658"/>
      <c r="U866" s="658"/>
      <c r="V866" s="658"/>
      <c r="X866" s="661"/>
      <c r="Y866" s="661"/>
      <c r="Z866" s="661"/>
      <c r="AA866" s="661"/>
      <c r="AB866" s="661"/>
      <c r="AC866" s="661"/>
      <c r="AD866" s="661"/>
      <c r="AE866" s="662"/>
      <c r="AF866" s="663">
        <f t="shared" si="378"/>
        <v>4.0604430105464191</v>
      </c>
      <c r="AG866" s="663">
        <f t="shared" si="379"/>
        <v>4.3094559418390466</v>
      </c>
      <c r="AH866" s="664"/>
      <c r="AI866" s="664"/>
      <c r="AJ866" s="663"/>
      <c r="AK866" s="665">
        <f t="shared" si="380"/>
        <v>87</v>
      </c>
      <c r="AL866" s="665">
        <f t="shared" si="381"/>
        <v>103.4</v>
      </c>
      <c r="AM866" s="666">
        <f t="shared" si="382"/>
        <v>4.4659081186545837</v>
      </c>
      <c r="AN866" s="666">
        <f t="shared" si="383"/>
        <v>4.6386049620743286</v>
      </c>
      <c r="AO866" s="667"/>
      <c r="AP866" s="667"/>
      <c r="AQ866" s="666"/>
      <c r="AR866" s="668">
        <f t="shared" si="384"/>
        <v>87</v>
      </c>
      <c r="AS866" s="668">
        <f t="shared" si="385"/>
        <v>103.4</v>
      </c>
      <c r="AT866" s="666">
        <f t="shared" si="386"/>
        <v>4.4659081186545837</v>
      </c>
      <c r="AU866" s="666">
        <f t="shared" si="387"/>
        <v>4.6386049620743286</v>
      </c>
      <c r="AV866" s="669"/>
      <c r="AW866" s="669"/>
      <c r="AX866" s="668">
        <f>GEOMEAN(AR866:AR870)</f>
        <v>29.694063499564241</v>
      </c>
      <c r="AY866" s="668">
        <f>GEOMEAN(AS866:AS870)</f>
        <v>64.355737111543192</v>
      </c>
      <c r="AZ866" s="668">
        <f>MIN(AX866:AX870)</f>
        <v>29.694063499564241</v>
      </c>
      <c r="BA866" s="668">
        <f>MIN(AY866:AY870)</f>
        <v>64.355737111543192</v>
      </c>
      <c r="BB866" s="666">
        <f t="shared" ref="BB866" si="415">LN(AZ866)</f>
        <v>3.3909471436599965</v>
      </c>
      <c r="BC866" s="666">
        <f t="shared" ref="BC866" si="416">LN(BA866)</f>
        <v>4.1644260848706187</v>
      </c>
      <c r="BD866" s="667"/>
      <c r="BE866" s="667"/>
    </row>
    <row r="867" spans="1:62" s="660" customFormat="1" ht="15" customHeight="1" x14ac:dyDescent="0.2">
      <c r="A867" s="629" t="s">
        <v>305</v>
      </c>
      <c r="B867" s="629" t="s">
        <v>62</v>
      </c>
      <c r="C867" s="654" t="s">
        <v>224</v>
      </c>
      <c r="D867" s="629" t="s">
        <v>304</v>
      </c>
      <c r="E867" s="655">
        <v>5.2</v>
      </c>
      <c r="F867" s="655">
        <f t="shared" si="403"/>
        <v>2.7586206896551726</v>
      </c>
      <c r="G867" s="655">
        <v>1.6</v>
      </c>
      <c r="H867" s="656">
        <v>6</v>
      </c>
      <c r="I867" s="655">
        <v>3</v>
      </c>
      <c r="J867" s="656">
        <v>15</v>
      </c>
      <c r="K867" s="657" t="s">
        <v>292</v>
      </c>
      <c r="L867" s="656">
        <v>1</v>
      </c>
      <c r="M867" s="657" t="s">
        <v>104</v>
      </c>
      <c r="N867" s="658">
        <v>26</v>
      </c>
      <c r="O867" s="657">
        <f t="shared" si="404"/>
        <v>41</v>
      </c>
      <c r="P867" s="629" t="s">
        <v>293</v>
      </c>
      <c r="Q867" s="629"/>
      <c r="R867" s="659">
        <v>1.5</v>
      </c>
      <c r="S867" s="659"/>
      <c r="T867" s="659"/>
      <c r="U867" s="658"/>
      <c r="V867" s="658"/>
      <c r="X867" s="661"/>
      <c r="Y867" s="661"/>
      <c r="Z867" s="661"/>
      <c r="AA867" s="661"/>
      <c r="AB867" s="661"/>
      <c r="AC867" s="661"/>
      <c r="AD867" s="661"/>
      <c r="AE867" s="662"/>
      <c r="AF867" s="663">
        <f t="shared" si="378"/>
        <v>3.2580965380214821</v>
      </c>
      <c r="AG867" s="663">
        <f t="shared" si="379"/>
        <v>3.713572066704308</v>
      </c>
      <c r="AH867" s="664"/>
      <c r="AI867" s="664"/>
      <c r="AJ867" s="663"/>
      <c r="AK867" s="665">
        <f t="shared" si="380"/>
        <v>39</v>
      </c>
      <c r="AL867" s="665">
        <f t="shared" si="381"/>
        <v>54</v>
      </c>
      <c r="AM867" s="666">
        <f t="shared" si="382"/>
        <v>3.6635616461296463</v>
      </c>
      <c r="AN867" s="666">
        <f t="shared" si="383"/>
        <v>3.9889840465642745</v>
      </c>
      <c r="AO867" s="667"/>
      <c r="AP867" s="667"/>
      <c r="AQ867" s="666"/>
      <c r="AR867" s="668">
        <f t="shared" si="384"/>
        <v>39</v>
      </c>
      <c r="AS867" s="668">
        <f t="shared" si="385"/>
        <v>54</v>
      </c>
      <c r="AT867" s="666">
        <f t="shared" si="386"/>
        <v>3.6635616461296463</v>
      </c>
      <c r="AU867" s="666">
        <f t="shared" si="387"/>
        <v>3.9889840465642745</v>
      </c>
      <c r="AV867" s="669"/>
      <c r="AW867" s="669"/>
      <c r="AX867" s="666"/>
      <c r="AY867" s="666"/>
      <c r="AZ867" s="666"/>
      <c r="BA867" s="666"/>
      <c r="BB867" s="666"/>
      <c r="BC867" s="666"/>
      <c r="BD867" s="667"/>
      <c r="BE867" s="667"/>
    </row>
    <row r="868" spans="1:62" s="660" customFormat="1" ht="15" customHeight="1" x14ac:dyDescent="0.2">
      <c r="A868" s="629" t="s">
        <v>305</v>
      </c>
      <c r="B868" s="629" t="s">
        <v>62</v>
      </c>
      <c r="C868" s="654" t="s">
        <v>224</v>
      </c>
      <c r="D868" s="629" t="s">
        <v>304</v>
      </c>
      <c r="E868" s="655">
        <v>5.9</v>
      </c>
      <c r="F868" s="655">
        <f t="shared" si="403"/>
        <v>1.8965517241379313</v>
      </c>
      <c r="G868" s="655">
        <v>1.1000000000000001</v>
      </c>
      <c r="H868" s="656">
        <v>11</v>
      </c>
      <c r="I868" s="655">
        <v>4.3</v>
      </c>
      <c r="J868" s="656">
        <v>27.2</v>
      </c>
      <c r="K868" s="657" t="s">
        <v>292</v>
      </c>
      <c r="L868" s="656">
        <v>1</v>
      </c>
      <c r="M868" s="657" t="s">
        <v>104</v>
      </c>
      <c r="N868" s="658">
        <v>10</v>
      </c>
      <c r="O868" s="657">
        <f t="shared" si="404"/>
        <v>37.200000000000003</v>
      </c>
      <c r="P868" s="629" t="s">
        <v>293</v>
      </c>
      <c r="Q868" s="629"/>
      <c r="R868" s="659">
        <v>1.5</v>
      </c>
      <c r="S868" s="659"/>
      <c r="T868" s="659"/>
      <c r="U868" s="658"/>
      <c r="V868" s="658"/>
      <c r="X868" s="661"/>
      <c r="Y868" s="661"/>
      <c r="Z868" s="661"/>
      <c r="AA868" s="661"/>
      <c r="AB868" s="661"/>
      <c r="AC868" s="661"/>
      <c r="AD868" s="661"/>
      <c r="AE868" s="662"/>
      <c r="AF868" s="663">
        <f t="shared" si="378"/>
        <v>2.3025850929940459</v>
      </c>
      <c r="AG868" s="663">
        <f t="shared" si="379"/>
        <v>3.6163087612791012</v>
      </c>
      <c r="AH868" s="664"/>
      <c r="AI868" s="664"/>
      <c r="AJ868" s="663"/>
      <c r="AK868" s="665">
        <f t="shared" si="380"/>
        <v>15</v>
      </c>
      <c r="AL868" s="665">
        <f t="shared" si="381"/>
        <v>42.2</v>
      </c>
      <c r="AM868" s="666">
        <f t="shared" si="382"/>
        <v>2.7080502011022101</v>
      </c>
      <c r="AN868" s="666">
        <f t="shared" si="383"/>
        <v>3.7424202210419661</v>
      </c>
      <c r="AO868" s="667"/>
      <c r="AP868" s="667"/>
      <c r="AQ868" s="666"/>
      <c r="AR868" s="668">
        <f t="shared" si="384"/>
        <v>15</v>
      </c>
      <c r="AS868" s="668">
        <f t="shared" si="385"/>
        <v>42.2</v>
      </c>
      <c r="AT868" s="666">
        <f t="shared" si="386"/>
        <v>2.7080502011022101</v>
      </c>
      <c r="AU868" s="666">
        <f t="shared" si="387"/>
        <v>3.7424202210419661</v>
      </c>
      <c r="AV868" s="669"/>
      <c r="AW868" s="669"/>
      <c r="AX868" s="666"/>
      <c r="AY868" s="666"/>
      <c r="AZ868" s="666"/>
      <c r="BA868" s="666"/>
      <c r="BB868" s="666"/>
      <c r="BC868" s="666"/>
      <c r="BD868" s="667"/>
      <c r="BE868" s="667"/>
    </row>
    <row r="869" spans="1:62" s="660" customFormat="1" ht="15" customHeight="1" x14ac:dyDescent="0.2">
      <c r="A869" s="629" t="s">
        <v>305</v>
      </c>
      <c r="B869" s="629" t="s">
        <v>62</v>
      </c>
      <c r="C869" s="654" t="s">
        <v>224</v>
      </c>
      <c r="D869" s="629" t="s">
        <v>304</v>
      </c>
      <c r="E869" s="655">
        <v>5.5</v>
      </c>
      <c r="F869" s="655">
        <f t="shared" si="403"/>
        <v>4.3103448275862073</v>
      </c>
      <c r="G869" s="655">
        <v>2.5</v>
      </c>
      <c r="H869" s="656">
        <v>29</v>
      </c>
      <c r="I869" s="655">
        <v>10.199999999999999</v>
      </c>
      <c r="J869" s="656">
        <v>57.7</v>
      </c>
      <c r="K869" s="657" t="s">
        <v>292</v>
      </c>
      <c r="L869" s="656">
        <v>1</v>
      </c>
      <c r="M869" s="657" t="s">
        <v>104</v>
      </c>
      <c r="N869" s="658">
        <v>24</v>
      </c>
      <c r="O869" s="657">
        <f t="shared" si="404"/>
        <v>81.7</v>
      </c>
      <c r="P869" s="629" t="s">
        <v>293</v>
      </c>
      <c r="Q869" s="629"/>
      <c r="R869" s="659">
        <v>1.5</v>
      </c>
      <c r="S869" s="659"/>
      <c r="T869" s="659"/>
      <c r="U869" s="658"/>
      <c r="V869" s="658"/>
      <c r="X869" s="661"/>
      <c r="Y869" s="661"/>
      <c r="Z869" s="661"/>
      <c r="AA869" s="661"/>
      <c r="AB869" s="661"/>
      <c r="AC869" s="661"/>
      <c r="AD869" s="661"/>
      <c r="AE869" s="662"/>
      <c r="AF869" s="663">
        <f t="shared" si="378"/>
        <v>3.1780538303479458</v>
      </c>
      <c r="AG869" s="663">
        <f t="shared" si="379"/>
        <v>4.4030540018659572</v>
      </c>
      <c r="AH869" s="664"/>
      <c r="AI869" s="664"/>
      <c r="AJ869" s="663"/>
      <c r="AK869" s="665">
        <f t="shared" si="380"/>
        <v>36</v>
      </c>
      <c r="AL869" s="665">
        <f t="shared" si="381"/>
        <v>93.7</v>
      </c>
      <c r="AM869" s="666">
        <f t="shared" si="382"/>
        <v>3.5835189384561099</v>
      </c>
      <c r="AN869" s="666">
        <f t="shared" si="383"/>
        <v>4.5400981892443761</v>
      </c>
      <c r="AO869" s="667"/>
      <c r="AP869" s="667"/>
      <c r="AQ869" s="666"/>
      <c r="AR869" s="668">
        <f t="shared" si="384"/>
        <v>36</v>
      </c>
      <c r="AS869" s="668">
        <f t="shared" si="385"/>
        <v>93.7</v>
      </c>
      <c r="AT869" s="666">
        <f t="shared" si="386"/>
        <v>3.5835189384561099</v>
      </c>
      <c r="AU869" s="666">
        <f t="shared" si="387"/>
        <v>4.5400981892443761</v>
      </c>
      <c r="AV869" s="669"/>
      <c r="AW869" s="669"/>
      <c r="AX869" s="666"/>
      <c r="AY869" s="666"/>
      <c r="AZ869" s="666"/>
      <c r="BA869" s="666"/>
      <c r="BB869" s="666"/>
      <c r="BC869" s="666"/>
      <c r="BD869" s="667"/>
      <c r="BE869" s="667"/>
    </row>
    <row r="870" spans="1:62" s="742" customFormat="1" ht="15" customHeight="1" thickBot="1" x14ac:dyDescent="0.25">
      <c r="A870" s="631" t="s">
        <v>305</v>
      </c>
      <c r="B870" s="631" t="s">
        <v>62</v>
      </c>
      <c r="C870" s="736" t="s">
        <v>224</v>
      </c>
      <c r="D870" s="631" t="s">
        <v>304</v>
      </c>
      <c r="E870" s="737">
        <v>6.6</v>
      </c>
      <c r="F870" s="737">
        <f t="shared" si="403"/>
        <v>1.5517241379310347</v>
      </c>
      <c r="G870" s="737">
        <v>0.9</v>
      </c>
      <c r="H870" s="738">
        <v>17</v>
      </c>
      <c r="I870" s="737">
        <v>7.3</v>
      </c>
      <c r="J870" s="738">
        <v>37.4</v>
      </c>
      <c r="K870" s="739" t="s">
        <v>292</v>
      </c>
      <c r="L870" s="738">
        <v>1</v>
      </c>
      <c r="M870" s="739" t="s">
        <v>104</v>
      </c>
      <c r="N870" s="740">
        <v>8.4</v>
      </c>
      <c r="O870" s="739">
        <f t="shared" si="404"/>
        <v>45.8</v>
      </c>
      <c r="P870" s="631" t="s">
        <v>293</v>
      </c>
      <c r="Q870" s="631"/>
      <c r="R870" s="741">
        <v>1.5</v>
      </c>
      <c r="S870" s="741"/>
      <c r="T870" s="741"/>
      <c r="U870" s="740"/>
      <c r="V870" s="740"/>
      <c r="X870" s="743"/>
      <c r="Y870" s="743"/>
      <c r="Z870" s="743"/>
      <c r="AA870" s="743"/>
      <c r="AB870" s="743"/>
      <c r="AC870" s="743"/>
      <c r="AD870" s="743"/>
      <c r="AE870" s="744"/>
      <c r="AF870" s="745">
        <f t="shared" si="378"/>
        <v>2.1282317058492679</v>
      </c>
      <c r="AG870" s="745">
        <f t="shared" si="379"/>
        <v>3.824284091120139</v>
      </c>
      <c r="AH870" s="746"/>
      <c r="AI870" s="746"/>
      <c r="AJ870" s="745"/>
      <c r="AK870" s="747">
        <f t="shared" si="380"/>
        <v>12.600000000000001</v>
      </c>
      <c r="AL870" s="747">
        <f t="shared" si="381"/>
        <v>50</v>
      </c>
      <c r="AM870" s="748">
        <f t="shared" si="382"/>
        <v>2.5336968139574325</v>
      </c>
      <c r="AN870" s="748">
        <f t="shared" si="383"/>
        <v>3.912023005428146</v>
      </c>
      <c r="AO870" s="749"/>
      <c r="AP870" s="749"/>
      <c r="AQ870" s="748"/>
      <c r="AR870" s="750">
        <f t="shared" si="384"/>
        <v>12.600000000000001</v>
      </c>
      <c r="AS870" s="750">
        <f t="shared" si="385"/>
        <v>50</v>
      </c>
      <c r="AT870" s="748">
        <f t="shared" si="386"/>
        <v>2.5336968139574325</v>
      </c>
      <c r="AU870" s="748">
        <f t="shared" si="387"/>
        <v>3.912023005428146</v>
      </c>
      <c r="AV870" s="751"/>
      <c r="AW870" s="751"/>
      <c r="AX870" s="748"/>
      <c r="AY870" s="748"/>
      <c r="AZ870" s="748"/>
      <c r="BA870" s="748"/>
      <c r="BB870" s="748"/>
      <c r="BC870" s="748"/>
      <c r="BD870" s="749"/>
      <c r="BE870" s="749"/>
    </row>
    <row r="871" spans="1:62" x14ac:dyDescent="0.2">
      <c r="M871" s="121"/>
      <c r="P871" s="136"/>
      <c r="Q871" s="136"/>
      <c r="R871" s="236"/>
      <c r="AA871" s="129"/>
      <c r="AB871" s="136"/>
      <c r="AC871" s="136"/>
      <c r="AD871" s="136"/>
      <c r="AE871" s="136"/>
      <c r="AR871" s="265"/>
      <c r="AS871" s="265"/>
      <c r="AT871" s="136"/>
      <c r="AU871" s="136"/>
      <c r="AY871" s="136"/>
      <c r="AZ871" s="136"/>
      <c r="BB871" s="238"/>
      <c r="BC871" s="238"/>
      <c r="BD871" s="125"/>
      <c r="BE871" s="125"/>
      <c r="BF871" s="136"/>
      <c r="BG871" s="136"/>
      <c r="BH871" s="136"/>
      <c r="BI871" s="136"/>
    </row>
    <row r="872" spans="1:62" s="272" customFormat="1" x14ac:dyDescent="0.2">
      <c r="A872" s="266" t="s">
        <v>89</v>
      </c>
      <c r="B872" s="266"/>
      <c r="C872" s="266"/>
      <c r="D872" s="266"/>
      <c r="E872" s="267"/>
      <c r="F872" s="267"/>
      <c r="G872" s="267"/>
      <c r="H872" s="267"/>
      <c r="I872" s="267"/>
      <c r="J872" s="267"/>
      <c r="K872" s="267"/>
      <c r="L872" s="267"/>
      <c r="M872" s="267"/>
      <c r="N872" s="267"/>
      <c r="O872" s="267"/>
      <c r="P872" s="267"/>
      <c r="Q872" s="267"/>
      <c r="R872" s="267"/>
      <c r="S872" s="268"/>
      <c r="T872" s="269"/>
      <c r="U872" s="268"/>
      <c r="V872" s="269"/>
      <c r="W872" s="268"/>
      <c r="X872" s="269"/>
      <c r="Y872" s="268"/>
      <c r="Z872" s="269"/>
      <c r="AA872" s="268"/>
      <c r="AB872" s="269"/>
      <c r="AC872" s="268"/>
      <c r="AD872" s="269"/>
      <c r="AE872" s="270"/>
      <c r="AF872" s="271"/>
      <c r="AG872" s="271"/>
      <c r="AH872" s="155">
        <f>LOGINV(0.05,AVERAGE(AF873:AF1086),STDEV(AF873:AF1086))</f>
        <v>35.649835537456532</v>
      </c>
      <c r="AI872" s="155">
        <f>LOGINV(0.05,AVERAGE(AG873:AG1086),STDEV(AG873:AG1086))</f>
        <v>57.636177704410827</v>
      </c>
      <c r="AJ872" s="271"/>
      <c r="AK872" s="271"/>
      <c r="AL872" s="271"/>
      <c r="AM872" s="271"/>
      <c r="AN872" s="271"/>
      <c r="AO872" s="155">
        <f>LOGINV(0.05,AVERAGE(AM873:AM1086),STDEV(AM873:AM1086))</f>
        <v>106.94950661236716</v>
      </c>
      <c r="AP872" s="155">
        <f>LOGINV(0.05,AVERAGE(AN873:AN1086),STDEV(AN873:AN1086))</f>
        <v>131.69980203686569</v>
      </c>
      <c r="AQ872" s="271"/>
      <c r="AR872" s="271"/>
      <c r="AS872" s="271"/>
      <c r="AT872" s="271"/>
      <c r="AU872" s="271"/>
      <c r="AV872" s="155">
        <f>LOGINV(0.05,AVERAGE(AT873:AT1086),STDEV(AT873:AT1086))</f>
        <v>87.53749581109102</v>
      </c>
      <c r="AW872" s="155">
        <f>LOGINV(0.05,AVERAGE(AU873:AU1086),STDEV(AU873:AU1086))</f>
        <v>109.08207359719611</v>
      </c>
      <c r="AX872" s="271"/>
      <c r="AY872" s="271"/>
      <c r="BD872" s="155">
        <f>LOGINV(0.05,AVERAGE(BB873:BB1086),STDEV(BB873:BB1086))</f>
        <v>98.225124754918141</v>
      </c>
      <c r="BE872" s="155">
        <f>LOGINV(0.05,AVERAGE(BC873:BC1086),STDEV(BC873:BC1086))</f>
        <v>121.29657228633222</v>
      </c>
      <c r="BG872" s="271">
        <f>COUNT(BB873:BB1086)</f>
        <v>30</v>
      </c>
      <c r="BH872" s="273">
        <f>(1.6549-1.662)/(50-30)*BG872+(1.6549-(1.6549-1.662)/(50-30)*50)</f>
        <v>1.6619999999999999</v>
      </c>
      <c r="BI872" s="274">
        <f>EXP(AVERAGE(BB873:BB1086)-BH872*STDEV(BB873:BB1086))</f>
        <v>96.712803332411184</v>
      </c>
      <c r="BJ872" s="274">
        <f>EXP(AVERAGE(BC873:BC1086)-BH872*STDEV(BC873:BC1086))</f>
        <v>119.5672827782617</v>
      </c>
    </row>
    <row r="873" spans="1:62" x14ac:dyDescent="0.2">
      <c r="A873" s="232" t="s">
        <v>89</v>
      </c>
      <c r="B873" s="232" t="s">
        <v>35</v>
      </c>
      <c r="C873" s="264" t="s">
        <v>90</v>
      </c>
      <c r="D873" s="232" t="s">
        <v>312</v>
      </c>
      <c r="E873" s="233">
        <v>4.9000000000000004</v>
      </c>
      <c r="F873" s="136">
        <v>3</v>
      </c>
      <c r="G873" s="234">
        <f>F873/1.724</f>
        <v>1.740139211136891</v>
      </c>
      <c r="H873" s="233">
        <v>16</v>
      </c>
      <c r="I873" s="752">
        <f>(30+4.4*E873)*H873/100+(-34.66+29.72*E873)*F873/100</f>
        <v>11.578640000000002</v>
      </c>
      <c r="J873" s="233">
        <v>53</v>
      </c>
      <c r="K873" s="295">
        <v>56</v>
      </c>
      <c r="L873" s="295">
        <v>42</v>
      </c>
      <c r="M873" s="233" t="s">
        <v>91</v>
      </c>
      <c r="N873" s="235">
        <v>83</v>
      </c>
      <c r="O873" s="295">
        <f t="shared" ref="O873:O904" si="417">N873+J873</f>
        <v>136</v>
      </c>
      <c r="P873" s="290" t="s">
        <v>92</v>
      </c>
      <c r="Q873" s="290"/>
      <c r="R873" s="236">
        <v>3</v>
      </c>
      <c r="S873" s="285">
        <v>0.87</v>
      </c>
      <c r="T873" s="388" t="s">
        <v>37</v>
      </c>
      <c r="U873" s="236">
        <v>0.12</v>
      </c>
      <c r="V873" s="237" t="s">
        <v>5</v>
      </c>
      <c r="Y873" s="292">
        <v>0.88</v>
      </c>
      <c r="Z873" s="301" t="s">
        <v>37</v>
      </c>
      <c r="AA873" s="233">
        <v>0.11</v>
      </c>
      <c r="AB873" s="232" t="s">
        <v>5</v>
      </c>
      <c r="AC873" s="232"/>
      <c r="AD873" s="232"/>
      <c r="AE873" s="136"/>
      <c r="AF873" s="239">
        <f t="shared" ref="AF873:AF936" si="418">LN(N873)</f>
        <v>4.4188406077965983</v>
      </c>
      <c r="AG873" s="239">
        <f t="shared" ref="AG873:AG936" si="419">LN(O873)</f>
        <v>4.9126548857360524</v>
      </c>
      <c r="AH873" s="136"/>
      <c r="AI873" s="136"/>
      <c r="AK873" s="265">
        <f t="shared" ref="AK873:AK936" si="420">N873*R873</f>
        <v>249</v>
      </c>
      <c r="AL873" s="286">
        <f t="shared" ref="AL873:AL936" si="421">AK873+J873</f>
        <v>302</v>
      </c>
      <c r="AM873" s="239">
        <f t="shared" ref="AM873:AM936" si="422">LN(AK873)</f>
        <v>5.5174528964647074</v>
      </c>
      <c r="AN873" s="239">
        <f t="shared" ref="AN873:AN936" si="423">LN(AL873)</f>
        <v>5.7104270173748697</v>
      </c>
      <c r="AO873" s="136"/>
      <c r="AP873" s="136"/>
      <c r="AR873" s="265">
        <f>AK873*((eCEC/I873)^S873)*(((10^-pH)/(10^-E873))^-U873)</f>
        <v>377.37413664847685</v>
      </c>
      <c r="AS873" s="265">
        <f>AL873*((eCEC/I873)^Y873)*(((10^-pH)/(10^-E873))^-AA873)</f>
        <v>441.00994285205837</v>
      </c>
      <c r="AT873" s="239">
        <f>LN(AR873)</f>
        <v>5.9332371002429403</v>
      </c>
      <c r="AU873" s="239">
        <f>LN(AS873)</f>
        <v>6.0890674213424774</v>
      </c>
      <c r="AV873" s="136"/>
      <c r="AW873" s="136"/>
      <c r="AX873" s="385">
        <f>GEOMEAN(AR873:AR875)</f>
        <v>377.37413664847685</v>
      </c>
      <c r="AY873" s="385">
        <f>GEOMEAN(AS873:AS875)</f>
        <v>441.00994285205837</v>
      </c>
      <c r="AZ873" s="385">
        <f>MIN(AX873:AX875)</f>
        <v>377.37413664847685</v>
      </c>
      <c r="BA873" s="385">
        <f>MIN(AY873:AY875)</f>
        <v>441.00994285205837</v>
      </c>
      <c r="BB873" s="239">
        <f>LN(AZ873)</f>
        <v>5.9332371002429403</v>
      </c>
      <c r="BC873" s="239">
        <f>LN(BA873)</f>
        <v>6.0890674213424774</v>
      </c>
      <c r="BD873" s="136"/>
      <c r="BE873" s="136"/>
      <c r="BF873" s="136"/>
      <c r="BG873" s="136"/>
      <c r="BH873" s="136"/>
      <c r="BI873" s="136"/>
    </row>
    <row r="874" spans="1:62" x14ac:dyDescent="0.2">
      <c r="A874" s="232" t="s">
        <v>89</v>
      </c>
      <c r="B874" s="232" t="s">
        <v>35</v>
      </c>
      <c r="C874" s="264" t="s">
        <v>90</v>
      </c>
      <c r="D874" s="232" t="s">
        <v>312</v>
      </c>
      <c r="E874" s="233">
        <v>7.5</v>
      </c>
      <c r="F874" s="136"/>
      <c r="G874" s="234"/>
      <c r="I874" s="397"/>
      <c r="J874" s="753">
        <v>51</v>
      </c>
      <c r="K874" s="295">
        <v>0</v>
      </c>
      <c r="L874" s="295">
        <v>28</v>
      </c>
      <c r="M874" s="233" t="s">
        <v>93</v>
      </c>
      <c r="N874" s="233">
        <v>300</v>
      </c>
      <c r="O874" s="295">
        <f t="shared" si="417"/>
        <v>351</v>
      </c>
      <c r="P874" s="290" t="s">
        <v>94</v>
      </c>
      <c r="Q874" s="290"/>
      <c r="R874" s="236">
        <v>3</v>
      </c>
      <c r="S874" s="285">
        <v>0.87</v>
      </c>
      <c r="T874" s="388" t="s">
        <v>37</v>
      </c>
      <c r="U874" s="236">
        <v>0.12</v>
      </c>
      <c r="V874" s="237" t="s">
        <v>5</v>
      </c>
      <c r="Y874" s="292">
        <v>0.88</v>
      </c>
      <c r="Z874" s="301" t="s">
        <v>37</v>
      </c>
      <c r="AA874" s="233">
        <v>0.11</v>
      </c>
      <c r="AB874" s="232" t="s">
        <v>5</v>
      </c>
      <c r="AC874" s="232"/>
      <c r="AD874" s="232"/>
      <c r="AE874" s="136"/>
      <c r="AF874" s="239">
        <f t="shared" si="418"/>
        <v>5.7037824746562009</v>
      </c>
      <c r="AG874" s="239">
        <f t="shared" si="419"/>
        <v>5.8607862234658654</v>
      </c>
      <c r="AH874" s="240"/>
      <c r="AI874" s="240"/>
      <c r="AK874" s="265">
        <f t="shared" si="420"/>
        <v>900</v>
      </c>
      <c r="AL874" s="286">
        <f t="shared" si="421"/>
        <v>951</v>
      </c>
      <c r="AM874" s="239">
        <f t="shared" si="422"/>
        <v>6.8023947633243109</v>
      </c>
      <c r="AN874" s="239">
        <f t="shared" si="423"/>
        <v>6.8575140625453903</v>
      </c>
      <c r="AO874" s="240"/>
      <c r="AP874" s="240"/>
      <c r="AR874" s="265"/>
      <c r="AS874" s="265"/>
      <c r="AT874" s="239"/>
      <c r="AU874" s="239"/>
      <c r="AX874" s="385"/>
      <c r="AY874" s="385"/>
      <c r="AZ874" s="385"/>
      <c r="BA874" s="265"/>
      <c r="BB874" s="239"/>
      <c r="BC874" s="239"/>
      <c r="BD874" s="240"/>
      <c r="BE874" s="240"/>
      <c r="BF874" s="136"/>
      <c r="BG874" s="136"/>
      <c r="BH874" s="136"/>
      <c r="BI874" s="136"/>
    </row>
    <row r="875" spans="1:62" s="165" customFormat="1" x14ac:dyDescent="0.2">
      <c r="A875" s="156" t="s">
        <v>89</v>
      </c>
      <c r="B875" s="156" t="s">
        <v>35</v>
      </c>
      <c r="C875" s="442" t="s">
        <v>90</v>
      </c>
      <c r="D875" s="156" t="s">
        <v>312</v>
      </c>
      <c r="E875" s="160">
        <v>7.5</v>
      </c>
      <c r="G875" s="166"/>
      <c r="H875" s="160"/>
      <c r="I875" s="366"/>
      <c r="J875" s="754">
        <v>51</v>
      </c>
      <c r="K875" s="231">
        <v>0</v>
      </c>
      <c r="L875" s="231">
        <v>28</v>
      </c>
      <c r="M875" s="160" t="s">
        <v>93</v>
      </c>
      <c r="N875" s="160">
        <v>200</v>
      </c>
      <c r="O875" s="231">
        <f t="shared" si="417"/>
        <v>251</v>
      </c>
      <c r="P875" s="326" t="s">
        <v>94</v>
      </c>
      <c r="Q875" s="326"/>
      <c r="R875" s="163">
        <v>3</v>
      </c>
      <c r="S875" s="163">
        <v>0.87</v>
      </c>
      <c r="T875" s="162" t="s">
        <v>37</v>
      </c>
      <c r="U875" s="163">
        <v>0.12</v>
      </c>
      <c r="V875" s="162" t="s">
        <v>5</v>
      </c>
      <c r="W875" s="162"/>
      <c r="X875" s="162"/>
      <c r="Y875" s="328">
        <v>0.88</v>
      </c>
      <c r="Z875" s="314" t="s">
        <v>37</v>
      </c>
      <c r="AA875" s="160">
        <v>0.11</v>
      </c>
      <c r="AB875" s="156" t="s">
        <v>5</v>
      </c>
      <c r="AC875" s="156"/>
      <c r="AD875" s="156"/>
      <c r="AF875" s="166">
        <f t="shared" si="418"/>
        <v>5.2983173665480363</v>
      </c>
      <c r="AG875" s="166">
        <f t="shared" si="419"/>
        <v>5.5254529391317835</v>
      </c>
      <c r="AH875" s="169"/>
      <c r="AI875" s="169"/>
      <c r="AK875" s="168">
        <f t="shared" si="420"/>
        <v>600</v>
      </c>
      <c r="AL875" s="337">
        <f t="shared" si="421"/>
        <v>651</v>
      </c>
      <c r="AM875" s="166">
        <f t="shared" si="422"/>
        <v>6.3969296552161463</v>
      </c>
      <c r="AN875" s="166">
        <f t="shared" si="423"/>
        <v>6.4785096422085688</v>
      </c>
      <c r="AO875" s="169"/>
      <c r="AP875" s="169"/>
      <c r="AR875" s="168"/>
      <c r="AS875" s="168"/>
      <c r="AT875" s="166"/>
      <c r="AU875" s="166"/>
      <c r="AV875" s="167"/>
      <c r="AW875" s="167"/>
      <c r="AX875" s="168"/>
      <c r="AY875" s="168"/>
      <c r="AZ875" s="168"/>
      <c r="BA875" s="168"/>
      <c r="BB875" s="166"/>
      <c r="BC875" s="166"/>
      <c r="BD875" s="169"/>
      <c r="BE875" s="169"/>
    </row>
    <row r="876" spans="1:62" s="245" customFormat="1" x14ac:dyDescent="0.2">
      <c r="A876" s="244" t="s">
        <v>89</v>
      </c>
      <c r="B876" s="244" t="s">
        <v>35</v>
      </c>
      <c r="C876" s="455" t="s">
        <v>79</v>
      </c>
      <c r="D876" s="244" t="s">
        <v>312</v>
      </c>
      <c r="E876" s="246">
        <v>7.5</v>
      </c>
      <c r="G876" s="247"/>
      <c r="H876" s="246"/>
      <c r="I876" s="755"/>
      <c r="J876" s="756">
        <v>51</v>
      </c>
      <c r="K876" s="248">
        <v>0</v>
      </c>
      <c r="L876" s="248">
        <v>40</v>
      </c>
      <c r="M876" s="246" t="s">
        <v>93</v>
      </c>
      <c r="N876" s="246">
        <v>400</v>
      </c>
      <c r="O876" s="248">
        <f t="shared" si="417"/>
        <v>451</v>
      </c>
      <c r="P876" s="459" t="s">
        <v>94</v>
      </c>
      <c r="Q876" s="459"/>
      <c r="R876" s="249">
        <v>3</v>
      </c>
      <c r="S876" s="249">
        <v>0.87</v>
      </c>
      <c r="T876" s="250" t="s">
        <v>37</v>
      </c>
      <c r="U876" s="249">
        <v>0.12</v>
      </c>
      <c r="V876" s="250" t="s">
        <v>5</v>
      </c>
      <c r="W876" s="250"/>
      <c r="X876" s="250"/>
      <c r="Y876" s="506">
        <v>0.88</v>
      </c>
      <c r="Z876" s="507" t="s">
        <v>37</v>
      </c>
      <c r="AA876" s="246">
        <v>0.11</v>
      </c>
      <c r="AB876" s="244" t="s">
        <v>5</v>
      </c>
      <c r="AC876" s="244"/>
      <c r="AD876" s="244"/>
      <c r="AF876" s="247">
        <f t="shared" si="418"/>
        <v>5.9914645471079817</v>
      </c>
      <c r="AG876" s="247">
        <f t="shared" si="419"/>
        <v>6.1114673395026786</v>
      </c>
      <c r="AH876" s="252"/>
      <c r="AI876" s="252"/>
      <c r="AK876" s="461">
        <f t="shared" si="420"/>
        <v>1200</v>
      </c>
      <c r="AL876" s="511">
        <f t="shared" si="421"/>
        <v>1251</v>
      </c>
      <c r="AM876" s="247">
        <f t="shared" si="422"/>
        <v>7.0900768357760917</v>
      </c>
      <c r="AN876" s="247">
        <f t="shared" si="423"/>
        <v>7.1316985104669115</v>
      </c>
      <c r="AO876" s="252"/>
      <c r="AP876" s="252"/>
      <c r="AR876" s="461"/>
      <c r="AS876" s="461"/>
      <c r="AT876" s="247"/>
      <c r="AU876" s="247"/>
      <c r="AV876" s="253"/>
      <c r="AW876" s="253"/>
      <c r="AX876" s="461"/>
      <c r="AY876" s="461"/>
      <c r="AZ876" s="461"/>
      <c r="BA876" s="461"/>
      <c r="BB876" s="247"/>
      <c r="BC876" s="247"/>
      <c r="BD876" s="252"/>
      <c r="BE876" s="252"/>
    </row>
    <row r="877" spans="1:62" s="165" customFormat="1" x14ac:dyDescent="0.2">
      <c r="A877" s="156" t="s">
        <v>89</v>
      </c>
      <c r="B877" s="156" t="s">
        <v>35</v>
      </c>
      <c r="C877" s="442" t="s">
        <v>75</v>
      </c>
      <c r="D877" s="156" t="s">
        <v>312</v>
      </c>
      <c r="E877" s="160">
        <v>7.5</v>
      </c>
      <c r="G877" s="166"/>
      <c r="H877" s="160"/>
      <c r="I877" s="366"/>
      <c r="J877" s="754">
        <v>51</v>
      </c>
      <c r="K877" s="231">
        <v>0</v>
      </c>
      <c r="L877" s="231">
        <v>67</v>
      </c>
      <c r="M877" s="160" t="s">
        <v>93</v>
      </c>
      <c r="N877" s="160">
        <v>300</v>
      </c>
      <c r="O877" s="231">
        <f t="shared" si="417"/>
        <v>351</v>
      </c>
      <c r="P877" s="326" t="s">
        <v>94</v>
      </c>
      <c r="Q877" s="326"/>
      <c r="R877" s="163">
        <v>3</v>
      </c>
      <c r="S877" s="163">
        <v>0.87</v>
      </c>
      <c r="T877" s="162" t="s">
        <v>37</v>
      </c>
      <c r="U877" s="163">
        <v>0.12</v>
      </c>
      <c r="V877" s="162" t="s">
        <v>5</v>
      </c>
      <c r="W877" s="162"/>
      <c r="X877" s="162"/>
      <c r="Y877" s="328">
        <v>0.88</v>
      </c>
      <c r="Z877" s="314" t="s">
        <v>37</v>
      </c>
      <c r="AA877" s="160">
        <v>0.11</v>
      </c>
      <c r="AB877" s="156" t="s">
        <v>5</v>
      </c>
      <c r="AC877" s="156"/>
      <c r="AD877" s="156"/>
      <c r="AF877" s="166">
        <f t="shared" si="418"/>
        <v>5.7037824746562009</v>
      </c>
      <c r="AG877" s="166">
        <f t="shared" si="419"/>
        <v>5.8607862234658654</v>
      </c>
      <c r="AH877" s="169"/>
      <c r="AI877" s="169"/>
      <c r="AK877" s="168">
        <f t="shared" si="420"/>
        <v>900</v>
      </c>
      <c r="AL877" s="337">
        <f t="shared" si="421"/>
        <v>951</v>
      </c>
      <c r="AM877" s="166">
        <f t="shared" si="422"/>
        <v>6.8023947633243109</v>
      </c>
      <c r="AN877" s="166">
        <f t="shared" si="423"/>
        <v>6.8575140625453903</v>
      </c>
      <c r="AO877" s="169"/>
      <c r="AP877" s="169"/>
      <c r="AR877" s="168"/>
      <c r="AS877" s="168"/>
      <c r="AT877" s="166"/>
      <c r="AU877" s="166"/>
      <c r="AV877" s="167"/>
      <c r="AW877" s="167"/>
      <c r="AX877" s="168"/>
      <c r="AY877" s="168"/>
      <c r="AZ877" s="168"/>
      <c r="BA877" s="168"/>
      <c r="BB877" s="166"/>
      <c r="BC877" s="166"/>
      <c r="BD877" s="169"/>
      <c r="BE877" s="169"/>
    </row>
    <row r="878" spans="1:62" x14ac:dyDescent="0.2">
      <c r="A878" s="232" t="s">
        <v>89</v>
      </c>
      <c r="B878" s="232" t="s">
        <v>35</v>
      </c>
      <c r="C878" s="264" t="s">
        <v>95</v>
      </c>
      <c r="D878" s="232" t="s">
        <v>312</v>
      </c>
      <c r="E878" s="233">
        <v>7.5</v>
      </c>
      <c r="F878" s="136"/>
      <c r="G878" s="234"/>
      <c r="I878" s="397"/>
      <c r="J878" s="753">
        <v>51</v>
      </c>
      <c r="K878" s="295">
        <v>0</v>
      </c>
      <c r="L878" s="295">
        <v>35</v>
      </c>
      <c r="M878" s="233" t="s">
        <v>93</v>
      </c>
      <c r="N878" s="233">
        <v>200</v>
      </c>
      <c r="O878" s="295">
        <f t="shared" si="417"/>
        <v>251</v>
      </c>
      <c r="P878" s="290" t="s">
        <v>94</v>
      </c>
      <c r="Q878" s="290"/>
      <c r="R878" s="236">
        <v>3</v>
      </c>
      <c r="S878" s="285">
        <v>0.87</v>
      </c>
      <c r="T878" s="388" t="s">
        <v>37</v>
      </c>
      <c r="U878" s="236">
        <v>0.12</v>
      </c>
      <c r="V878" s="237" t="s">
        <v>5</v>
      </c>
      <c r="Y878" s="292">
        <v>0.88</v>
      </c>
      <c r="Z878" s="301" t="s">
        <v>37</v>
      </c>
      <c r="AA878" s="233">
        <v>0.11</v>
      </c>
      <c r="AB878" s="232" t="s">
        <v>5</v>
      </c>
      <c r="AC878" s="232"/>
      <c r="AD878" s="232"/>
      <c r="AE878" s="136"/>
      <c r="AF878" s="239">
        <f t="shared" si="418"/>
        <v>5.2983173665480363</v>
      </c>
      <c r="AG878" s="239">
        <f t="shared" si="419"/>
        <v>5.5254529391317835</v>
      </c>
      <c r="AH878" s="240"/>
      <c r="AI878" s="240"/>
      <c r="AK878" s="265">
        <f t="shared" si="420"/>
        <v>600</v>
      </c>
      <c r="AL878" s="286">
        <f t="shared" si="421"/>
        <v>651</v>
      </c>
      <c r="AM878" s="239">
        <f t="shared" si="422"/>
        <v>6.3969296552161463</v>
      </c>
      <c r="AN878" s="239">
        <f t="shared" si="423"/>
        <v>6.4785096422085688</v>
      </c>
      <c r="AO878" s="240"/>
      <c r="AP878" s="240"/>
      <c r="AR878" s="265"/>
      <c r="AS878" s="265"/>
      <c r="AT878" s="239"/>
      <c r="AU878" s="239"/>
      <c r="AX878" s="385"/>
      <c r="AY878" s="385"/>
      <c r="AZ878" s="385"/>
      <c r="BA878" s="265"/>
      <c r="BB878" s="239"/>
      <c r="BC878" s="239"/>
      <c r="BD878" s="240"/>
      <c r="BE878" s="240"/>
      <c r="BF878" s="136"/>
      <c r="BG878" s="136"/>
      <c r="BH878" s="136"/>
      <c r="BI878" s="136"/>
    </row>
    <row r="879" spans="1:62" s="165" customFormat="1" x14ac:dyDescent="0.2">
      <c r="A879" s="156" t="s">
        <v>89</v>
      </c>
      <c r="B879" s="156" t="s">
        <v>35</v>
      </c>
      <c r="C879" s="442" t="s">
        <v>96</v>
      </c>
      <c r="D879" s="156" t="s">
        <v>312</v>
      </c>
      <c r="E879" s="160">
        <v>7.5</v>
      </c>
      <c r="G879" s="166"/>
      <c r="H879" s="160"/>
      <c r="I879" s="366"/>
      <c r="J879" s="754">
        <v>51</v>
      </c>
      <c r="K879" s="231">
        <v>0</v>
      </c>
      <c r="L879" s="231">
        <v>35</v>
      </c>
      <c r="M879" s="160" t="s">
        <v>93</v>
      </c>
      <c r="N879" s="160">
        <v>100</v>
      </c>
      <c r="O879" s="231">
        <f t="shared" si="417"/>
        <v>151</v>
      </c>
      <c r="P879" s="326" t="s">
        <v>94</v>
      </c>
      <c r="Q879" s="326"/>
      <c r="R879" s="163">
        <v>3</v>
      </c>
      <c r="S879" s="163">
        <v>0.87</v>
      </c>
      <c r="T879" s="162" t="s">
        <v>37</v>
      </c>
      <c r="U879" s="163">
        <v>0.12</v>
      </c>
      <c r="V879" s="162" t="s">
        <v>5</v>
      </c>
      <c r="W879" s="162"/>
      <c r="X879" s="162"/>
      <c r="Y879" s="328">
        <v>0.88</v>
      </c>
      <c r="Z879" s="314" t="s">
        <v>37</v>
      </c>
      <c r="AA879" s="160">
        <v>0.11</v>
      </c>
      <c r="AB879" s="156" t="s">
        <v>5</v>
      </c>
      <c r="AC879" s="156"/>
      <c r="AD879" s="156"/>
      <c r="AF879" s="166">
        <f t="shared" si="418"/>
        <v>4.6051701859880918</v>
      </c>
      <c r="AG879" s="166">
        <f t="shared" si="419"/>
        <v>5.0172798368149243</v>
      </c>
      <c r="AH879" s="169"/>
      <c r="AI879" s="169"/>
      <c r="AK879" s="168">
        <f t="shared" si="420"/>
        <v>300</v>
      </c>
      <c r="AL879" s="337">
        <f t="shared" si="421"/>
        <v>351</v>
      </c>
      <c r="AM879" s="166">
        <f t="shared" si="422"/>
        <v>5.7037824746562009</v>
      </c>
      <c r="AN879" s="166">
        <f t="shared" si="423"/>
        <v>5.8607862234658654</v>
      </c>
      <c r="AO879" s="169"/>
      <c r="AP879" s="169"/>
      <c r="AR879" s="168"/>
      <c r="AS879" s="168"/>
      <c r="AT879" s="166"/>
      <c r="AU879" s="166"/>
      <c r="AV879" s="167"/>
      <c r="AW879" s="167"/>
      <c r="AX879" s="168"/>
      <c r="AY879" s="168"/>
      <c r="AZ879" s="168"/>
      <c r="BA879" s="168"/>
      <c r="BB879" s="166"/>
      <c r="BC879" s="166"/>
      <c r="BD879" s="169"/>
      <c r="BE879" s="169"/>
    </row>
    <row r="880" spans="1:62" s="245" customFormat="1" x14ac:dyDescent="0.2">
      <c r="A880" s="244" t="s">
        <v>89</v>
      </c>
      <c r="B880" s="244" t="s">
        <v>35</v>
      </c>
      <c r="C880" s="455" t="s">
        <v>97</v>
      </c>
      <c r="D880" s="244" t="s">
        <v>312</v>
      </c>
      <c r="E880" s="246">
        <v>7.5</v>
      </c>
      <c r="G880" s="247"/>
      <c r="H880" s="246"/>
      <c r="I880" s="755"/>
      <c r="J880" s="756">
        <v>51</v>
      </c>
      <c r="K880" s="248">
        <v>0</v>
      </c>
      <c r="L880" s="248">
        <v>33</v>
      </c>
      <c r="M880" s="246" t="s">
        <v>93</v>
      </c>
      <c r="N880" s="246">
        <v>200</v>
      </c>
      <c r="O880" s="248">
        <f t="shared" si="417"/>
        <v>251</v>
      </c>
      <c r="P880" s="459" t="s">
        <v>94</v>
      </c>
      <c r="Q880" s="459"/>
      <c r="R880" s="249">
        <v>3</v>
      </c>
      <c r="S880" s="249">
        <v>0.87</v>
      </c>
      <c r="T880" s="250" t="s">
        <v>37</v>
      </c>
      <c r="U880" s="249">
        <v>0.12</v>
      </c>
      <c r="V880" s="250" t="s">
        <v>5</v>
      </c>
      <c r="W880" s="250"/>
      <c r="X880" s="250"/>
      <c r="Y880" s="506">
        <v>0.88</v>
      </c>
      <c r="Z880" s="507" t="s">
        <v>37</v>
      </c>
      <c r="AA880" s="246">
        <v>0.11</v>
      </c>
      <c r="AB880" s="244" t="s">
        <v>5</v>
      </c>
      <c r="AC880" s="244"/>
      <c r="AD880" s="244"/>
      <c r="AF880" s="247">
        <f t="shared" si="418"/>
        <v>5.2983173665480363</v>
      </c>
      <c r="AG880" s="247">
        <f t="shared" si="419"/>
        <v>5.5254529391317835</v>
      </c>
      <c r="AH880" s="252"/>
      <c r="AI880" s="252"/>
      <c r="AK880" s="461">
        <f t="shared" si="420"/>
        <v>600</v>
      </c>
      <c r="AL880" s="511">
        <f t="shared" si="421"/>
        <v>651</v>
      </c>
      <c r="AM880" s="247">
        <f t="shared" si="422"/>
        <v>6.3969296552161463</v>
      </c>
      <c r="AN880" s="247">
        <f t="shared" si="423"/>
        <v>6.4785096422085688</v>
      </c>
      <c r="AO880" s="252"/>
      <c r="AP880" s="252"/>
      <c r="AR880" s="461"/>
      <c r="AS880" s="461"/>
      <c r="AT880" s="247"/>
      <c r="AU880" s="247"/>
      <c r="AV880" s="253"/>
      <c r="AW880" s="253"/>
      <c r="AX880" s="461"/>
      <c r="AY880" s="461"/>
      <c r="AZ880" s="461"/>
      <c r="BA880" s="461"/>
      <c r="BB880" s="247"/>
      <c r="BC880" s="247"/>
      <c r="BD880" s="252"/>
      <c r="BE880" s="252"/>
    </row>
    <row r="881" spans="1:61" s="245" customFormat="1" x14ac:dyDescent="0.2">
      <c r="A881" s="244" t="s">
        <v>89</v>
      </c>
      <c r="B881" s="244" t="s">
        <v>35</v>
      </c>
      <c r="C881" s="455" t="s">
        <v>98</v>
      </c>
      <c r="D881" s="244" t="s">
        <v>312</v>
      </c>
      <c r="E881" s="246">
        <v>7.5</v>
      </c>
      <c r="G881" s="247"/>
      <c r="H881" s="246"/>
      <c r="I881" s="755"/>
      <c r="J881" s="756">
        <v>51</v>
      </c>
      <c r="K881" s="248">
        <v>0</v>
      </c>
      <c r="L881" s="434" t="s">
        <v>378</v>
      </c>
      <c r="M881" s="246" t="s">
        <v>93</v>
      </c>
      <c r="N881" s="246">
        <v>400</v>
      </c>
      <c r="O881" s="248">
        <f t="shared" si="417"/>
        <v>451</v>
      </c>
      <c r="P881" s="459" t="s">
        <v>94</v>
      </c>
      <c r="Q881" s="459"/>
      <c r="R881" s="249">
        <v>3</v>
      </c>
      <c r="S881" s="249">
        <v>0.87</v>
      </c>
      <c r="T881" s="250" t="s">
        <v>37</v>
      </c>
      <c r="U881" s="249">
        <v>0.12</v>
      </c>
      <c r="V881" s="250" t="s">
        <v>5</v>
      </c>
      <c r="W881" s="250"/>
      <c r="X881" s="250"/>
      <c r="Y881" s="506">
        <v>0.88</v>
      </c>
      <c r="Z881" s="507" t="s">
        <v>37</v>
      </c>
      <c r="AA881" s="246">
        <v>0.11</v>
      </c>
      <c r="AB881" s="244" t="s">
        <v>5</v>
      </c>
      <c r="AC881" s="244"/>
      <c r="AD881" s="244"/>
      <c r="AF881" s="247">
        <f t="shared" si="418"/>
        <v>5.9914645471079817</v>
      </c>
      <c r="AG881" s="247">
        <f t="shared" si="419"/>
        <v>6.1114673395026786</v>
      </c>
      <c r="AH881" s="252"/>
      <c r="AI881" s="252"/>
      <c r="AK881" s="461">
        <f t="shared" si="420"/>
        <v>1200</v>
      </c>
      <c r="AL881" s="511">
        <f t="shared" si="421"/>
        <v>1251</v>
      </c>
      <c r="AM881" s="247">
        <f t="shared" si="422"/>
        <v>7.0900768357760917</v>
      </c>
      <c r="AN881" s="247">
        <f t="shared" si="423"/>
        <v>7.1316985104669115</v>
      </c>
      <c r="AO881" s="252"/>
      <c r="AP881" s="252"/>
      <c r="AR881" s="461"/>
      <c r="AS881" s="461"/>
      <c r="AT881" s="247"/>
      <c r="AU881" s="247"/>
      <c r="AV881" s="253"/>
      <c r="AW881" s="253"/>
      <c r="AX881" s="461"/>
      <c r="AY881" s="461"/>
      <c r="AZ881" s="461"/>
      <c r="BA881" s="461"/>
      <c r="BB881" s="247"/>
      <c r="BC881" s="247"/>
      <c r="BD881" s="252"/>
      <c r="BE881" s="252"/>
    </row>
    <row r="882" spans="1:61" s="245" customFormat="1" x14ac:dyDescent="0.2">
      <c r="A882" s="244" t="s">
        <v>89</v>
      </c>
      <c r="B882" s="244" t="s">
        <v>35</v>
      </c>
      <c r="C882" s="455" t="s">
        <v>99</v>
      </c>
      <c r="D882" s="244" t="s">
        <v>312</v>
      </c>
      <c r="E882" s="246">
        <v>7.5</v>
      </c>
      <c r="G882" s="247"/>
      <c r="H882" s="246"/>
      <c r="I882" s="755"/>
      <c r="J882" s="756">
        <v>51</v>
      </c>
      <c r="K882" s="248">
        <v>0</v>
      </c>
      <c r="L882" s="434" t="s">
        <v>378</v>
      </c>
      <c r="M882" s="246" t="s">
        <v>93</v>
      </c>
      <c r="N882" s="246">
        <v>200</v>
      </c>
      <c r="O882" s="248">
        <f t="shared" si="417"/>
        <v>251</v>
      </c>
      <c r="P882" s="459" t="s">
        <v>94</v>
      </c>
      <c r="Q882" s="459"/>
      <c r="R882" s="249">
        <v>3</v>
      </c>
      <c r="S882" s="249">
        <v>0.87</v>
      </c>
      <c r="T882" s="250" t="s">
        <v>37</v>
      </c>
      <c r="U882" s="249">
        <v>0.12</v>
      </c>
      <c r="V882" s="250" t="s">
        <v>5</v>
      </c>
      <c r="W882" s="250"/>
      <c r="X882" s="250"/>
      <c r="Y882" s="506">
        <v>0.88</v>
      </c>
      <c r="Z882" s="507" t="s">
        <v>37</v>
      </c>
      <c r="AA882" s="246">
        <v>0.11</v>
      </c>
      <c r="AB882" s="244" t="s">
        <v>5</v>
      </c>
      <c r="AC882" s="244"/>
      <c r="AD882" s="244"/>
      <c r="AF882" s="247">
        <f t="shared" si="418"/>
        <v>5.2983173665480363</v>
      </c>
      <c r="AG882" s="247">
        <f t="shared" si="419"/>
        <v>5.5254529391317835</v>
      </c>
      <c r="AH882" s="252"/>
      <c r="AI882" s="252"/>
      <c r="AK882" s="461">
        <f t="shared" si="420"/>
        <v>600</v>
      </c>
      <c r="AL882" s="511">
        <f t="shared" si="421"/>
        <v>651</v>
      </c>
      <c r="AM882" s="247">
        <f t="shared" si="422"/>
        <v>6.3969296552161463</v>
      </c>
      <c r="AN882" s="247">
        <f t="shared" si="423"/>
        <v>6.4785096422085688</v>
      </c>
      <c r="AO882" s="252"/>
      <c r="AP882" s="252"/>
      <c r="AR882" s="461"/>
      <c r="AS882" s="461"/>
      <c r="AT882" s="247"/>
      <c r="AU882" s="247"/>
      <c r="AV882" s="253"/>
      <c r="AW882" s="253"/>
      <c r="AX882" s="461"/>
      <c r="AY882" s="461"/>
      <c r="AZ882" s="461"/>
      <c r="BA882" s="461"/>
      <c r="BB882" s="247"/>
      <c r="BC882" s="247"/>
      <c r="BD882" s="252"/>
      <c r="BE882" s="252"/>
    </row>
    <row r="883" spans="1:61" s="245" customFormat="1" x14ac:dyDescent="0.2">
      <c r="A883" s="244" t="s">
        <v>89</v>
      </c>
      <c r="B883" s="244" t="s">
        <v>35</v>
      </c>
      <c r="C883" s="455" t="s">
        <v>100</v>
      </c>
      <c r="D883" s="244" t="s">
        <v>312</v>
      </c>
      <c r="E883" s="246">
        <v>7.5</v>
      </c>
      <c r="G883" s="247"/>
      <c r="H883" s="246"/>
      <c r="I883" s="755"/>
      <c r="J883" s="756">
        <v>51</v>
      </c>
      <c r="K883" s="248">
        <v>0</v>
      </c>
      <c r="L883" s="248">
        <v>42</v>
      </c>
      <c r="M883" s="246" t="s">
        <v>93</v>
      </c>
      <c r="N883" s="246">
        <v>300</v>
      </c>
      <c r="O883" s="248">
        <f t="shared" si="417"/>
        <v>351</v>
      </c>
      <c r="P883" s="459" t="s">
        <v>94</v>
      </c>
      <c r="Q883" s="459"/>
      <c r="R883" s="249">
        <v>3</v>
      </c>
      <c r="S883" s="249">
        <v>0.87</v>
      </c>
      <c r="T883" s="250" t="s">
        <v>37</v>
      </c>
      <c r="U883" s="249">
        <v>0.12</v>
      </c>
      <c r="V883" s="250" t="s">
        <v>5</v>
      </c>
      <c r="W883" s="250"/>
      <c r="X883" s="250"/>
      <c r="Y883" s="506">
        <v>0.88</v>
      </c>
      <c r="Z883" s="507" t="s">
        <v>37</v>
      </c>
      <c r="AA883" s="246">
        <v>0.11</v>
      </c>
      <c r="AB883" s="244" t="s">
        <v>5</v>
      </c>
      <c r="AC883" s="244"/>
      <c r="AD883" s="244"/>
      <c r="AF883" s="247">
        <f t="shared" si="418"/>
        <v>5.7037824746562009</v>
      </c>
      <c r="AG883" s="247">
        <f t="shared" si="419"/>
        <v>5.8607862234658654</v>
      </c>
      <c r="AH883" s="252"/>
      <c r="AI883" s="252"/>
      <c r="AK883" s="461">
        <f t="shared" si="420"/>
        <v>900</v>
      </c>
      <c r="AL883" s="511">
        <f t="shared" si="421"/>
        <v>951</v>
      </c>
      <c r="AM883" s="247">
        <f t="shared" si="422"/>
        <v>6.8023947633243109</v>
      </c>
      <c r="AN883" s="247">
        <f t="shared" si="423"/>
        <v>6.8575140625453903</v>
      </c>
      <c r="AO883" s="252"/>
      <c r="AP883" s="252"/>
      <c r="AR883" s="461"/>
      <c r="AS883" s="461"/>
      <c r="AT883" s="247"/>
      <c r="AU883" s="247"/>
      <c r="AV883" s="253"/>
      <c r="AW883" s="253"/>
      <c r="AX883" s="461"/>
      <c r="AY883" s="461"/>
      <c r="AZ883" s="461"/>
      <c r="BA883" s="461"/>
      <c r="BB883" s="247"/>
      <c r="BC883" s="247"/>
      <c r="BD883" s="252"/>
      <c r="BE883" s="252"/>
    </row>
    <row r="884" spans="1:61" s="245" customFormat="1" x14ac:dyDescent="0.2">
      <c r="A884" s="244" t="s">
        <v>89</v>
      </c>
      <c r="B884" s="244" t="s">
        <v>35</v>
      </c>
      <c r="C884" s="455" t="s">
        <v>48</v>
      </c>
      <c r="D884" s="244" t="s">
        <v>312</v>
      </c>
      <c r="E884" s="246">
        <v>7.5</v>
      </c>
      <c r="G884" s="247"/>
      <c r="H884" s="246"/>
      <c r="I884" s="755"/>
      <c r="J884" s="756">
        <v>51</v>
      </c>
      <c r="K884" s="248">
        <v>0</v>
      </c>
      <c r="L884" s="434" t="s">
        <v>378</v>
      </c>
      <c r="M884" s="246" t="s">
        <v>93</v>
      </c>
      <c r="N884" s="246">
        <v>400</v>
      </c>
      <c r="O884" s="248">
        <f t="shared" si="417"/>
        <v>451</v>
      </c>
      <c r="P884" s="459" t="s">
        <v>94</v>
      </c>
      <c r="Q884" s="459"/>
      <c r="R884" s="249">
        <v>3</v>
      </c>
      <c r="S884" s="249">
        <v>0.87</v>
      </c>
      <c r="T884" s="250" t="s">
        <v>37</v>
      </c>
      <c r="U884" s="249">
        <v>0.12</v>
      </c>
      <c r="V884" s="250" t="s">
        <v>5</v>
      </c>
      <c r="W884" s="250"/>
      <c r="X884" s="250"/>
      <c r="Y884" s="506">
        <v>0.88</v>
      </c>
      <c r="Z884" s="507" t="s">
        <v>37</v>
      </c>
      <c r="AA884" s="246">
        <v>0.11</v>
      </c>
      <c r="AB884" s="244" t="s">
        <v>5</v>
      </c>
      <c r="AC884" s="244"/>
      <c r="AD884" s="244"/>
      <c r="AF884" s="247">
        <f t="shared" si="418"/>
        <v>5.9914645471079817</v>
      </c>
      <c r="AG884" s="247">
        <f t="shared" si="419"/>
        <v>6.1114673395026786</v>
      </c>
      <c r="AH884" s="252"/>
      <c r="AI884" s="252"/>
      <c r="AK884" s="461">
        <f t="shared" si="420"/>
        <v>1200</v>
      </c>
      <c r="AL884" s="511">
        <f t="shared" si="421"/>
        <v>1251</v>
      </c>
      <c r="AM884" s="247">
        <f t="shared" si="422"/>
        <v>7.0900768357760917</v>
      </c>
      <c r="AN884" s="247">
        <f t="shared" si="423"/>
        <v>7.1316985104669115</v>
      </c>
      <c r="AO884" s="252"/>
      <c r="AP884" s="252"/>
      <c r="AR884" s="461"/>
      <c r="AS884" s="461"/>
      <c r="AT884" s="247"/>
      <c r="AU884" s="247"/>
      <c r="AV884" s="253"/>
      <c r="AW884" s="253"/>
      <c r="AX884" s="461"/>
      <c r="AY884" s="461"/>
      <c r="AZ884" s="461"/>
      <c r="BA884" s="461"/>
      <c r="BB884" s="247"/>
      <c r="BC884" s="247"/>
      <c r="BD884" s="252"/>
      <c r="BE884" s="252"/>
    </row>
    <row r="885" spans="1:61" x14ac:dyDescent="0.2">
      <c r="A885" s="232" t="s">
        <v>89</v>
      </c>
      <c r="B885" s="232" t="s">
        <v>35</v>
      </c>
      <c r="C885" s="264" t="s">
        <v>39</v>
      </c>
      <c r="D885" s="232" t="s">
        <v>318</v>
      </c>
      <c r="E885" s="233">
        <v>5.6</v>
      </c>
      <c r="F885" s="136">
        <v>1.6</v>
      </c>
      <c r="G885" s="234">
        <f t="shared" ref="G885:G891" si="424">F885/1.724</f>
        <v>0.92807424593967525</v>
      </c>
      <c r="H885" s="233">
        <v>12</v>
      </c>
      <c r="I885" s="752">
        <f t="shared" ref="I885:I893" si="425">(30+4.4*E885)*H885/100+(-34.66+29.72*E885)*F885/100</f>
        <v>8.6651520000000009</v>
      </c>
      <c r="J885" s="235">
        <v>47</v>
      </c>
      <c r="K885" s="295">
        <v>0</v>
      </c>
      <c r="L885" s="295">
        <v>150</v>
      </c>
      <c r="M885" s="235" t="s">
        <v>93</v>
      </c>
      <c r="N885" s="235">
        <v>100</v>
      </c>
      <c r="O885" s="295">
        <f t="shared" si="417"/>
        <v>147</v>
      </c>
      <c r="P885" s="290" t="s">
        <v>101</v>
      </c>
      <c r="Q885" s="290"/>
      <c r="R885" s="236">
        <v>3</v>
      </c>
      <c r="S885" s="285">
        <v>0.87</v>
      </c>
      <c r="T885" s="388" t="s">
        <v>37</v>
      </c>
      <c r="U885" s="236">
        <v>0.12</v>
      </c>
      <c r="V885" s="237" t="s">
        <v>5</v>
      </c>
      <c r="Y885" s="292">
        <v>0.88</v>
      </c>
      <c r="Z885" s="301" t="s">
        <v>37</v>
      </c>
      <c r="AA885" s="233">
        <v>0.11</v>
      </c>
      <c r="AB885" s="232" t="s">
        <v>5</v>
      </c>
      <c r="AC885" s="232"/>
      <c r="AD885" s="232"/>
      <c r="AE885" s="136"/>
      <c r="AF885" s="239">
        <f t="shared" si="418"/>
        <v>4.6051701859880918</v>
      </c>
      <c r="AG885" s="239">
        <f t="shared" si="419"/>
        <v>4.990432586778736</v>
      </c>
      <c r="AH885" s="240"/>
      <c r="AI885" s="240"/>
      <c r="AK885" s="265">
        <f t="shared" si="420"/>
        <v>300</v>
      </c>
      <c r="AL885" s="286">
        <f t="shared" si="421"/>
        <v>347</v>
      </c>
      <c r="AM885" s="239">
        <f t="shared" si="422"/>
        <v>5.7037824746562009</v>
      </c>
      <c r="AN885" s="239">
        <f t="shared" si="423"/>
        <v>5.8493247799468593</v>
      </c>
      <c r="AO885" s="240"/>
      <c r="AP885" s="240"/>
      <c r="AR885" s="265">
        <f>AK885*((eCEC/I885)^S885)*(((10^-pH)/(10^-E885))^-U885)</f>
        <v>482.18181612628524</v>
      </c>
      <c r="AS885" s="265">
        <f>AL885*((eCEC/I885)^Y885)*(((10^-pH)/(10^-E885))^-AA885)</f>
        <v>547.70475937537401</v>
      </c>
      <c r="AT885" s="239">
        <f t="shared" ref="AT885:AU888" si="426">LN(AR885)</f>
        <v>6.1783212548043451</v>
      </c>
      <c r="AU885" s="239">
        <f t="shared" si="426"/>
        <v>6.3057363815006404</v>
      </c>
      <c r="AX885" s="385">
        <f>GEOMEAN(AR885:AR888)</f>
        <v>844.90143311156396</v>
      </c>
      <c r="AY885" s="385">
        <f>GEOMEAN(AS885:AS888)</f>
        <v>883.62775154719827</v>
      </c>
      <c r="AZ885" s="385">
        <f>MIN(AX885:AX888)</f>
        <v>844.90143311156396</v>
      </c>
      <c r="BA885" s="385">
        <f>MIN(AY885:AY888)</f>
        <v>883.62775154719827</v>
      </c>
      <c r="BB885" s="239">
        <f>LN(AZ885)</f>
        <v>6.73921997334811</v>
      </c>
      <c r="BC885" s="239">
        <f>LN(BA885)</f>
        <v>6.7840358784171775</v>
      </c>
      <c r="BD885" s="240"/>
      <c r="BE885" s="240"/>
      <c r="BF885" s="136"/>
      <c r="BG885" s="136"/>
      <c r="BH885" s="136"/>
      <c r="BI885" s="136"/>
    </row>
    <row r="886" spans="1:61" x14ac:dyDescent="0.2">
      <c r="A886" s="232" t="s">
        <v>89</v>
      </c>
      <c r="B886" s="232" t="s">
        <v>35</v>
      </c>
      <c r="C886" s="264" t="s">
        <v>39</v>
      </c>
      <c r="D886" s="232" t="s">
        <v>318</v>
      </c>
      <c r="E886" s="233">
        <v>5.4</v>
      </c>
      <c r="F886" s="136">
        <v>2.4</v>
      </c>
      <c r="G886" s="234">
        <f t="shared" si="424"/>
        <v>1.3921113689095128</v>
      </c>
      <c r="H886" s="233">
        <v>40</v>
      </c>
      <c r="I886" s="752">
        <f t="shared" si="425"/>
        <v>24.523872000000001</v>
      </c>
      <c r="J886" s="235">
        <v>57</v>
      </c>
      <c r="K886" s="295">
        <v>0</v>
      </c>
      <c r="L886" s="295">
        <v>150</v>
      </c>
      <c r="M886" s="235" t="s">
        <v>93</v>
      </c>
      <c r="N886" s="235">
        <v>200</v>
      </c>
      <c r="O886" s="295">
        <f t="shared" si="417"/>
        <v>257</v>
      </c>
      <c r="P886" s="290" t="s">
        <v>101</v>
      </c>
      <c r="Q886" s="290"/>
      <c r="R886" s="236">
        <v>3</v>
      </c>
      <c r="S886" s="285">
        <v>0.87</v>
      </c>
      <c r="T886" s="388" t="s">
        <v>37</v>
      </c>
      <c r="U886" s="236">
        <v>0.12</v>
      </c>
      <c r="V886" s="237" t="s">
        <v>5</v>
      </c>
      <c r="Y886" s="292">
        <v>0.88</v>
      </c>
      <c r="Z886" s="301" t="s">
        <v>37</v>
      </c>
      <c r="AA886" s="233">
        <v>0.11</v>
      </c>
      <c r="AB886" s="232" t="s">
        <v>5</v>
      </c>
      <c r="AC886" s="232"/>
      <c r="AD886" s="232"/>
      <c r="AE886" s="136"/>
      <c r="AF886" s="239">
        <f t="shared" si="418"/>
        <v>5.2983173665480363</v>
      </c>
      <c r="AG886" s="239">
        <f t="shared" si="419"/>
        <v>5.5490760848952201</v>
      </c>
      <c r="AH886" s="240"/>
      <c r="AI886" s="240"/>
      <c r="AK886" s="265">
        <f t="shared" si="420"/>
        <v>600</v>
      </c>
      <c r="AL886" s="286">
        <f t="shared" si="421"/>
        <v>657</v>
      </c>
      <c r="AM886" s="239">
        <f t="shared" si="422"/>
        <v>6.3969296552161463</v>
      </c>
      <c r="AN886" s="239">
        <f t="shared" si="423"/>
        <v>6.4876840184846101</v>
      </c>
      <c r="AO886" s="240"/>
      <c r="AP886" s="240"/>
      <c r="AR886" s="265">
        <f>AK886*((eCEC/I886)^S886)*(((10^-pH)/(10^-E886))^-U886)</f>
        <v>412.25282451218521</v>
      </c>
      <c r="AS886" s="265">
        <f>AL886*((eCEC/I886)^Y886)*(((10^-pH)/(10^-E886))^-AA886)</f>
        <v>436.70392656678706</v>
      </c>
      <c r="AT886" s="239">
        <f t="shared" si="426"/>
        <v>6.0216368128709012</v>
      </c>
      <c r="AU886" s="239">
        <f t="shared" si="426"/>
        <v>6.0792554519024025</v>
      </c>
      <c r="AX886" s="385"/>
      <c r="AY886" s="385"/>
      <c r="AZ886" s="385"/>
      <c r="BA886" s="265"/>
      <c r="BB886" s="239"/>
      <c r="BC886" s="239"/>
      <c r="BD886" s="240"/>
      <c r="BE886" s="240"/>
      <c r="BF886" s="136"/>
      <c r="BG886" s="136"/>
      <c r="BH886" s="136"/>
      <c r="BI886" s="136"/>
    </row>
    <row r="887" spans="1:61" x14ac:dyDescent="0.2">
      <c r="A887" s="232" t="s">
        <v>89</v>
      </c>
      <c r="B887" s="232" t="s">
        <v>35</v>
      </c>
      <c r="C887" s="264" t="s">
        <v>39</v>
      </c>
      <c r="D887" s="232" t="s">
        <v>318</v>
      </c>
      <c r="E887" s="233">
        <v>5</v>
      </c>
      <c r="F887" s="136">
        <v>3.4</v>
      </c>
      <c r="G887" s="234">
        <f t="shared" si="424"/>
        <v>1.9721577726218098</v>
      </c>
      <c r="H887" s="233">
        <v>4</v>
      </c>
      <c r="I887" s="752">
        <f t="shared" si="425"/>
        <v>5.9539599999999995</v>
      </c>
      <c r="J887" s="235">
        <v>15</v>
      </c>
      <c r="K887" s="295">
        <v>0</v>
      </c>
      <c r="L887" s="295">
        <v>150</v>
      </c>
      <c r="M887" s="235" t="s">
        <v>93</v>
      </c>
      <c r="N887" s="235">
        <v>200</v>
      </c>
      <c r="O887" s="295">
        <f t="shared" si="417"/>
        <v>215</v>
      </c>
      <c r="P887" s="290" t="s">
        <v>101</v>
      </c>
      <c r="Q887" s="290"/>
      <c r="R887" s="236">
        <v>3</v>
      </c>
      <c r="S887" s="285">
        <v>0.87</v>
      </c>
      <c r="T887" s="388" t="s">
        <v>37</v>
      </c>
      <c r="U887" s="236">
        <v>0.12</v>
      </c>
      <c r="V887" s="237" t="s">
        <v>5</v>
      </c>
      <c r="Y887" s="292">
        <v>0.88</v>
      </c>
      <c r="Z887" s="301" t="s">
        <v>37</v>
      </c>
      <c r="AA887" s="233">
        <v>0.11</v>
      </c>
      <c r="AB887" s="232" t="s">
        <v>5</v>
      </c>
      <c r="AC887" s="232"/>
      <c r="AD887" s="232"/>
      <c r="AE887" s="136"/>
      <c r="AF887" s="239">
        <f t="shared" si="418"/>
        <v>5.2983173665480363</v>
      </c>
      <c r="AG887" s="239">
        <f t="shared" si="419"/>
        <v>5.3706380281276624</v>
      </c>
      <c r="AH887" s="240"/>
      <c r="AI887" s="240"/>
      <c r="AK887" s="265">
        <f t="shared" si="420"/>
        <v>600</v>
      </c>
      <c r="AL887" s="286">
        <f t="shared" si="421"/>
        <v>615</v>
      </c>
      <c r="AM887" s="239">
        <f t="shared" si="422"/>
        <v>6.3969296552161463</v>
      </c>
      <c r="AN887" s="239">
        <f t="shared" si="423"/>
        <v>6.4216222678065176</v>
      </c>
      <c r="AO887" s="240"/>
      <c r="AP887" s="240"/>
      <c r="AR887" s="265">
        <f>AK887*((eCEC/I887)^S887)*(((10^-pH)/(10^-E887))^-U887)</f>
        <v>1577.7019462333551</v>
      </c>
      <c r="AS887" s="265">
        <f>AL887*((eCEC/I887)^Y887)*(((10^-pH)/(10^-E887))^-AA887)</f>
        <v>1572.1934976057582</v>
      </c>
      <c r="AT887" s="239">
        <f t="shared" si="426"/>
        <v>7.363724602851641</v>
      </c>
      <c r="AU887" s="239">
        <f t="shared" si="426"/>
        <v>7.3602270554941889</v>
      </c>
      <c r="AX887" s="385"/>
      <c r="AY887" s="385"/>
      <c r="AZ887" s="385"/>
      <c r="BA887" s="265"/>
      <c r="BB887" s="239"/>
      <c r="BC887" s="239"/>
      <c r="BD887" s="240"/>
      <c r="BE887" s="240"/>
      <c r="BF887" s="136"/>
      <c r="BG887" s="136"/>
      <c r="BH887" s="136"/>
      <c r="BI887" s="136"/>
    </row>
    <row r="888" spans="1:61" s="165" customFormat="1" x14ac:dyDescent="0.2">
      <c r="A888" s="156" t="s">
        <v>89</v>
      </c>
      <c r="B888" s="156" t="s">
        <v>35</v>
      </c>
      <c r="C888" s="442" t="s">
        <v>39</v>
      </c>
      <c r="D888" s="156" t="s">
        <v>318</v>
      </c>
      <c r="E888" s="160">
        <v>5.4</v>
      </c>
      <c r="F888" s="165">
        <v>6.8</v>
      </c>
      <c r="G888" s="166">
        <f t="shared" si="424"/>
        <v>3.9443155452436196</v>
      </c>
      <c r="H888" s="160">
        <v>5</v>
      </c>
      <c r="I888" s="757">
        <f t="shared" si="425"/>
        <v>11.244304000000001</v>
      </c>
      <c r="J888" s="231">
        <v>28</v>
      </c>
      <c r="K888" s="231">
        <v>0</v>
      </c>
      <c r="L888" s="231">
        <v>150</v>
      </c>
      <c r="M888" s="231" t="s">
        <v>93</v>
      </c>
      <c r="N888" s="231">
        <v>400</v>
      </c>
      <c r="O888" s="231">
        <f t="shared" si="417"/>
        <v>428</v>
      </c>
      <c r="P888" s="326" t="s">
        <v>101</v>
      </c>
      <c r="Q888" s="326"/>
      <c r="R888" s="163">
        <v>3</v>
      </c>
      <c r="S888" s="163">
        <v>0.87</v>
      </c>
      <c r="T888" s="162" t="s">
        <v>37</v>
      </c>
      <c r="U888" s="163">
        <v>0.12</v>
      </c>
      <c r="V888" s="162" t="s">
        <v>5</v>
      </c>
      <c r="W888" s="162"/>
      <c r="X888" s="162"/>
      <c r="Y888" s="328">
        <v>0.88</v>
      </c>
      <c r="Z888" s="314" t="s">
        <v>37</v>
      </c>
      <c r="AA888" s="160">
        <v>0.11</v>
      </c>
      <c r="AB888" s="156" t="s">
        <v>5</v>
      </c>
      <c r="AC888" s="156"/>
      <c r="AD888" s="156"/>
      <c r="AF888" s="166">
        <f t="shared" si="418"/>
        <v>5.9914645471079817</v>
      </c>
      <c r="AG888" s="166">
        <f t="shared" si="419"/>
        <v>6.0591231955817966</v>
      </c>
      <c r="AH888" s="169"/>
      <c r="AI888" s="169"/>
      <c r="AK888" s="168">
        <f t="shared" si="420"/>
        <v>1200</v>
      </c>
      <c r="AL888" s="337">
        <f t="shared" si="421"/>
        <v>1228</v>
      </c>
      <c r="AM888" s="166">
        <f t="shared" si="422"/>
        <v>7.0900768357760917</v>
      </c>
      <c r="AN888" s="166">
        <f t="shared" si="423"/>
        <v>7.1131421087070876</v>
      </c>
      <c r="AO888" s="169"/>
      <c r="AP888" s="169"/>
      <c r="AR888" s="168">
        <f>AK888*((eCEC/I888)^S888)*(((10^-pH)/(10^-E888))^-U888)</f>
        <v>1624.8929616907328</v>
      </c>
      <c r="AS888" s="168">
        <f>AL888*((eCEC/I888)^Y888)*(((10^-pH)/(10^-E888))^-AA888)</f>
        <v>1621.2044259101292</v>
      </c>
      <c r="AT888" s="166">
        <f t="shared" si="426"/>
        <v>7.3931972228655525</v>
      </c>
      <c r="AU888" s="166">
        <f t="shared" si="426"/>
        <v>7.390924624771479</v>
      </c>
      <c r="AV888" s="167"/>
      <c r="AW888" s="167"/>
      <c r="AX888" s="168"/>
      <c r="AY888" s="168"/>
      <c r="AZ888" s="168"/>
      <c r="BA888" s="168"/>
      <c r="BB888" s="166"/>
      <c r="BC888" s="166"/>
      <c r="BD888" s="169"/>
      <c r="BE888" s="169"/>
    </row>
    <row r="889" spans="1:61" x14ac:dyDescent="0.2">
      <c r="A889" s="232" t="s">
        <v>89</v>
      </c>
      <c r="B889" s="232" t="s">
        <v>35</v>
      </c>
      <c r="C889" s="264" t="s">
        <v>41</v>
      </c>
      <c r="D889" s="232" t="s">
        <v>312</v>
      </c>
      <c r="E889" s="233">
        <v>7.5</v>
      </c>
      <c r="F889" s="136"/>
      <c r="G889" s="234"/>
      <c r="I889" s="397"/>
      <c r="J889" s="753">
        <v>51</v>
      </c>
      <c r="K889" s="295">
        <v>0</v>
      </c>
      <c r="L889" s="295">
        <v>33</v>
      </c>
      <c r="M889" s="233" t="s">
        <v>93</v>
      </c>
      <c r="N889" s="233">
        <v>100</v>
      </c>
      <c r="O889" s="295">
        <f t="shared" si="417"/>
        <v>151</v>
      </c>
      <c r="P889" s="290" t="s">
        <v>94</v>
      </c>
      <c r="Q889" s="290"/>
      <c r="R889" s="236">
        <v>3</v>
      </c>
      <c r="S889" s="285">
        <v>0.87</v>
      </c>
      <c r="T889" s="388" t="s">
        <v>37</v>
      </c>
      <c r="U889" s="236">
        <v>0.12</v>
      </c>
      <c r="V889" s="237" t="s">
        <v>5</v>
      </c>
      <c r="Y889" s="292">
        <v>0.88</v>
      </c>
      <c r="Z889" s="301" t="s">
        <v>37</v>
      </c>
      <c r="AA889" s="233">
        <v>0.11</v>
      </c>
      <c r="AB889" s="232" t="s">
        <v>5</v>
      </c>
      <c r="AC889" s="232"/>
      <c r="AD889" s="232"/>
      <c r="AE889" s="136"/>
      <c r="AF889" s="239">
        <f t="shared" si="418"/>
        <v>4.6051701859880918</v>
      </c>
      <c r="AG889" s="239">
        <f t="shared" si="419"/>
        <v>5.0172798368149243</v>
      </c>
      <c r="AH889" s="240"/>
      <c r="AI889" s="240"/>
      <c r="AK889" s="265">
        <f t="shared" si="420"/>
        <v>300</v>
      </c>
      <c r="AL889" s="286">
        <f t="shared" si="421"/>
        <v>351</v>
      </c>
      <c r="AM889" s="239">
        <f t="shared" si="422"/>
        <v>5.7037824746562009</v>
      </c>
      <c r="AN889" s="239">
        <f t="shared" si="423"/>
        <v>5.8607862234658654</v>
      </c>
      <c r="AO889" s="240"/>
      <c r="AP889" s="240"/>
      <c r="AR889" s="265"/>
      <c r="AS889" s="265"/>
      <c r="AT889" s="239"/>
      <c r="AU889" s="239"/>
      <c r="AX889" s="385">
        <f>GEOMEAN(AR889:AR891)</f>
        <v>85.34641903659886</v>
      </c>
      <c r="AY889" s="385">
        <f>GEOMEAN(AS889:AS891)</f>
        <v>125.68449278170027</v>
      </c>
      <c r="AZ889" s="385">
        <f>MIN(AX889:AX891)</f>
        <v>85.34641903659886</v>
      </c>
      <c r="BA889" s="385">
        <f>MIN(AY889:AY891)</f>
        <v>125.68449278170027</v>
      </c>
      <c r="BB889" s="239">
        <f>LN(AZ889)</f>
        <v>4.4467184921399801</v>
      </c>
      <c r="BC889" s="239">
        <f>LN(BA889)</f>
        <v>4.8337747410940768</v>
      </c>
      <c r="BD889" s="240"/>
      <c r="BE889" s="240"/>
      <c r="BF889" s="136"/>
      <c r="BG889" s="136"/>
      <c r="BH889" s="136"/>
      <c r="BI889" s="136"/>
    </row>
    <row r="890" spans="1:61" x14ac:dyDescent="0.2">
      <c r="A890" s="232" t="s">
        <v>89</v>
      </c>
      <c r="B890" s="232" t="s">
        <v>35</v>
      </c>
      <c r="C890" s="264" t="s">
        <v>41</v>
      </c>
      <c r="D890" s="232" t="s">
        <v>312</v>
      </c>
      <c r="E890" s="233">
        <v>5.6</v>
      </c>
      <c r="F890" s="234">
        <f>G890*1.724</f>
        <v>8.2062399999999993</v>
      </c>
      <c r="G890" s="234">
        <v>4.76</v>
      </c>
      <c r="H890" s="233">
        <v>13</v>
      </c>
      <c r="I890" s="752">
        <f t="shared" si="425"/>
        <v>17.916726572799998</v>
      </c>
      <c r="J890" s="753">
        <v>51</v>
      </c>
      <c r="K890" s="295">
        <v>0</v>
      </c>
      <c r="L890" s="295">
        <v>48</v>
      </c>
      <c r="M890" s="235" t="s">
        <v>102</v>
      </c>
      <c r="N890" s="235">
        <v>33.299999999999997</v>
      </c>
      <c r="O890" s="295">
        <f t="shared" si="417"/>
        <v>84.3</v>
      </c>
      <c r="P890" s="290" t="s">
        <v>103</v>
      </c>
      <c r="Q890" s="290"/>
      <c r="R890" s="236">
        <v>3</v>
      </c>
      <c r="S890" s="285">
        <v>0.87</v>
      </c>
      <c r="T890" s="388" t="s">
        <v>37</v>
      </c>
      <c r="U890" s="236">
        <v>0.12</v>
      </c>
      <c r="V890" s="237" t="s">
        <v>5</v>
      </c>
      <c r="Y890" s="292">
        <v>0.88</v>
      </c>
      <c r="Z890" s="301" t="s">
        <v>37</v>
      </c>
      <c r="AA890" s="233">
        <v>0.11</v>
      </c>
      <c r="AB890" s="232" t="s">
        <v>5</v>
      </c>
      <c r="AC890" s="232"/>
      <c r="AD890" s="232"/>
      <c r="AE890" s="136"/>
      <c r="AF890" s="239">
        <f t="shared" si="418"/>
        <v>3.505557396986398</v>
      </c>
      <c r="AG890" s="239">
        <f t="shared" si="419"/>
        <v>4.4343818650078095</v>
      </c>
      <c r="AH890" s="240"/>
      <c r="AI890" s="240"/>
      <c r="AK890" s="265">
        <f t="shared" si="420"/>
        <v>99.899999999999991</v>
      </c>
      <c r="AL890" s="286">
        <f t="shared" si="421"/>
        <v>150.89999999999998</v>
      </c>
      <c r="AM890" s="239">
        <f t="shared" si="422"/>
        <v>4.604169685654508</v>
      </c>
      <c r="AN890" s="239">
        <f t="shared" si="423"/>
        <v>5.0166173657738033</v>
      </c>
      <c r="AO890" s="240"/>
      <c r="AP890" s="240"/>
      <c r="AR890" s="265">
        <f>AK890*((eCEC/I890)^S890)*(((10^-pH)/(10^-E890))^-U890)</f>
        <v>85.34641903659886</v>
      </c>
      <c r="AS890" s="265">
        <f>AL890*((eCEC/I890)^Y890)*(((10^-pH)/(10^-E890))^-AA890)</f>
        <v>125.68449278170027</v>
      </c>
      <c r="AT890" s="239">
        <f>LN(AR890)</f>
        <v>4.4467184921399801</v>
      </c>
      <c r="AU890" s="239">
        <f>LN(AS890)</f>
        <v>4.8337747410940768</v>
      </c>
      <c r="AX890" s="385"/>
      <c r="AY890" s="385"/>
      <c r="AZ890" s="385"/>
      <c r="BA890" s="265"/>
      <c r="BB890" s="239"/>
      <c r="BC890" s="239"/>
      <c r="BD890" s="240"/>
      <c r="BE890" s="240"/>
      <c r="BF890" s="136"/>
      <c r="BG890" s="136"/>
      <c r="BH890" s="136"/>
      <c r="BI890" s="136"/>
    </row>
    <row r="891" spans="1:61" s="165" customFormat="1" x14ac:dyDescent="0.2">
      <c r="A891" s="156" t="s">
        <v>89</v>
      </c>
      <c r="B891" s="156" t="s">
        <v>35</v>
      </c>
      <c r="C891" s="442" t="s">
        <v>41</v>
      </c>
      <c r="D891" s="156" t="s">
        <v>316</v>
      </c>
      <c r="E891" s="160">
        <v>7.8</v>
      </c>
      <c r="F891" s="165">
        <v>1</v>
      </c>
      <c r="G891" s="166">
        <f t="shared" si="424"/>
        <v>0.58004640371229699</v>
      </c>
      <c r="H891" s="160"/>
      <c r="I891" s="366"/>
      <c r="J891" s="754">
        <v>51</v>
      </c>
      <c r="K891" s="231">
        <v>0</v>
      </c>
      <c r="L891" s="231">
        <v>45</v>
      </c>
      <c r="M891" s="160" t="s">
        <v>104</v>
      </c>
      <c r="N891" s="231">
        <v>215</v>
      </c>
      <c r="O891" s="231">
        <f t="shared" si="417"/>
        <v>266</v>
      </c>
      <c r="P891" s="326" t="s">
        <v>105</v>
      </c>
      <c r="Q891" s="326"/>
      <c r="R891" s="163">
        <v>3</v>
      </c>
      <c r="S891" s="163">
        <v>0.87</v>
      </c>
      <c r="T891" s="162" t="s">
        <v>37</v>
      </c>
      <c r="U891" s="163">
        <v>0.12</v>
      </c>
      <c r="V891" s="162" t="s">
        <v>5</v>
      </c>
      <c r="W891" s="162"/>
      <c r="X891" s="162"/>
      <c r="Y891" s="328">
        <v>0.88</v>
      </c>
      <c r="Z891" s="314" t="s">
        <v>37</v>
      </c>
      <c r="AA891" s="160">
        <v>0.11</v>
      </c>
      <c r="AB891" s="156" t="s">
        <v>5</v>
      </c>
      <c r="AC891" s="156"/>
      <c r="AD891" s="156"/>
      <c r="AF891" s="166">
        <f t="shared" si="418"/>
        <v>5.3706380281276624</v>
      </c>
      <c r="AG891" s="166">
        <f t="shared" si="419"/>
        <v>5.5834963087816991</v>
      </c>
      <c r="AH891" s="169"/>
      <c r="AI891" s="169"/>
      <c r="AK891" s="168">
        <f t="shared" si="420"/>
        <v>645</v>
      </c>
      <c r="AL891" s="337">
        <f t="shared" si="421"/>
        <v>696</v>
      </c>
      <c r="AM891" s="166">
        <f t="shared" si="422"/>
        <v>6.4692503167957724</v>
      </c>
      <c r="AN891" s="166">
        <f t="shared" si="423"/>
        <v>6.5453496603344199</v>
      </c>
      <c r="AO891" s="169"/>
      <c r="AP891" s="169"/>
      <c r="AR891" s="168"/>
      <c r="AS891" s="168"/>
      <c r="AT891" s="166"/>
      <c r="AU891" s="166"/>
      <c r="AV891" s="167"/>
      <c r="AW891" s="167"/>
      <c r="AX891" s="168"/>
      <c r="AY891" s="168"/>
      <c r="AZ891" s="168"/>
      <c r="BA891" s="168"/>
      <c r="BB891" s="166"/>
      <c r="BC891" s="166"/>
      <c r="BD891" s="169"/>
      <c r="BE891" s="169"/>
    </row>
    <row r="892" spans="1:61" s="245" customFormat="1" x14ac:dyDescent="0.2">
      <c r="A892" s="244" t="s">
        <v>89</v>
      </c>
      <c r="B892" s="244" t="s">
        <v>35</v>
      </c>
      <c r="C892" s="455" t="s">
        <v>77</v>
      </c>
      <c r="D892" s="244" t="s">
        <v>74</v>
      </c>
      <c r="E892" s="246">
        <v>8.3000000000000007</v>
      </c>
      <c r="F892" s="758">
        <f>G892*1.724</f>
        <v>0.48272000000000004</v>
      </c>
      <c r="G892" s="247">
        <v>0.28000000000000003</v>
      </c>
      <c r="H892" s="246">
        <v>24</v>
      </c>
      <c r="I892" s="759">
        <f>(30+4.4*E892)*H892/100+(-34.66+29.72*E892)*F892/100</f>
        <v>16.988243635200003</v>
      </c>
      <c r="J892" s="756">
        <v>51</v>
      </c>
      <c r="K892" s="248">
        <v>7</v>
      </c>
      <c r="L892" s="248" t="s">
        <v>354</v>
      </c>
      <c r="M892" s="246" t="s">
        <v>93</v>
      </c>
      <c r="N892" s="248">
        <v>200</v>
      </c>
      <c r="O892" s="248">
        <f t="shared" si="417"/>
        <v>251</v>
      </c>
      <c r="P892" s="459" t="s">
        <v>106</v>
      </c>
      <c r="Q892" s="459"/>
      <c r="R892" s="249">
        <v>3</v>
      </c>
      <c r="S892" s="249">
        <v>0.87</v>
      </c>
      <c r="T892" s="250" t="s">
        <v>37</v>
      </c>
      <c r="U892" s="249">
        <v>0.12</v>
      </c>
      <c r="V892" s="250" t="s">
        <v>5</v>
      </c>
      <c r="W892" s="250"/>
      <c r="X892" s="250"/>
      <c r="Y892" s="506">
        <v>0.88</v>
      </c>
      <c r="Z892" s="507" t="s">
        <v>37</v>
      </c>
      <c r="AA892" s="246">
        <v>0.11</v>
      </c>
      <c r="AB892" s="244" t="s">
        <v>5</v>
      </c>
      <c r="AC892" s="244"/>
      <c r="AD892" s="244"/>
      <c r="AF892" s="247">
        <f t="shared" si="418"/>
        <v>5.2983173665480363</v>
      </c>
      <c r="AG892" s="247">
        <f t="shared" si="419"/>
        <v>5.5254529391317835</v>
      </c>
      <c r="AH892" s="252"/>
      <c r="AI892" s="252"/>
      <c r="AK892" s="461">
        <f t="shared" si="420"/>
        <v>600</v>
      </c>
      <c r="AL892" s="511">
        <f t="shared" si="421"/>
        <v>651</v>
      </c>
      <c r="AM892" s="247">
        <f t="shared" si="422"/>
        <v>6.3969296552161463</v>
      </c>
      <c r="AN892" s="247">
        <f t="shared" si="423"/>
        <v>6.4785096422085688</v>
      </c>
      <c r="AO892" s="252"/>
      <c r="AP892" s="252"/>
      <c r="AR892" s="461">
        <f>AK892*((eCEC/I892)^S892)*(((10^-pH)/(10^-E892))^-U892)</f>
        <v>254.61086187231749</v>
      </c>
      <c r="AS892" s="461">
        <f>AL892*((eCEC/I892)^Y892)*(((10^-pH)/(10^-E892))^-AA892)</f>
        <v>286.75461003678561</v>
      </c>
      <c r="AT892" s="247">
        <f>LN(AR892)</f>
        <v>5.5397363477125712</v>
      </c>
      <c r="AU892" s="247">
        <f>LN(AS892)</f>
        <v>5.658626832730417</v>
      </c>
      <c r="AV892" s="253"/>
      <c r="AW892" s="253"/>
      <c r="AX892" s="461">
        <f>GEOMEAN(AR892)</f>
        <v>254.61086187231749</v>
      </c>
      <c r="AY892" s="461">
        <f>GEOMEAN(AS892)</f>
        <v>286.75461003678561</v>
      </c>
      <c r="AZ892" s="461">
        <f>MIN(AX892)</f>
        <v>254.61086187231749</v>
      </c>
      <c r="BA892" s="461">
        <f>MIN(AY892)</f>
        <v>286.75461003678561</v>
      </c>
      <c r="BB892" s="247">
        <f>LN(AZ892)</f>
        <v>5.5397363477125712</v>
      </c>
      <c r="BC892" s="247">
        <f>LN(BA892)</f>
        <v>5.658626832730417</v>
      </c>
      <c r="BD892" s="252"/>
      <c r="BE892" s="252"/>
    </row>
    <row r="893" spans="1:61" s="245" customFormat="1" x14ac:dyDescent="0.2">
      <c r="A893" s="244" t="s">
        <v>89</v>
      </c>
      <c r="B893" s="244" t="s">
        <v>35</v>
      </c>
      <c r="C893" s="455" t="s">
        <v>107</v>
      </c>
      <c r="D893" s="244" t="s">
        <v>74</v>
      </c>
      <c r="E893" s="246">
        <v>8.3000000000000007</v>
      </c>
      <c r="F893" s="758">
        <f>G893*1.724</f>
        <v>0.48272000000000004</v>
      </c>
      <c r="G893" s="247">
        <v>0.28000000000000003</v>
      </c>
      <c r="H893" s="246">
        <v>24</v>
      </c>
      <c r="I893" s="759">
        <f t="shared" si="425"/>
        <v>16.988243635200003</v>
      </c>
      <c r="J893" s="754">
        <v>51</v>
      </c>
      <c r="K893" s="248">
        <v>7</v>
      </c>
      <c r="L893" s="248">
        <v>56</v>
      </c>
      <c r="M893" s="246" t="s">
        <v>93</v>
      </c>
      <c r="N893" s="248">
        <v>200</v>
      </c>
      <c r="O893" s="248">
        <f t="shared" si="417"/>
        <v>251</v>
      </c>
      <c r="P893" s="459" t="s">
        <v>106</v>
      </c>
      <c r="Q893" s="459"/>
      <c r="R893" s="249">
        <v>3</v>
      </c>
      <c r="S893" s="249">
        <v>0.87</v>
      </c>
      <c r="T893" s="250" t="s">
        <v>37</v>
      </c>
      <c r="U893" s="249">
        <v>0.12</v>
      </c>
      <c r="V893" s="250" t="s">
        <v>5</v>
      </c>
      <c r="W893" s="250"/>
      <c r="X893" s="250"/>
      <c r="Y893" s="506">
        <v>0.88</v>
      </c>
      <c r="Z893" s="507" t="s">
        <v>37</v>
      </c>
      <c r="AA893" s="246">
        <v>0.11</v>
      </c>
      <c r="AB893" s="244" t="s">
        <v>5</v>
      </c>
      <c r="AC893" s="244"/>
      <c r="AD893" s="244"/>
      <c r="AF893" s="247">
        <f t="shared" si="418"/>
        <v>5.2983173665480363</v>
      </c>
      <c r="AG893" s="247">
        <f t="shared" si="419"/>
        <v>5.5254529391317835</v>
      </c>
      <c r="AH893" s="252"/>
      <c r="AI893" s="252"/>
      <c r="AK893" s="461">
        <f t="shared" si="420"/>
        <v>600</v>
      </c>
      <c r="AL893" s="511">
        <f t="shared" si="421"/>
        <v>651</v>
      </c>
      <c r="AM893" s="247">
        <f t="shared" si="422"/>
        <v>6.3969296552161463</v>
      </c>
      <c r="AN893" s="247">
        <f t="shared" si="423"/>
        <v>6.4785096422085688</v>
      </c>
      <c r="AO893" s="252"/>
      <c r="AP893" s="252"/>
      <c r="AR893" s="461">
        <f>AK893*((eCEC/I893)^S893)*(((10^-pH)/(10^-E893))^-U893)</f>
        <v>254.61086187231749</v>
      </c>
      <c r="AS893" s="461">
        <f>AL893*((eCEC/I893)^Y893)*(((10^-pH)/(10^-E893))^-AA893)</f>
        <v>286.75461003678561</v>
      </c>
      <c r="AT893" s="247">
        <f>LN(AR893)</f>
        <v>5.5397363477125712</v>
      </c>
      <c r="AU893" s="247">
        <f>LN(AS893)</f>
        <v>5.658626832730417</v>
      </c>
      <c r="AV893" s="253"/>
      <c r="AW893" s="253"/>
      <c r="AX893" s="461">
        <f>GEOMEAN(AR893)</f>
        <v>254.61086187231749</v>
      </c>
      <c r="AY893" s="461">
        <f>GEOMEAN(AS893)</f>
        <v>286.75461003678561</v>
      </c>
      <c r="AZ893" s="461">
        <f>MIN(AX893)</f>
        <v>254.61086187231749</v>
      </c>
      <c r="BA893" s="461">
        <f>MIN(AY893)</f>
        <v>286.75461003678561</v>
      </c>
      <c r="BB893" s="247">
        <f>LN(AZ893)</f>
        <v>5.5397363477125712</v>
      </c>
      <c r="BC893" s="247">
        <f>LN(BA893)</f>
        <v>5.658626832730417</v>
      </c>
      <c r="BD893" s="252"/>
      <c r="BE893" s="252"/>
    </row>
    <row r="894" spans="1:61" s="245" customFormat="1" x14ac:dyDescent="0.2">
      <c r="A894" s="244" t="s">
        <v>89</v>
      </c>
      <c r="B894" s="244" t="s">
        <v>35</v>
      </c>
      <c r="C894" s="455" t="s">
        <v>108</v>
      </c>
      <c r="D894" s="244" t="s">
        <v>316</v>
      </c>
      <c r="E894" s="246">
        <v>6.2</v>
      </c>
      <c r="G894" s="247"/>
      <c r="H894" s="246"/>
      <c r="I894" s="755"/>
      <c r="J894" s="754">
        <v>51</v>
      </c>
      <c r="K894" s="248">
        <v>0</v>
      </c>
      <c r="L894" s="248">
        <v>45</v>
      </c>
      <c r="M894" s="246" t="s">
        <v>93</v>
      </c>
      <c r="N894" s="248">
        <v>100</v>
      </c>
      <c r="O894" s="248">
        <f t="shared" si="417"/>
        <v>151</v>
      </c>
      <c r="P894" s="459" t="s">
        <v>109</v>
      </c>
      <c r="Q894" s="459"/>
      <c r="R894" s="249">
        <v>3</v>
      </c>
      <c r="S894" s="249">
        <v>0.87</v>
      </c>
      <c r="T894" s="250" t="s">
        <v>37</v>
      </c>
      <c r="U894" s="249">
        <v>0.12</v>
      </c>
      <c r="V894" s="250" t="s">
        <v>5</v>
      </c>
      <c r="W894" s="250"/>
      <c r="X894" s="250"/>
      <c r="Y894" s="506">
        <v>0.88</v>
      </c>
      <c r="Z894" s="507" t="s">
        <v>37</v>
      </c>
      <c r="AA894" s="246">
        <v>0.11</v>
      </c>
      <c r="AB894" s="244" t="s">
        <v>5</v>
      </c>
      <c r="AC894" s="244"/>
      <c r="AD894" s="244"/>
      <c r="AF894" s="247">
        <f t="shared" si="418"/>
        <v>4.6051701859880918</v>
      </c>
      <c r="AG894" s="247">
        <f t="shared" si="419"/>
        <v>5.0172798368149243</v>
      </c>
      <c r="AH894" s="252"/>
      <c r="AI894" s="252"/>
      <c r="AK894" s="461">
        <f t="shared" si="420"/>
        <v>300</v>
      </c>
      <c r="AL894" s="511">
        <f t="shared" si="421"/>
        <v>351</v>
      </c>
      <c r="AM894" s="247">
        <f t="shared" si="422"/>
        <v>5.7037824746562009</v>
      </c>
      <c r="AN894" s="247">
        <f t="shared" si="423"/>
        <v>5.8607862234658654</v>
      </c>
      <c r="AO894" s="252"/>
      <c r="AP894" s="252"/>
      <c r="AR894" s="461"/>
      <c r="AS894" s="461"/>
      <c r="AT894" s="247"/>
      <c r="AU894" s="247"/>
      <c r="AV894" s="253"/>
      <c r="AW894" s="253"/>
      <c r="AX894" s="461"/>
      <c r="AY894" s="461"/>
      <c r="AZ894" s="461"/>
      <c r="BA894" s="461"/>
      <c r="BB894" s="247"/>
      <c r="BC894" s="247"/>
      <c r="BD894" s="252"/>
      <c r="BE894" s="252"/>
    </row>
    <row r="895" spans="1:61" x14ac:dyDescent="0.2">
      <c r="A895" s="232" t="s">
        <v>89</v>
      </c>
      <c r="B895" s="232" t="s">
        <v>35</v>
      </c>
      <c r="C895" s="264" t="s">
        <v>110</v>
      </c>
      <c r="D895" s="232" t="s">
        <v>316</v>
      </c>
      <c r="E895" s="233">
        <v>6.2</v>
      </c>
      <c r="F895" s="136">
        <v>10</v>
      </c>
      <c r="G895" s="234">
        <f t="shared" ref="G895:G901" si="427">F895/1.724</f>
        <v>5.8004640371229703</v>
      </c>
      <c r="H895" s="233">
        <v>20</v>
      </c>
      <c r="I895" s="300">
        <f t="shared" ref="I895:I896" si="428">(30+4.4*E895)*(0/100)+(-34.66+29.72*E895)*(F895/100)</f>
        <v>14.960400000000002</v>
      </c>
      <c r="J895" s="753">
        <v>2</v>
      </c>
      <c r="K895" s="295"/>
      <c r="L895" s="295">
        <v>24</v>
      </c>
      <c r="M895" s="233" t="s">
        <v>93</v>
      </c>
      <c r="N895" s="235">
        <v>100</v>
      </c>
      <c r="O895" s="295">
        <f t="shared" si="417"/>
        <v>102</v>
      </c>
      <c r="P895" s="290" t="s">
        <v>111</v>
      </c>
      <c r="Q895" s="290"/>
      <c r="R895" s="236">
        <v>3</v>
      </c>
      <c r="S895" s="285">
        <v>0.87</v>
      </c>
      <c r="T895" s="388" t="s">
        <v>37</v>
      </c>
      <c r="U895" s="236">
        <v>0.12</v>
      </c>
      <c r="V895" s="237" t="s">
        <v>5</v>
      </c>
      <c r="Y895" s="292">
        <v>0.88</v>
      </c>
      <c r="Z895" s="301" t="s">
        <v>37</v>
      </c>
      <c r="AA895" s="233">
        <v>0.11</v>
      </c>
      <c r="AB895" s="232" t="s">
        <v>5</v>
      </c>
      <c r="AC895" s="232"/>
      <c r="AD895" s="232"/>
      <c r="AE895" s="136"/>
      <c r="AF895" s="239">
        <f t="shared" si="418"/>
        <v>4.6051701859880918</v>
      </c>
      <c r="AG895" s="239">
        <f t="shared" si="419"/>
        <v>4.6249728132842707</v>
      </c>
      <c r="AH895" s="240"/>
      <c r="AI895" s="240"/>
      <c r="AK895" s="265">
        <f t="shared" si="420"/>
        <v>300</v>
      </c>
      <c r="AL895" s="286">
        <f t="shared" si="421"/>
        <v>302</v>
      </c>
      <c r="AM895" s="239">
        <f t="shared" si="422"/>
        <v>5.7037824746562009</v>
      </c>
      <c r="AN895" s="239">
        <f t="shared" si="423"/>
        <v>5.7104270173748697</v>
      </c>
      <c r="AO895" s="240"/>
      <c r="AP895" s="240"/>
      <c r="AR895" s="265">
        <f t="shared" ref="AR895:AR917" si="429">AK895*((eCEC/I895)^S895)*(((10^-pH)/(10^-E895))^-U895)</f>
        <v>254.02445062549501</v>
      </c>
      <c r="AS895" s="265">
        <f t="shared" ref="AS895:AS917" si="430">AL895*((eCEC/I895)^Y895)*(((10^-pH)/(10^-E895))^-AA895)</f>
        <v>253.23107882696732</v>
      </c>
      <c r="AT895" s="239">
        <f t="shared" ref="AT895:AT926" si="431">LN(AR895)</f>
        <v>5.5374305246907163</v>
      </c>
      <c r="AU895" s="239">
        <f t="shared" ref="AU895:AU926" si="432">LN(AS895)</f>
        <v>5.5343024269199059</v>
      </c>
      <c r="AX895" s="385">
        <f>GEOMEAN(AR895:AR900)</f>
        <v>270.15043842746877</v>
      </c>
      <c r="AY895" s="385">
        <f>GEOMEAN(AS895:AS900)</f>
        <v>291.17232224513947</v>
      </c>
      <c r="AZ895" s="385">
        <f>MIN(AX895:AX900)</f>
        <v>270.15043842746877</v>
      </c>
      <c r="BA895" s="385">
        <f>MIN(AY895:AY900)</f>
        <v>291.17232224513947</v>
      </c>
      <c r="BB895" s="239">
        <f>LN(AZ895)</f>
        <v>5.5989789831925849</v>
      </c>
      <c r="BC895" s="239">
        <f>LN(BA895)</f>
        <v>5.6739152645701578</v>
      </c>
      <c r="BD895" s="240"/>
      <c r="BE895" s="240"/>
      <c r="BF895" s="136"/>
      <c r="BG895" s="136"/>
      <c r="BH895" s="136"/>
      <c r="BI895" s="136"/>
    </row>
    <row r="896" spans="1:61" x14ac:dyDescent="0.2">
      <c r="A896" s="232" t="s">
        <v>89</v>
      </c>
      <c r="B896" s="232" t="s">
        <v>35</v>
      </c>
      <c r="C896" s="264" t="s">
        <v>110</v>
      </c>
      <c r="D896" s="232" t="s">
        <v>316</v>
      </c>
      <c r="E896" s="233">
        <v>6</v>
      </c>
      <c r="F896" s="136">
        <v>10</v>
      </c>
      <c r="G896" s="234">
        <f t="shared" si="427"/>
        <v>5.8004640371229703</v>
      </c>
      <c r="H896" s="233">
        <v>20</v>
      </c>
      <c r="I896" s="300">
        <f t="shared" si="428"/>
        <v>14.366</v>
      </c>
      <c r="J896" s="753">
        <v>2</v>
      </c>
      <c r="K896" s="295"/>
      <c r="L896" s="295">
        <v>24</v>
      </c>
      <c r="M896" s="233" t="s">
        <v>104</v>
      </c>
      <c r="N896" s="235">
        <v>84</v>
      </c>
      <c r="O896" s="295">
        <f t="shared" si="417"/>
        <v>86</v>
      </c>
      <c r="P896" s="290" t="s">
        <v>111</v>
      </c>
      <c r="Q896" s="290"/>
      <c r="R896" s="236">
        <v>3</v>
      </c>
      <c r="S896" s="285">
        <v>0.87</v>
      </c>
      <c r="T896" s="388" t="s">
        <v>37</v>
      </c>
      <c r="U896" s="236">
        <v>0.12</v>
      </c>
      <c r="V896" s="237" t="s">
        <v>5</v>
      </c>
      <c r="Y896" s="292">
        <v>0.88</v>
      </c>
      <c r="Z896" s="301" t="s">
        <v>37</v>
      </c>
      <c r="AA896" s="233">
        <v>0.11</v>
      </c>
      <c r="AB896" s="232" t="s">
        <v>5</v>
      </c>
      <c r="AC896" s="232"/>
      <c r="AD896" s="232"/>
      <c r="AE896" s="136"/>
      <c r="AF896" s="239">
        <f t="shared" si="418"/>
        <v>4.4308167988433134</v>
      </c>
      <c r="AG896" s="239">
        <f t="shared" si="419"/>
        <v>4.4543472962535073</v>
      </c>
      <c r="AH896" s="240"/>
      <c r="AI896" s="240"/>
      <c r="AK896" s="265">
        <f t="shared" si="420"/>
        <v>252</v>
      </c>
      <c r="AL896" s="286">
        <f t="shared" si="421"/>
        <v>254</v>
      </c>
      <c r="AM896" s="239">
        <f t="shared" si="422"/>
        <v>5.5294290875114234</v>
      </c>
      <c r="AN896" s="239">
        <f t="shared" si="423"/>
        <v>5.5373342670185366</v>
      </c>
      <c r="AO896" s="240"/>
      <c r="AP896" s="240"/>
      <c r="AR896" s="265">
        <f t="shared" si="429"/>
        <v>233.60019213195909</v>
      </c>
      <c r="AS896" s="265">
        <f t="shared" si="430"/>
        <v>232.18718223329122</v>
      </c>
      <c r="AT896" s="239">
        <f t="shared" si="431"/>
        <v>5.4536110734364351</v>
      </c>
      <c r="AU896" s="239">
        <f t="shared" si="432"/>
        <v>5.447543866333123</v>
      </c>
      <c r="AX896" s="385"/>
      <c r="AY896" s="385"/>
      <c r="AZ896" s="385"/>
      <c r="BA896" s="265"/>
      <c r="BB896" s="239"/>
      <c r="BC896" s="239"/>
      <c r="BD896" s="240"/>
      <c r="BE896" s="240"/>
      <c r="BF896" s="136"/>
      <c r="BG896" s="136"/>
      <c r="BH896" s="136"/>
      <c r="BI896" s="136"/>
    </row>
    <row r="897" spans="1:61" x14ac:dyDescent="0.2">
      <c r="A897" s="232" t="s">
        <v>89</v>
      </c>
      <c r="B897" s="232" t="s">
        <v>35</v>
      </c>
      <c r="C897" s="264" t="s">
        <v>110</v>
      </c>
      <c r="D897" s="232" t="s">
        <v>316</v>
      </c>
      <c r="E897" s="233">
        <v>5</v>
      </c>
      <c r="F897" s="451">
        <v>5</v>
      </c>
      <c r="G897" s="234">
        <f t="shared" si="427"/>
        <v>2.9002320185614852</v>
      </c>
      <c r="H897" s="235">
        <v>13</v>
      </c>
      <c r="I897" s="760">
        <f>(30+4.4*E897)*H897/100+(-34.66+29.72*E897)*F897/100</f>
        <v>12.457000000000001</v>
      </c>
      <c r="J897" s="235">
        <v>8</v>
      </c>
      <c r="K897" s="295"/>
      <c r="L897" s="295">
        <v>25</v>
      </c>
      <c r="M897" s="235" t="s">
        <v>93</v>
      </c>
      <c r="N897" s="235">
        <v>32</v>
      </c>
      <c r="O897" s="295">
        <f t="shared" si="417"/>
        <v>40</v>
      </c>
      <c r="P897" s="290" t="s">
        <v>111</v>
      </c>
      <c r="Q897" s="290"/>
      <c r="R897" s="236">
        <v>3</v>
      </c>
      <c r="S897" s="285">
        <v>0.87</v>
      </c>
      <c r="T897" s="388" t="s">
        <v>37</v>
      </c>
      <c r="U897" s="236">
        <v>0.12</v>
      </c>
      <c r="V897" s="237" t="s">
        <v>5</v>
      </c>
      <c r="Y897" s="292">
        <v>0.88</v>
      </c>
      <c r="Z897" s="301" t="s">
        <v>37</v>
      </c>
      <c r="AA897" s="233">
        <v>0.11</v>
      </c>
      <c r="AB897" s="232" t="s">
        <v>5</v>
      </c>
      <c r="AC897" s="232"/>
      <c r="AD897" s="232"/>
      <c r="AE897" s="136"/>
      <c r="AF897" s="239">
        <f t="shared" si="418"/>
        <v>3.4657359027997265</v>
      </c>
      <c r="AG897" s="239">
        <f t="shared" si="419"/>
        <v>3.6888794541139363</v>
      </c>
      <c r="AH897" s="240"/>
      <c r="AI897" s="240"/>
      <c r="AK897" s="265">
        <f t="shared" si="420"/>
        <v>96</v>
      </c>
      <c r="AL897" s="286">
        <f t="shared" si="421"/>
        <v>104</v>
      </c>
      <c r="AM897" s="239">
        <f t="shared" si="422"/>
        <v>4.5643481914678361</v>
      </c>
      <c r="AN897" s="239">
        <f t="shared" si="423"/>
        <v>4.6443908991413725</v>
      </c>
      <c r="AO897" s="240"/>
      <c r="AP897" s="240"/>
      <c r="AR897" s="265">
        <f t="shared" si="429"/>
        <v>132.8055955915851</v>
      </c>
      <c r="AS897" s="265">
        <f t="shared" si="430"/>
        <v>138.84478543500546</v>
      </c>
      <c r="AT897" s="239">
        <f t="shared" si="431"/>
        <v>4.888886371633463</v>
      </c>
      <c r="AU897" s="239">
        <f t="shared" si="432"/>
        <v>4.9333566576641195</v>
      </c>
      <c r="AX897" s="385"/>
      <c r="AY897" s="385"/>
      <c r="AZ897" s="385"/>
      <c r="BA897" s="265"/>
      <c r="BB897" s="239"/>
      <c r="BC897" s="239"/>
      <c r="BD897" s="240"/>
      <c r="BE897" s="240"/>
      <c r="BF897" s="136"/>
      <c r="BG897" s="136"/>
      <c r="BH897" s="136"/>
      <c r="BI897" s="136"/>
    </row>
    <row r="898" spans="1:61" x14ac:dyDescent="0.2">
      <c r="A898" s="232" t="s">
        <v>89</v>
      </c>
      <c r="B898" s="232" t="s">
        <v>35</v>
      </c>
      <c r="C898" s="264" t="s">
        <v>110</v>
      </c>
      <c r="D898" s="232" t="s">
        <v>316</v>
      </c>
      <c r="E898" s="233">
        <v>5.3</v>
      </c>
      <c r="F898" s="136">
        <v>2</v>
      </c>
      <c r="G898" s="234">
        <f t="shared" si="427"/>
        <v>1.160092807424594</v>
      </c>
      <c r="H898" s="233">
        <v>2</v>
      </c>
      <c r="I898" s="760">
        <f>(30+4.4*E898)*H898/100+(-34.66+29.72*E898)*F898/100</f>
        <v>3.5235199999999995</v>
      </c>
      <c r="J898" s="235">
        <v>16</v>
      </c>
      <c r="K898" s="295"/>
      <c r="L898" s="295">
        <v>25</v>
      </c>
      <c r="M898" s="235" t="s">
        <v>93</v>
      </c>
      <c r="N898" s="235">
        <v>32</v>
      </c>
      <c r="O898" s="295">
        <f t="shared" si="417"/>
        <v>48</v>
      </c>
      <c r="P898" s="290" t="s">
        <v>111</v>
      </c>
      <c r="Q898" s="290"/>
      <c r="R898" s="236">
        <v>3</v>
      </c>
      <c r="S898" s="285">
        <v>0.87</v>
      </c>
      <c r="T898" s="388" t="s">
        <v>37</v>
      </c>
      <c r="U898" s="236">
        <v>0.12</v>
      </c>
      <c r="V898" s="237" t="s">
        <v>5</v>
      </c>
      <c r="Y898" s="292">
        <v>0.88</v>
      </c>
      <c r="Z898" s="301" t="s">
        <v>37</v>
      </c>
      <c r="AA898" s="233">
        <v>0.11</v>
      </c>
      <c r="AB898" s="232" t="s">
        <v>5</v>
      </c>
      <c r="AC898" s="232"/>
      <c r="AD898" s="232"/>
      <c r="AE898" s="136"/>
      <c r="AF898" s="239">
        <f t="shared" si="418"/>
        <v>3.4657359027997265</v>
      </c>
      <c r="AG898" s="239">
        <f t="shared" si="419"/>
        <v>3.8712010109078911</v>
      </c>
      <c r="AH898" s="240"/>
      <c r="AI898" s="240"/>
      <c r="AK898" s="265">
        <f t="shared" si="420"/>
        <v>96</v>
      </c>
      <c r="AL898" s="286">
        <f t="shared" si="421"/>
        <v>112</v>
      </c>
      <c r="AM898" s="239">
        <f t="shared" si="422"/>
        <v>4.5643481914678361</v>
      </c>
      <c r="AN898" s="239">
        <f t="shared" si="423"/>
        <v>4.7184988712950942</v>
      </c>
      <c r="AO898" s="240"/>
      <c r="AP898" s="240"/>
      <c r="AR898" s="265">
        <f t="shared" si="429"/>
        <v>366.73834711043679</v>
      </c>
      <c r="AS898" s="265">
        <f t="shared" si="430"/>
        <v>421.05475256916009</v>
      </c>
      <c r="AT898" s="239">
        <f t="shared" si="431"/>
        <v>5.9046486431316305</v>
      </c>
      <c r="AU898" s="239">
        <f t="shared" si="432"/>
        <v>6.0427628788346004</v>
      </c>
      <c r="AX898" s="385"/>
      <c r="AY898" s="385"/>
      <c r="AZ898" s="385"/>
      <c r="BA898" s="265"/>
      <c r="BB898" s="239"/>
      <c r="BC898" s="239"/>
      <c r="BD898" s="240"/>
      <c r="BE898" s="240"/>
      <c r="BF898" s="136"/>
      <c r="BG898" s="136"/>
      <c r="BH898" s="136"/>
      <c r="BI898" s="136"/>
    </row>
    <row r="899" spans="1:61" x14ac:dyDescent="0.2">
      <c r="A899" s="232" t="s">
        <v>89</v>
      </c>
      <c r="B899" s="232" t="s">
        <v>35</v>
      </c>
      <c r="C899" s="264" t="s">
        <v>110</v>
      </c>
      <c r="D899" s="232" t="s">
        <v>316</v>
      </c>
      <c r="E899" s="233">
        <v>5.3</v>
      </c>
      <c r="F899" s="136">
        <v>2</v>
      </c>
      <c r="G899" s="234">
        <f t="shared" si="427"/>
        <v>1.160092807424594</v>
      </c>
      <c r="H899" s="233">
        <v>2</v>
      </c>
      <c r="I899" s="760">
        <f>(30+4.4*E899)*H899/100+(-34.66+29.72*E899)*F899/100</f>
        <v>3.5235199999999995</v>
      </c>
      <c r="J899" s="235">
        <v>16</v>
      </c>
      <c r="K899" s="295"/>
      <c r="L899" s="295">
        <v>25</v>
      </c>
      <c r="M899" s="235" t="s">
        <v>93</v>
      </c>
      <c r="N899" s="235">
        <v>32</v>
      </c>
      <c r="O899" s="295">
        <f t="shared" si="417"/>
        <v>48</v>
      </c>
      <c r="P899" s="290" t="s">
        <v>111</v>
      </c>
      <c r="Q899" s="290"/>
      <c r="R899" s="236">
        <v>3</v>
      </c>
      <c r="S899" s="285">
        <v>0.87</v>
      </c>
      <c r="T899" s="388" t="s">
        <v>37</v>
      </c>
      <c r="U899" s="236">
        <v>0.12</v>
      </c>
      <c r="V899" s="237" t="s">
        <v>5</v>
      </c>
      <c r="Y899" s="292">
        <v>0.88</v>
      </c>
      <c r="Z899" s="301" t="s">
        <v>37</v>
      </c>
      <c r="AA899" s="233">
        <v>0.11</v>
      </c>
      <c r="AB899" s="232" t="s">
        <v>5</v>
      </c>
      <c r="AC899" s="232"/>
      <c r="AD899" s="232"/>
      <c r="AE899" s="136"/>
      <c r="AF899" s="239">
        <f t="shared" si="418"/>
        <v>3.4657359027997265</v>
      </c>
      <c r="AG899" s="239">
        <f t="shared" si="419"/>
        <v>3.8712010109078911</v>
      </c>
      <c r="AH899" s="240"/>
      <c r="AI899" s="240"/>
      <c r="AK899" s="265">
        <f t="shared" si="420"/>
        <v>96</v>
      </c>
      <c r="AL899" s="286">
        <f t="shared" si="421"/>
        <v>112</v>
      </c>
      <c r="AM899" s="239">
        <f t="shared" si="422"/>
        <v>4.5643481914678361</v>
      </c>
      <c r="AN899" s="239">
        <f t="shared" si="423"/>
        <v>4.7184988712950942</v>
      </c>
      <c r="AO899" s="240"/>
      <c r="AP899" s="240"/>
      <c r="AR899" s="265">
        <f t="shared" si="429"/>
        <v>366.73834711043679</v>
      </c>
      <c r="AS899" s="265">
        <f t="shared" si="430"/>
        <v>421.05475256916009</v>
      </c>
      <c r="AT899" s="239">
        <f t="shared" si="431"/>
        <v>5.9046486431316305</v>
      </c>
      <c r="AU899" s="239">
        <f t="shared" si="432"/>
        <v>6.0427628788346004</v>
      </c>
      <c r="AX899" s="385"/>
      <c r="AY899" s="385"/>
      <c r="AZ899" s="385"/>
      <c r="BA899" s="265"/>
      <c r="BB899" s="239"/>
      <c r="BC899" s="239"/>
      <c r="BD899" s="240"/>
      <c r="BE899" s="240"/>
      <c r="BF899" s="136"/>
      <c r="BG899" s="136"/>
      <c r="BH899" s="136"/>
      <c r="BI899" s="136"/>
    </row>
    <row r="900" spans="1:61" s="165" customFormat="1" x14ac:dyDescent="0.2">
      <c r="A900" s="156" t="s">
        <v>89</v>
      </c>
      <c r="B900" s="156" t="s">
        <v>35</v>
      </c>
      <c r="C900" s="442" t="s">
        <v>110</v>
      </c>
      <c r="D900" s="156" t="s">
        <v>316</v>
      </c>
      <c r="E900" s="160">
        <v>5.3</v>
      </c>
      <c r="F900" s="165">
        <v>2</v>
      </c>
      <c r="G900" s="166">
        <f t="shared" si="427"/>
        <v>1.160092807424594</v>
      </c>
      <c r="H900" s="160">
        <v>2</v>
      </c>
      <c r="I900" s="761">
        <f>(30+4.4*E900)*H900/100+(-34.66+29.72*E900)*F900/100</f>
        <v>3.5235199999999995</v>
      </c>
      <c r="J900" s="231">
        <v>16</v>
      </c>
      <c r="K900" s="231"/>
      <c r="L900" s="231">
        <v>25</v>
      </c>
      <c r="M900" s="231" t="s">
        <v>93</v>
      </c>
      <c r="N900" s="231">
        <v>32</v>
      </c>
      <c r="O900" s="231">
        <f t="shared" si="417"/>
        <v>48</v>
      </c>
      <c r="P900" s="326" t="s">
        <v>111</v>
      </c>
      <c r="Q900" s="326"/>
      <c r="R900" s="163">
        <v>3</v>
      </c>
      <c r="S900" s="163">
        <v>0.87</v>
      </c>
      <c r="T900" s="162" t="s">
        <v>37</v>
      </c>
      <c r="U900" s="163">
        <v>0.12</v>
      </c>
      <c r="V900" s="162" t="s">
        <v>5</v>
      </c>
      <c r="W900" s="162"/>
      <c r="X900" s="162"/>
      <c r="Y900" s="328">
        <v>0.88</v>
      </c>
      <c r="Z900" s="314" t="s">
        <v>37</v>
      </c>
      <c r="AA900" s="160">
        <v>0.11</v>
      </c>
      <c r="AB900" s="156" t="s">
        <v>5</v>
      </c>
      <c r="AC900" s="156"/>
      <c r="AD900" s="156"/>
      <c r="AF900" s="166">
        <f t="shared" si="418"/>
        <v>3.4657359027997265</v>
      </c>
      <c r="AG900" s="166">
        <f t="shared" si="419"/>
        <v>3.8712010109078911</v>
      </c>
      <c r="AH900" s="169"/>
      <c r="AI900" s="169"/>
      <c r="AK900" s="168">
        <f t="shared" si="420"/>
        <v>96</v>
      </c>
      <c r="AL900" s="337">
        <f t="shared" si="421"/>
        <v>112</v>
      </c>
      <c r="AM900" s="166">
        <f t="shared" si="422"/>
        <v>4.5643481914678361</v>
      </c>
      <c r="AN900" s="166">
        <f t="shared" si="423"/>
        <v>4.7184988712950942</v>
      </c>
      <c r="AO900" s="169"/>
      <c r="AP900" s="169"/>
      <c r="AR900" s="168">
        <f t="shared" si="429"/>
        <v>366.73834711043679</v>
      </c>
      <c r="AS900" s="168">
        <f t="shared" si="430"/>
        <v>421.05475256916009</v>
      </c>
      <c r="AT900" s="166">
        <f t="shared" si="431"/>
        <v>5.9046486431316305</v>
      </c>
      <c r="AU900" s="166">
        <f t="shared" si="432"/>
        <v>6.0427628788346004</v>
      </c>
      <c r="AV900" s="167"/>
      <c r="AW900" s="167"/>
      <c r="AX900" s="168"/>
      <c r="AY900" s="168"/>
      <c r="AZ900" s="168"/>
      <c r="BA900" s="168"/>
      <c r="BB900" s="166"/>
      <c r="BC900" s="166"/>
      <c r="BD900" s="169"/>
      <c r="BE900" s="169"/>
    </row>
    <row r="901" spans="1:61" s="245" customFormat="1" x14ac:dyDescent="0.2">
      <c r="A901" s="244" t="s">
        <v>89</v>
      </c>
      <c r="B901" s="244" t="s">
        <v>35</v>
      </c>
      <c r="C901" s="455" t="s">
        <v>112</v>
      </c>
      <c r="D901" s="244" t="s">
        <v>316</v>
      </c>
      <c r="E901" s="246">
        <v>5</v>
      </c>
      <c r="F901" s="460">
        <v>5</v>
      </c>
      <c r="G901" s="247">
        <f t="shared" si="427"/>
        <v>2.9002320185614852</v>
      </c>
      <c r="H901" s="248">
        <v>13</v>
      </c>
      <c r="I901" s="762">
        <f>(30+4.4*E901)*H901/100+(-34.66+29.72*E901)*F901/100</f>
        <v>12.457000000000001</v>
      </c>
      <c r="J901" s="248">
        <v>8</v>
      </c>
      <c r="K901" s="248"/>
      <c r="L901" s="248">
        <v>24</v>
      </c>
      <c r="M901" s="248" t="s">
        <v>93</v>
      </c>
      <c r="N901" s="248">
        <v>32</v>
      </c>
      <c r="O901" s="248">
        <f t="shared" si="417"/>
        <v>40</v>
      </c>
      <c r="P901" s="459" t="s">
        <v>111</v>
      </c>
      <c r="Q901" s="459"/>
      <c r="R901" s="249">
        <v>3</v>
      </c>
      <c r="S901" s="249">
        <v>0.87</v>
      </c>
      <c r="T901" s="250" t="s">
        <v>37</v>
      </c>
      <c r="U901" s="249">
        <v>0.12</v>
      </c>
      <c r="V901" s="250" t="s">
        <v>5</v>
      </c>
      <c r="W901" s="250"/>
      <c r="X901" s="250"/>
      <c r="Y901" s="506">
        <v>0.88</v>
      </c>
      <c r="Z901" s="507" t="s">
        <v>37</v>
      </c>
      <c r="AA901" s="246">
        <v>0.11</v>
      </c>
      <c r="AB901" s="244" t="s">
        <v>5</v>
      </c>
      <c r="AC901" s="244"/>
      <c r="AD901" s="244"/>
      <c r="AF901" s="247">
        <f t="shared" si="418"/>
        <v>3.4657359027997265</v>
      </c>
      <c r="AG901" s="247">
        <f t="shared" si="419"/>
        <v>3.6888794541139363</v>
      </c>
      <c r="AH901" s="252"/>
      <c r="AI901" s="252"/>
      <c r="AK901" s="461">
        <f t="shared" si="420"/>
        <v>96</v>
      </c>
      <c r="AL901" s="511">
        <f t="shared" si="421"/>
        <v>104</v>
      </c>
      <c r="AM901" s="247">
        <f t="shared" si="422"/>
        <v>4.5643481914678361</v>
      </c>
      <c r="AN901" s="247">
        <f t="shared" si="423"/>
        <v>4.6443908991413725</v>
      </c>
      <c r="AO901" s="252"/>
      <c r="AP901" s="252"/>
      <c r="AR901" s="461">
        <f t="shared" si="429"/>
        <v>132.8055955915851</v>
      </c>
      <c r="AS901" s="461">
        <f t="shared" si="430"/>
        <v>138.84478543500546</v>
      </c>
      <c r="AT901" s="247">
        <f t="shared" si="431"/>
        <v>4.888886371633463</v>
      </c>
      <c r="AU901" s="247">
        <f t="shared" si="432"/>
        <v>4.9333566576641195</v>
      </c>
      <c r="AV901" s="253"/>
      <c r="AW901" s="253"/>
      <c r="AX901" s="461">
        <f>GEOMEAN(AR901)</f>
        <v>132.8055955915851</v>
      </c>
      <c r="AY901" s="461">
        <f>GEOMEAN(AS901)</f>
        <v>138.84478543500546</v>
      </c>
      <c r="AZ901" s="461">
        <f>MIN(AX901)</f>
        <v>132.8055955915851</v>
      </c>
      <c r="BA901" s="461">
        <f>MIN(AY901)</f>
        <v>138.84478543500546</v>
      </c>
      <c r="BB901" s="247">
        <f>LN(AZ901)</f>
        <v>4.888886371633463</v>
      </c>
      <c r="BC901" s="247">
        <f>LN(BA901)</f>
        <v>4.9333566576641195</v>
      </c>
      <c r="BD901" s="252"/>
      <c r="BE901" s="252"/>
    </row>
    <row r="902" spans="1:61" x14ac:dyDescent="0.2">
      <c r="A902" s="290" t="s">
        <v>89</v>
      </c>
      <c r="B902" s="290" t="s">
        <v>35</v>
      </c>
      <c r="C902" s="447" t="s">
        <v>113</v>
      </c>
      <c r="D902" s="290" t="s">
        <v>114</v>
      </c>
      <c r="E902" s="405">
        <v>7.9</v>
      </c>
      <c r="F902" s="287">
        <v>2.7</v>
      </c>
      <c r="G902" s="239">
        <f>F902/1.724</f>
        <v>1.5661252900232019</v>
      </c>
      <c r="H902" s="295">
        <v>43</v>
      </c>
      <c r="I902" s="294">
        <v>18</v>
      </c>
      <c r="J902" s="753">
        <v>51</v>
      </c>
      <c r="K902" s="295">
        <v>0</v>
      </c>
      <c r="L902" s="295" t="s">
        <v>115</v>
      </c>
      <c r="M902" s="405" t="s">
        <v>93</v>
      </c>
      <c r="N902" s="295">
        <v>300</v>
      </c>
      <c r="O902" s="295">
        <f t="shared" si="417"/>
        <v>351</v>
      </c>
      <c r="P902" s="290" t="s">
        <v>116</v>
      </c>
      <c r="Q902" s="290"/>
      <c r="R902" s="285">
        <v>3</v>
      </c>
      <c r="S902" s="285">
        <v>0.87</v>
      </c>
      <c r="T902" s="388" t="s">
        <v>37</v>
      </c>
      <c r="U902" s="285">
        <v>0.12</v>
      </c>
      <c r="V902" s="388" t="s">
        <v>5</v>
      </c>
      <c r="W902" s="388"/>
      <c r="X902" s="388"/>
      <c r="Y902" s="292">
        <v>0.88</v>
      </c>
      <c r="Z902" s="301" t="s">
        <v>37</v>
      </c>
      <c r="AA902" s="405">
        <v>0.11</v>
      </c>
      <c r="AB902" s="275" t="s">
        <v>5</v>
      </c>
      <c r="AC902" s="275"/>
      <c r="AD902" s="275"/>
      <c r="AE902" s="238"/>
      <c r="AF902" s="239">
        <f t="shared" si="418"/>
        <v>5.7037824746562009</v>
      </c>
      <c r="AG902" s="239">
        <f t="shared" si="419"/>
        <v>5.8607862234658654</v>
      </c>
      <c r="AH902" s="240"/>
      <c r="AI902" s="240"/>
      <c r="AK902" s="265">
        <f t="shared" si="420"/>
        <v>900</v>
      </c>
      <c r="AL902" s="286">
        <f t="shared" si="421"/>
        <v>951</v>
      </c>
      <c r="AM902" s="239">
        <f t="shared" si="422"/>
        <v>6.8023947633243109</v>
      </c>
      <c r="AN902" s="239">
        <f t="shared" si="423"/>
        <v>6.8575140625453903</v>
      </c>
      <c r="AO902" s="240"/>
      <c r="AP902" s="240"/>
      <c r="AR902" s="265">
        <f t="shared" si="429"/>
        <v>405.61152349405501</v>
      </c>
      <c r="AS902" s="265">
        <f t="shared" si="430"/>
        <v>440.55567052169869</v>
      </c>
      <c r="AT902" s="239">
        <f t="shared" si="431"/>
        <v>6.0053958628547868</v>
      </c>
      <c r="AU902" s="239">
        <f t="shared" si="432"/>
        <v>6.0880368176898925</v>
      </c>
      <c r="AX902" s="385">
        <f>GEOMEAN(AR902:AR903)</f>
        <v>311.35635067986516</v>
      </c>
      <c r="AY902" s="385">
        <f>GEOMEAN(AS902:AS903)</f>
        <v>334.51400241442894</v>
      </c>
      <c r="AZ902" s="385">
        <f>MIN(AX902:AX903)</f>
        <v>311.35635067986516</v>
      </c>
      <c r="BA902" s="385">
        <f>MIN(AY902:AY903)</f>
        <v>334.51400241442894</v>
      </c>
      <c r="BB902" s="239">
        <f>LN(AZ902)</f>
        <v>5.7409380783478419</v>
      </c>
      <c r="BC902" s="239">
        <f>LN(BA902)</f>
        <v>5.8126787394228767</v>
      </c>
      <c r="BD902" s="240"/>
      <c r="BE902" s="240"/>
      <c r="BF902" s="136"/>
      <c r="BG902" s="136"/>
      <c r="BH902" s="136"/>
      <c r="BI902" s="136"/>
    </row>
    <row r="903" spans="1:61" s="165" customFormat="1" x14ac:dyDescent="0.2">
      <c r="A903" s="326" t="s">
        <v>89</v>
      </c>
      <c r="B903" s="326" t="s">
        <v>35</v>
      </c>
      <c r="C903" s="442" t="s">
        <v>113</v>
      </c>
      <c r="D903" s="326" t="s">
        <v>114</v>
      </c>
      <c r="E903" s="160">
        <v>7.3</v>
      </c>
      <c r="F903" s="336">
        <v>8.9</v>
      </c>
      <c r="G903" s="166">
        <f>F903/1.724</f>
        <v>5.1624129930394433</v>
      </c>
      <c r="H903" s="231">
        <v>46</v>
      </c>
      <c r="I903" s="329">
        <v>40</v>
      </c>
      <c r="J903" s="754">
        <v>51</v>
      </c>
      <c r="K903" s="231">
        <v>0</v>
      </c>
      <c r="L903" s="231" t="s">
        <v>115</v>
      </c>
      <c r="M903" s="160" t="s">
        <v>93</v>
      </c>
      <c r="N903" s="231">
        <v>300</v>
      </c>
      <c r="O903" s="231">
        <f t="shared" si="417"/>
        <v>351</v>
      </c>
      <c r="P903" s="326" t="s">
        <v>116</v>
      </c>
      <c r="Q903" s="326"/>
      <c r="R903" s="163">
        <v>3</v>
      </c>
      <c r="S903" s="163">
        <v>0.87</v>
      </c>
      <c r="T903" s="162" t="s">
        <v>37</v>
      </c>
      <c r="U903" s="163">
        <v>0.12</v>
      </c>
      <c r="V903" s="162" t="s">
        <v>5</v>
      </c>
      <c r="W903" s="162"/>
      <c r="X903" s="162"/>
      <c r="Y903" s="328">
        <v>0.88</v>
      </c>
      <c r="Z903" s="314" t="s">
        <v>37</v>
      </c>
      <c r="AA903" s="160">
        <v>0.11</v>
      </c>
      <c r="AB903" s="156" t="s">
        <v>5</v>
      </c>
      <c r="AC903" s="156"/>
      <c r="AD903" s="156"/>
      <c r="AF903" s="166">
        <f t="shared" si="418"/>
        <v>5.7037824746562009</v>
      </c>
      <c r="AG903" s="166">
        <f t="shared" si="419"/>
        <v>5.8607862234658654</v>
      </c>
      <c r="AH903" s="169"/>
      <c r="AI903" s="169"/>
      <c r="AK903" s="168">
        <f t="shared" si="420"/>
        <v>900</v>
      </c>
      <c r="AL903" s="337">
        <f t="shared" si="421"/>
        <v>951</v>
      </c>
      <c r="AM903" s="166">
        <f t="shared" si="422"/>
        <v>6.8023947633243109</v>
      </c>
      <c r="AN903" s="166">
        <f t="shared" si="423"/>
        <v>6.8575140625453903</v>
      </c>
      <c r="AO903" s="169"/>
      <c r="AP903" s="169"/>
      <c r="AR903" s="168">
        <f t="shared" si="429"/>
        <v>239.00400134983849</v>
      </c>
      <c r="AS903" s="168">
        <f t="shared" si="430"/>
        <v>253.99654413439038</v>
      </c>
      <c r="AT903" s="166">
        <f t="shared" si="431"/>
        <v>5.4764802938408979</v>
      </c>
      <c r="AU903" s="166">
        <f t="shared" si="432"/>
        <v>5.537320661155861</v>
      </c>
      <c r="AV903" s="167"/>
      <c r="AW903" s="167"/>
      <c r="AX903" s="168"/>
      <c r="AY903" s="168"/>
      <c r="AZ903" s="168"/>
      <c r="BA903" s="168"/>
      <c r="BB903" s="166"/>
      <c r="BC903" s="166"/>
      <c r="BD903" s="169"/>
      <c r="BE903" s="169"/>
    </row>
    <row r="904" spans="1:61" x14ac:dyDescent="0.2">
      <c r="A904" s="290" t="s">
        <v>89</v>
      </c>
      <c r="B904" s="290" t="s">
        <v>35</v>
      </c>
      <c r="C904" s="447" t="s">
        <v>117</v>
      </c>
      <c r="D904" s="290" t="s">
        <v>312</v>
      </c>
      <c r="E904" s="405">
        <v>7.6</v>
      </c>
      <c r="F904" s="287">
        <f>G904*1.724</f>
        <v>1.8964000000000001</v>
      </c>
      <c r="G904" s="239">
        <v>1.1000000000000001</v>
      </c>
      <c r="H904" s="295">
        <v>12.4</v>
      </c>
      <c r="I904" s="295">
        <v>10</v>
      </c>
      <c r="J904" s="295">
        <v>19</v>
      </c>
      <c r="K904" s="295">
        <v>7</v>
      </c>
      <c r="L904" s="295">
        <v>21</v>
      </c>
      <c r="M904" s="295" t="s">
        <v>104</v>
      </c>
      <c r="N904" s="295">
        <v>755</v>
      </c>
      <c r="O904" s="295">
        <f t="shared" si="417"/>
        <v>774</v>
      </c>
      <c r="P904" s="290" t="s">
        <v>118</v>
      </c>
      <c r="Q904" s="290"/>
      <c r="R904" s="285">
        <v>3</v>
      </c>
      <c r="S904" s="285">
        <v>0.87</v>
      </c>
      <c r="T904" s="388" t="s">
        <v>37</v>
      </c>
      <c r="U904" s="285">
        <v>0.12</v>
      </c>
      <c r="V904" s="388" t="s">
        <v>5</v>
      </c>
      <c r="W904" s="388"/>
      <c r="X904" s="388"/>
      <c r="Y904" s="292">
        <v>0.88</v>
      </c>
      <c r="Z904" s="301" t="s">
        <v>37</v>
      </c>
      <c r="AA904" s="405">
        <v>0.11</v>
      </c>
      <c r="AB904" s="275" t="s">
        <v>5</v>
      </c>
      <c r="AC904" s="275"/>
      <c r="AD904" s="275"/>
      <c r="AE904" s="238"/>
      <c r="AF904" s="239">
        <f t="shared" si="418"/>
        <v>6.6267177492490248</v>
      </c>
      <c r="AG904" s="239">
        <f t="shared" si="419"/>
        <v>6.6515718735897273</v>
      </c>
      <c r="AH904" s="240"/>
      <c r="AI904" s="240"/>
      <c r="AK904" s="265">
        <f t="shared" si="420"/>
        <v>2265</v>
      </c>
      <c r="AL904" s="286">
        <f t="shared" si="421"/>
        <v>2284</v>
      </c>
      <c r="AM904" s="239">
        <f t="shared" si="422"/>
        <v>7.7253300379171348</v>
      </c>
      <c r="AN904" s="239">
        <f t="shared" si="423"/>
        <v>7.7336835707759004</v>
      </c>
      <c r="AO904" s="240"/>
      <c r="AP904" s="240"/>
      <c r="AR904" s="265">
        <f t="shared" si="429"/>
        <v>1849.366818578698</v>
      </c>
      <c r="AS904" s="265">
        <f t="shared" si="430"/>
        <v>1914.9444609955315</v>
      </c>
      <c r="AT904" s="239">
        <f t="shared" si="431"/>
        <v>7.52259859926024</v>
      </c>
      <c r="AU904" s="239">
        <f t="shared" si="432"/>
        <v>7.5574438991030712</v>
      </c>
      <c r="AX904" s="385">
        <f>GEOMEAN(AR904:AR917)</f>
        <v>2462.2916764526617</v>
      </c>
      <c r="AY904" s="385">
        <f>GEOMEAN(AS904:AS917)</f>
        <v>2451.305912887196</v>
      </c>
      <c r="AZ904" s="385">
        <f>MIN(AX904:AX917)</f>
        <v>2462.2916764526617</v>
      </c>
      <c r="BA904" s="385">
        <f>MIN(AY904:AY917)</f>
        <v>2451.305912887196</v>
      </c>
      <c r="BB904" s="239">
        <f>LN(AZ904)</f>
        <v>7.80884777107274</v>
      </c>
      <c r="BC904" s="239">
        <f>LN(BA904)</f>
        <v>7.8043761871992947</v>
      </c>
      <c r="BD904" s="240"/>
      <c r="BE904" s="240"/>
      <c r="BF904" s="136"/>
      <c r="BG904" s="136"/>
      <c r="BH904" s="136"/>
      <c r="BI904" s="136"/>
    </row>
    <row r="905" spans="1:61" x14ac:dyDescent="0.2">
      <c r="A905" s="290" t="s">
        <v>89</v>
      </c>
      <c r="B905" s="290" t="s">
        <v>35</v>
      </c>
      <c r="C905" s="447" t="s">
        <v>117</v>
      </c>
      <c r="D905" s="290" t="s">
        <v>312</v>
      </c>
      <c r="E905" s="405">
        <v>5.6</v>
      </c>
      <c r="F905" s="287">
        <f t="shared" ref="F905:F917" si="433">G905*1.724</f>
        <v>1.5516000000000001</v>
      </c>
      <c r="G905" s="239">
        <v>0.9</v>
      </c>
      <c r="H905" s="295">
        <v>3.9</v>
      </c>
      <c r="I905" s="295">
        <v>3.2</v>
      </c>
      <c r="J905" s="295">
        <v>5</v>
      </c>
      <c r="K905" s="295">
        <v>7</v>
      </c>
      <c r="L905" s="295">
        <v>21</v>
      </c>
      <c r="M905" s="295" t="s">
        <v>104</v>
      </c>
      <c r="N905" s="295">
        <v>275</v>
      </c>
      <c r="O905" s="295">
        <f t="shared" ref="O905:O936" si="434">N905+J905</f>
        <v>280</v>
      </c>
      <c r="P905" s="290" t="s">
        <v>118</v>
      </c>
      <c r="Q905" s="290"/>
      <c r="R905" s="285">
        <v>3</v>
      </c>
      <c r="S905" s="285">
        <v>0.87</v>
      </c>
      <c r="T905" s="388" t="s">
        <v>37</v>
      </c>
      <c r="U905" s="285">
        <v>0.12</v>
      </c>
      <c r="V905" s="388" t="s">
        <v>5</v>
      </c>
      <c r="W905" s="388"/>
      <c r="X905" s="388"/>
      <c r="Y905" s="292">
        <v>0.88</v>
      </c>
      <c r="Z905" s="301" t="s">
        <v>37</v>
      </c>
      <c r="AA905" s="405">
        <v>0.11</v>
      </c>
      <c r="AB905" s="275" t="s">
        <v>5</v>
      </c>
      <c r="AC905" s="275"/>
      <c r="AD905" s="275"/>
      <c r="AE905" s="238"/>
      <c r="AF905" s="239">
        <f t="shared" si="418"/>
        <v>5.6167710976665717</v>
      </c>
      <c r="AG905" s="239">
        <f t="shared" si="419"/>
        <v>5.6347896031692493</v>
      </c>
      <c r="AH905" s="240"/>
      <c r="AI905" s="240"/>
      <c r="AK905" s="265">
        <f t="shared" si="420"/>
        <v>825</v>
      </c>
      <c r="AL905" s="286">
        <f t="shared" si="421"/>
        <v>830</v>
      </c>
      <c r="AM905" s="239">
        <f t="shared" si="422"/>
        <v>6.7153833863346808</v>
      </c>
      <c r="AN905" s="239">
        <f t="shared" si="423"/>
        <v>6.7214257007906433</v>
      </c>
      <c r="AO905" s="240"/>
      <c r="AP905" s="240"/>
      <c r="AR905" s="265">
        <f t="shared" si="429"/>
        <v>3154.4839517093592</v>
      </c>
      <c r="AS905" s="265">
        <f t="shared" si="430"/>
        <v>3147.7932122952652</v>
      </c>
      <c r="AT905" s="239">
        <f t="shared" si="431"/>
        <v>8.0565801963702359</v>
      </c>
      <c r="AU905" s="239">
        <f t="shared" si="432"/>
        <v>8.0544569187822663</v>
      </c>
      <c r="AX905" s="265"/>
      <c r="AY905" s="265"/>
      <c r="AZ905" s="239"/>
      <c r="BA905" s="239"/>
      <c r="BB905" s="239"/>
      <c r="BC905" s="239"/>
      <c r="BD905" s="240"/>
      <c r="BE905" s="240"/>
      <c r="BF905" s="136"/>
      <c r="BG905" s="136"/>
      <c r="BH905" s="136"/>
      <c r="BI905" s="136"/>
    </row>
    <row r="906" spans="1:61" x14ac:dyDescent="0.2">
      <c r="A906" s="290" t="s">
        <v>89</v>
      </c>
      <c r="B906" s="290" t="s">
        <v>35</v>
      </c>
      <c r="C906" s="447" t="s">
        <v>117</v>
      </c>
      <c r="D906" s="290" t="s">
        <v>312</v>
      </c>
      <c r="E906" s="405">
        <v>4.5</v>
      </c>
      <c r="F906" s="287">
        <f t="shared" si="433"/>
        <v>2.4135999999999997</v>
      </c>
      <c r="G906" s="239">
        <v>1.4</v>
      </c>
      <c r="H906" s="295">
        <v>15.7</v>
      </c>
      <c r="I906" s="295">
        <v>4.9000000000000004</v>
      </c>
      <c r="J906" s="295">
        <v>10</v>
      </c>
      <c r="K906" s="295">
        <v>7</v>
      </c>
      <c r="L906" s="295">
        <v>21</v>
      </c>
      <c r="M906" s="295" t="s">
        <v>104</v>
      </c>
      <c r="N906" s="295">
        <v>235</v>
      </c>
      <c r="O906" s="295">
        <f t="shared" si="434"/>
        <v>245</v>
      </c>
      <c r="P906" s="290" t="s">
        <v>118</v>
      </c>
      <c r="Q906" s="290"/>
      <c r="R906" s="285">
        <v>3</v>
      </c>
      <c r="S906" s="285">
        <v>0.87</v>
      </c>
      <c r="T906" s="388" t="s">
        <v>37</v>
      </c>
      <c r="U906" s="285">
        <v>0.12</v>
      </c>
      <c r="V906" s="388" t="s">
        <v>5</v>
      </c>
      <c r="W906" s="388"/>
      <c r="X906" s="388"/>
      <c r="Y906" s="292">
        <v>0.88</v>
      </c>
      <c r="Z906" s="301" t="s">
        <v>37</v>
      </c>
      <c r="AA906" s="405">
        <v>0.11</v>
      </c>
      <c r="AB906" s="275" t="s">
        <v>5</v>
      </c>
      <c r="AC906" s="275"/>
      <c r="AD906" s="275"/>
      <c r="AE906" s="238"/>
      <c r="AF906" s="239">
        <f t="shared" si="418"/>
        <v>5.4595855141441589</v>
      </c>
      <c r="AG906" s="239">
        <f t="shared" si="419"/>
        <v>5.5012582105447274</v>
      </c>
      <c r="AH906" s="240"/>
      <c r="AI906" s="240"/>
      <c r="AK906" s="265">
        <f t="shared" si="420"/>
        <v>705</v>
      </c>
      <c r="AL906" s="286">
        <f t="shared" si="421"/>
        <v>715</v>
      </c>
      <c r="AM906" s="239">
        <f t="shared" si="422"/>
        <v>6.5581978028122689</v>
      </c>
      <c r="AN906" s="239">
        <f t="shared" si="423"/>
        <v>6.5722825426940075</v>
      </c>
      <c r="AO906" s="240"/>
      <c r="AP906" s="240"/>
      <c r="AR906" s="265">
        <f t="shared" si="429"/>
        <v>2521.5836639656432</v>
      </c>
      <c r="AS906" s="265">
        <f t="shared" si="430"/>
        <v>2462.598295156266</v>
      </c>
      <c r="AT906" s="239">
        <f t="shared" si="431"/>
        <v>7.8326424212025536</v>
      </c>
      <c r="AU906" s="239">
        <f t="shared" si="432"/>
        <v>7.8089722890643163</v>
      </c>
      <c r="AX906" s="265"/>
      <c r="AY906" s="265"/>
      <c r="AZ906" s="239"/>
      <c r="BA906" s="239"/>
      <c r="BB906" s="239"/>
      <c r="BC906" s="239"/>
      <c r="BD906" s="240"/>
      <c r="BE906" s="240"/>
      <c r="BF906" s="136"/>
      <c r="BG906" s="136"/>
      <c r="BH906" s="136"/>
      <c r="BI906" s="136"/>
    </row>
    <row r="907" spans="1:61" x14ac:dyDescent="0.2">
      <c r="A907" s="290" t="s">
        <v>89</v>
      </c>
      <c r="B907" s="290" t="s">
        <v>35</v>
      </c>
      <c r="C907" s="447" t="s">
        <v>117</v>
      </c>
      <c r="D907" s="290" t="s">
        <v>312</v>
      </c>
      <c r="E907" s="405">
        <v>7.9</v>
      </c>
      <c r="F907" s="287">
        <f t="shared" si="433"/>
        <v>2.4135999999999997</v>
      </c>
      <c r="G907" s="239">
        <v>1.4</v>
      </c>
      <c r="H907" s="295">
        <v>65.5</v>
      </c>
      <c r="I907" s="295">
        <v>61</v>
      </c>
      <c r="J907" s="295">
        <v>70</v>
      </c>
      <c r="K907" s="295">
        <v>7</v>
      </c>
      <c r="L907" s="295">
        <v>21</v>
      </c>
      <c r="M907" s="295" t="s">
        <v>104</v>
      </c>
      <c r="N907" s="295">
        <v>5855</v>
      </c>
      <c r="O907" s="295">
        <f t="shared" si="434"/>
        <v>5925</v>
      </c>
      <c r="P907" s="290" t="s">
        <v>118</v>
      </c>
      <c r="Q907" s="290"/>
      <c r="R907" s="285">
        <v>3</v>
      </c>
      <c r="S907" s="285">
        <v>0.87</v>
      </c>
      <c r="T907" s="388" t="s">
        <v>37</v>
      </c>
      <c r="U907" s="285">
        <v>0.12</v>
      </c>
      <c r="V907" s="388" t="s">
        <v>5</v>
      </c>
      <c r="W907" s="388"/>
      <c r="X907" s="388"/>
      <c r="Y907" s="292">
        <v>0.88</v>
      </c>
      <c r="Z907" s="301" t="s">
        <v>37</v>
      </c>
      <c r="AA907" s="405">
        <v>0.11</v>
      </c>
      <c r="AB907" s="275" t="s">
        <v>5</v>
      </c>
      <c r="AC907" s="275"/>
      <c r="AD907" s="275"/>
      <c r="AE907" s="238"/>
      <c r="AF907" s="239">
        <f t="shared" si="418"/>
        <v>8.6750512760318177</v>
      </c>
      <c r="AG907" s="239">
        <f t="shared" si="419"/>
        <v>8.6869359660033325</v>
      </c>
      <c r="AH907" s="240"/>
      <c r="AI907" s="240"/>
      <c r="AK907" s="265">
        <f t="shared" si="420"/>
        <v>17565</v>
      </c>
      <c r="AL907" s="286">
        <f t="shared" si="421"/>
        <v>17635</v>
      </c>
      <c r="AM907" s="239">
        <f t="shared" si="422"/>
        <v>9.7736635646999268</v>
      </c>
      <c r="AN907" s="239">
        <f t="shared" si="423"/>
        <v>9.7776408426701522</v>
      </c>
      <c r="AO907" s="240"/>
      <c r="AP907" s="240"/>
      <c r="AR907" s="265">
        <f t="shared" si="429"/>
        <v>2737.5751663338415</v>
      </c>
      <c r="AS907" s="265">
        <f t="shared" si="430"/>
        <v>2790.9065330807275</v>
      </c>
      <c r="AT907" s="239">
        <f t="shared" si="431"/>
        <v>7.9148278317692862</v>
      </c>
      <c r="AU907" s="239">
        <f t="shared" si="432"/>
        <v>7.9341217442907652</v>
      </c>
      <c r="AX907" s="265"/>
      <c r="AY907" s="265"/>
      <c r="AZ907" s="239"/>
      <c r="BA907" s="239"/>
      <c r="BB907" s="239"/>
      <c r="BC907" s="239"/>
      <c r="BD907" s="240"/>
      <c r="BE907" s="240"/>
      <c r="BF907" s="136"/>
      <c r="BG907" s="136"/>
      <c r="BH907" s="136"/>
      <c r="BI907" s="136"/>
    </row>
    <row r="908" spans="1:61" x14ac:dyDescent="0.2">
      <c r="A908" s="290" t="s">
        <v>89</v>
      </c>
      <c r="B908" s="290" t="s">
        <v>35</v>
      </c>
      <c r="C908" s="447" t="s">
        <v>117</v>
      </c>
      <c r="D908" s="290" t="s">
        <v>312</v>
      </c>
      <c r="E908" s="278">
        <v>6</v>
      </c>
      <c r="F908" s="287">
        <f t="shared" si="433"/>
        <v>4.9996</v>
      </c>
      <c r="G908" s="239">
        <v>2.9</v>
      </c>
      <c r="H908" s="295">
        <v>69</v>
      </c>
      <c r="I908" s="760">
        <f>(30+4.4*E908)*H908/100+(-34.66+29.72*E908)*F908/100</f>
        <v>46.098425360000007</v>
      </c>
      <c r="J908" s="295">
        <v>61</v>
      </c>
      <c r="K908" s="295">
        <v>7</v>
      </c>
      <c r="L908" s="295">
        <v>21</v>
      </c>
      <c r="M908" s="295" t="s">
        <v>104</v>
      </c>
      <c r="N908" s="295">
        <v>655</v>
      </c>
      <c r="O908" s="295">
        <f t="shared" si="434"/>
        <v>716</v>
      </c>
      <c r="P908" s="290" t="s">
        <v>118</v>
      </c>
      <c r="Q908" s="290"/>
      <c r="R908" s="285">
        <v>3</v>
      </c>
      <c r="S908" s="285">
        <v>0.87</v>
      </c>
      <c r="T908" s="388" t="s">
        <v>37</v>
      </c>
      <c r="U908" s="285">
        <v>0.12</v>
      </c>
      <c r="V908" s="388" t="s">
        <v>5</v>
      </c>
      <c r="W908" s="388"/>
      <c r="X908" s="388"/>
      <c r="Y908" s="292">
        <v>0.88</v>
      </c>
      <c r="Z908" s="301" t="s">
        <v>37</v>
      </c>
      <c r="AA908" s="405">
        <v>0.11</v>
      </c>
      <c r="AB908" s="275" t="s">
        <v>5</v>
      </c>
      <c r="AC908" s="275"/>
      <c r="AD908" s="275"/>
      <c r="AE908" s="238"/>
      <c r="AF908" s="239">
        <f t="shared" si="418"/>
        <v>6.4846352356352517</v>
      </c>
      <c r="AG908" s="239">
        <f t="shared" si="419"/>
        <v>6.5736801669606457</v>
      </c>
      <c r="AH908" s="240"/>
      <c r="AI908" s="240"/>
      <c r="AK908" s="265">
        <f t="shared" si="420"/>
        <v>1965</v>
      </c>
      <c r="AL908" s="286">
        <f t="shared" si="421"/>
        <v>2026</v>
      </c>
      <c r="AM908" s="239">
        <f t="shared" si="422"/>
        <v>7.5832475243033617</v>
      </c>
      <c r="AN908" s="239">
        <f t="shared" si="423"/>
        <v>7.6138186848086287</v>
      </c>
      <c r="AO908" s="240"/>
      <c r="AP908" s="240"/>
      <c r="AR908" s="265">
        <f t="shared" si="429"/>
        <v>660.55732139211727</v>
      </c>
      <c r="AS908" s="265">
        <f t="shared" si="430"/>
        <v>663.82830156138846</v>
      </c>
      <c r="AT908" s="239">
        <f t="shared" si="431"/>
        <v>6.4930839050448128</v>
      </c>
      <c r="AU908" s="239">
        <f t="shared" si="432"/>
        <v>6.4980235340524866</v>
      </c>
      <c r="AX908" s="265"/>
      <c r="AY908" s="265"/>
      <c r="AZ908" s="239"/>
      <c r="BA908" s="239"/>
      <c r="BB908" s="239"/>
      <c r="BC908" s="239"/>
      <c r="BD908" s="240"/>
      <c r="BE908" s="240"/>
      <c r="BF908" s="136"/>
      <c r="BG908" s="136"/>
      <c r="BH908" s="136"/>
      <c r="BI908" s="136"/>
    </row>
    <row r="909" spans="1:61" x14ac:dyDescent="0.2">
      <c r="A909" s="290" t="s">
        <v>89</v>
      </c>
      <c r="B909" s="290" t="s">
        <v>35</v>
      </c>
      <c r="C909" s="447" t="s">
        <v>117</v>
      </c>
      <c r="D909" s="290" t="s">
        <v>312</v>
      </c>
      <c r="E909" s="278">
        <v>5</v>
      </c>
      <c r="F909" s="287">
        <f t="shared" si="433"/>
        <v>3.448</v>
      </c>
      <c r="G909" s="239">
        <v>2</v>
      </c>
      <c r="H909" s="295">
        <v>22.9</v>
      </c>
      <c r="I909" s="295">
        <v>13</v>
      </c>
      <c r="J909" s="295">
        <v>25</v>
      </c>
      <c r="K909" s="295">
        <v>7</v>
      </c>
      <c r="L909" s="295">
        <v>21</v>
      </c>
      <c r="M909" s="295" t="s">
        <v>104</v>
      </c>
      <c r="N909" s="295">
        <v>965</v>
      </c>
      <c r="O909" s="295">
        <f t="shared" si="434"/>
        <v>990</v>
      </c>
      <c r="P909" s="290" t="s">
        <v>118</v>
      </c>
      <c r="Q909" s="290"/>
      <c r="R909" s="285">
        <v>3</v>
      </c>
      <c r="S909" s="285">
        <v>0.87</v>
      </c>
      <c r="T909" s="388" t="s">
        <v>37</v>
      </c>
      <c r="U909" s="285">
        <v>0.12</v>
      </c>
      <c r="V909" s="388" t="s">
        <v>5</v>
      </c>
      <c r="W909" s="388"/>
      <c r="X909" s="388"/>
      <c r="Y909" s="292">
        <v>0.88</v>
      </c>
      <c r="Z909" s="301" t="s">
        <v>37</v>
      </c>
      <c r="AA909" s="405">
        <v>0.11</v>
      </c>
      <c r="AB909" s="275" t="s">
        <v>5</v>
      </c>
      <c r="AC909" s="275"/>
      <c r="AD909" s="275"/>
      <c r="AE909" s="238"/>
      <c r="AF909" s="239">
        <f t="shared" si="418"/>
        <v>6.8721281013389861</v>
      </c>
      <c r="AG909" s="239">
        <f t="shared" si="419"/>
        <v>6.8977049431286357</v>
      </c>
      <c r="AH909" s="240"/>
      <c r="AI909" s="240"/>
      <c r="AK909" s="265">
        <f t="shared" si="420"/>
        <v>2895</v>
      </c>
      <c r="AL909" s="286">
        <f t="shared" si="421"/>
        <v>2920</v>
      </c>
      <c r="AM909" s="239">
        <f t="shared" si="422"/>
        <v>7.9707403900070952</v>
      </c>
      <c r="AN909" s="239">
        <f t="shared" si="423"/>
        <v>7.9793388952623276</v>
      </c>
      <c r="AO909" s="240"/>
      <c r="AP909" s="240"/>
      <c r="AR909" s="265">
        <f t="shared" si="429"/>
        <v>3858.9815877516153</v>
      </c>
      <c r="AS909" s="265">
        <f t="shared" si="430"/>
        <v>3754.6787481697365</v>
      </c>
      <c r="AT909" s="239">
        <f t="shared" si="431"/>
        <v>8.2581585902776258</v>
      </c>
      <c r="AU909" s="239">
        <f t="shared" si="432"/>
        <v>8.2307580074544031</v>
      </c>
      <c r="AX909" s="265"/>
      <c r="AY909" s="265"/>
      <c r="AZ909" s="239"/>
      <c r="BA909" s="239"/>
      <c r="BB909" s="239"/>
      <c r="BC909" s="239"/>
      <c r="BD909" s="240"/>
      <c r="BE909" s="240"/>
      <c r="BF909" s="136"/>
      <c r="BG909" s="136"/>
      <c r="BH909" s="136"/>
      <c r="BI909" s="136"/>
    </row>
    <row r="910" spans="1:61" x14ac:dyDescent="0.2">
      <c r="A910" s="290" t="s">
        <v>89</v>
      </c>
      <c r="B910" s="290" t="s">
        <v>35</v>
      </c>
      <c r="C910" s="447" t="s">
        <v>117</v>
      </c>
      <c r="D910" s="290" t="s">
        <v>312</v>
      </c>
      <c r="E910" s="278">
        <v>4</v>
      </c>
      <c r="F910" s="287">
        <f t="shared" si="433"/>
        <v>9.8268000000000004</v>
      </c>
      <c r="G910" s="239">
        <v>5.7</v>
      </c>
      <c r="H910" s="295">
        <v>5.4</v>
      </c>
      <c r="I910" s="295">
        <v>11.6</v>
      </c>
      <c r="J910" s="295">
        <v>10</v>
      </c>
      <c r="K910" s="295">
        <v>7</v>
      </c>
      <c r="L910" s="295">
        <v>21</v>
      </c>
      <c r="M910" s="295" t="s">
        <v>104</v>
      </c>
      <c r="N910" s="295">
        <v>875</v>
      </c>
      <c r="O910" s="295">
        <f t="shared" si="434"/>
        <v>885</v>
      </c>
      <c r="P910" s="290" t="s">
        <v>118</v>
      </c>
      <c r="Q910" s="290"/>
      <c r="R910" s="285">
        <v>3</v>
      </c>
      <c r="S910" s="285">
        <v>0.87</v>
      </c>
      <c r="T910" s="388" t="s">
        <v>37</v>
      </c>
      <c r="U910" s="285">
        <v>0.12</v>
      </c>
      <c r="V910" s="388" t="s">
        <v>5</v>
      </c>
      <c r="W910" s="388"/>
      <c r="X910" s="388"/>
      <c r="Y910" s="292">
        <v>0.88</v>
      </c>
      <c r="Z910" s="301" t="s">
        <v>37</v>
      </c>
      <c r="AA910" s="405">
        <v>0.11</v>
      </c>
      <c r="AB910" s="275" t="s">
        <v>5</v>
      </c>
      <c r="AC910" s="275"/>
      <c r="AD910" s="275"/>
      <c r="AE910" s="238"/>
      <c r="AF910" s="239">
        <f t="shared" si="418"/>
        <v>6.7742238863576141</v>
      </c>
      <c r="AG910" s="239">
        <f t="shared" si="419"/>
        <v>6.7855876450079293</v>
      </c>
      <c r="AH910" s="240"/>
      <c r="AI910" s="240"/>
      <c r="AK910" s="265">
        <f t="shared" si="420"/>
        <v>2625</v>
      </c>
      <c r="AL910" s="286">
        <f t="shared" si="421"/>
        <v>2635</v>
      </c>
      <c r="AM910" s="239">
        <f t="shared" si="422"/>
        <v>7.8728361750257241</v>
      </c>
      <c r="AN910" s="239">
        <f t="shared" si="423"/>
        <v>7.8766384609754629</v>
      </c>
      <c r="AO910" s="240"/>
      <c r="AP910" s="240"/>
      <c r="AR910" s="265">
        <f t="shared" si="429"/>
        <v>5093.3757000444448</v>
      </c>
      <c r="AS910" s="265">
        <f t="shared" si="430"/>
        <v>4825.2261426809682</v>
      </c>
      <c r="AT910" s="239">
        <f t="shared" si="431"/>
        <v>8.5356960920893599</v>
      </c>
      <c r="AU910" s="239">
        <f t="shared" si="432"/>
        <v>8.4816128816241942</v>
      </c>
      <c r="AX910" s="265"/>
      <c r="AY910" s="265"/>
      <c r="AZ910" s="239"/>
      <c r="BA910" s="239"/>
      <c r="BB910" s="239"/>
      <c r="BC910" s="239"/>
      <c r="BD910" s="240"/>
      <c r="BE910" s="240"/>
      <c r="BF910" s="136"/>
      <c r="BG910" s="136"/>
      <c r="BH910" s="136"/>
      <c r="BI910" s="136"/>
    </row>
    <row r="911" spans="1:61" x14ac:dyDescent="0.2">
      <c r="A911" s="290" t="s">
        <v>89</v>
      </c>
      <c r="B911" s="290" t="s">
        <v>35</v>
      </c>
      <c r="C911" s="447" t="s">
        <v>117</v>
      </c>
      <c r="D911" s="290" t="s">
        <v>312</v>
      </c>
      <c r="E911" s="278">
        <v>5</v>
      </c>
      <c r="F911" s="287"/>
      <c r="G911" s="239"/>
      <c r="H911" s="295">
        <v>25</v>
      </c>
      <c r="I911" s="293">
        <v>1</v>
      </c>
      <c r="J911" s="295">
        <v>21</v>
      </c>
      <c r="K911" s="295">
        <v>7</v>
      </c>
      <c r="L911" s="295">
        <v>21</v>
      </c>
      <c r="M911" s="295" t="s">
        <v>104</v>
      </c>
      <c r="N911" s="295">
        <v>565</v>
      </c>
      <c r="O911" s="295">
        <f t="shared" si="434"/>
        <v>586</v>
      </c>
      <c r="P911" s="290" t="s">
        <v>118</v>
      </c>
      <c r="Q911" s="290"/>
      <c r="R911" s="285">
        <v>3</v>
      </c>
      <c r="S911" s="285">
        <v>0.87</v>
      </c>
      <c r="T911" s="388" t="s">
        <v>37</v>
      </c>
      <c r="U911" s="285">
        <v>0.12</v>
      </c>
      <c r="V911" s="388" t="s">
        <v>5</v>
      </c>
      <c r="W911" s="388"/>
      <c r="X911" s="388"/>
      <c r="Y911" s="292">
        <v>0.88</v>
      </c>
      <c r="Z911" s="301" t="s">
        <v>37</v>
      </c>
      <c r="AA911" s="405">
        <v>0.11</v>
      </c>
      <c r="AB911" s="275" t="s">
        <v>5</v>
      </c>
      <c r="AC911" s="275"/>
      <c r="AD911" s="275"/>
      <c r="AE911" s="238"/>
      <c r="AF911" s="239">
        <f t="shared" si="418"/>
        <v>6.3368257311464413</v>
      </c>
      <c r="AG911" s="239">
        <f t="shared" si="419"/>
        <v>6.3733197895770122</v>
      </c>
      <c r="AH911" s="240"/>
      <c r="AI911" s="240"/>
      <c r="AK911" s="265">
        <f t="shared" si="420"/>
        <v>1695</v>
      </c>
      <c r="AL911" s="286">
        <f t="shared" si="421"/>
        <v>1716</v>
      </c>
      <c r="AM911" s="239">
        <f t="shared" si="422"/>
        <v>7.4354380198145504</v>
      </c>
      <c r="AN911" s="239">
        <f t="shared" si="423"/>
        <v>7.4477512800479078</v>
      </c>
      <c r="AO911" s="240"/>
      <c r="AP911" s="240"/>
      <c r="AR911" s="265">
        <f t="shared" si="429"/>
        <v>21043.8189850448</v>
      </c>
      <c r="AS911" s="265">
        <f t="shared" si="430"/>
        <v>21085.1826100789</v>
      </c>
      <c r="AT911" s="239">
        <f t="shared" si="431"/>
        <v>9.9543621610766184</v>
      </c>
      <c r="AU911" s="239">
        <f t="shared" si="432"/>
        <v>9.9563258268061361</v>
      </c>
      <c r="AX911" s="265"/>
      <c r="AY911" s="265"/>
      <c r="AZ911" s="239"/>
      <c r="BA911" s="239"/>
      <c r="BB911" s="239"/>
      <c r="BC911" s="239"/>
      <c r="BD911" s="240"/>
      <c r="BE911" s="240"/>
      <c r="BF911" s="136"/>
      <c r="BG911" s="136"/>
      <c r="BH911" s="136"/>
      <c r="BI911" s="136"/>
    </row>
    <row r="912" spans="1:61" x14ac:dyDescent="0.2">
      <c r="A912" s="290" t="s">
        <v>89</v>
      </c>
      <c r="B912" s="290" t="s">
        <v>35</v>
      </c>
      <c r="C912" s="447" t="s">
        <v>117</v>
      </c>
      <c r="D912" s="290" t="s">
        <v>312</v>
      </c>
      <c r="E912" s="405">
        <v>4.4000000000000004</v>
      </c>
      <c r="F912" s="287">
        <f t="shared" si="433"/>
        <v>2.2412000000000001</v>
      </c>
      <c r="G912" s="239">
        <v>1.3</v>
      </c>
      <c r="H912" s="295">
        <v>17.3</v>
      </c>
      <c r="I912" s="295">
        <v>7.8</v>
      </c>
      <c r="J912" s="295">
        <v>11</v>
      </c>
      <c r="K912" s="295">
        <v>7</v>
      </c>
      <c r="L912" s="295">
        <v>21</v>
      </c>
      <c r="M912" s="295" t="s">
        <v>104</v>
      </c>
      <c r="N912" s="295">
        <v>250</v>
      </c>
      <c r="O912" s="295">
        <f t="shared" si="434"/>
        <v>261</v>
      </c>
      <c r="P912" s="290" t="s">
        <v>118</v>
      </c>
      <c r="Q912" s="290"/>
      <c r="R912" s="285">
        <v>3</v>
      </c>
      <c r="S912" s="285">
        <v>0.87</v>
      </c>
      <c r="T912" s="388" t="s">
        <v>37</v>
      </c>
      <c r="U912" s="285">
        <v>0.12</v>
      </c>
      <c r="V912" s="388" t="s">
        <v>5</v>
      </c>
      <c r="W912" s="388"/>
      <c r="X912" s="388"/>
      <c r="Y912" s="292">
        <v>0.88</v>
      </c>
      <c r="Z912" s="301" t="s">
        <v>37</v>
      </c>
      <c r="AA912" s="405">
        <v>0.11</v>
      </c>
      <c r="AB912" s="275" t="s">
        <v>5</v>
      </c>
      <c r="AC912" s="275"/>
      <c r="AD912" s="275"/>
      <c r="AE912" s="238"/>
      <c r="AF912" s="239">
        <f t="shared" si="418"/>
        <v>5.521460917862246</v>
      </c>
      <c r="AG912" s="239">
        <f t="shared" si="419"/>
        <v>5.5645204073226937</v>
      </c>
      <c r="AH912" s="240"/>
      <c r="AI912" s="240"/>
      <c r="AK912" s="265">
        <f t="shared" si="420"/>
        <v>750</v>
      </c>
      <c r="AL912" s="286">
        <f t="shared" si="421"/>
        <v>761</v>
      </c>
      <c r="AM912" s="239">
        <f t="shared" si="422"/>
        <v>6.620073206530356</v>
      </c>
      <c r="AN912" s="239">
        <f t="shared" si="423"/>
        <v>6.6346333578616861</v>
      </c>
      <c r="AO912" s="240"/>
      <c r="AP912" s="240"/>
      <c r="AR912" s="265">
        <f t="shared" si="429"/>
        <v>1840.3219832172804</v>
      </c>
      <c r="AS912" s="265">
        <f t="shared" si="430"/>
        <v>1785.6711806459057</v>
      </c>
      <c r="AT912" s="239">
        <f t="shared" si="431"/>
        <v>7.5176958261728704</v>
      </c>
      <c r="AU912" s="239">
        <f t="shared" si="432"/>
        <v>7.4875496351054398</v>
      </c>
      <c r="AX912" s="265"/>
      <c r="AY912" s="265"/>
      <c r="AZ912" s="239"/>
      <c r="BA912" s="239"/>
      <c r="BB912" s="239"/>
      <c r="BC912" s="239"/>
      <c r="BD912" s="240"/>
      <c r="BE912" s="240"/>
      <c r="BF912" s="136"/>
      <c r="BG912" s="136"/>
      <c r="BH912" s="136"/>
      <c r="BI912" s="136"/>
    </row>
    <row r="913" spans="1:61" x14ac:dyDescent="0.2">
      <c r="A913" s="290" t="s">
        <v>89</v>
      </c>
      <c r="B913" s="290" t="s">
        <v>35</v>
      </c>
      <c r="C913" s="447" t="s">
        <v>117</v>
      </c>
      <c r="D913" s="290" t="s">
        <v>312</v>
      </c>
      <c r="E913" s="405">
        <v>5.4</v>
      </c>
      <c r="F913" s="287">
        <f t="shared" si="433"/>
        <v>3.1032000000000002</v>
      </c>
      <c r="G913" s="239">
        <v>1.8</v>
      </c>
      <c r="H913" s="295">
        <v>40.9</v>
      </c>
      <c r="I913" s="295">
        <v>16.5</v>
      </c>
      <c r="J913" s="295">
        <v>80</v>
      </c>
      <c r="K913" s="295">
        <v>7</v>
      </c>
      <c r="L913" s="295">
        <v>21</v>
      </c>
      <c r="M913" s="295" t="s">
        <v>104</v>
      </c>
      <c r="N913" s="295">
        <v>505</v>
      </c>
      <c r="O913" s="295">
        <f t="shared" si="434"/>
        <v>585</v>
      </c>
      <c r="P913" s="290" t="s">
        <v>118</v>
      </c>
      <c r="Q913" s="290"/>
      <c r="R913" s="285">
        <v>3</v>
      </c>
      <c r="S913" s="285">
        <v>0.87</v>
      </c>
      <c r="T913" s="388" t="s">
        <v>37</v>
      </c>
      <c r="U913" s="285">
        <v>0.12</v>
      </c>
      <c r="V913" s="388" t="s">
        <v>5</v>
      </c>
      <c r="W913" s="388"/>
      <c r="X913" s="388"/>
      <c r="Y913" s="292">
        <v>0.88</v>
      </c>
      <c r="Z913" s="301" t="s">
        <v>37</v>
      </c>
      <c r="AA913" s="405">
        <v>0.11</v>
      </c>
      <c r="AB913" s="275" t="s">
        <v>5</v>
      </c>
      <c r="AC913" s="275"/>
      <c r="AD913" s="275"/>
      <c r="AE913" s="238"/>
      <c r="AF913" s="239">
        <f t="shared" si="418"/>
        <v>6.2245584292753602</v>
      </c>
      <c r="AG913" s="239">
        <f t="shared" si="419"/>
        <v>6.3716118472318568</v>
      </c>
      <c r="AH913" s="240"/>
      <c r="AI913" s="240"/>
      <c r="AK913" s="265">
        <f t="shared" si="420"/>
        <v>1515</v>
      </c>
      <c r="AL913" s="286">
        <f t="shared" si="421"/>
        <v>1595</v>
      </c>
      <c r="AM913" s="239">
        <f t="shared" si="422"/>
        <v>7.3231707179434693</v>
      </c>
      <c r="AN913" s="239">
        <f t="shared" si="423"/>
        <v>7.3746290152189449</v>
      </c>
      <c r="AO913" s="240"/>
      <c r="AP913" s="240"/>
      <c r="AR913" s="265">
        <f t="shared" si="429"/>
        <v>1469.4555593096784</v>
      </c>
      <c r="AS913" s="265">
        <f t="shared" si="430"/>
        <v>1502.5706436188648</v>
      </c>
      <c r="AT913" s="239">
        <f t="shared" si="431"/>
        <v>7.2926472433531373</v>
      </c>
      <c r="AU913" s="239">
        <f t="shared" si="432"/>
        <v>7.3149326826876839</v>
      </c>
      <c r="AX913" s="265"/>
      <c r="AY913" s="265"/>
      <c r="AZ913" s="239"/>
      <c r="BA913" s="239"/>
      <c r="BB913" s="239"/>
      <c r="BC913" s="239"/>
      <c r="BD913" s="240"/>
      <c r="BE913" s="240"/>
      <c r="BF913" s="136"/>
      <c r="BG913" s="136"/>
      <c r="BH913" s="136"/>
      <c r="BI913" s="136"/>
    </row>
    <row r="914" spans="1:61" x14ac:dyDescent="0.2">
      <c r="A914" s="290" t="s">
        <v>89</v>
      </c>
      <c r="B914" s="290" t="s">
        <v>35</v>
      </c>
      <c r="C914" s="447" t="s">
        <v>117</v>
      </c>
      <c r="D914" s="290" t="s">
        <v>312</v>
      </c>
      <c r="E914" s="405">
        <v>4.9000000000000004</v>
      </c>
      <c r="F914" s="287">
        <f t="shared" si="433"/>
        <v>6.0339999999999998</v>
      </c>
      <c r="G914" s="239">
        <v>3.5</v>
      </c>
      <c r="H914" s="295">
        <v>23.5</v>
      </c>
      <c r="I914" s="295">
        <v>17.399999999999999</v>
      </c>
      <c r="J914" s="295">
        <v>50</v>
      </c>
      <c r="K914" s="295">
        <v>7</v>
      </c>
      <c r="L914" s="295">
        <v>21</v>
      </c>
      <c r="M914" s="295" t="s">
        <v>104</v>
      </c>
      <c r="N914" s="295">
        <v>530</v>
      </c>
      <c r="O914" s="295">
        <f t="shared" si="434"/>
        <v>580</v>
      </c>
      <c r="P914" s="290" t="s">
        <v>118</v>
      </c>
      <c r="Q914" s="290"/>
      <c r="R914" s="285">
        <v>3</v>
      </c>
      <c r="S914" s="285">
        <v>0.87</v>
      </c>
      <c r="T914" s="388" t="s">
        <v>37</v>
      </c>
      <c r="U914" s="285">
        <v>0.12</v>
      </c>
      <c r="V914" s="388" t="s">
        <v>5</v>
      </c>
      <c r="W914" s="388"/>
      <c r="X914" s="388"/>
      <c r="Y914" s="292">
        <v>0.88</v>
      </c>
      <c r="Z914" s="301" t="s">
        <v>37</v>
      </c>
      <c r="AA914" s="405">
        <v>0.11</v>
      </c>
      <c r="AB914" s="275" t="s">
        <v>5</v>
      </c>
      <c r="AC914" s="275"/>
      <c r="AD914" s="275"/>
      <c r="AE914" s="238"/>
      <c r="AF914" s="239">
        <f t="shared" si="418"/>
        <v>6.2728770065461674</v>
      </c>
      <c r="AG914" s="239">
        <f t="shared" si="419"/>
        <v>6.363028103540465</v>
      </c>
      <c r="AH914" s="240"/>
      <c r="AI914" s="240"/>
      <c r="AK914" s="265">
        <f t="shared" si="420"/>
        <v>1590</v>
      </c>
      <c r="AL914" s="286">
        <f t="shared" si="421"/>
        <v>1640</v>
      </c>
      <c r="AM914" s="239">
        <f t="shared" si="422"/>
        <v>7.3714892952142774</v>
      </c>
      <c r="AN914" s="239">
        <f t="shared" si="423"/>
        <v>7.4024515208182438</v>
      </c>
      <c r="AO914" s="240"/>
      <c r="AP914" s="240"/>
      <c r="AR914" s="265">
        <f t="shared" si="429"/>
        <v>1690.7295111513715</v>
      </c>
      <c r="AS914" s="265">
        <f t="shared" si="430"/>
        <v>1673.4802552832182</v>
      </c>
      <c r="AT914" s="239">
        <f t="shared" si="431"/>
        <v>7.4329153781804536</v>
      </c>
      <c r="AU914" s="239">
        <f t="shared" si="432"/>
        <v>7.4226607221253813</v>
      </c>
      <c r="AX914" s="265"/>
      <c r="AY914" s="265"/>
      <c r="AZ914" s="239"/>
      <c r="BA914" s="239"/>
      <c r="BB914" s="239"/>
      <c r="BC914" s="239"/>
      <c r="BD914" s="240"/>
      <c r="BE914" s="240"/>
      <c r="BF914" s="136"/>
      <c r="BG914" s="136"/>
      <c r="BH914" s="136"/>
      <c r="BI914" s="136"/>
    </row>
    <row r="915" spans="1:61" x14ac:dyDescent="0.2">
      <c r="A915" s="290" t="s">
        <v>89</v>
      </c>
      <c r="B915" s="290" t="s">
        <v>35</v>
      </c>
      <c r="C915" s="447" t="s">
        <v>117</v>
      </c>
      <c r="D915" s="290" t="s">
        <v>312</v>
      </c>
      <c r="E915" s="405">
        <v>6.3</v>
      </c>
      <c r="F915" s="287">
        <f t="shared" si="433"/>
        <v>3.2755999999999998</v>
      </c>
      <c r="G915" s="239">
        <v>1.9</v>
      </c>
      <c r="H915" s="295">
        <v>26.9</v>
      </c>
      <c r="I915" s="295">
        <v>17.7</v>
      </c>
      <c r="J915" s="295">
        <v>58</v>
      </c>
      <c r="K915" s="295">
        <v>7</v>
      </c>
      <c r="L915" s="295">
        <v>21</v>
      </c>
      <c r="M915" s="295" t="s">
        <v>104</v>
      </c>
      <c r="N915" s="295">
        <v>620</v>
      </c>
      <c r="O915" s="295">
        <f t="shared" si="434"/>
        <v>678</v>
      </c>
      <c r="P915" s="290" t="s">
        <v>118</v>
      </c>
      <c r="Q915" s="290"/>
      <c r="R915" s="285">
        <v>3</v>
      </c>
      <c r="S915" s="285">
        <v>0.87</v>
      </c>
      <c r="T915" s="388" t="s">
        <v>37</v>
      </c>
      <c r="U915" s="285">
        <v>0.12</v>
      </c>
      <c r="V915" s="388" t="s">
        <v>5</v>
      </c>
      <c r="W915" s="388"/>
      <c r="X915" s="388"/>
      <c r="Y915" s="292">
        <v>0.88</v>
      </c>
      <c r="Z915" s="301" t="s">
        <v>37</v>
      </c>
      <c r="AA915" s="405">
        <v>0.11</v>
      </c>
      <c r="AB915" s="275" t="s">
        <v>5</v>
      </c>
      <c r="AC915" s="275"/>
      <c r="AD915" s="275"/>
      <c r="AE915" s="238"/>
      <c r="AF915" s="239">
        <f t="shared" si="418"/>
        <v>6.4297194780391376</v>
      </c>
      <c r="AG915" s="239">
        <f t="shared" si="419"/>
        <v>6.5191472879403953</v>
      </c>
      <c r="AH915" s="240"/>
      <c r="AI915" s="240"/>
      <c r="AK915" s="265">
        <f t="shared" si="420"/>
        <v>1860</v>
      </c>
      <c r="AL915" s="286">
        <f t="shared" si="421"/>
        <v>1918</v>
      </c>
      <c r="AM915" s="239">
        <f t="shared" si="422"/>
        <v>7.5283317667072467</v>
      </c>
      <c r="AN915" s="239">
        <f t="shared" si="423"/>
        <v>7.5590382554433839</v>
      </c>
      <c r="AO915" s="240"/>
      <c r="AP915" s="240"/>
      <c r="AR915" s="265">
        <f t="shared" si="429"/>
        <v>1323.5216729673059</v>
      </c>
      <c r="AS915" s="265">
        <f t="shared" si="430"/>
        <v>1352.3596723572134</v>
      </c>
      <c r="AT915" s="239">
        <f t="shared" si="431"/>
        <v>7.1880513970278326</v>
      </c>
      <c r="AU915" s="239">
        <f t="shared" si="432"/>
        <v>7.2096062510732537</v>
      </c>
      <c r="AX915" s="265"/>
      <c r="AY915" s="265"/>
      <c r="AZ915" s="239"/>
      <c r="BA915" s="239"/>
      <c r="BB915" s="239"/>
      <c r="BC915" s="239"/>
      <c r="BD915" s="240"/>
      <c r="BE915" s="240"/>
      <c r="BF915" s="136"/>
      <c r="BG915" s="136"/>
      <c r="BH915" s="136"/>
      <c r="BI915" s="136"/>
    </row>
    <row r="916" spans="1:61" x14ac:dyDescent="0.2">
      <c r="A916" s="290" t="s">
        <v>89</v>
      </c>
      <c r="B916" s="290" t="s">
        <v>35</v>
      </c>
      <c r="C916" s="447" t="s">
        <v>117</v>
      </c>
      <c r="D916" s="290" t="s">
        <v>312</v>
      </c>
      <c r="E916" s="405">
        <v>6.7</v>
      </c>
      <c r="F916" s="287">
        <f t="shared" si="433"/>
        <v>3.1032000000000002</v>
      </c>
      <c r="G916" s="239">
        <v>1.8</v>
      </c>
      <c r="H916" s="295">
        <v>10.4</v>
      </c>
      <c r="I916" s="295">
        <v>10.3</v>
      </c>
      <c r="J916" s="295">
        <v>7</v>
      </c>
      <c r="K916" s="295">
        <v>7</v>
      </c>
      <c r="L916" s="295">
        <v>21</v>
      </c>
      <c r="M916" s="295" t="s">
        <v>104</v>
      </c>
      <c r="N916" s="295">
        <v>430</v>
      </c>
      <c r="O916" s="295">
        <f t="shared" si="434"/>
        <v>437</v>
      </c>
      <c r="P916" s="290" t="s">
        <v>118</v>
      </c>
      <c r="Q916" s="290"/>
      <c r="R916" s="285">
        <v>3</v>
      </c>
      <c r="S916" s="285">
        <v>0.87</v>
      </c>
      <c r="T916" s="388" t="s">
        <v>37</v>
      </c>
      <c r="U916" s="285">
        <v>0.12</v>
      </c>
      <c r="V916" s="388" t="s">
        <v>5</v>
      </c>
      <c r="W916" s="388"/>
      <c r="X916" s="388"/>
      <c r="Y916" s="292">
        <v>0.88</v>
      </c>
      <c r="Z916" s="301" t="s">
        <v>37</v>
      </c>
      <c r="AA916" s="405">
        <v>0.11</v>
      </c>
      <c r="AB916" s="275" t="s">
        <v>5</v>
      </c>
      <c r="AC916" s="275"/>
      <c r="AD916" s="275"/>
      <c r="AE916" s="238"/>
      <c r="AF916" s="239">
        <f t="shared" si="418"/>
        <v>6.0637852086876078</v>
      </c>
      <c r="AG916" s="239">
        <f t="shared" si="419"/>
        <v>6.0799331950955899</v>
      </c>
      <c r="AH916" s="240"/>
      <c r="AI916" s="240"/>
      <c r="AK916" s="265">
        <f t="shared" si="420"/>
        <v>1290</v>
      </c>
      <c r="AL916" s="286">
        <f t="shared" si="421"/>
        <v>1297</v>
      </c>
      <c r="AM916" s="239">
        <f t="shared" si="422"/>
        <v>7.1623974973557178</v>
      </c>
      <c r="AN916" s="239">
        <f t="shared" si="423"/>
        <v>7.167809184316444</v>
      </c>
      <c r="AO916" s="240"/>
      <c r="AP916" s="240"/>
      <c r="AR916" s="265">
        <f t="shared" si="429"/>
        <v>1316.3645547259691</v>
      </c>
      <c r="AS916" s="265">
        <f t="shared" si="430"/>
        <v>1330.7709179902379</v>
      </c>
      <c r="AT916" s="239">
        <f t="shared" si="431"/>
        <v>7.1826290907920365</v>
      </c>
      <c r="AU916" s="239">
        <f t="shared" si="432"/>
        <v>7.1935136908774657</v>
      </c>
      <c r="AX916" s="265"/>
      <c r="AY916" s="265"/>
      <c r="AZ916" s="239"/>
      <c r="BA916" s="239"/>
      <c r="BB916" s="239"/>
      <c r="BC916" s="239"/>
      <c r="BD916" s="240"/>
      <c r="BE916" s="240"/>
      <c r="BF916" s="136"/>
      <c r="BG916" s="136"/>
      <c r="BH916" s="136"/>
      <c r="BI916" s="136"/>
    </row>
    <row r="917" spans="1:61" s="422" customFormat="1" ht="13.5" thickBot="1" x14ac:dyDescent="0.25">
      <c r="A917" s="339" t="s">
        <v>89</v>
      </c>
      <c r="B917" s="339" t="s">
        <v>35</v>
      </c>
      <c r="C917" s="486" t="s">
        <v>117</v>
      </c>
      <c r="D917" s="339" t="s">
        <v>312</v>
      </c>
      <c r="E917" s="438">
        <v>4.5999999999999996</v>
      </c>
      <c r="F917" s="351">
        <f t="shared" si="433"/>
        <v>4.4824000000000002</v>
      </c>
      <c r="G917" s="420">
        <v>2.6</v>
      </c>
      <c r="H917" s="345">
        <v>5.9</v>
      </c>
      <c r="I917" s="342">
        <v>5</v>
      </c>
      <c r="J917" s="345">
        <v>5</v>
      </c>
      <c r="K917" s="345">
        <v>7</v>
      </c>
      <c r="L917" s="345">
        <v>21</v>
      </c>
      <c r="M917" s="345" t="s">
        <v>104</v>
      </c>
      <c r="N917" s="345">
        <v>335</v>
      </c>
      <c r="O917" s="345">
        <f t="shared" si="434"/>
        <v>340</v>
      </c>
      <c r="P917" s="339" t="s">
        <v>118</v>
      </c>
      <c r="Q917" s="339"/>
      <c r="R917" s="350">
        <v>3</v>
      </c>
      <c r="S917" s="350">
        <v>0.87</v>
      </c>
      <c r="T917" s="419" t="s">
        <v>37</v>
      </c>
      <c r="U917" s="350">
        <v>0.12</v>
      </c>
      <c r="V917" s="419" t="s">
        <v>5</v>
      </c>
      <c r="W917" s="419"/>
      <c r="X917" s="419"/>
      <c r="Y917" s="341">
        <v>0.88</v>
      </c>
      <c r="Z917" s="490" t="s">
        <v>37</v>
      </c>
      <c r="AA917" s="438">
        <v>0.11</v>
      </c>
      <c r="AB917" s="412" t="s">
        <v>5</v>
      </c>
      <c r="AC917" s="412"/>
      <c r="AD917" s="412"/>
      <c r="AF917" s="420">
        <f t="shared" si="418"/>
        <v>5.8141305318250662</v>
      </c>
      <c r="AG917" s="420">
        <f t="shared" si="419"/>
        <v>5.8289456176102075</v>
      </c>
      <c r="AH917" s="421"/>
      <c r="AI917" s="421"/>
      <c r="AK917" s="423">
        <f t="shared" si="420"/>
        <v>1005</v>
      </c>
      <c r="AL917" s="354">
        <f t="shared" si="421"/>
        <v>1010</v>
      </c>
      <c r="AM917" s="420">
        <f t="shared" si="422"/>
        <v>6.9127428204931762</v>
      </c>
      <c r="AN917" s="420">
        <f t="shared" si="423"/>
        <v>6.9177056098353047</v>
      </c>
      <c r="AO917" s="421"/>
      <c r="AP917" s="421"/>
      <c r="AR917" s="354">
        <f t="shared" si="429"/>
        <v>3435.7140655629883</v>
      </c>
      <c r="AS917" s="354">
        <f t="shared" si="430"/>
        <v>3331.8685034039659</v>
      </c>
      <c r="AT917" s="420">
        <f t="shared" si="431"/>
        <v>8.1419800624012915</v>
      </c>
      <c r="AU917" s="420">
        <f t="shared" si="432"/>
        <v>8.1112885377432633</v>
      </c>
      <c r="AV917" s="424"/>
      <c r="AW917" s="424"/>
      <c r="BB917" s="420"/>
      <c r="BC917" s="420"/>
      <c r="BD917" s="421"/>
      <c r="BE917" s="421"/>
    </row>
    <row r="918" spans="1:61" ht="13.5" thickTop="1" x14ac:dyDescent="0.2">
      <c r="A918" s="232" t="s">
        <v>89</v>
      </c>
      <c r="B918" s="232" t="s">
        <v>49</v>
      </c>
      <c r="C918" s="264" t="s">
        <v>119</v>
      </c>
      <c r="D918" s="232" t="s">
        <v>324</v>
      </c>
      <c r="E918" s="233">
        <v>7.1</v>
      </c>
      <c r="F918" s="136">
        <v>21.6</v>
      </c>
      <c r="G918" s="234">
        <f t="shared" ref="G918:G978" si="435">F918/1.724</f>
        <v>12.529002320185615</v>
      </c>
      <c r="I918" s="763">
        <f>(30+4.4*E918)*H918/100+(-34.66+29.72*E918)*F918/100</f>
        <v>38.092031999999996</v>
      </c>
      <c r="J918" s="753">
        <v>51</v>
      </c>
      <c r="K918" s="295"/>
      <c r="L918" s="295">
        <v>56</v>
      </c>
      <c r="M918" s="405" t="s">
        <v>93</v>
      </c>
      <c r="N918" s="233">
        <v>600</v>
      </c>
      <c r="O918" s="295">
        <f t="shared" si="434"/>
        <v>651</v>
      </c>
      <c r="P918" s="290" t="s">
        <v>120</v>
      </c>
      <c r="Q918" s="290"/>
      <c r="R918" s="236">
        <v>3</v>
      </c>
      <c r="S918" s="285">
        <v>0.79</v>
      </c>
      <c r="T918" s="388" t="s">
        <v>37</v>
      </c>
      <c r="Y918" s="292">
        <v>0.8</v>
      </c>
      <c r="Z918" s="301" t="s">
        <v>37</v>
      </c>
      <c r="AA918" s="233"/>
      <c r="AB918" s="232"/>
      <c r="AC918" s="232"/>
      <c r="AD918" s="232"/>
      <c r="AE918" s="136"/>
      <c r="AF918" s="239">
        <f t="shared" si="418"/>
        <v>6.3969296552161463</v>
      </c>
      <c r="AG918" s="239">
        <f t="shared" si="419"/>
        <v>6.4785096422085688</v>
      </c>
      <c r="AH918" s="240"/>
      <c r="AI918" s="240"/>
      <c r="AK918" s="265">
        <f t="shared" si="420"/>
        <v>1800</v>
      </c>
      <c r="AL918" s="286">
        <f t="shared" si="421"/>
        <v>1851</v>
      </c>
      <c r="AM918" s="239">
        <f t="shared" si="422"/>
        <v>7.4955419438842563</v>
      </c>
      <c r="AN918" s="239">
        <f t="shared" si="423"/>
        <v>7.5234813125734972</v>
      </c>
      <c r="AO918" s="240"/>
      <c r="AP918" s="240"/>
      <c r="AR918" s="286">
        <f t="shared" ref="AR918:AR949" si="436">AK918*(eCEC/$I918)^$S918</f>
        <v>686.00386609745294</v>
      </c>
      <c r="AS918" s="286">
        <f t="shared" ref="AS918:AS949" si="437">AL918*(eCEC/$I918)^$Y918</f>
        <v>696.87897783544076</v>
      </c>
      <c r="AT918" s="239">
        <f t="shared" si="431"/>
        <v>6.5308832634205771</v>
      </c>
      <c r="AU918" s="239">
        <f t="shared" si="432"/>
        <v>6.5466117627368607</v>
      </c>
      <c r="AX918" s="385">
        <f>GEOMEAN(AR918:AR919)</f>
        <v>471.52787645780808</v>
      </c>
      <c r="AY918" s="385">
        <f>GEOMEAN(AS918:AS919)</f>
        <v>513.09761458900516</v>
      </c>
      <c r="AZ918" s="385">
        <f>MIN(AX918:AX919)</f>
        <v>471.52787645780808</v>
      </c>
      <c r="BA918" s="385">
        <f>MIN(AY918:AY919)</f>
        <v>513.09761458900516</v>
      </c>
      <c r="BB918" s="239">
        <f>LN(AZ918)</f>
        <v>6.1559782232480016</v>
      </c>
      <c r="BC918" s="239">
        <f>LN(BA918)</f>
        <v>6.2404661089193869</v>
      </c>
      <c r="BD918" s="240"/>
      <c r="BE918" s="240"/>
      <c r="BF918" s="136"/>
      <c r="BG918" s="136"/>
      <c r="BH918" s="136"/>
      <c r="BI918" s="136"/>
    </row>
    <row r="919" spans="1:61" s="165" customFormat="1" x14ac:dyDescent="0.2">
      <c r="A919" s="156" t="s">
        <v>89</v>
      </c>
      <c r="B919" s="156" t="s">
        <v>49</v>
      </c>
      <c r="C919" s="442" t="s">
        <v>119</v>
      </c>
      <c r="D919" s="326" t="s">
        <v>324</v>
      </c>
      <c r="E919" s="160">
        <v>6.35</v>
      </c>
      <c r="F919" s="166">
        <f>2.35*0.9+10</f>
        <v>12.115</v>
      </c>
      <c r="G919" s="166">
        <f>F919/1.724</f>
        <v>7.0272621809744784</v>
      </c>
      <c r="H919" s="159">
        <f>9.7*0.9</f>
        <v>8.73</v>
      </c>
      <c r="I919" s="757">
        <f>(30+4.4*E919)*H919/100+(-34.66+29.72*E919)*F919/100</f>
        <v>23.7227733</v>
      </c>
      <c r="J919" s="160">
        <v>102</v>
      </c>
      <c r="K919" s="231">
        <v>7</v>
      </c>
      <c r="L919" s="231">
        <v>42</v>
      </c>
      <c r="M919" s="160" t="s">
        <v>93</v>
      </c>
      <c r="N919" s="231">
        <v>195</v>
      </c>
      <c r="O919" s="231">
        <f t="shared" si="434"/>
        <v>297</v>
      </c>
      <c r="P919" s="326" t="s">
        <v>121</v>
      </c>
      <c r="Q919" s="326"/>
      <c r="R919" s="163">
        <v>3</v>
      </c>
      <c r="S919" s="163">
        <v>0.79</v>
      </c>
      <c r="T919" s="162" t="s">
        <v>37</v>
      </c>
      <c r="U919" s="163"/>
      <c r="V919" s="162"/>
      <c r="W919" s="162"/>
      <c r="X919" s="162"/>
      <c r="Y919" s="328">
        <v>0.8</v>
      </c>
      <c r="Z919" s="314" t="s">
        <v>37</v>
      </c>
      <c r="AA919" s="160"/>
      <c r="AB919" s="156"/>
      <c r="AC919" s="156"/>
      <c r="AD919" s="156"/>
      <c r="AE919" s="450"/>
      <c r="AF919" s="166">
        <f t="shared" si="418"/>
        <v>5.2729995585637468</v>
      </c>
      <c r="AG919" s="166">
        <f t="shared" si="419"/>
        <v>5.6937321388026998</v>
      </c>
      <c r="AH919" s="169"/>
      <c r="AI919" s="169"/>
      <c r="AK919" s="168">
        <f t="shared" si="420"/>
        <v>585</v>
      </c>
      <c r="AL919" s="337">
        <f t="shared" si="421"/>
        <v>687</v>
      </c>
      <c r="AM919" s="166">
        <f t="shared" si="422"/>
        <v>6.3716118472318568</v>
      </c>
      <c r="AN919" s="166">
        <f t="shared" si="423"/>
        <v>6.5323342922223491</v>
      </c>
      <c r="AO919" s="169"/>
      <c r="AP919" s="169"/>
      <c r="AR919" s="337">
        <f t="shared" si="436"/>
        <v>324.10682980790193</v>
      </c>
      <c r="AS919" s="337">
        <f t="shared" si="437"/>
        <v>377.78318828709871</v>
      </c>
      <c r="AT919" s="166">
        <f t="shared" si="431"/>
        <v>5.7810731830754261</v>
      </c>
      <c r="AU919" s="166">
        <f t="shared" si="432"/>
        <v>5.9343204551019131</v>
      </c>
      <c r="AV919" s="167"/>
      <c r="AW919" s="167"/>
      <c r="AX919" s="168"/>
      <c r="AY919" s="168"/>
      <c r="AZ919" s="168"/>
      <c r="BA919" s="168"/>
      <c r="BB919" s="166"/>
      <c r="BC919" s="166"/>
      <c r="BD919" s="169"/>
      <c r="BE919" s="169"/>
    </row>
    <row r="920" spans="1:61" s="245" customFormat="1" x14ac:dyDescent="0.2">
      <c r="A920" s="244" t="s">
        <v>89</v>
      </c>
      <c r="B920" s="244" t="s">
        <v>49</v>
      </c>
      <c r="C920" s="455" t="s">
        <v>52</v>
      </c>
      <c r="D920" s="244" t="s">
        <v>324</v>
      </c>
      <c r="E920" s="246">
        <v>6</v>
      </c>
      <c r="F920" s="245">
        <v>10</v>
      </c>
      <c r="G920" s="247">
        <f t="shared" si="435"/>
        <v>5.8004640371229703</v>
      </c>
      <c r="H920" s="246">
        <v>20</v>
      </c>
      <c r="I920" s="433">
        <f t="shared" ref="I920:I933" si="438">(30+4.4*E920)*(0/100)+(-34.66+29.72*E920)*(F920/100)</f>
        <v>14.366</v>
      </c>
      <c r="J920" s="756">
        <v>2</v>
      </c>
      <c r="K920" s="248">
        <v>0</v>
      </c>
      <c r="L920" s="248">
        <v>21</v>
      </c>
      <c r="M920" s="246" t="s">
        <v>93</v>
      </c>
      <c r="N920" s="246">
        <v>320</v>
      </c>
      <c r="O920" s="248">
        <f t="shared" si="434"/>
        <v>322</v>
      </c>
      <c r="P920" s="459" t="s">
        <v>122</v>
      </c>
      <c r="Q920" s="459"/>
      <c r="R920" s="249">
        <v>3</v>
      </c>
      <c r="S920" s="249">
        <v>0.79</v>
      </c>
      <c r="T920" s="250" t="s">
        <v>37</v>
      </c>
      <c r="U920" s="249"/>
      <c r="V920" s="250"/>
      <c r="W920" s="250"/>
      <c r="X920" s="250"/>
      <c r="Y920" s="506">
        <v>0.8</v>
      </c>
      <c r="Z920" s="507" t="s">
        <v>37</v>
      </c>
      <c r="AA920" s="246"/>
      <c r="AB920" s="244"/>
      <c r="AC920" s="244"/>
      <c r="AD920" s="244"/>
      <c r="AF920" s="247">
        <f t="shared" si="418"/>
        <v>5.768320995793772</v>
      </c>
      <c r="AG920" s="247">
        <f t="shared" si="419"/>
        <v>5.7745515455444085</v>
      </c>
      <c r="AH920" s="252"/>
      <c r="AI920" s="252"/>
      <c r="AK920" s="461">
        <f t="shared" si="420"/>
        <v>960</v>
      </c>
      <c r="AL920" s="511">
        <f t="shared" si="421"/>
        <v>962</v>
      </c>
      <c r="AM920" s="247">
        <f t="shared" si="422"/>
        <v>6.866933284461882</v>
      </c>
      <c r="AN920" s="247">
        <f t="shared" si="423"/>
        <v>6.8690144506657065</v>
      </c>
      <c r="AO920" s="252"/>
      <c r="AP920" s="252"/>
      <c r="AR920" s="511">
        <f t="shared" si="436"/>
        <v>790.47644133359915</v>
      </c>
      <c r="AS920" s="511">
        <f t="shared" si="437"/>
        <v>790.17746464861352</v>
      </c>
      <c r="AT920" s="247">
        <f t="shared" si="431"/>
        <v>6.6726358539708954</v>
      </c>
      <c r="AU920" s="247">
        <f t="shared" si="432"/>
        <v>6.6722575590292639</v>
      </c>
      <c r="AV920" s="253"/>
      <c r="AW920" s="253"/>
      <c r="AX920" s="461">
        <f>GEOMEAN(AR920)</f>
        <v>790.47644133359915</v>
      </c>
      <c r="AY920" s="461">
        <f>GEOMEAN(AS920)</f>
        <v>790.17746464861352</v>
      </c>
      <c r="AZ920" s="461">
        <f>MIN(AX920)</f>
        <v>790.47644133359915</v>
      </c>
      <c r="BA920" s="461">
        <f>MIN(AY920)</f>
        <v>790.17746464861352</v>
      </c>
      <c r="BB920" s="247">
        <f>LN(AZ920)</f>
        <v>6.6726358539708954</v>
      </c>
      <c r="BC920" s="247">
        <f>LN(BA920)</f>
        <v>6.6722575590292639</v>
      </c>
      <c r="BD920" s="252"/>
      <c r="BE920" s="252"/>
    </row>
    <row r="921" spans="1:61" x14ac:dyDescent="0.2">
      <c r="A921" s="232" t="s">
        <v>89</v>
      </c>
      <c r="B921" s="232" t="s">
        <v>49</v>
      </c>
      <c r="C921" s="264" t="s">
        <v>53</v>
      </c>
      <c r="D921" s="232" t="s">
        <v>324</v>
      </c>
      <c r="E921" s="233">
        <v>6</v>
      </c>
      <c r="F921" s="136">
        <v>10</v>
      </c>
      <c r="G921" s="234">
        <f t="shared" si="435"/>
        <v>5.8004640371229703</v>
      </c>
      <c r="H921" s="233">
        <v>20</v>
      </c>
      <c r="I921" s="300">
        <f t="shared" si="438"/>
        <v>14.366</v>
      </c>
      <c r="J921" s="764">
        <v>2</v>
      </c>
      <c r="K921" s="295">
        <v>0</v>
      </c>
      <c r="L921" s="295">
        <v>21</v>
      </c>
      <c r="M921" s="295" t="s">
        <v>93</v>
      </c>
      <c r="N921" s="235">
        <v>350</v>
      </c>
      <c r="O921" s="295">
        <f t="shared" si="434"/>
        <v>352</v>
      </c>
      <c r="P921" s="290" t="s">
        <v>123</v>
      </c>
      <c r="Q921" s="290"/>
      <c r="R921" s="236">
        <v>3</v>
      </c>
      <c r="S921" s="285">
        <v>0.79</v>
      </c>
      <c r="T921" s="388" t="s">
        <v>37</v>
      </c>
      <c r="Y921" s="292">
        <v>0.8</v>
      </c>
      <c r="Z921" s="301" t="s">
        <v>37</v>
      </c>
      <c r="AA921" s="233"/>
      <c r="AB921" s="232"/>
      <c r="AC921" s="232"/>
      <c r="AD921" s="232"/>
      <c r="AE921" s="136"/>
      <c r="AF921" s="239">
        <f t="shared" si="418"/>
        <v>5.857933154483459</v>
      </c>
      <c r="AG921" s="239">
        <f t="shared" si="419"/>
        <v>5.8636311755980968</v>
      </c>
      <c r="AH921" s="240"/>
      <c r="AI921" s="240"/>
      <c r="AK921" s="265">
        <f t="shared" si="420"/>
        <v>1050</v>
      </c>
      <c r="AL921" s="286">
        <f t="shared" si="421"/>
        <v>1052</v>
      </c>
      <c r="AM921" s="239">
        <f t="shared" si="422"/>
        <v>6.956545443151569</v>
      </c>
      <c r="AN921" s="239">
        <f t="shared" si="423"/>
        <v>6.9584483932976555</v>
      </c>
      <c r="AO921" s="240"/>
      <c r="AP921" s="240"/>
      <c r="AR921" s="286">
        <f t="shared" si="436"/>
        <v>864.58360770862419</v>
      </c>
      <c r="AS921" s="286">
        <f t="shared" si="437"/>
        <v>864.10259127894119</v>
      </c>
      <c r="AT921" s="239">
        <f t="shared" si="431"/>
        <v>6.7622480126605824</v>
      </c>
      <c r="AU921" s="239">
        <f t="shared" si="432"/>
        <v>6.7616915016612129</v>
      </c>
      <c r="AX921" s="385">
        <f>GEOMEAN(AR921:AR949)</f>
        <v>796.35984539530455</v>
      </c>
      <c r="AY921" s="385">
        <f>GEOMEAN(AS921:AS949)</f>
        <v>820.55301923601553</v>
      </c>
      <c r="AZ921" s="265">
        <f>MIN(AX921:AX949)</f>
        <v>796.35984539530455</v>
      </c>
      <c r="BA921" s="265">
        <f>MIN(AY921:AY949)</f>
        <v>820.55301923601553</v>
      </c>
      <c r="BB921" s="239">
        <f>LN(AZ921)</f>
        <v>6.6800511507723739</v>
      </c>
      <c r="BC921" s="239">
        <f>LN(BA921)</f>
        <v>6.709978526646033</v>
      </c>
      <c r="BD921" s="240"/>
      <c r="BE921" s="240"/>
      <c r="BF921" s="136"/>
      <c r="BG921" s="136"/>
      <c r="BH921" s="136"/>
      <c r="BI921" s="136"/>
    </row>
    <row r="922" spans="1:61" x14ac:dyDescent="0.2">
      <c r="A922" s="232" t="s">
        <v>89</v>
      </c>
      <c r="B922" s="232" t="s">
        <v>49</v>
      </c>
      <c r="C922" s="264" t="s">
        <v>53</v>
      </c>
      <c r="D922" s="232" t="s">
        <v>324</v>
      </c>
      <c r="E922" s="233">
        <v>6</v>
      </c>
      <c r="F922" s="136">
        <v>10</v>
      </c>
      <c r="G922" s="234">
        <f t="shared" si="435"/>
        <v>5.8004640371229703</v>
      </c>
      <c r="H922" s="233">
        <v>20</v>
      </c>
      <c r="I922" s="300">
        <f t="shared" si="438"/>
        <v>14.366</v>
      </c>
      <c r="J922" s="764">
        <v>2</v>
      </c>
      <c r="K922" s="295">
        <v>0</v>
      </c>
      <c r="L922" s="295">
        <v>21</v>
      </c>
      <c r="M922" s="295" t="s">
        <v>93</v>
      </c>
      <c r="N922" s="235">
        <v>350</v>
      </c>
      <c r="O922" s="295">
        <f t="shared" si="434"/>
        <v>352</v>
      </c>
      <c r="P922" s="290" t="s">
        <v>123</v>
      </c>
      <c r="Q922" s="290"/>
      <c r="R922" s="236">
        <v>3</v>
      </c>
      <c r="S922" s="285">
        <v>0.79</v>
      </c>
      <c r="T922" s="388" t="s">
        <v>37</v>
      </c>
      <c r="Y922" s="292">
        <v>0.8</v>
      </c>
      <c r="Z922" s="301" t="s">
        <v>37</v>
      </c>
      <c r="AA922" s="233"/>
      <c r="AB922" s="232"/>
      <c r="AC922" s="232"/>
      <c r="AD922" s="232"/>
      <c r="AE922" s="136"/>
      <c r="AF922" s="239">
        <f t="shared" si="418"/>
        <v>5.857933154483459</v>
      </c>
      <c r="AG922" s="239">
        <f t="shared" si="419"/>
        <v>5.8636311755980968</v>
      </c>
      <c r="AH922" s="240"/>
      <c r="AI922" s="240"/>
      <c r="AK922" s="265">
        <f t="shared" si="420"/>
        <v>1050</v>
      </c>
      <c r="AL922" s="286">
        <f t="shared" si="421"/>
        <v>1052</v>
      </c>
      <c r="AM922" s="239">
        <f t="shared" si="422"/>
        <v>6.956545443151569</v>
      </c>
      <c r="AN922" s="239">
        <f t="shared" si="423"/>
        <v>6.9584483932976555</v>
      </c>
      <c r="AO922" s="240"/>
      <c r="AP922" s="240"/>
      <c r="AR922" s="286">
        <f t="shared" si="436"/>
        <v>864.58360770862419</v>
      </c>
      <c r="AS922" s="286">
        <f t="shared" si="437"/>
        <v>864.10259127894119</v>
      </c>
      <c r="AT922" s="239">
        <f t="shared" si="431"/>
        <v>6.7622480126605824</v>
      </c>
      <c r="AU922" s="239">
        <f t="shared" si="432"/>
        <v>6.7616915016612129</v>
      </c>
      <c r="AX922" s="265"/>
      <c r="AY922" s="265"/>
      <c r="AZ922" s="265"/>
      <c r="BA922" s="265"/>
      <c r="BB922" s="239"/>
      <c r="BC922" s="239"/>
      <c r="BD922" s="240"/>
      <c r="BE922" s="240"/>
      <c r="BF922" s="136"/>
      <c r="BG922" s="136"/>
      <c r="BH922" s="136"/>
      <c r="BI922" s="136"/>
    </row>
    <row r="923" spans="1:61" x14ac:dyDescent="0.2">
      <c r="A923" s="232" t="s">
        <v>89</v>
      </c>
      <c r="B923" s="232" t="s">
        <v>49</v>
      </c>
      <c r="C923" s="264" t="s">
        <v>53</v>
      </c>
      <c r="D923" s="232" t="s">
        <v>324</v>
      </c>
      <c r="E923" s="233">
        <v>6.1</v>
      </c>
      <c r="F923" s="136">
        <v>10</v>
      </c>
      <c r="G923" s="234">
        <f t="shared" si="435"/>
        <v>5.8004640371229703</v>
      </c>
      <c r="H923" s="233">
        <v>20</v>
      </c>
      <c r="I923" s="300">
        <f t="shared" si="438"/>
        <v>14.663199999999998</v>
      </c>
      <c r="J923" s="753">
        <v>2</v>
      </c>
      <c r="K923" s="295">
        <v>0</v>
      </c>
      <c r="L923" s="295">
        <v>21</v>
      </c>
      <c r="M923" s="235" t="s">
        <v>93</v>
      </c>
      <c r="N923" s="235">
        <v>237</v>
      </c>
      <c r="O923" s="295">
        <f t="shared" si="434"/>
        <v>239</v>
      </c>
      <c r="P923" s="290" t="s">
        <v>124</v>
      </c>
      <c r="Q923" s="290"/>
      <c r="R923" s="236">
        <v>3</v>
      </c>
      <c r="S923" s="285">
        <v>0.79</v>
      </c>
      <c r="T923" s="388" t="s">
        <v>37</v>
      </c>
      <c r="Y923" s="292">
        <v>0.8</v>
      </c>
      <c r="Z923" s="301" t="s">
        <v>37</v>
      </c>
      <c r="AA923" s="233"/>
      <c r="AB923" s="232"/>
      <c r="AC923" s="232"/>
      <c r="AD923" s="232"/>
      <c r="AE923" s="136"/>
      <c r="AF923" s="239">
        <f t="shared" si="418"/>
        <v>5.4680601411351315</v>
      </c>
      <c r="AG923" s="239">
        <f t="shared" si="419"/>
        <v>5.476463551931511</v>
      </c>
      <c r="AH923" s="240"/>
      <c r="AI923" s="240"/>
      <c r="AK923" s="265">
        <f t="shared" si="420"/>
        <v>711</v>
      </c>
      <c r="AL923" s="286">
        <f t="shared" si="421"/>
        <v>713</v>
      </c>
      <c r="AM923" s="239">
        <f t="shared" si="422"/>
        <v>6.5666724298032406</v>
      </c>
      <c r="AN923" s="239">
        <f t="shared" si="423"/>
        <v>6.5694814204142959</v>
      </c>
      <c r="AO923" s="240"/>
      <c r="AP923" s="240"/>
      <c r="AR923" s="286">
        <f t="shared" si="436"/>
        <v>576.05229459035752</v>
      </c>
      <c r="AS923" s="286">
        <f t="shared" si="437"/>
        <v>576.13569166498928</v>
      </c>
      <c r="AT923" s="239">
        <f t="shared" si="431"/>
        <v>6.3561984457941705</v>
      </c>
      <c r="AU923" s="239">
        <f t="shared" si="432"/>
        <v>6.3563432087595411</v>
      </c>
      <c r="AX923" s="385"/>
      <c r="AY923" s="385"/>
      <c r="AZ923" s="385"/>
      <c r="BA923" s="265"/>
      <c r="BB923" s="239"/>
      <c r="BC923" s="239"/>
      <c r="BD923" s="240"/>
      <c r="BE923" s="240"/>
      <c r="BF923" s="136"/>
      <c r="BG923" s="136"/>
      <c r="BH923" s="136"/>
      <c r="BI923" s="136"/>
    </row>
    <row r="924" spans="1:61" x14ac:dyDescent="0.2">
      <c r="A924" s="232" t="s">
        <v>89</v>
      </c>
      <c r="B924" s="232" t="s">
        <v>49</v>
      </c>
      <c r="C924" s="264" t="s">
        <v>53</v>
      </c>
      <c r="D924" s="232" t="s">
        <v>324</v>
      </c>
      <c r="E924" s="233">
        <v>6.3</v>
      </c>
      <c r="F924" s="136">
        <v>10</v>
      </c>
      <c r="G924" s="234">
        <f t="shared" si="435"/>
        <v>5.8004640371229703</v>
      </c>
      <c r="H924" s="233">
        <v>20</v>
      </c>
      <c r="I924" s="300">
        <f t="shared" si="438"/>
        <v>15.2576</v>
      </c>
      <c r="J924" s="753">
        <v>2</v>
      </c>
      <c r="K924" s="295">
        <v>0</v>
      </c>
      <c r="L924" s="295">
        <v>56</v>
      </c>
      <c r="M924" s="235" t="s">
        <v>93</v>
      </c>
      <c r="N924" s="235">
        <v>199</v>
      </c>
      <c r="O924" s="295">
        <f t="shared" si="434"/>
        <v>201</v>
      </c>
      <c r="P924" s="290" t="s">
        <v>125</v>
      </c>
      <c r="Q924" s="290"/>
      <c r="R924" s="236">
        <v>3</v>
      </c>
      <c r="S924" s="285">
        <v>0.79</v>
      </c>
      <c r="T924" s="388" t="s">
        <v>37</v>
      </c>
      <c r="Y924" s="292">
        <v>0.8</v>
      </c>
      <c r="Z924" s="301" t="s">
        <v>37</v>
      </c>
      <c r="AA924" s="233"/>
      <c r="AB924" s="232"/>
      <c r="AC924" s="232"/>
      <c r="AD924" s="232"/>
      <c r="AE924" s="136"/>
      <c r="AF924" s="239">
        <f t="shared" si="418"/>
        <v>5.2933048247244923</v>
      </c>
      <c r="AG924" s="239">
        <f t="shared" si="419"/>
        <v>5.3033049080590757</v>
      </c>
      <c r="AH924" s="240"/>
      <c r="AI924" s="240"/>
      <c r="AK924" s="265">
        <f t="shared" si="420"/>
        <v>597</v>
      </c>
      <c r="AL924" s="286">
        <f t="shared" si="421"/>
        <v>599</v>
      </c>
      <c r="AM924" s="239">
        <f t="shared" si="422"/>
        <v>6.3919171133926023</v>
      </c>
      <c r="AN924" s="239">
        <f t="shared" si="423"/>
        <v>6.3952615981154493</v>
      </c>
      <c r="AO924" s="240"/>
      <c r="AP924" s="240"/>
      <c r="AR924" s="286">
        <f t="shared" si="436"/>
        <v>468.74132410056853</v>
      </c>
      <c r="AS924" s="286">
        <f t="shared" si="437"/>
        <v>468.87394472488359</v>
      </c>
      <c r="AT924" s="239">
        <f t="shared" si="431"/>
        <v>6.1500510685278806</v>
      </c>
      <c r="AU924" s="239">
        <f t="shared" si="432"/>
        <v>6.1503339577461116</v>
      </c>
      <c r="AX924" s="385"/>
      <c r="AY924" s="385"/>
      <c r="AZ924" s="385"/>
      <c r="BA924" s="265"/>
      <c r="BB924" s="239"/>
      <c r="BC924" s="239"/>
      <c r="BD924" s="240"/>
      <c r="BE924" s="240"/>
      <c r="BF924" s="136"/>
      <c r="BG924" s="136"/>
      <c r="BH924" s="136"/>
      <c r="BI924" s="136"/>
    </row>
    <row r="925" spans="1:61" x14ac:dyDescent="0.2">
      <c r="A925" s="232" t="s">
        <v>89</v>
      </c>
      <c r="B925" s="232" t="s">
        <v>49</v>
      </c>
      <c r="C925" s="264" t="s">
        <v>53</v>
      </c>
      <c r="D925" s="445" t="s">
        <v>324</v>
      </c>
      <c r="E925" s="233">
        <v>6</v>
      </c>
      <c r="F925" s="136">
        <v>10</v>
      </c>
      <c r="G925" s="234">
        <f t="shared" si="435"/>
        <v>5.8004640371229703</v>
      </c>
      <c r="H925" s="233">
        <v>20</v>
      </c>
      <c r="I925" s="300">
        <f t="shared" si="438"/>
        <v>14.366</v>
      </c>
      <c r="J925" s="753">
        <v>2</v>
      </c>
      <c r="K925" s="295">
        <v>0</v>
      </c>
      <c r="L925" s="295">
        <v>21</v>
      </c>
      <c r="M925" s="235" t="s">
        <v>93</v>
      </c>
      <c r="N925" s="235">
        <v>553</v>
      </c>
      <c r="O925" s="295">
        <f t="shared" si="434"/>
        <v>555</v>
      </c>
      <c r="P925" s="290" t="s">
        <v>126</v>
      </c>
      <c r="Q925" s="290"/>
      <c r="R925" s="236">
        <v>3</v>
      </c>
      <c r="S925" s="285">
        <v>0.79</v>
      </c>
      <c r="T925" s="388" t="s">
        <v>37</v>
      </c>
      <c r="Y925" s="292">
        <v>0.8</v>
      </c>
      <c r="Z925" s="301" t="s">
        <v>37</v>
      </c>
      <c r="AA925" s="233"/>
      <c r="AB925" s="232"/>
      <c r="AC925" s="232"/>
      <c r="AD925" s="232"/>
      <c r="AE925" s="136"/>
      <c r="AF925" s="239">
        <f t="shared" si="418"/>
        <v>6.315358001522335</v>
      </c>
      <c r="AG925" s="239">
        <f t="shared" si="419"/>
        <v>6.3189681137464344</v>
      </c>
      <c r="AH925" s="240"/>
      <c r="AI925" s="240"/>
      <c r="AK925" s="265">
        <f t="shared" si="420"/>
        <v>1659</v>
      </c>
      <c r="AL925" s="286">
        <f t="shared" si="421"/>
        <v>1661</v>
      </c>
      <c r="AM925" s="239">
        <f t="shared" si="422"/>
        <v>7.4139702901904441</v>
      </c>
      <c r="AN925" s="239">
        <f t="shared" si="423"/>
        <v>7.415175109613295</v>
      </c>
      <c r="AO925" s="240"/>
      <c r="AP925" s="240"/>
      <c r="AR925" s="286">
        <f t="shared" si="436"/>
        <v>1366.0421001796262</v>
      </c>
      <c r="AS925" s="286">
        <f t="shared" si="437"/>
        <v>1364.3292814774918</v>
      </c>
      <c r="AT925" s="239">
        <f t="shared" si="431"/>
        <v>7.2196728596994575</v>
      </c>
      <c r="AU925" s="239">
        <f t="shared" si="432"/>
        <v>7.2184182179768523</v>
      </c>
      <c r="AX925" s="385"/>
      <c r="AY925" s="385"/>
      <c r="AZ925" s="385"/>
      <c r="BA925" s="265"/>
      <c r="BB925" s="239"/>
      <c r="BC925" s="239"/>
      <c r="BD925" s="240"/>
      <c r="BE925" s="240"/>
      <c r="BF925" s="136"/>
      <c r="BG925" s="136"/>
      <c r="BH925" s="136"/>
      <c r="BI925" s="136"/>
    </row>
    <row r="926" spans="1:61" x14ac:dyDescent="0.2">
      <c r="A926" s="232" t="s">
        <v>89</v>
      </c>
      <c r="B926" s="232" t="s">
        <v>49</v>
      </c>
      <c r="C926" s="264" t="s">
        <v>53</v>
      </c>
      <c r="D926" s="232" t="s">
        <v>324</v>
      </c>
      <c r="E926" s="233">
        <v>6</v>
      </c>
      <c r="F926" s="136">
        <v>5</v>
      </c>
      <c r="G926" s="234">
        <f t="shared" si="435"/>
        <v>2.9002320185614852</v>
      </c>
      <c r="H926" s="233">
        <v>20</v>
      </c>
      <c r="I926" s="300">
        <f t="shared" si="438"/>
        <v>7.1829999999999998</v>
      </c>
      <c r="J926" s="753">
        <v>2</v>
      </c>
      <c r="K926" s="295">
        <v>0</v>
      </c>
      <c r="L926" s="295">
        <v>21</v>
      </c>
      <c r="M926" s="235" t="s">
        <v>93</v>
      </c>
      <c r="N926" s="235">
        <v>97</v>
      </c>
      <c r="O926" s="295">
        <f t="shared" si="434"/>
        <v>99</v>
      </c>
      <c r="P926" s="290" t="s">
        <v>126</v>
      </c>
      <c r="Q926" s="290"/>
      <c r="R926" s="236">
        <v>3</v>
      </c>
      <c r="S926" s="285">
        <v>0.79</v>
      </c>
      <c r="T926" s="388" t="s">
        <v>37</v>
      </c>
      <c r="Y926" s="292">
        <v>0.8</v>
      </c>
      <c r="Z926" s="301" t="s">
        <v>37</v>
      </c>
      <c r="AA926" s="233"/>
      <c r="AB926" s="232"/>
      <c r="AC926" s="232"/>
      <c r="AD926" s="232"/>
      <c r="AE926" s="136"/>
      <c r="AF926" s="239">
        <f t="shared" si="418"/>
        <v>4.5747109785033828</v>
      </c>
      <c r="AG926" s="239">
        <f t="shared" si="419"/>
        <v>4.5951198501345898</v>
      </c>
      <c r="AH926" s="240"/>
      <c r="AI926" s="240"/>
      <c r="AK926" s="265">
        <f t="shared" si="420"/>
        <v>291</v>
      </c>
      <c r="AL926" s="286">
        <f t="shared" si="421"/>
        <v>293</v>
      </c>
      <c r="AM926" s="239">
        <f t="shared" si="422"/>
        <v>5.6733232671714928</v>
      </c>
      <c r="AN926" s="239">
        <f t="shared" si="423"/>
        <v>5.6801726090170677</v>
      </c>
      <c r="AO926" s="240"/>
      <c r="AP926" s="240"/>
      <c r="AR926" s="286">
        <f t="shared" si="436"/>
        <v>414.30901536531547</v>
      </c>
      <c r="AS926" s="286">
        <f t="shared" si="437"/>
        <v>419.02620587827408</v>
      </c>
      <c r="AT926" s="239">
        <f t="shared" si="431"/>
        <v>6.0266121093228628</v>
      </c>
      <c r="AU926" s="239">
        <f t="shared" si="432"/>
        <v>6.0379334618285814</v>
      </c>
      <c r="AX926" s="385"/>
      <c r="AY926" s="385"/>
      <c r="AZ926" s="385"/>
      <c r="BA926" s="265"/>
      <c r="BB926" s="239"/>
      <c r="BC926" s="239"/>
      <c r="BD926" s="240"/>
      <c r="BE926" s="240"/>
      <c r="BF926" s="136"/>
      <c r="BG926" s="136"/>
      <c r="BH926" s="136"/>
      <c r="BI926" s="136"/>
    </row>
    <row r="927" spans="1:61" x14ac:dyDescent="0.2">
      <c r="A927" s="232" t="s">
        <v>89</v>
      </c>
      <c r="B927" s="232" t="s">
        <v>49</v>
      </c>
      <c r="C927" s="264" t="s">
        <v>53</v>
      </c>
      <c r="D927" s="445" t="s">
        <v>324</v>
      </c>
      <c r="E927" s="233">
        <v>6</v>
      </c>
      <c r="F927" s="136">
        <v>15</v>
      </c>
      <c r="G927" s="234">
        <f t="shared" si="435"/>
        <v>8.700696055684455</v>
      </c>
      <c r="H927" s="233">
        <v>20</v>
      </c>
      <c r="I927" s="300">
        <f t="shared" si="438"/>
        <v>21.548999999999999</v>
      </c>
      <c r="J927" s="753">
        <v>2</v>
      </c>
      <c r="K927" s="295">
        <v>0</v>
      </c>
      <c r="L927" s="295">
        <v>21</v>
      </c>
      <c r="M927" s="235" t="s">
        <v>93</v>
      </c>
      <c r="N927" s="235">
        <v>484</v>
      </c>
      <c r="O927" s="295">
        <f t="shared" si="434"/>
        <v>486</v>
      </c>
      <c r="P927" s="290" t="s">
        <v>126</v>
      </c>
      <c r="Q927" s="290"/>
      <c r="R927" s="236">
        <v>3</v>
      </c>
      <c r="S927" s="285">
        <v>0.79</v>
      </c>
      <c r="T927" s="388" t="s">
        <v>37</v>
      </c>
      <c r="Y927" s="292">
        <v>0.8</v>
      </c>
      <c r="Z927" s="301" t="s">
        <v>37</v>
      </c>
      <c r="AA927" s="233"/>
      <c r="AB927" s="232"/>
      <c r="AC927" s="232"/>
      <c r="AD927" s="232"/>
      <c r="AE927" s="136"/>
      <c r="AF927" s="239">
        <f t="shared" si="418"/>
        <v>6.1820849067166321</v>
      </c>
      <c r="AG927" s="239">
        <f t="shared" si="419"/>
        <v>6.1862086239004936</v>
      </c>
      <c r="AH927" s="240"/>
      <c r="AI927" s="240"/>
      <c r="AK927" s="265">
        <f t="shared" si="420"/>
        <v>1452</v>
      </c>
      <c r="AL927" s="286">
        <f t="shared" si="421"/>
        <v>1454</v>
      </c>
      <c r="AM927" s="239">
        <f t="shared" si="422"/>
        <v>7.2806971953847412</v>
      </c>
      <c r="AN927" s="239">
        <f t="shared" si="423"/>
        <v>7.2820736580934646</v>
      </c>
      <c r="AO927" s="240"/>
      <c r="AP927" s="240"/>
      <c r="AR927" s="286">
        <f t="shared" si="436"/>
        <v>867.90505886333563</v>
      </c>
      <c r="AS927" s="286">
        <f t="shared" si="437"/>
        <v>863.45750163421735</v>
      </c>
      <c r="AT927" s="239">
        <f t="shared" ref="AT927:AT958" si="439">LN(AR927)</f>
        <v>6.766082329488305</v>
      </c>
      <c r="AU927" s="239">
        <f t="shared" ref="AU927:AU958" si="440">LN(AS927)</f>
        <v>6.7609446799704909</v>
      </c>
      <c r="AX927" s="385"/>
      <c r="AY927" s="385"/>
      <c r="AZ927" s="385"/>
      <c r="BA927" s="265"/>
      <c r="BB927" s="239"/>
      <c r="BC927" s="239"/>
      <c r="BD927" s="240"/>
      <c r="BE927" s="240"/>
      <c r="BF927" s="136"/>
      <c r="BG927" s="136"/>
      <c r="BH927" s="136"/>
      <c r="BI927" s="136"/>
    </row>
    <row r="928" spans="1:61" x14ac:dyDescent="0.2">
      <c r="A928" s="232" t="s">
        <v>89</v>
      </c>
      <c r="B928" s="232" t="s">
        <v>49</v>
      </c>
      <c r="C928" s="264" t="s">
        <v>53</v>
      </c>
      <c r="D928" s="232" t="s">
        <v>324</v>
      </c>
      <c r="E928" s="233">
        <v>5</v>
      </c>
      <c r="F928" s="136">
        <v>5</v>
      </c>
      <c r="G928" s="234">
        <f t="shared" si="435"/>
        <v>2.9002320185614852</v>
      </c>
      <c r="H928" s="233">
        <v>20</v>
      </c>
      <c r="I928" s="300">
        <f t="shared" si="438"/>
        <v>5.6970000000000001</v>
      </c>
      <c r="J928" s="753">
        <v>2</v>
      </c>
      <c r="K928" s="295">
        <v>0</v>
      </c>
      <c r="L928" s="295">
        <v>21</v>
      </c>
      <c r="M928" s="235" t="s">
        <v>93</v>
      </c>
      <c r="N928" s="235">
        <v>85</v>
      </c>
      <c r="O928" s="295">
        <f t="shared" si="434"/>
        <v>87</v>
      </c>
      <c r="P928" s="290" t="s">
        <v>126</v>
      </c>
      <c r="Q928" s="290"/>
      <c r="R928" s="236">
        <v>3</v>
      </c>
      <c r="S928" s="285">
        <v>0.79</v>
      </c>
      <c r="T928" s="388" t="s">
        <v>37</v>
      </c>
      <c r="Y928" s="292">
        <v>0.8</v>
      </c>
      <c r="Z928" s="301" t="s">
        <v>37</v>
      </c>
      <c r="AA928" s="233"/>
      <c r="AB928" s="232"/>
      <c r="AC928" s="232"/>
      <c r="AD928" s="232"/>
      <c r="AE928" s="136"/>
      <c r="AF928" s="239">
        <f t="shared" si="418"/>
        <v>4.4426512564903167</v>
      </c>
      <c r="AG928" s="239">
        <f t="shared" si="419"/>
        <v>4.4659081186545837</v>
      </c>
      <c r="AH928" s="240"/>
      <c r="AI928" s="240"/>
      <c r="AK928" s="265">
        <f t="shared" si="420"/>
        <v>255</v>
      </c>
      <c r="AL928" s="286">
        <f t="shared" si="421"/>
        <v>257</v>
      </c>
      <c r="AM928" s="239">
        <f t="shared" si="422"/>
        <v>5.5412635451584258</v>
      </c>
      <c r="AN928" s="239">
        <f t="shared" si="423"/>
        <v>5.5490760848952201</v>
      </c>
      <c r="AO928" s="240"/>
      <c r="AP928" s="240"/>
      <c r="AR928" s="286">
        <f t="shared" si="436"/>
        <v>436.0062313610386</v>
      </c>
      <c r="AS928" s="286">
        <f t="shared" si="437"/>
        <v>442.419647231856</v>
      </c>
      <c r="AT928" s="239">
        <f t="shared" si="439"/>
        <v>6.0776565353593766</v>
      </c>
      <c r="AU928" s="239">
        <f t="shared" si="440"/>
        <v>6.0922588597822589</v>
      </c>
      <c r="AX928" s="385"/>
      <c r="AY928" s="385"/>
      <c r="AZ928" s="385"/>
      <c r="BA928" s="265"/>
      <c r="BB928" s="239"/>
      <c r="BC928" s="239"/>
      <c r="BD928" s="240"/>
      <c r="BE928" s="240"/>
      <c r="BF928" s="136"/>
      <c r="BG928" s="136"/>
      <c r="BH928" s="136"/>
      <c r="BI928" s="136"/>
    </row>
    <row r="929" spans="1:61" x14ac:dyDescent="0.2">
      <c r="A929" s="232" t="s">
        <v>89</v>
      </c>
      <c r="B929" s="232" t="s">
        <v>49</v>
      </c>
      <c r="C929" s="264" t="s">
        <v>53</v>
      </c>
      <c r="D929" s="232" t="s">
        <v>324</v>
      </c>
      <c r="E929" s="233">
        <v>5</v>
      </c>
      <c r="F929" s="136">
        <v>10</v>
      </c>
      <c r="G929" s="234">
        <f t="shared" si="435"/>
        <v>5.8004640371229703</v>
      </c>
      <c r="H929" s="233">
        <v>20</v>
      </c>
      <c r="I929" s="300">
        <f t="shared" si="438"/>
        <v>11.394</v>
      </c>
      <c r="J929" s="753">
        <v>2</v>
      </c>
      <c r="K929" s="295">
        <v>0</v>
      </c>
      <c r="L929" s="295">
        <v>21</v>
      </c>
      <c r="M929" s="235" t="s">
        <v>93</v>
      </c>
      <c r="N929" s="235">
        <v>183</v>
      </c>
      <c r="O929" s="295">
        <f t="shared" si="434"/>
        <v>185</v>
      </c>
      <c r="P929" s="290" t="s">
        <v>126</v>
      </c>
      <c r="Q929" s="290"/>
      <c r="R929" s="236">
        <v>3</v>
      </c>
      <c r="S929" s="285">
        <v>0.79</v>
      </c>
      <c r="T929" s="388" t="s">
        <v>37</v>
      </c>
      <c r="Y929" s="292">
        <v>0.8</v>
      </c>
      <c r="Z929" s="301" t="s">
        <v>37</v>
      </c>
      <c r="AA929" s="233"/>
      <c r="AB929" s="232"/>
      <c r="AC929" s="232"/>
      <c r="AD929" s="232"/>
      <c r="AE929" s="136"/>
      <c r="AF929" s="239">
        <f t="shared" si="418"/>
        <v>5.2094861528414214</v>
      </c>
      <c r="AG929" s="239">
        <f t="shared" si="419"/>
        <v>5.2203558250783244</v>
      </c>
      <c r="AH929" s="240"/>
      <c r="AI929" s="240"/>
      <c r="AK929" s="265">
        <f t="shared" si="420"/>
        <v>549</v>
      </c>
      <c r="AL929" s="286">
        <f t="shared" si="421"/>
        <v>551</v>
      </c>
      <c r="AM929" s="239">
        <f t="shared" si="422"/>
        <v>6.3080984415095305</v>
      </c>
      <c r="AN929" s="239">
        <f t="shared" si="423"/>
        <v>6.3117348091529148</v>
      </c>
      <c r="AO929" s="240"/>
      <c r="AP929" s="240"/>
      <c r="AR929" s="286">
        <f t="shared" si="436"/>
        <v>542.88915196566506</v>
      </c>
      <c r="AS929" s="286">
        <f t="shared" si="437"/>
        <v>544.78969507290753</v>
      </c>
      <c r="AT929" s="239">
        <f t="shared" si="439"/>
        <v>6.2969051590681246</v>
      </c>
      <c r="AU929" s="239">
        <f t="shared" si="440"/>
        <v>6.3003998395919973</v>
      </c>
      <c r="AX929" s="385"/>
      <c r="AY929" s="385"/>
      <c r="AZ929" s="385"/>
      <c r="BA929" s="265"/>
      <c r="BB929" s="239"/>
      <c r="BC929" s="239"/>
      <c r="BD929" s="240"/>
      <c r="BE929" s="240"/>
      <c r="BF929" s="136"/>
      <c r="BG929" s="136"/>
      <c r="BH929" s="136"/>
      <c r="BI929" s="136"/>
    </row>
    <row r="930" spans="1:61" x14ac:dyDescent="0.2">
      <c r="A930" s="232" t="s">
        <v>89</v>
      </c>
      <c r="B930" s="232" t="s">
        <v>49</v>
      </c>
      <c r="C930" s="264" t="s">
        <v>53</v>
      </c>
      <c r="D930" s="232" t="s">
        <v>324</v>
      </c>
      <c r="E930" s="233">
        <v>5</v>
      </c>
      <c r="F930" s="136">
        <v>15</v>
      </c>
      <c r="G930" s="234">
        <f t="shared" si="435"/>
        <v>8.700696055684455</v>
      </c>
      <c r="H930" s="233">
        <v>20</v>
      </c>
      <c r="I930" s="300">
        <f t="shared" si="438"/>
        <v>17.090999999999998</v>
      </c>
      <c r="J930" s="753">
        <v>2</v>
      </c>
      <c r="K930" s="295">
        <v>0</v>
      </c>
      <c r="L930" s="295">
        <v>21</v>
      </c>
      <c r="M930" s="235" t="s">
        <v>93</v>
      </c>
      <c r="N930" s="235">
        <v>414</v>
      </c>
      <c r="O930" s="295">
        <f t="shared" si="434"/>
        <v>416</v>
      </c>
      <c r="P930" s="290" t="s">
        <v>126</v>
      </c>
      <c r="Q930" s="290"/>
      <c r="R930" s="236">
        <v>3</v>
      </c>
      <c r="S930" s="285">
        <v>0.79</v>
      </c>
      <c r="T930" s="388" t="s">
        <v>37</v>
      </c>
      <c r="Y930" s="292">
        <v>0.8</v>
      </c>
      <c r="Z930" s="301" t="s">
        <v>37</v>
      </c>
      <c r="AA930" s="233"/>
      <c r="AB930" s="232"/>
      <c r="AC930" s="232"/>
      <c r="AD930" s="232"/>
      <c r="AE930" s="136"/>
      <c r="AF930" s="239">
        <f t="shared" si="418"/>
        <v>6.0258659738253142</v>
      </c>
      <c r="AG930" s="239">
        <f t="shared" si="419"/>
        <v>6.0306852602612633</v>
      </c>
      <c r="AH930" s="240"/>
      <c r="AI930" s="240"/>
      <c r="AK930" s="265">
        <f t="shared" si="420"/>
        <v>1242</v>
      </c>
      <c r="AL930" s="286">
        <f t="shared" si="421"/>
        <v>1244</v>
      </c>
      <c r="AM930" s="239">
        <f t="shared" si="422"/>
        <v>7.1244782624934242</v>
      </c>
      <c r="AN930" s="239">
        <f t="shared" si="423"/>
        <v>7.1260872732991247</v>
      </c>
      <c r="AO930" s="240"/>
      <c r="AP930" s="240"/>
      <c r="AR930" s="286">
        <f t="shared" si="436"/>
        <v>891.55537041605419</v>
      </c>
      <c r="AS930" s="286">
        <f t="shared" si="437"/>
        <v>889.25160636320265</v>
      </c>
      <c r="AT930" s="239">
        <f t="shared" si="439"/>
        <v>6.7929675446465687</v>
      </c>
      <c r="AU930" s="239">
        <f t="shared" si="440"/>
        <v>6.7903802172516761</v>
      </c>
      <c r="AX930" s="385"/>
      <c r="AY930" s="385"/>
      <c r="AZ930" s="385"/>
      <c r="BA930" s="265"/>
      <c r="BB930" s="239"/>
      <c r="BC930" s="239"/>
      <c r="BD930" s="240"/>
      <c r="BE930" s="240"/>
      <c r="BF930" s="136"/>
      <c r="BG930" s="136"/>
      <c r="BH930" s="136"/>
      <c r="BI930" s="136"/>
    </row>
    <row r="931" spans="1:61" x14ac:dyDescent="0.2">
      <c r="A931" s="232" t="s">
        <v>89</v>
      </c>
      <c r="B931" s="232" t="s">
        <v>49</v>
      </c>
      <c r="C931" s="264" t="s">
        <v>53</v>
      </c>
      <c r="D931" s="232" t="s">
        <v>324</v>
      </c>
      <c r="E931" s="233">
        <v>4</v>
      </c>
      <c r="F931" s="136">
        <v>5</v>
      </c>
      <c r="G931" s="234">
        <f t="shared" si="435"/>
        <v>2.9002320185614852</v>
      </c>
      <c r="H931" s="233">
        <v>20</v>
      </c>
      <c r="I931" s="300">
        <f t="shared" si="438"/>
        <v>4.2110000000000003</v>
      </c>
      <c r="J931" s="753">
        <v>2</v>
      </c>
      <c r="K931" s="295">
        <v>0</v>
      </c>
      <c r="L931" s="295">
        <v>21</v>
      </c>
      <c r="M931" s="235" t="s">
        <v>93</v>
      </c>
      <c r="N931" s="235">
        <v>115</v>
      </c>
      <c r="O931" s="295">
        <f t="shared" si="434"/>
        <v>117</v>
      </c>
      <c r="P931" s="290" t="s">
        <v>126</v>
      </c>
      <c r="Q931" s="290"/>
      <c r="R931" s="236">
        <v>3</v>
      </c>
      <c r="S931" s="285">
        <v>0.79</v>
      </c>
      <c r="T931" s="388" t="s">
        <v>37</v>
      </c>
      <c r="Y931" s="292">
        <v>0.8</v>
      </c>
      <c r="Z931" s="301" t="s">
        <v>37</v>
      </c>
      <c r="AA931" s="233"/>
      <c r="AB931" s="232"/>
      <c r="AC931" s="232"/>
      <c r="AD931" s="232"/>
      <c r="AE931" s="136"/>
      <c r="AF931" s="239">
        <f t="shared" si="418"/>
        <v>4.7449321283632502</v>
      </c>
      <c r="AG931" s="239">
        <f t="shared" si="419"/>
        <v>4.7621739347977563</v>
      </c>
      <c r="AH931" s="240"/>
      <c r="AI931" s="240"/>
      <c r="AK931" s="265">
        <f t="shared" si="420"/>
        <v>345</v>
      </c>
      <c r="AL931" s="286">
        <f t="shared" si="421"/>
        <v>347</v>
      </c>
      <c r="AM931" s="239">
        <f t="shared" si="422"/>
        <v>5.8435444170313602</v>
      </c>
      <c r="AN931" s="239">
        <f t="shared" si="423"/>
        <v>5.8493247799468593</v>
      </c>
      <c r="AO931" s="240"/>
      <c r="AP931" s="240"/>
      <c r="AR931" s="286">
        <f t="shared" si="436"/>
        <v>748.97579649852332</v>
      </c>
      <c r="AS931" s="286">
        <f t="shared" si="437"/>
        <v>760.7457573939738</v>
      </c>
      <c r="AT931" s="239">
        <f t="shared" si="439"/>
        <v>6.6187066685738998</v>
      </c>
      <c r="AU931" s="239">
        <f t="shared" si="440"/>
        <v>6.6342992118886723</v>
      </c>
      <c r="AX931" s="385"/>
      <c r="AY931" s="385"/>
      <c r="AZ931" s="385"/>
      <c r="BA931" s="265"/>
      <c r="BB931" s="239"/>
      <c r="BC931" s="239"/>
      <c r="BD931" s="240"/>
      <c r="BE931" s="240"/>
      <c r="BF931" s="136"/>
      <c r="BG931" s="136"/>
      <c r="BH931" s="136"/>
      <c r="BI931" s="136"/>
    </row>
    <row r="932" spans="1:61" x14ac:dyDescent="0.2">
      <c r="A932" s="232" t="s">
        <v>89</v>
      </c>
      <c r="B932" s="232" t="s">
        <v>49</v>
      </c>
      <c r="C932" s="264" t="s">
        <v>53</v>
      </c>
      <c r="D932" s="232" t="s">
        <v>324</v>
      </c>
      <c r="E932" s="233">
        <v>4</v>
      </c>
      <c r="F932" s="136">
        <v>10</v>
      </c>
      <c r="G932" s="234">
        <f t="shared" si="435"/>
        <v>5.8004640371229703</v>
      </c>
      <c r="H932" s="233">
        <v>20</v>
      </c>
      <c r="I932" s="300">
        <f t="shared" si="438"/>
        <v>8.4220000000000006</v>
      </c>
      <c r="J932" s="753">
        <v>2</v>
      </c>
      <c r="K932" s="295">
        <v>0</v>
      </c>
      <c r="L932" s="295">
        <v>21</v>
      </c>
      <c r="M932" s="235" t="s">
        <v>93</v>
      </c>
      <c r="N932" s="235">
        <v>161</v>
      </c>
      <c r="O932" s="295">
        <f t="shared" si="434"/>
        <v>163</v>
      </c>
      <c r="P932" s="290" t="s">
        <v>126</v>
      </c>
      <c r="Q932" s="290"/>
      <c r="R932" s="236">
        <v>3</v>
      </c>
      <c r="S932" s="285">
        <v>0.79</v>
      </c>
      <c r="T932" s="388" t="s">
        <v>37</v>
      </c>
      <c r="Y932" s="292">
        <v>0.8</v>
      </c>
      <c r="Z932" s="301" t="s">
        <v>37</v>
      </c>
      <c r="AA932" s="233"/>
      <c r="AB932" s="232"/>
      <c r="AC932" s="232"/>
      <c r="AD932" s="232"/>
      <c r="AE932" s="136"/>
      <c r="AF932" s="239">
        <f t="shared" si="418"/>
        <v>5.0814043649844631</v>
      </c>
      <c r="AG932" s="239">
        <f t="shared" si="419"/>
        <v>5.0937502008067623</v>
      </c>
      <c r="AH932" s="240"/>
      <c r="AI932" s="240"/>
      <c r="AK932" s="265">
        <f t="shared" si="420"/>
        <v>483</v>
      </c>
      <c r="AL932" s="286">
        <f t="shared" si="421"/>
        <v>485</v>
      </c>
      <c r="AM932" s="239">
        <f t="shared" si="422"/>
        <v>6.1800166536525722</v>
      </c>
      <c r="AN932" s="239">
        <f t="shared" si="423"/>
        <v>6.1841488909374833</v>
      </c>
      <c r="AO932" s="240"/>
      <c r="AP932" s="240"/>
      <c r="AR932" s="286">
        <f t="shared" si="436"/>
        <v>606.43201768862514</v>
      </c>
      <c r="AS932" s="286">
        <f t="shared" si="437"/>
        <v>610.69984012013549</v>
      </c>
      <c r="AT932" s="239">
        <f t="shared" si="439"/>
        <v>6.4075926325527561</v>
      </c>
      <c r="AU932" s="239">
        <f t="shared" si="440"/>
        <v>6.41460557843134</v>
      </c>
      <c r="AX932" s="385"/>
      <c r="AY932" s="385"/>
      <c r="AZ932" s="385"/>
      <c r="BA932" s="265"/>
      <c r="BB932" s="239"/>
      <c r="BC932" s="239"/>
      <c r="BD932" s="240"/>
      <c r="BE932" s="240"/>
      <c r="BF932" s="136"/>
      <c r="BG932" s="136"/>
      <c r="BH932" s="136"/>
      <c r="BI932" s="136"/>
    </row>
    <row r="933" spans="1:61" x14ac:dyDescent="0.2">
      <c r="A933" s="232" t="s">
        <v>89</v>
      </c>
      <c r="B933" s="232" t="s">
        <v>49</v>
      </c>
      <c r="C933" s="264" t="s">
        <v>53</v>
      </c>
      <c r="D933" s="232" t="s">
        <v>324</v>
      </c>
      <c r="E933" s="233">
        <v>4</v>
      </c>
      <c r="F933" s="136">
        <v>15</v>
      </c>
      <c r="G933" s="234">
        <f t="shared" si="435"/>
        <v>8.700696055684455</v>
      </c>
      <c r="H933" s="233">
        <v>20</v>
      </c>
      <c r="I933" s="300">
        <f t="shared" si="438"/>
        <v>12.632999999999999</v>
      </c>
      <c r="J933" s="753">
        <v>2</v>
      </c>
      <c r="K933" s="295">
        <v>0</v>
      </c>
      <c r="L933" s="295">
        <v>21</v>
      </c>
      <c r="M933" s="235" t="s">
        <v>93</v>
      </c>
      <c r="N933" s="235">
        <v>223</v>
      </c>
      <c r="O933" s="295">
        <f t="shared" si="434"/>
        <v>225</v>
      </c>
      <c r="P933" s="290" t="s">
        <v>126</v>
      </c>
      <c r="Q933" s="290"/>
      <c r="R933" s="236">
        <v>3</v>
      </c>
      <c r="S933" s="285">
        <v>0.79</v>
      </c>
      <c r="T933" s="388" t="s">
        <v>37</v>
      </c>
      <c r="Y933" s="292">
        <v>0.8</v>
      </c>
      <c r="Z933" s="301" t="s">
        <v>37</v>
      </c>
      <c r="AA933" s="233"/>
      <c r="AB933" s="232"/>
      <c r="AC933" s="232"/>
      <c r="AD933" s="232"/>
      <c r="AE933" s="136"/>
      <c r="AF933" s="239">
        <f t="shared" si="418"/>
        <v>5.4071717714601188</v>
      </c>
      <c r="AG933" s="239">
        <f t="shared" si="419"/>
        <v>5.4161004022044201</v>
      </c>
      <c r="AH933" s="240"/>
      <c r="AI933" s="240"/>
      <c r="AK933" s="265">
        <f t="shared" si="420"/>
        <v>669</v>
      </c>
      <c r="AL933" s="286">
        <f t="shared" si="421"/>
        <v>671</v>
      </c>
      <c r="AM933" s="239">
        <f t="shared" si="422"/>
        <v>6.5057840601282289</v>
      </c>
      <c r="AN933" s="239">
        <f t="shared" si="423"/>
        <v>6.508769136971682</v>
      </c>
      <c r="AO933" s="240"/>
      <c r="AP933" s="240"/>
      <c r="AR933" s="286">
        <f t="shared" si="436"/>
        <v>609.74607720241579</v>
      </c>
      <c r="AS933" s="286">
        <f t="shared" si="437"/>
        <v>610.85140992218908</v>
      </c>
      <c r="AT933" s="239">
        <f t="shared" si="439"/>
        <v>6.4130426036229622</v>
      </c>
      <c r="AU933" s="239">
        <f t="shared" si="440"/>
        <v>6.4148537379790067</v>
      </c>
      <c r="AX933" s="385"/>
      <c r="AY933" s="385"/>
      <c r="AZ933" s="385"/>
      <c r="BA933" s="265"/>
      <c r="BB933" s="239"/>
      <c r="BC933" s="239"/>
      <c r="BD933" s="240"/>
      <c r="BE933" s="240"/>
      <c r="BF933" s="136"/>
      <c r="BG933" s="136"/>
      <c r="BH933" s="136"/>
      <c r="BI933" s="136"/>
    </row>
    <row r="934" spans="1:61" x14ac:dyDescent="0.2">
      <c r="A934" s="232" t="s">
        <v>89</v>
      </c>
      <c r="B934" s="232" t="s">
        <v>49</v>
      </c>
      <c r="C934" s="264" t="s">
        <v>53</v>
      </c>
      <c r="D934" s="232" t="s">
        <v>324</v>
      </c>
      <c r="E934" s="233">
        <v>3</v>
      </c>
      <c r="F934" s="234">
        <v>8.7040000000000006</v>
      </c>
      <c r="G934" s="234">
        <f t="shared" si="435"/>
        <v>5.0487238979118336</v>
      </c>
      <c r="H934" s="233">
        <v>7</v>
      </c>
      <c r="I934" s="233">
        <v>5.8</v>
      </c>
      <c r="J934" s="233">
        <v>7</v>
      </c>
      <c r="K934" s="295">
        <v>1</v>
      </c>
      <c r="L934" s="295">
        <v>28</v>
      </c>
      <c r="M934" s="235" t="s">
        <v>93</v>
      </c>
      <c r="N934" s="235">
        <v>180</v>
      </c>
      <c r="O934" s="295">
        <f t="shared" si="434"/>
        <v>187</v>
      </c>
      <c r="P934" s="290" t="s">
        <v>127</v>
      </c>
      <c r="Q934" s="290"/>
      <c r="R934" s="236">
        <v>3</v>
      </c>
      <c r="S934" s="285">
        <v>0.79</v>
      </c>
      <c r="T934" s="388" t="s">
        <v>37</v>
      </c>
      <c r="Y934" s="292">
        <v>0.8</v>
      </c>
      <c r="Z934" s="301" t="s">
        <v>37</v>
      </c>
      <c r="AA934" s="233"/>
      <c r="AB934" s="232"/>
      <c r="AC934" s="232"/>
      <c r="AD934" s="232"/>
      <c r="AE934" s="136"/>
      <c r="AF934" s="239">
        <f t="shared" si="418"/>
        <v>5.1929568508902104</v>
      </c>
      <c r="AG934" s="239">
        <f t="shared" si="419"/>
        <v>5.2311086168545868</v>
      </c>
      <c r="AH934" s="240"/>
      <c r="AI934" s="240"/>
      <c r="AK934" s="265">
        <f t="shared" si="420"/>
        <v>540</v>
      </c>
      <c r="AL934" s="286">
        <f t="shared" si="421"/>
        <v>547</v>
      </c>
      <c r="AM934" s="239">
        <f t="shared" si="422"/>
        <v>6.2915691395583204</v>
      </c>
      <c r="AN934" s="239">
        <f t="shared" si="423"/>
        <v>6.3044488024219811</v>
      </c>
      <c r="AO934" s="240"/>
      <c r="AP934" s="240"/>
      <c r="AR934" s="286">
        <f t="shared" si="436"/>
        <v>910.3296203469738</v>
      </c>
      <c r="AS934" s="286">
        <f t="shared" si="437"/>
        <v>928.24621888207673</v>
      </c>
      <c r="AT934" s="239">
        <f t="shared" si="439"/>
        <v>6.8138067540865199</v>
      </c>
      <c r="AU934" s="239">
        <f t="shared" si="440"/>
        <v>6.8332970196657277</v>
      </c>
      <c r="AX934" s="385"/>
      <c r="AY934" s="385"/>
      <c r="AZ934" s="385"/>
      <c r="BA934" s="265"/>
      <c r="BB934" s="239"/>
      <c r="BC934" s="239"/>
      <c r="BD934" s="240"/>
      <c r="BE934" s="240"/>
      <c r="BF934" s="136"/>
      <c r="BG934" s="136"/>
      <c r="BH934" s="136"/>
      <c r="BI934" s="136"/>
    </row>
    <row r="935" spans="1:61" x14ac:dyDescent="0.2">
      <c r="A935" s="232" t="s">
        <v>89</v>
      </c>
      <c r="B935" s="232" t="s">
        <v>49</v>
      </c>
      <c r="C935" s="264" t="s">
        <v>53</v>
      </c>
      <c r="D935" s="232" t="s">
        <v>324</v>
      </c>
      <c r="E935" s="233">
        <v>3.4</v>
      </c>
      <c r="F935" s="234">
        <v>3.1619999999999999</v>
      </c>
      <c r="G935" s="234">
        <f t="shared" si="435"/>
        <v>1.834106728538283</v>
      </c>
      <c r="H935" s="233">
        <v>5</v>
      </c>
      <c r="I935" s="233">
        <v>1.9</v>
      </c>
      <c r="J935" s="233">
        <v>8</v>
      </c>
      <c r="K935" s="295">
        <v>1</v>
      </c>
      <c r="L935" s="295">
        <v>28</v>
      </c>
      <c r="M935" s="235" t="s">
        <v>93</v>
      </c>
      <c r="N935" s="235">
        <v>100</v>
      </c>
      <c r="O935" s="295">
        <f t="shared" si="434"/>
        <v>108</v>
      </c>
      <c r="P935" s="290" t="s">
        <v>127</v>
      </c>
      <c r="Q935" s="290"/>
      <c r="R935" s="236">
        <v>3</v>
      </c>
      <c r="S935" s="285">
        <v>0.79</v>
      </c>
      <c r="T935" s="388" t="s">
        <v>37</v>
      </c>
      <c r="Y935" s="292">
        <v>0.8</v>
      </c>
      <c r="Z935" s="301" t="s">
        <v>37</v>
      </c>
      <c r="AA935" s="233"/>
      <c r="AB935" s="232"/>
      <c r="AC935" s="232"/>
      <c r="AD935" s="232"/>
      <c r="AE935" s="136"/>
      <c r="AF935" s="239">
        <f t="shared" si="418"/>
        <v>4.6051701859880918</v>
      </c>
      <c r="AG935" s="239">
        <f t="shared" si="419"/>
        <v>4.6821312271242199</v>
      </c>
      <c r="AH935" s="240"/>
      <c r="AI935" s="240"/>
      <c r="AK935" s="265">
        <f t="shared" si="420"/>
        <v>300</v>
      </c>
      <c r="AL935" s="286">
        <f t="shared" si="421"/>
        <v>308</v>
      </c>
      <c r="AM935" s="239">
        <f t="shared" si="422"/>
        <v>5.7037824746562009</v>
      </c>
      <c r="AN935" s="239">
        <f t="shared" si="423"/>
        <v>5.730099782973574</v>
      </c>
      <c r="AO935" s="240"/>
      <c r="AP935" s="240"/>
      <c r="AR935" s="286">
        <f t="shared" si="436"/>
        <v>1221.2903881595612</v>
      </c>
      <c r="AS935" s="286">
        <f t="shared" si="437"/>
        <v>1276.3391566329194</v>
      </c>
      <c r="AT935" s="239">
        <f t="shared" si="439"/>
        <v>7.1076632739745849</v>
      </c>
      <c r="AU935" s="239">
        <f t="shared" si="440"/>
        <v>7.1517512253213038</v>
      </c>
      <c r="AX935" s="385"/>
      <c r="AY935" s="385"/>
      <c r="AZ935" s="385"/>
      <c r="BA935" s="265"/>
      <c r="BB935" s="239"/>
      <c r="BC935" s="239"/>
      <c r="BD935" s="240"/>
      <c r="BE935" s="240"/>
      <c r="BF935" s="136"/>
      <c r="BG935" s="136"/>
      <c r="BH935" s="136"/>
      <c r="BI935" s="136"/>
    </row>
    <row r="936" spans="1:61" x14ac:dyDescent="0.2">
      <c r="A936" s="232" t="s">
        <v>89</v>
      </c>
      <c r="B936" s="232" t="s">
        <v>49</v>
      </c>
      <c r="C936" s="264" t="s">
        <v>53</v>
      </c>
      <c r="D936" s="232" t="s">
        <v>324</v>
      </c>
      <c r="E936" s="233">
        <v>4.7</v>
      </c>
      <c r="F936" s="234">
        <v>39.61</v>
      </c>
      <c r="G936" s="234">
        <f t="shared" si="435"/>
        <v>22.975638051044083</v>
      </c>
      <c r="H936" s="233">
        <v>24</v>
      </c>
      <c r="I936" s="233">
        <v>35.299999999999997</v>
      </c>
      <c r="J936" s="233">
        <v>191</v>
      </c>
      <c r="K936" s="295">
        <v>1</v>
      </c>
      <c r="L936" s="295">
        <v>28</v>
      </c>
      <c r="M936" s="235" t="s">
        <v>93</v>
      </c>
      <c r="N936" s="235">
        <v>1000</v>
      </c>
      <c r="O936" s="295">
        <f t="shared" si="434"/>
        <v>1191</v>
      </c>
      <c r="P936" s="290" t="s">
        <v>127</v>
      </c>
      <c r="Q936" s="290"/>
      <c r="R936" s="236">
        <v>3</v>
      </c>
      <c r="S936" s="285">
        <v>0.79</v>
      </c>
      <c r="T936" s="388" t="s">
        <v>37</v>
      </c>
      <c r="Y936" s="292">
        <v>0.8</v>
      </c>
      <c r="Z936" s="301" t="s">
        <v>37</v>
      </c>
      <c r="AA936" s="233"/>
      <c r="AB936" s="232"/>
      <c r="AC936" s="232"/>
      <c r="AD936" s="232"/>
      <c r="AE936" s="136"/>
      <c r="AF936" s="239">
        <f t="shared" si="418"/>
        <v>6.9077552789821368</v>
      </c>
      <c r="AG936" s="239">
        <f t="shared" si="419"/>
        <v>7.0825485693552999</v>
      </c>
      <c r="AH936" s="240"/>
      <c r="AI936" s="240"/>
      <c r="AK936" s="265">
        <f t="shared" si="420"/>
        <v>3000</v>
      </c>
      <c r="AL936" s="286">
        <f t="shared" si="421"/>
        <v>3191</v>
      </c>
      <c r="AM936" s="239">
        <f t="shared" si="422"/>
        <v>8.0063675676502459</v>
      </c>
      <c r="AN936" s="239">
        <f t="shared" si="423"/>
        <v>8.068089626278244</v>
      </c>
      <c r="AO936" s="240"/>
      <c r="AP936" s="240"/>
      <c r="AR936" s="286">
        <f t="shared" si="436"/>
        <v>1214.2056980554237</v>
      </c>
      <c r="AS936" s="286">
        <f t="shared" si="437"/>
        <v>1276.8071242024694</v>
      </c>
      <c r="AT936" s="239">
        <f t="shared" si="439"/>
        <v>7.1018453955328136</v>
      </c>
      <c r="AU936" s="239">
        <f t="shared" si="440"/>
        <v>7.1521178064124884</v>
      </c>
      <c r="AX936" s="385"/>
      <c r="AY936" s="385"/>
      <c r="AZ936" s="385"/>
      <c r="BA936" s="265"/>
      <c r="BB936" s="239"/>
      <c r="BC936" s="239"/>
      <c r="BD936" s="240"/>
      <c r="BE936" s="240"/>
      <c r="BF936" s="136"/>
      <c r="BG936" s="136"/>
      <c r="BH936" s="136"/>
      <c r="BI936" s="136"/>
    </row>
    <row r="937" spans="1:61" x14ac:dyDescent="0.2">
      <c r="A937" s="232" t="s">
        <v>89</v>
      </c>
      <c r="B937" s="232" t="s">
        <v>49</v>
      </c>
      <c r="C937" s="264" t="s">
        <v>53</v>
      </c>
      <c r="D937" s="232" t="s">
        <v>324</v>
      </c>
      <c r="E937" s="233">
        <v>4.8</v>
      </c>
      <c r="F937" s="234">
        <v>13.209</v>
      </c>
      <c r="G937" s="234">
        <f t="shared" si="435"/>
        <v>7.6618329466357311</v>
      </c>
      <c r="I937" s="233">
        <v>13.3</v>
      </c>
      <c r="J937" s="233">
        <v>83</v>
      </c>
      <c r="K937" s="295">
        <v>1</v>
      </c>
      <c r="L937" s="295">
        <v>28</v>
      </c>
      <c r="M937" s="235" t="s">
        <v>93</v>
      </c>
      <c r="N937" s="235">
        <v>320</v>
      </c>
      <c r="O937" s="295">
        <f t="shared" ref="O937:O968" si="441">N937+J937</f>
        <v>403</v>
      </c>
      <c r="P937" s="290" t="s">
        <v>127</v>
      </c>
      <c r="Q937" s="290"/>
      <c r="R937" s="236">
        <v>3</v>
      </c>
      <c r="S937" s="285">
        <v>0.79</v>
      </c>
      <c r="T937" s="388" t="s">
        <v>37</v>
      </c>
      <c r="Y937" s="292">
        <v>0.8</v>
      </c>
      <c r="Z937" s="301" t="s">
        <v>37</v>
      </c>
      <c r="AA937" s="233"/>
      <c r="AB937" s="232"/>
      <c r="AC937" s="232"/>
      <c r="AD937" s="232"/>
      <c r="AE937" s="136"/>
      <c r="AF937" s="239">
        <f t="shared" ref="AF937:AF1000" si="442">LN(N937)</f>
        <v>5.768320995793772</v>
      </c>
      <c r="AG937" s="239">
        <f t="shared" ref="AG937:AG1000" si="443">LN(O937)</f>
        <v>5.9989365619466826</v>
      </c>
      <c r="AH937" s="240"/>
      <c r="AI937" s="240"/>
      <c r="AK937" s="265">
        <f t="shared" ref="AK937:AK1000" si="444">N937*R937</f>
        <v>960</v>
      </c>
      <c r="AL937" s="286">
        <f t="shared" ref="AL937:AL1000" si="445">AK937+J937</f>
        <v>1043</v>
      </c>
      <c r="AM937" s="239">
        <f t="shared" ref="AM937:AM1000" si="446">LN(AK937)</f>
        <v>6.866933284461882</v>
      </c>
      <c r="AN937" s="239">
        <f t="shared" ref="AN937:AN1000" si="447">LN(AL937)</f>
        <v>6.9498564550007726</v>
      </c>
      <c r="AO937" s="240"/>
      <c r="AP937" s="240"/>
      <c r="AR937" s="286">
        <f t="shared" si="436"/>
        <v>840.12027492886216</v>
      </c>
      <c r="AS937" s="286">
        <f t="shared" si="437"/>
        <v>911.21582401042872</v>
      </c>
      <c r="AT937" s="239">
        <f t="shared" si="439"/>
        <v>6.7335450660265677</v>
      </c>
      <c r="AU937" s="239">
        <f t="shared" si="440"/>
        <v>6.8147797781042518</v>
      </c>
      <c r="AX937" s="385"/>
      <c r="AY937" s="385"/>
      <c r="AZ937" s="385"/>
      <c r="BA937" s="265"/>
      <c r="BB937" s="239"/>
      <c r="BC937" s="239"/>
      <c r="BD937" s="240"/>
      <c r="BE937" s="240"/>
      <c r="BF937" s="136"/>
      <c r="BG937" s="136"/>
      <c r="BH937" s="136"/>
      <c r="BI937" s="136"/>
    </row>
    <row r="938" spans="1:61" x14ac:dyDescent="0.2">
      <c r="A938" s="232" t="s">
        <v>89</v>
      </c>
      <c r="B938" s="232" t="s">
        <v>49</v>
      </c>
      <c r="C938" s="264" t="s">
        <v>53</v>
      </c>
      <c r="D938" s="232" t="s">
        <v>324</v>
      </c>
      <c r="E938" s="233">
        <v>4.8</v>
      </c>
      <c r="F938" s="234">
        <v>0.69699999999999995</v>
      </c>
      <c r="G938" s="234">
        <f t="shared" si="435"/>
        <v>0.404292343387471</v>
      </c>
      <c r="H938" s="233">
        <v>38</v>
      </c>
      <c r="I938" s="233">
        <v>11.2</v>
      </c>
      <c r="J938" s="233">
        <v>37</v>
      </c>
      <c r="K938" s="295">
        <v>1</v>
      </c>
      <c r="L938" s="295">
        <v>28</v>
      </c>
      <c r="M938" s="235" t="s">
        <v>93</v>
      </c>
      <c r="N938" s="235">
        <v>560</v>
      </c>
      <c r="O938" s="295">
        <f t="shared" si="441"/>
        <v>597</v>
      </c>
      <c r="P938" s="290" t="s">
        <v>127</v>
      </c>
      <c r="Q938" s="290"/>
      <c r="R938" s="236">
        <v>3</v>
      </c>
      <c r="S938" s="285">
        <v>0.79</v>
      </c>
      <c r="T938" s="388" t="s">
        <v>37</v>
      </c>
      <c r="Y938" s="292">
        <v>0.8</v>
      </c>
      <c r="Z938" s="301" t="s">
        <v>37</v>
      </c>
      <c r="AA938" s="233"/>
      <c r="AB938" s="232"/>
      <c r="AC938" s="232"/>
      <c r="AD938" s="232"/>
      <c r="AE938" s="136"/>
      <c r="AF938" s="239">
        <f t="shared" si="442"/>
        <v>6.3279367837291947</v>
      </c>
      <c r="AG938" s="239">
        <f t="shared" si="443"/>
        <v>6.3919171133926023</v>
      </c>
      <c r="AH938" s="240"/>
      <c r="AI938" s="240"/>
      <c r="AK938" s="265">
        <f t="shared" si="444"/>
        <v>1680</v>
      </c>
      <c r="AL938" s="286">
        <f t="shared" si="445"/>
        <v>1717</v>
      </c>
      <c r="AM938" s="239">
        <f t="shared" si="446"/>
        <v>7.4265490723973047</v>
      </c>
      <c r="AN938" s="239">
        <f t="shared" si="447"/>
        <v>7.4483338608974758</v>
      </c>
      <c r="AO938" s="240"/>
      <c r="AP938" s="240"/>
      <c r="AR938" s="286">
        <f t="shared" si="436"/>
        <v>1683.992189848027</v>
      </c>
      <c r="AS938" s="286">
        <f t="shared" si="437"/>
        <v>1721.131822170493</v>
      </c>
      <c r="AT938" s="239">
        <f t="shared" si="439"/>
        <v>7.4289225569340509</v>
      </c>
      <c r="AU938" s="239">
        <f t="shared" si="440"/>
        <v>7.4507373895422822</v>
      </c>
      <c r="AX938" s="385"/>
      <c r="AY938" s="385"/>
      <c r="AZ938" s="385"/>
      <c r="BA938" s="265"/>
      <c r="BB938" s="239"/>
      <c r="BC938" s="239"/>
      <c r="BD938" s="240"/>
      <c r="BE938" s="240"/>
      <c r="BF938" s="136"/>
      <c r="BG938" s="136"/>
      <c r="BH938" s="136"/>
      <c r="BI938" s="136"/>
    </row>
    <row r="939" spans="1:61" x14ac:dyDescent="0.2">
      <c r="A939" s="232" t="s">
        <v>89</v>
      </c>
      <c r="B939" s="232" t="s">
        <v>49</v>
      </c>
      <c r="C939" s="264" t="s">
        <v>53</v>
      </c>
      <c r="D939" s="232" t="s">
        <v>324</v>
      </c>
      <c r="E939" s="233">
        <v>5.0999999999999996</v>
      </c>
      <c r="F939" s="234">
        <v>3.9950000000000001</v>
      </c>
      <c r="G939" s="234">
        <f t="shared" si="435"/>
        <v>2.3172853828306264</v>
      </c>
      <c r="H939" s="233">
        <v>9</v>
      </c>
      <c r="I939" s="233">
        <v>4.7</v>
      </c>
      <c r="J939" s="233">
        <v>26</v>
      </c>
      <c r="K939" s="295">
        <v>1</v>
      </c>
      <c r="L939" s="295">
        <v>28</v>
      </c>
      <c r="M939" s="235" t="s">
        <v>93</v>
      </c>
      <c r="N939" s="235">
        <v>320</v>
      </c>
      <c r="O939" s="295">
        <f t="shared" si="441"/>
        <v>346</v>
      </c>
      <c r="P939" s="290" t="s">
        <v>127</v>
      </c>
      <c r="Q939" s="290"/>
      <c r="R939" s="236">
        <v>3</v>
      </c>
      <c r="S939" s="285">
        <v>0.79</v>
      </c>
      <c r="T939" s="388" t="s">
        <v>37</v>
      </c>
      <c r="Y939" s="292">
        <v>0.8</v>
      </c>
      <c r="Z939" s="301" t="s">
        <v>37</v>
      </c>
      <c r="AA939" s="233"/>
      <c r="AB939" s="232"/>
      <c r="AC939" s="232"/>
      <c r="AD939" s="232"/>
      <c r="AE939" s="136"/>
      <c r="AF939" s="239">
        <f t="shared" si="442"/>
        <v>5.768320995793772</v>
      </c>
      <c r="AG939" s="239">
        <f t="shared" si="443"/>
        <v>5.8464387750577247</v>
      </c>
      <c r="AH939" s="240"/>
      <c r="AI939" s="240"/>
      <c r="AK939" s="265">
        <f t="shared" si="444"/>
        <v>960</v>
      </c>
      <c r="AL939" s="286">
        <f t="shared" si="445"/>
        <v>986</v>
      </c>
      <c r="AM939" s="239">
        <f t="shared" si="446"/>
        <v>6.866933284461882</v>
      </c>
      <c r="AN939" s="239">
        <f t="shared" si="447"/>
        <v>6.8936563546026353</v>
      </c>
      <c r="AO939" s="240"/>
      <c r="AP939" s="240"/>
      <c r="AR939" s="286">
        <f t="shared" si="436"/>
        <v>1910.8515740574144</v>
      </c>
      <c r="AS939" s="286">
        <f t="shared" si="437"/>
        <v>1979.7797871960281</v>
      </c>
      <c r="AT939" s="239">
        <f t="shared" si="439"/>
        <v>7.5553042719708063</v>
      </c>
      <c r="AU939" s="239">
        <f t="shared" si="440"/>
        <v>7.5907408989154703</v>
      </c>
      <c r="AX939" s="385"/>
      <c r="AY939" s="385"/>
      <c r="AZ939" s="385"/>
      <c r="BA939" s="265"/>
      <c r="BB939" s="239"/>
      <c r="BC939" s="239"/>
      <c r="BD939" s="240"/>
      <c r="BE939" s="240"/>
      <c r="BF939" s="136"/>
      <c r="BG939" s="136"/>
      <c r="BH939" s="136"/>
      <c r="BI939" s="136"/>
    </row>
    <row r="940" spans="1:61" x14ac:dyDescent="0.2">
      <c r="A940" s="232" t="s">
        <v>89</v>
      </c>
      <c r="B940" s="232" t="s">
        <v>49</v>
      </c>
      <c r="C940" s="264" t="s">
        <v>53</v>
      </c>
      <c r="D940" s="232" t="s">
        <v>324</v>
      </c>
      <c r="E940" s="233">
        <v>5.2</v>
      </c>
      <c r="F940" s="234">
        <v>17.408000000000001</v>
      </c>
      <c r="G940" s="234">
        <f t="shared" si="435"/>
        <v>10.097447795823667</v>
      </c>
      <c r="I940" s="233">
        <v>29.7</v>
      </c>
      <c r="J940" s="233">
        <v>155</v>
      </c>
      <c r="K940" s="295">
        <v>1</v>
      </c>
      <c r="L940" s="295">
        <v>28</v>
      </c>
      <c r="M940" s="235" t="s">
        <v>93</v>
      </c>
      <c r="N940" s="235">
        <v>560</v>
      </c>
      <c r="O940" s="295">
        <f t="shared" si="441"/>
        <v>715</v>
      </c>
      <c r="P940" s="290" t="s">
        <v>127</v>
      </c>
      <c r="Q940" s="290"/>
      <c r="R940" s="236">
        <v>3</v>
      </c>
      <c r="S940" s="285">
        <v>0.79</v>
      </c>
      <c r="T940" s="388" t="s">
        <v>37</v>
      </c>
      <c r="Y940" s="292">
        <v>0.8</v>
      </c>
      <c r="Z940" s="301" t="s">
        <v>37</v>
      </c>
      <c r="AA940" s="233"/>
      <c r="AB940" s="232"/>
      <c r="AC940" s="232"/>
      <c r="AD940" s="232"/>
      <c r="AE940" s="136"/>
      <c r="AF940" s="239">
        <f t="shared" si="442"/>
        <v>6.3279367837291947</v>
      </c>
      <c r="AG940" s="239">
        <f t="shared" si="443"/>
        <v>6.5722825426940075</v>
      </c>
      <c r="AH940" s="240"/>
      <c r="AI940" s="240"/>
      <c r="AK940" s="265">
        <f t="shared" si="444"/>
        <v>1680</v>
      </c>
      <c r="AL940" s="286">
        <f t="shared" si="445"/>
        <v>1835</v>
      </c>
      <c r="AM940" s="239">
        <f t="shared" si="446"/>
        <v>7.4265490723973047</v>
      </c>
      <c r="AN940" s="239">
        <f t="shared" si="447"/>
        <v>7.5147997604886703</v>
      </c>
      <c r="AO940" s="240"/>
      <c r="AP940" s="240"/>
      <c r="AR940" s="286">
        <f t="shared" si="436"/>
        <v>779.37185068350129</v>
      </c>
      <c r="AS940" s="286">
        <f t="shared" si="437"/>
        <v>843.04191257870605</v>
      </c>
      <c r="AT940" s="239">
        <f t="shared" si="439"/>
        <v>6.6584882756030428</v>
      </c>
      <c r="AU940" s="239">
        <f t="shared" si="440"/>
        <v>6.7370166751273928</v>
      </c>
      <c r="AX940" s="385"/>
      <c r="AY940" s="385"/>
      <c r="AZ940" s="385"/>
      <c r="BA940" s="265"/>
      <c r="BB940" s="239"/>
      <c r="BC940" s="239"/>
      <c r="BD940" s="240"/>
      <c r="BE940" s="240"/>
      <c r="BF940" s="136"/>
      <c r="BG940" s="136"/>
      <c r="BH940" s="136"/>
      <c r="BI940" s="136"/>
    </row>
    <row r="941" spans="1:61" x14ac:dyDescent="0.2">
      <c r="A941" s="232" t="s">
        <v>89</v>
      </c>
      <c r="B941" s="232" t="s">
        <v>49</v>
      </c>
      <c r="C941" s="264" t="s">
        <v>53</v>
      </c>
      <c r="D941" s="232" t="s">
        <v>324</v>
      </c>
      <c r="E941" s="233">
        <v>5.7</v>
      </c>
      <c r="F941" s="234">
        <v>5.9329999999999998</v>
      </c>
      <c r="G941" s="234">
        <f t="shared" si="435"/>
        <v>3.441415313225058</v>
      </c>
      <c r="I941" s="233">
        <v>21.1</v>
      </c>
      <c r="J941" s="233">
        <v>76</v>
      </c>
      <c r="K941" s="295">
        <v>1</v>
      </c>
      <c r="L941" s="295">
        <v>28</v>
      </c>
      <c r="M941" s="235" t="s">
        <v>93</v>
      </c>
      <c r="N941" s="235">
        <v>1000</v>
      </c>
      <c r="O941" s="295">
        <f t="shared" si="441"/>
        <v>1076</v>
      </c>
      <c r="P941" s="290" t="s">
        <v>127</v>
      </c>
      <c r="Q941" s="290"/>
      <c r="R941" s="236">
        <v>3</v>
      </c>
      <c r="S941" s="285">
        <v>0.79</v>
      </c>
      <c r="T941" s="388" t="s">
        <v>37</v>
      </c>
      <c r="Y941" s="292">
        <v>0.8</v>
      </c>
      <c r="Z941" s="301" t="s">
        <v>37</v>
      </c>
      <c r="AA941" s="233"/>
      <c r="AB941" s="232"/>
      <c r="AC941" s="232"/>
      <c r="AD941" s="232"/>
      <c r="AE941" s="136"/>
      <c r="AF941" s="239">
        <f t="shared" si="442"/>
        <v>6.9077552789821368</v>
      </c>
      <c r="AG941" s="239">
        <f t="shared" si="443"/>
        <v>6.9810057407217299</v>
      </c>
      <c r="AH941" s="240"/>
      <c r="AI941" s="240"/>
      <c r="AK941" s="265">
        <f t="shared" si="444"/>
        <v>3000</v>
      </c>
      <c r="AL941" s="286">
        <f t="shared" si="445"/>
        <v>3076</v>
      </c>
      <c r="AM941" s="239">
        <f t="shared" si="446"/>
        <v>8.0063675676502459</v>
      </c>
      <c r="AN941" s="239">
        <f t="shared" si="447"/>
        <v>8.0313853306255343</v>
      </c>
      <c r="AO941" s="240"/>
      <c r="AP941" s="240"/>
      <c r="AR941" s="286">
        <f t="shared" si="436"/>
        <v>1823.2706633734124</v>
      </c>
      <c r="AS941" s="286">
        <f t="shared" si="437"/>
        <v>1857.7130171876727</v>
      </c>
      <c r="AT941" s="239">
        <f t="shared" si="439"/>
        <v>7.5083872350640251</v>
      </c>
      <c r="AU941" s="239">
        <f t="shared" si="440"/>
        <v>7.5271014495255635</v>
      </c>
      <c r="AX941" s="385"/>
      <c r="AY941" s="385"/>
      <c r="AZ941" s="385"/>
      <c r="BA941" s="265"/>
      <c r="BB941" s="239"/>
      <c r="BC941" s="239"/>
      <c r="BD941" s="240"/>
      <c r="BE941" s="240"/>
      <c r="BF941" s="136"/>
      <c r="BG941" s="136"/>
      <c r="BH941" s="136"/>
      <c r="BI941" s="136"/>
    </row>
    <row r="942" spans="1:61" x14ac:dyDescent="0.2">
      <c r="A942" s="232" t="s">
        <v>89</v>
      </c>
      <c r="B942" s="232" t="s">
        <v>49</v>
      </c>
      <c r="C942" s="264" t="s">
        <v>53</v>
      </c>
      <c r="D942" s="232" t="s">
        <v>324</v>
      </c>
      <c r="E942" s="233">
        <v>6.4</v>
      </c>
      <c r="F942" s="234">
        <v>7.48</v>
      </c>
      <c r="G942" s="234">
        <f t="shared" si="435"/>
        <v>4.338747099767982</v>
      </c>
      <c r="H942" s="233">
        <v>21</v>
      </c>
      <c r="I942" s="233">
        <v>23.4</v>
      </c>
      <c r="J942" s="233">
        <v>99</v>
      </c>
      <c r="K942" s="295">
        <v>1</v>
      </c>
      <c r="L942" s="295">
        <v>28</v>
      </c>
      <c r="M942" s="235" t="s">
        <v>93</v>
      </c>
      <c r="N942" s="235">
        <v>560</v>
      </c>
      <c r="O942" s="295">
        <f t="shared" si="441"/>
        <v>659</v>
      </c>
      <c r="P942" s="290" t="s">
        <v>127</v>
      </c>
      <c r="Q942" s="290"/>
      <c r="R942" s="236">
        <v>3</v>
      </c>
      <c r="S942" s="285">
        <v>0.79</v>
      </c>
      <c r="T942" s="388" t="s">
        <v>37</v>
      </c>
      <c r="Y942" s="292">
        <v>0.8</v>
      </c>
      <c r="Z942" s="301" t="s">
        <v>37</v>
      </c>
      <c r="AA942" s="233"/>
      <c r="AB942" s="232"/>
      <c r="AC942" s="232"/>
      <c r="AD942" s="232"/>
      <c r="AE942" s="136"/>
      <c r="AF942" s="239">
        <f t="shared" si="442"/>
        <v>6.3279367837291947</v>
      </c>
      <c r="AG942" s="239">
        <f t="shared" si="443"/>
        <v>6.4907235345025072</v>
      </c>
      <c r="AH942" s="240"/>
      <c r="AI942" s="240"/>
      <c r="AK942" s="265">
        <f t="shared" si="444"/>
        <v>1680</v>
      </c>
      <c r="AL942" s="286">
        <f t="shared" si="445"/>
        <v>1779</v>
      </c>
      <c r="AM942" s="239">
        <f t="shared" si="446"/>
        <v>7.4265490723973047</v>
      </c>
      <c r="AN942" s="239">
        <f t="shared" si="447"/>
        <v>7.4838066876658349</v>
      </c>
      <c r="AO942" s="240"/>
      <c r="AP942" s="240"/>
      <c r="AR942" s="286">
        <f t="shared" si="436"/>
        <v>940.89634942034195</v>
      </c>
      <c r="AS942" s="286">
        <f t="shared" si="437"/>
        <v>989.05745212269233</v>
      </c>
      <c r="AT942" s="239">
        <f t="shared" si="439"/>
        <v>6.8468329841245916</v>
      </c>
      <c r="AU942" s="239">
        <f t="shared" si="440"/>
        <v>6.8967524210605564</v>
      </c>
      <c r="AX942" s="385"/>
      <c r="AY942" s="385"/>
      <c r="AZ942" s="385"/>
      <c r="BA942" s="265"/>
      <c r="BB942" s="239"/>
      <c r="BC942" s="239"/>
      <c r="BD942" s="240"/>
      <c r="BE942" s="240"/>
      <c r="BF942" s="136"/>
      <c r="BG942" s="136"/>
      <c r="BH942" s="136"/>
      <c r="BI942" s="136"/>
    </row>
    <row r="943" spans="1:61" x14ac:dyDescent="0.2">
      <c r="A943" s="232" t="s">
        <v>89</v>
      </c>
      <c r="B943" s="232" t="s">
        <v>49</v>
      </c>
      <c r="C943" s="264" t="s">
        <v>53</v>
      </c>
      <c r="D943" s="232" t="s">
        <v>324</v>
      </c>
      <c r="E943" s="233">
        <v>6.8</v>
      </c>
      <c r="F943" s="234">
        <v>1.6659999999999999</v>
      </c>
      <c r="G943" s="234">
        <f t="shared" si="435"/>
        <v>0.96635730858468671</v>
      </c>
      <c r="H943" s="233">
        <v>15</v>
      </c>
      <c r="I943" s="233">
        <v>8.9</v>
      </c>
      <c r="J943" s="233">
        <v>54</v>
      </c>
      <c r="K943" s="295">
        <v>1</v>
      </c>
      <c r="L943" s="295">
        <v>28</v>
      </c>
      <c r="M943" s="235" t="s">
        <v>93</v>
      </c>
      <c r="N943" s="235">
        <v>180</v>
      </c>
      <c r="O943" s="295">
        <f t="shared" si="441"/>
        <v>234</v>
      </c>
      <c r="P943" s="290" t="s">
        <v>127</v>
      </c>
      <c r="Q943" s="290"/>
      <c r="R943" s="236">
        <v>3</v>
      </c>
      <c r="S943" s="285">
        <v>0.79</v>
      </c>
      <c r="T943" s="388" t="s">
        <v>37</v>
      </c>
      <c r="Y943" s="292">
        <v>0.8</v>
      </c>
      <c r="Z943" s="301" t="s">
        <v>37</v>
      </c>
      <c r="AA943" s="233"/>
      <c r="AB943" s="232"/>
      <c r="AC943" s="232"/>
      <c r="AD943" s="232"/>
      <c r="AE943" s="136"/>
      <c r="AF943" s="239">
        <f t="shared" si="442"/>
        <v>5.1929568508902104</v>
      </c>
      <c r="AG943" s="239">
        <f t="shared" si="443"/>
        <v>5.4553211153577017</v>
      </c>
      <c r="AH943" s="240"/>
      <c r="AI943" s="240"/>
      <c r="AK943" s="265">
        <f t="shared" si="444"/>
        <v>540</v>
      </c>
      <c r="AL943" s="286">
        <f t="shared" si="445"/>
        <v>594</v>
      </c>
      <c r="AM943" s="239">
        <f t="shared" si="446"/>
        <v>6.2915691395583204</v>
      </c>
      <c r="AN943" s="239">
        <f t="shared" si="447"/>
        <v>6.3868793193626452</v>
      </c>
      <c r="AO943" s="240"/>
      <c r="AP943" s="240"/>
      <c r="AR943" s="286">
        <f t="shared" si="436"/>
        <v>649.06573640204056</v>
      </c>
      <c r="AS943" s="286">
        <f t="shared" si="437"/>
        <v>715.63685264810215</v>
      </c>
      <c r="AT943" s="239">
        <f t="shared" si="439"/>
        <v>6.4755340003298008</v>
      </c>
      <c r="AU943" s="239">
        <f t="shared" si="440"/>
        <v>6.5731728492578148</v>
      </c>
      <c r="AX943" s="385"/>
      <c r="AY943" s="385"/>
      <c r="AZ943" s="385"/>
      <c r="BA943" s="265"/>
      <c r="BB943" s="239"/>
      <c r="BC943" s="239"/>
      <c r="BD943" s="240"/>
      <c r="BE943" s="240"/>
      <c r="BF943" s="136"/>
      <c r="BG943" s="136"/>
      <c r="BH943" s="136"/>
      <c r="BI943" s="136"/>
    </row>
    <row r="944" spans="1:61" x14ac:dyDescent="0.2">
      <c r="A944" s="232" t="s">
        <v>89</v>
      </c>
      <c r="B944" s="232" t="s">
        <v>49</v>
      </c>
      <c r="C944" s="264" t="s">
        <v>53</v>
      </c>
      <c r="D944" s="232" t="s">
        <v>324</v>
      </c>
      <c r="E944" s="233">
        <v>7.5</v>
      </c>
      <c r="F944" s="234">
        <v>2.2000000000000002</v>
      </c>
      <c r="G944" s="234">
        <f t="shared" si="435"/>
        <v>1.2761020881670535</v>
      </c>
      <c r="H944" s="233">
        <v>26</v>
      </c>
      <c r="I944" s="233">
        <v>20.100000000000001</v>
      </c>
      <c r="J944" s="233">
        <v>80</v>
      </c>
      <c r="K944" s="295">
        <v>1</v>
      </c>
      <c r="L944" s="295">
        <v>28</v>
      </c>
      <c r="M944" s="235" t="s">
        <v>93</v>
      </c>
      <c r="N944" s="235">
        <v>180</v>
      </c>
      <c r="O944" s="295">
        <f t="shared" si="441"/>
        <v>260</v>
      </c>
      <c r="P944" s="290" t="s">
        <v>127</v>
      </c>
      <c r="Q944" s="290"/>
      <c r="R944" s="236">
        <v>3</v>
      </c>
      <c r="S944" s="285">
        <v>0.79</v>
      </c>
      <c r="T944" s="388" t="s">
        <v>37</v>
      </c>
      <c r="Y944" s="292">
        <v>0.8</v>
      </c>
      <c r="Z944" s="301" t="s">
        <v>37</v>
      </c>
      <c r="AA944" s="233"/>
      <c r="AB944" s="232"/>
      <c r="AC944" s="232"/>
      <c r="AD944" s="232"/>
      <c r="AE944" s="136"/>
      <c r="AF944" s="239">
        <f t="shared" si="442"/>
        <v>5.1929568508902104</v>
      </c>
      <c r="AG944" s="239">
        <f t="shared" si="443"/>
        <v>5.5606816310155276</v>
      </c>
      <c r="AH944" s="240"/>
      <c r="AI944" s="240"/>
      <c r="AK944" s="265">
        <f t="shared" si="444"/>
        <v>540</v>
      </c>
      <c r="AL944" s="286">
        <f t="shared" si="445"/>
        <v>620</v>
      </c>
      <c r="AM944" s="239">
        <f t="shared" si="446"/>
        <v>6.2915691395583204</v>
      </c>
      <c r="AN944" s="239">
        <f t="shared" si="447"/>
        <v>6.4297194780391376</v>
      </c>
      <c r="AO944" s="240"/>
      <c r="AP944" s="240"/>
      <c r="AR944" s="286">
        <f t="shared" si="436"/>
        <v>341.02161250375838</v>
      </c>
      <c r="AS944" s="286">
        <f t="shared" si="437"/>
        <v>389.27194130132693</v>
      </c>
      <c r="AT944" s="239">
        <f t="shared" si="439"/>
        <v>5.8319458550515213</v>
      </c>
      <c r="AU944" s="239">
        <f t="shared" si="440"/>
        <v>5.9642781772727584</v>
      </c>
      <c r="AX944" s="385"/>
      <c r="AY944" s="385"/>
      <c r="AZ944" s="385"/>
      <c r="BA944" s="265"/>
      <c r="BB944" s="239"/>
      <c r="BC944" s="239"/>
      <c r="BD944" s="240"/>
      <c r="BE944" s="240"/>
      <c r="BF944" s="136"/>
      <c r="BG944" s="136"/>
      <c r="BH944" s="136"/>
      <c r="BI944" s="136"/>
    </row>
    <row r="945" spans="1:61" x14ac:dyDescent="0.2">
      <c r="A945" s="232" t="s">
        <v>89</v>
      </c>
      <c r="B945" s="232" t="s">
        <v>49</v>
      </c>
      <c r="C945" s="264" t="s">
        <v>53</v>
      </c>
      <c r="D945" s="232" t="s">
        <v>324</v>
      </c>
      <c r="E945" s="233">
        <v>7.5</v>
      </c>
      <c r="F945" s="234">
        <v>0.66</v>
      </c>
      <c r="G945" s="234">
        <f t="shared" si="435"/>
        <v>0.38283062645011601</v>
      </c>
      <c r="H945" s="233">
        <v>25</v>
      </c>
      <c r="I945" s="233">
        <v>16.899999999999999</v>
      </c>
      <c r="J945" s="233">
        <v>27</v>
      </c>
      <c r="K945" s="295">
        <v>1</v>
      </c>
      <c r="L945" s="295">
        <v>28</v>
      </c>
      <c r="M945" s="233" t="s">
        <v>104</v>
      </c>
      <c r="N945" s="235">
        <v>350</v>
      </c>
      <c r="O945" s="295">
        <f t="shared" si="441"/>
        <v>377</v>
      </c>
      <c r="P945" s="290" t="s">
        <v>127</v>
      </c>
      <c r="Q945" s="290"/>
      <c r="R945" s="236">
        <v>3</v>
      </c>
      <c r="S945" s="285">
        <v>0.79</v>
      </c>
      <c r="T945" s="388" t="s">
        <v>37</v>
      </c>
      <c r="Y945" s="292">
        <v>0.8</v>
      </c>
      <c r="Z945" s="301" t="s">
        <v>37</v>
      </c>
      <c r="AA945" s="233"/>
      <c r="AB945" s="232"/>
      <c r="AC945" s="232"/>
      <c r="AD945" s="232"/>
      <c r="AE945" s="136"/>
      <c r="AF945" s="239">
        <f t="shared" si="442"/>
        <v>5.857933154483459</v>
      </c>
      <c r="AG945" s="239">
        <f t="shared" si="443"/>
        <v>5.9322451874480109</v>
      </c>
      <c r="AH945" s="240"/>
      <c r="AI945" s="240"/>
      <c r="AK945" s="265">
        <f t="shared" si="444"/>
        <v>1050</v>
      </c>
      <c r="AL945" s="286">
        <f t="shared" si="445"/>
        <v>1077</v>
      </c>
      <c r="AM945" s="239">
        <f t="shared" si="446"/>
        <v>6.956545443151569</v>
      </c>
      <c r="AN945" s="239">
        <f t="shared" si="447"/>
        <v>6.9819346771563886</v>
      </c>
      <c r="AO945" s="240"/>
      <c r="AP945" s="240"/>
      <c r="AR945" s="286">
        <f t="shared" si="436"/>
        <v>760.45204401921796</v>
      </c>
      <c r="AS945" s="286">
        <f t="shared" si="437"/>
        <v>776.82751002149007</v>
      </c>
      <c r="AT945" s="239">
        <f t="shared" si="439"/>
        <v>6.633913051222212</v>
      </c>
      <c r="AU945" s="239">
        <f t="shared" si="440"/>
        <v>6.655218330898812</v>
      </c>
      <c r="AX945" s="385"/>
      <c r="AY945" s="385"/>
      <c r="AZ945" s="385"/>
      <c r="BA945" s="265"/>
      <c r="BB945" s="239"/>
      <c r="BC945" s="239"/>
      <c r="BD945" s="240"/>
      <c r="BE945" s="240"/>
      <c r="BF945" s="136"/>
      <c r="BG945" s="136"/>
      <c r="BH945" s="136"/>
      <c r="BI945" s="136"/>
    </row>
    <row r="946" spans="1:61" x14ac:dyDescent="0.2">
      <c r="A946" s="275" t="s">
        <v>89</v>
      </c>
      <c r="B946" s="275" t="s">
        <v>49</v>
      </c>
      <c r="C946" s="447" t="s">
        <v>53</v>
      </c>
      <c r="D946" s="290" t="s">
        <v>324</v>
      </c>
      <c r="E946" s="278">
        <v>6</v>
      </c>
      <c r="F946" s="239">
        <v>10</v>
      </c>
      <c r="G946" s="239">
        <f t="shared" si="435"/>
        <v>5.8004640371229703</v>
      </c>
      <c r="H946" s="405">
        <v>20</v>
      </c>
      <c r="I946" s="300">
        <f t="shared" ref="I946" si="448">(30+4.4*E946)*(0/100)+(-34.66+29.72*E946)*(F946/100)</f>
        <v>14.366</v>
      </c>
      <c r="J946" s="753">
        <v>2</v>
      </c>
      <c r="K946" s="295">
        <v>0</v>
      </c>
      <c r="L946" s="295">
        <v>21</v>
      </c>
      <c r="M946" s="405" t="s">
        <v>104</v>
      </c>
      <c r="N946" s="295">
        <v>438</v>
      </c>
      <c r="O946" s="295">
        <f t="shared" si="441"/>
        <v>440</v>
      </c>
      <c r="P946" s="290" t="s">
        <v>128</v>
      </c>
      <c r="Q946" s="290"/>
      <c r="R946" s="285">
        <v>3</v>
      </c>
      <c r="S946" s="285">
        <v>0.79</v>
      </c>
      <c r="T946" s="388" t="s">
        <v>37</v>
      </c>
      <c r="U946" s="285"/>
      <c r="V946" s="388"/>
      <c r="W946" s="388"/>
      <c r="X946" s="388"/>
      <c r="Y946" s="292">
        <v>0.8</v>
      </c>
      <c r="Z946" s="301" t="s">
        <v>37</v>
      </c>
      <c r="AA946" s="405"/>
      <c r="AB946" s="275"/>
      <c r="AC946" s="275"/>
      <c r="AD946" s="275"/>
      <c r="AE946" s="765"/>
      <c r="AF946" s="239">
        <f t="shared" si="442"/>
        <v>6.0822189103764464</v>
      </c>
      <c r="AG946" s="239">
        <f t="shared" si="443"/>
        <v>6.0867747269123065</v>
      </c>
      <c r="AH946" s="240"/>
      <c r="AI946" s="240"/>
      <c r="AK946" s="265">
        <f t="shared" si="444"/>
        <v>1314</v>
      </c>
      <c r="AL946" s="286">
        <f t="shared" si="445"/>
        <v>1316</v>
      </c>
      <c r="AM946" s="239">
        <f t="shared" si="446"/>
        <v>7.1808311990445555</v>
      </c>
      <c r="AN946" s="239">
        <f t="shared" si="447"/>
        <v>7.1823521118852627</v>
      </c>
      <c r="AO946" s="240"/>
      <c r="AP946" s="240"/>
      <c r="AR946" s="286">
        <f t="shared" si="436"/>
        <v>1081.964629075364</v>
      </c>
      <c r="AS946" s="286">
        <f t="shared" si="437"/>
        <v>1080.949629394569</v>
      </c>
      <c r="AT946" s="239">
        <f t="shared" si="439"/>
        <v>6.9865337685535689</v>
      </c>
      <c r="AU946" s="239">
        <f t="shared" si="440"/>
        <v>6.9855952202488201</v>
      </c>
      <c r="AX946" s="265"/>
      <c r="AY946" s="265"/>
      <c r="AZ946" s="265"/>
      <c r="BA946" s="265"/>
      <c r="BB946" s="239"/>
      <c r="BC946" s="239"/>
      <c r="BD946" s="240"/>
      <c r="BE946" s="240"/>
      <c r="BF946" s="136"/>
      <c r="BG946" s="136"/>
      <c r="BH946" s="136"/>
      <c r="BI946" s="136"/>
    </row>
    <row r="947" spans="1:61" x14ac:dyDescent="0.2">
      <c r="A947" s="232" t="s">
        <v>89</v>
      </c>
      <c r="B947" s="232" t="s">
        <v>49</v>
      </c>
      <c r="C947" s="447" t="s">
        <v>53</v>
      </c>
      <c r="D947" s="290" t="s">
        <v>324</v>
      </c>
      <c r="E947" s="405">
        <v>6.3</v>
      </c>
      <c r="F947" s="239">
        <v>1.5</v>
      </c>
      <c r="G947" s="239">
        <f t="shared" si="435"/>
        <v>0.87006960556844548</v>
      </c>
      <c r="H947" s="405">
        <v>17</v>
      </c>
      <c r="I947" s="752">
        <f>(30+4.4*E947)*H947/100+(-34.66+29.72*E947)*F947/100</f>
        <v>12.101039999999999</v>
      </c>
      <c r="J947" s="753">
        <v>51</v>
      </c>
      <c r="K947" s="295">
        <v>0</v>
      </c>
      <c r="L947" s="295">
        <v>21</v>
      </c>
      <c r="M947" s="233" t="s">
        <v>104</v>
      </c>
      <c r="N947" s="295">
        <v>127</v>
      </c>
      <c r="O947" s="295">
        <f t="shared" si="441"/>
        <v>178</v>
      </c>
      <c r="P947" s="290" t="s">
        <v>128</v>
      </c>
      <c r="Q947" s="290"/>
      <c r="R947" s="236">
        <v>3</v>
      </c>
      <c r="S947" s="285">
        <v>0.79</v>
      </c>
      <c r="T947" s="388" t="s">
        <v>37</v>
      </c>
      <c r="U947" s="285"/>
      <c r="V947" s="388"/>
      <c r="W947" s="388"/>
      <c r="X947" s="388"/>
      <c r="Y947" s="292">
        <v>0.8</v>
      </c>
      <c r="Z947" s="301" t="s">
        <v>37</v>
      </c>
      <c r="AA947" s="405"/>
      <c r="AB947" s="275"/>
      <c r="AC947" s="275"/>
      <c r="AD947" s="275"/>
      <c r="AE947" s="765"/>
      <c r="AF947" s="239">
        <f t="shared" si="442"/>
        <v>4.8441870864585912</v>
      </c>
      <c r="AG947" s="239">
        <f t="shared" si="443"/>
        <v>5.181783550292085</v>
      </c>
      <c r="AH947" s="240"/>
      <c r="AI947" s="240"/>
      <c r="AK947" s="265">
        <f t="shared" si="444"/>
        <v>381</v>
      </c>
      <c r="AL947" s="286">
        <f t="shared" si="445"/>
        <v>432</v>
      </c>
      <c r="AM947" s="239">
        <f t="shared" si="446"/>
        <v>5.9427993751267012</v>
      </c>
      <c r="AN947" s="239">
        <f t="shared" si="447"/>
        <v>6.0684255882441107</v>
      </c>
      <c r="AO947" s="240"/>
      <c r="AP947" s="240"/>
      <c r="AR947" s="286">
        <f t="shared" si="436"/>
        <v>359.25934568606851</v>
      </c>
      <c r="AS947" s="286">
        <f t="shared" si="437"/>
        <v>407.04633333122194</v>
      </c>
      <c r="AT947" s="239">
        <f t="shared" si="439"/>
        <v>5.8840445390565854</v>
      </c>
      <c r="AU947" s="239">
        <f t="shared" si="440"/>
        <v>6.008927020071841</v>
      </c>
      <c r="AX947" s="265"/>
      <c r="AY947" s="265"/>
      <c r="AZ947" s="265"/>
      <c r="BA947" s="265"/>
      <c r="BB947" s="239"/>
      <c r="BC947" s="239"/>
      <c r="BD947" s="240"/>
      <c r="BE947" s="240"/>
      <c r="BF947" s="136"/>
      <c r="BG947" s="136"/>
      <c r="BH947" s="136"/>
      <c r="BI947" s="136"/>
    </row>
    <row r="948" spans="1:61" x14ac:dyDescent="0.2">
      <c r="A948" s="232" t="s">
        <v>89</v>
      </c>
      <c r="B948" s="232" t="s">
        <v>49</v>
      </c>
      <c r="C948" s="447" t="s">
        <v>53</v>
      </c>
      <c r="D948" s="290" t="s">
        <v>324</v>
      </c>
      <c r="E948" s="278">
        <v>6</v>
      </c>
      <c r="F948" s="239">
        <v>10</v>
      </c>
      <c r="G948" s="239">
        <f t="shared" si="435"/>
        <v>5.8004640371229703</v>
      </c>
      <c r="H948" s="405">
        <v>20</v>
      </c>
      <c r="I948" s="300">
        <f t="shared" ref="I948" si="449">(30+4.4*E948)*(0/100)+(-34.66+29.72*E948)*(F948/100)</f>
        <v>14.366</v>
      </c>
      <c r="J948" s="753">
        <v>2</v>
      </c>
      <c r="K948" s="295">
        <v>2</v>
      </c>
      <c r="L948" s="295">
        <v>28</v>
      </c>
      <c r="M948" s="233" t="s">
        <v>93</v>
      </c>
      <c r="N948" s="295">
        <v>250</v>
      </c>
      <c r="O948" s="295">
        <f t="shared" si="441"/>
        <v>252</v>
      </c>
      <c r="P948" s="290" t="s">
        <v>129</v>
      </c>
      <c r="Q948" s="290"/>
      <c r="R948" s="285">
        <v>3</v>
      </c>
      <c r="S948" s="285">
        <v>0.79</v>
      </c>
      <c r="T948" s="388" t="s">
        <v>37</v>
      </c>
      <c r="U948" s="285"/>
      <c r="V948" s="388"/>
      <c r="W948" s="388"/>
      <c r="X948" s="388"/>
      <c r="Y948" s="292">
        <v>0.8</v>
      </c>
      <c r="Z948" s="301" t="s">
        <v>37</v>
      </c>
      <c r="AA948" s="405"/>
      <c r="AB948" s="275"/>
      <c r="AC948" s="275"/>
      <c r="AD948" s="275"/>
      <c r="AE948" s="765"/>
      <c r="AF948" s="239">
        <f t="shared" si="442"/>
        <v>5.521460917862246</v>
      </c>
      <c r="AG948" s="239">
        <f t="shared" si="443"/>
        <v>5.5294290875114234</v>
      </c>
      <c r="AH948" s="240"/>
      <c r="AI948" s="240"/>
      <c r="AK948" s="265">
        <f t="shared" si="444"/>
        <v>750</v>
      </c>
      <c r="AL948" s="286">
        <f t="shared" si="445"/>
        <v>752</v>
      </c>
      <c r="AM948" s="239">
        <f t="shared" si="446"/>
        <v>6.620073206530356</v>
      </c>
      <c r="AN948" s="239">
        <f t="shared" si="447"/>
        <v>6.62273632394984</v>
      </c>
      <c r="AO948" s="240"/>
      <c r="AP948" s="240"/>
      <c r="AR948" s="286">
        <f t="shared" si="436"/>
        <v>617.55971979187439</v>
      </c>
      <c r="AS948" s="286">
        <f t="shared" si="437"/>
        <v>617.68550251118234</v>
      </c>
      <c r="AT948" s="239">
        <f t="shared" si="439"/>
        <v>6.4257757760393694</v>
      </c>
      <c r="AU948" s="239">
        <f t="shared" si="440"/>
        <v>6.4259794323133974</v>
      </c>
      <c r="AX948" s="265"/>
      <c r="AY948" s="265"/>
      <c r="AZ948" s="265"/>
      <c r="BA948" s="265"/>
      <c r="BB948" s="239"/>
      <c r="BC948" s="239"/>
      <c r="BD948" s="240"/>
      <c r="BE948" s="240"/>
      <c r="BF948" s="136"/>
      <c r="BG948" s="136"/>
      <c r="BH948" s="136"/>
      <c r="BI948" s="136"/>
    </row>
    <row r="949" spans="1:61" s="165" customFormat="1" x14ac:dyDescent="0.2">
      <c r="A949" s="156" t="s">
        <v>89</v>
      </c>
      <c r="B949" s="156" t="s">
        <v>49</v>
      </c>
      <c r="C949" s="442" t="s">
        <v>53</v>
      </c>
      <c r="D949" s="326" t="s">
        <v>324</v>
      </c>
      <c r="E949" s="160">
        <v>6.35</v>
      </c>
      <c r="F949" s="166">
        <f>2.35*0.9+10</f>
        <v>12.115</v>
      </c>
      <c r="G949" s="166">
        <f t="shared" si="435"/>
        <v>7.0272621809744784</v>
      </c>
      <c r="H949" s="159">
        <f>9.7*0.9</f>
        <v>8.73</v>
      </c>
      <c r="I949" s="757">
        <f>(30+4.4*E949)*H949/100+(-34.66+29.72*E949)*F949/100</f>
        <v>23.7227733</v>
      </c>
      <c r="J949" s="160">
        <v>124</v>
      </c>
      <c r="K949" s="231">
        <v>7</v>
      </c>
      <c r="L949" s="231">
        <v>42</v>
      </c>
      <c r="M949" s="160" t="s">
        <v>93</v>
      </c>
      <c r="N949" s="231">
        <v>714</v>
      </c>
      <c r="O949" s="231">
        <f t="shared" si="441"/>
        <v>838</v>
      </c>
      <c r="P949" s="326" t="s">
        <v>121</v>
      </c>
      <c r="Q949" s="326"/>
      <c r="R949" s="163">
        <v>3</v>
      </c>
      <c r="S949" s="163">
        <v>0.79</v>
      </c>
      <c r="T949" s="162" t="s">
        <v>37</v>
      </c>
      <c r="U949" s="163"/>
      <c r="V949" s="162"/>
      <c r="W949" s="162"/>
      <c r="X949" s="162"/>
      <c r="Y949" s="328">
        <v>0.8</v>
      </c>
      <c r="Z949" s="314" t="s">
        <v>37</v>
      </c>
      <c r="AA949" s="160"/>
      <c r="AB949" s="156"/>
      <c r="AC949" s="156"/>
      <c r="AD949" s="156"/>
      <c r="AE949" s="450"/>
      <c r="AF949" s="166">
        <f t="shared" si="442"/>
        <v>6.5708829623395841</v>
      </c>
      <c r="AG949" s="166">
        <f t="shared" si="443"/>
        <v>6.7310181004820828</v>
      </c>
      <c r="AH949" s="169"/>
      <c r="AI949" s="169"/>
      <c r="AK949" s="168">
        <f t="shared" si="444"/>
        <v>2142</v>
      </c>
      <c r="AL949" s="337">
        <f t="shared" si="445"/>
        <v>2266</v>
      </c>
      <c r="AM949" s="166">
        <f t="shared" si="446"/>
        <v>7.6694952510076941</v>
      </c>
      <c r="AN949" s="166">
        <f t="shared" si="447"/>
        <v>7.7257714415879519</v>
      </c>
      <c r="AO949" s="169"/>
      <c r="AP949" s="169"/>
      <c r="AR949" s="337">
        <f t="shared" si="436"/>
        <v>1186.7296229889332</v>
      </c>
      <c r="AS949" s="337">
        <f t="shared" si="437"/>
        <v>1246.0796283239674</v>
      </c>
      <c r="AT949" s="166">
        <f t="shared" si="439"/>
        <v>7.0789565868512634</v>
      </c>
      <c r="AU949" s="166">
        <f t="shared" si="440"/>
        <v>7.1277576044675151</v>
      </c>
      <c r="AV949" s="167"/>
      <c r="AW949" s="167"/>
      <c r="AX949" s="168"/>
      <c r="AY949" s="168"/>
      <c r="AZ949" s="168"/>
      <c r="BA949" s="168"/>
      <c r="BB949" s="166"/>
      <c r="BC949" s="166"/>
      <c r="BD949" s="169"/>
      <c r="BE949" s="169"/>
    </row>
    <row r="950" spans="1:61" x14ac:dyDescent="0.2">
      <c r="A950" s="232" t="s">
        <v>89</v>
      </c>
      <c r="B950" s="232" t="s">
        <v>49</v>
      </c>
      <c r="C950" s="447" t="s">
        <v>81</v>
      </c>
      <c r="D950" s="290" t="s">
        <v>328</v>
      </c>
      <c r="E950" s="278">
        <v>6</v>
      </c>
      <c r="F950" s="239">
        <v>10</v>
      </c>
      <c r="G950" s="239">
        <f t="shared" si="435"/>
        <v>5.8004640371229703</v>
      </c>
      <c r="H950" s="405">
        <v>20</v>
      </c>
      <c r="I950" s="300">
        <f t="shared" ref="I950" si="450">(30+4.4*E950)*(0/100)+(-34.66+29.72*E950)*(F950/100)</f>
        <v>14.366</v>
      </c>
      <c r="J950" s="753">
        <v>2</v>
      </c>
      <c r="K950" s="295">
        <v>0</v>
      </c>
      <c r="L950" s="295">
        <v>42</v>
      </c>
      <c r="M950" s="233" t="s">
        <v>104</v>
      </c>
      <c r="N950" s="295">
        <v>132</v>
      </c>
      <c r="O950" s="295">
        <f t="shared" si="441"/>
        <v>134</v>
      </c>
      <c r="P950" s="290" t="s">
        <v>128</v>
      </c>
      <c r="Q950" s="290"/>
      <c r="R950" s="236">
        <v>3</v>
      </c>
      <c r="S950" s="285">
        <v>0.79</v>
      </c>
      <c r="T950" s="388" t="s">
        <v>37</v>
      </c>
      <c r="U950" s="285"/>
      <c r="V950" s="388"/>
      <c r="W950" s="388"/>
      <c r="X950" s="388"/>
      <c r="Y950" s="292">
        <v>0.8</v>
      </c>
      <c r="Z950" s="301" t="s">
        <v>37</v>
      </c>
      <c r="AA950" s="405"/>
      <c r="AB950" s="275"/>
      <c r="AC950" s="275"/>
      <c r="AD950" s="275"/>
      <c r="AE950" s="765"/>
      <c r="AF950" s="239">
        <f t="shared" si="442"/>
        <v>4.8828019225863706</v>
      </c>
      <c r="AG950" s="239">
        <f t="shared" si="443"/>
        <v>4.8978397999509111</v>
      </c>
      <c r="AH950" s="240"/>
      <c r="AI950" s="240"/>
      <c r="AK950" s="265">
        <f t="shared" si="444"/>
        <v>396</v>
      </c>
      <c r="AL950" s="286">
        <f t="shared" si="445"/>
        <v>398</v>
      </c>
      <c r="AM950" s="239">
        <f t="shared" si="446"/>
        <v>5.9814142112544806</v>
      </c>
      <c r="AN950" s="239">
        <f t="shared" si="447"/>
        <v>5.9864520052844377</v>
      </c>
      <c r="AO950" s="240"/>
      <c r="AP950" s="240"/>
      <c r="AR950" s="286">
        <f t="shared" ref="AR950:AR978" si="451">AK950*(eCEC/$I950)^$S950</f>
        <v>326.07153205010968</v>
      </c>
      <c r="AS950" s="286">
        <f t="shared" ref="AS950:AS978" si="452">AL950*(eCEC/$I950)^$Y950</f>
        <v>326.9133377652268</v>
      </c>
      <c r="AT950" s="239">
        <f t="shared" si="439"/>
        <v>5.787116780763494</v>
      </c>
      <c r="AU950" s="239">
        <f t="shared" si="440"/>
        <v>5.7896951136479951</v>
      </c>
      <c r="AX950" s="385">
        <f>GEOMEAN(AR950:AR952)</f>
        <v>243.73326315445709</v>
      </c>
      <c r="AY950" s="385">
        <f>GEOMEAN(AS950:AS952)</f>
        <v>277.80900717807668</v>
      </c>
      <c r="AZ950" s="385">
        <f>MIN(AX950:AX952)</f>
        <v>243.73326315445709</v>
      </c>
      <c r="BA950" s="385">
        <f>MIN(AY950:AY952)</f>
        <v>277.80900717807668</v>
      </c>
      <c r="BB950" s="239">
        <f>LN(AZ950)</f>
        <v>5.4960744435387632</v>
      </c>
      <c r="BC950" s="239">
        <f>LN(BA950)</f>
        <v>5.6269338530418374</v>
      </c>
      <c r="BD950" s="240"/>
      <c r="BE950" s="240"/>
      <c r="BF950" s="136"/>
      <c r="BG950" s="136"/>
      <c r="BH950" s="136"/>
      <c r="BI950" s="136"/>
    </row>
    <row r="951" spans="1:61" x14ac:dyDescent="0.2">
      <c r="A951" s="232" t="s">
        <v>89</v>
      </c>
      <c r="B951" s="232" t="s">
        <v>49</v>
      </c>
      <c r="C951" s="447" t="s">
        <v>81</v>
      </c>
      <c r="D951" s="290" t="s">
        <v>328</v>
      </c>
      <c r="E951" s="405">
        <v>6.3</v>
      </c>
      <c r="F951" s="239">
        <v>1.5</v>
      </c>
      <c r="G951" s="239">
        <f t="shared" si="435"/>
        <v>0.87006960556844548</v>
      </c>
      <c r="H951" s="405">
        <v>17</v>
      </c>
      <c r="I951" s="752">
        <f>(30+4.4*E951)*H951/100+(-34.66+29.72*E951)*F951/100</f>
        <v>12.101039999999999</v>
      </c>
      <c r="J951" s="753">
        <v>51</v>
      </c>
      <c r="K951" s="295">
        <v>0</v>
      </c>
      <c r="L951" s="295">
        <v>42</v>
      </c>
      <c r="M951" s="233" t="s">
        <v>104</v>
      </c>
      <c r="N951" s="295">
        <v>35.700000000000003</v>
      </c>
      <c r="O951" s="295">
        <f t="shared" si="441"/>
        <v>86.7</v>
      </c>
      <c r="P951" s="290" t="s">
        <v>128</v>
      </c>
      <c r="Q951" s="290"/>
      <c r="R951" s="236">
        <v>3</v>
      </c>
      <c r="S951" s="285">
        <v>0.79</v>
      </c>
      <c r="T951" s="388" t="s">
        <v>37</v>
      </c>
      <c r="U951" s="285"/>
      <c r="V951" s="388"/>
      <c r="W951" s="388"/>
      <c r="X951" s="388"/>
      <c r="Y951" s="292">
        <v>0.8</v>
      </c>
      <c r="Z951" s="301" t="s">
        <v>37</v>
      </c>
      <c r="AA951" s="405"/>
      <c r="AB951" s="275"/>
      <c r="AC951" s="275"/>
      <c r="AD951" s="275"/>
      <c r="AE951" s="765"/>
      <c r="AF951" s="239">
        <f t="shared" si="442"/>
        <v>3.5751506887855933</v>
      </c>
      <c r="AG951" s="239">
        <f t="shared" si="443"/>
        <v>4.4624538837864964</v>
      </c>
      <c r="AH951" s="240"/>
      <c r="AI951" s="240"/>
      <c r="AK951" s="265">
        <f t="shared" si="444"/>
        <v>107.10000000000001</v>
      </c>
      <c r="AL951" s="286">
        <f t="shared" si="445"/>
        <v>158.10000000000002</v>
      </c>
      <c r="AM951" s="239">
        <f t="shared" si="446"/>
        <v>4.6737629774537028</v>
      </c>
      <c r="AN951" s="239">
        <f t="shared" si="447"/>
        <v>5.0632277442154265</v>
      </c>
      <c r="AO951" s="240"/>
      <c r="AP951" s="240"/>
      <c r="AR951" s="286">
        <f t="shared" si="451"/>
        <v>100.98865071647752</v>
      </c>
      <c r="AS951" s="286">
        <f t="shared" si="452"/>
        <v>148.96765115663473</v>
      </c>
      <c r="AT951" s="239">
        <f t="shared" si="439"/>
        <v>4.6150081413835871</v>
      </c>
      <c r="AU951" s="239">
        <f t="shared" si="440"/>
        <v>5.0037291760431577</v>
      </c>
      <c r="AX951" s="265"/>
      <c r="AY951" s="265"/>
      <c r="AZ951" s="265"/>
      <c r="BA951" s="265"/>
      <c r="BB951" s="239"/>
      <c r="BC951" s="239"/>
      <c r="BD951" s="240"/>
      <c r="BE951" s="240"/>
      <c r="BF951" s="136"/>
      <c r="BG951" s="136"/>
      <c r="BH951" s="136"/>
      <c r="BI951" s="136"/>
    </row>
    <row r="952" spans="1:61" s="165" customFormat="1" x14ac:dyDescent="0.2">
      <c r="A952" s="156" t="s">
        <v>89</v>
      </c>
      <c r="B952" s="156" t="s">
        <v>49</v>
      </c>
      <c r="C952" s="442" t="s">
        <v>81</v>
      </c>
      <c r="D952" s="326" t="s">
        <v>330</v>
      </c>
      <c r="E952" s="159">
        <v>6</v>
      </c>
      <c r="F952" s="166">
        <v>10</v>
      </c>
      <c r="G952" s="166">
        <f t="shared" si="435"/>
        <v>5.8004640371229703</v>
      </c>
      <c r="H952" s="160">
        <v>20</v>
      </c>
      <c r="I952" s="393">
        <f t="shared" ref="I952" si="453">(30+4.4*E952)*(0/100)+(-34.66+29.72*E952)*(F952/100)</f>
        <v>14.366</v>
      </c>
      <c r="J952" s="754">
        <v>2</v>
      </c>
      <c r="K952" s="231">
        <v>0</v>
      </c>
      <c r="L952" s="231">
        <v>150</v>
      </c>
      <c r="M952" s="160" t="s">
        <v>104</v>
      </c>
      <c r="N952" s="231">
        <v>178</v>
      </c>
      <c r="O952" s="231">
        <f t="shared" si="441"/>
        <v>180</v>
      </c>
      <c r="P952" s="326" t="s">
        <v>130</v>
      </c>
      <c r="Q952" s="326"/>
      <c r="R952" s="163">
        <v>3</v>
      </c>
      <c r="S952" s="163">
        <v>0.79</v>
      </c>
      <c r="T952" s="162" t="s">
        <v>37</v>
      </c>
      <c r="U952" s="163"/>
      <c r="V952" s="162"/>
      <c r="W952" s="162"/>
      <c r="X952" s="162"/>
      <c r="Y952" s="328">
        <v>0.8</v>
      </c>
      <c r="Z952" s="314" t="s">
        <v>37</v>
      </c>
      <c r="AA952" s="160"/>
      <c r="AB952" s="156"/>
      <c r="AC952" s="156"/>
      <c r="AD952" s="156"/>
      <c r="AE952" s="450"/>
      <c r="AF952" s="166">
        <f t="shared" si="442"/>
        <v>5.181783550292085</v>
      </c>
      <c r="AG952" s="166">
        <f t="shared" si="443"/>
        <v>5.1929568508902104</v>
      </c>
      <c r="AH952" s="169"/>
      <c r="AI952" s="169"/>
      <c r="AK952" s="168">
        <f t="shared" si="444"/>
        <v>534</v>
      </c>
      <c r="AL952" s="337">
        <f t="shared" si="445"/>
        <v>536</v>
      </c>
      <c r="AM952" s="166">
        <f t="shared" si="446"/>
        <v>6.280395838960195</v>
      </c>
      <c r="AN952" s="166">
        <f t="shared" si="447"/>
        <v>6.2841341610708019</v>
      </c>
      <c r="AO952" s="169"/>
      <c r="AP952" s="169"/>
      <c r="AR952" s="337">
        <f t="shared" si="451"/>
        <v>439.70252049181454</v>
      </c>
      <c r="AS952" s="337">
        <f t="shared" si="452"/>
        <v>440.2651985983959</v>
      </c>
      <c r="AT952" s="166">
        <f t="shared" si="439"/>
        <v>6.0860984084692085</v>
      </c>
      <c r="AU952" s="166">
        <f t="shared" si="440"/>
        <v>6.0873772694343593</v>
      </c>
      <c r="AV952" s="167"/>
      <c r="AW952" s="167"/>
      <c r="AX952" s="168"/>
      <c r="AY952" s="168"/>
      <c r="AZ952" s="168"/>
      <c r="BA952" s="168"/>
      <c r="BB952" s="166"/>
      <c r="BC952" s="166"/>
      <c r="BD952" s="169"/>
      <c r="BE952" s="169"/>
    </row>
    <row r="953" spans="1:61" s="245" customFormat="1" x14ac:dyDescent="0.2">
      <c r="A953" s="244" t="s">
        <v>89</v>
      </c>
      <c r="B953" s="244" t="s">
        <v>49</v>
      </c>
      <c r="C953" s="455" t="s">
        <v>54</v>
      </c>
      <c r="D953" s="459" t="s">
        <v>324</v>
      </c>
      <c r="E953" s="246">
        <v>6.35</v>
      </c>
      <c r="F953" s="247">
        <f>2.35*0.9+10</f>
        <v>12.115</v>
      </c>
      <c r="G953" s="247">
        <f t="shared" si="435"/>
        <v>7.0272621809744784</v>
      </c>
      <c r="H953" s="766">
        <f>9.7*0.9</f>
        <v>8.73</v>
      </c>
      <c r="I953" s="767">
        <f>(30+4.4*E953)*H953/100+(-34.66+29.72*E953)*F953/100</f>
        <v>23.7227733</v>
      </c>
      <c r="J953" s="246">
        <v>133</v>
      </c>
      <c r="K953" s="248">
        <v>7</v>
      </c>
      <c r="L953" s="248">
        <v>42</v>
      </c>
      <c r="M953" s="246" t="s">
        <v>93</v>
      </c>
      <c r="N953" s="248">
        <v>1634</v>
      </c>
      <c r="O953" s="248">
        <f t="shared" si="441"/>
        <v>1767</v>
      </c>
      <c r="P953" s="459" t="s">
        <v>121</v>
      </c>
      <c r="Q953" s="459"/>
      <c r="R953" s="249">
        <v>3</v>
      </c>
      <c r="S953" s="249">
        <v>0.79</v>
      </c>
      <c r="T953" s="250" t="s">
        <v>37</v>
      </c>
      <c r="U953" s="249"/>
      <c r="V953" s="250"/>
      <c r="W953" s="250"/>
      <c r="X953" s="250"/>
      <c r="Y953" s="506">
        <v>0.8</v>
      </c>
      <c r="Z953" s="507" t="s">
        <v>37</v>
      </c>
      <c r="AA953" s="246"/>
      <c r="AB953" s="244"/>
      <c r="AC953" s="244"/>
      <c r="AD953" s="244"/>
      <c r="AE953" s="768"/>
      <c r="AF953" s="247">
        <f t="shared" si="442"/>
        <v>7.3987862754199485</v>
      </c>
      <c r="AG953" s="247">
        <f t="shared" si="443"/>
        <v>7.4770384723196965</v>
      </c>
      <c r="AH953" s="252"/>
      <c r="AI953" s="252"/>
      <c r="AK953" s="461">
        <f t="shared" si="444"/>
        <v>4902</v>
      </c>
      <c r="AL953" s="511">
        <f t="shared" si="445"/>
        <v>5035</v>
      </c>
      <c r="AM953" s="247">
        <f t="shared" si="446"/>
        <v>8.4973985640880585</v>
      </c>
      <c r="AN953" s="247">
        <f t="shared" si="447"/>
        <v>8.5241688051526623</v>
      </c>
      <c r="AO953" s="252"/>
      <c r="AP953" s="252"/>
      <c r="AR953" s="511">
        <f t="shared" si="451"/>
        <v>2715.8490251595476</v>
      </c>
      <c r="AS953" s="511">
        <f t="shared" si="452"/>
        <v>2768.7603391929288</v>
      </c>
      <c r="AT953" s="247">
        <f t="shared" si="439"/>
        <v>7.9068598999316269</v>
      </c>
      <c r="AU953" s="247">
        <f t="shared" si="440"/>
        <v>7.9261549680322263</v>
      </c>
      <c r="AV953" s="253"/>
      <c r="AW953" s="253"/>
      <c r="AX953" s="461">
        <f>GEOMEAN(AR953)</f>
        <v>2715.8490251595476</v>
      </c>
      <c r="AY953" s="461">
        <f>GEOMEAN(AS953)</f>
        <v>2768.7603391929288</v>
      </c>
      <c r="AZ953" s="461">
        <f>MIN(AX953)</f>
        <v>2715.8490251595476</v>
      </c>
      <c r="BA953" s="461">
        <f>MIN(AY953)</f>
        <v>2768.7603391929288</v>
      </c>
      <c r="BB953" s="247">
        <f t="shared" ref="BB953:BC955" si="454">LN(AZ953)</f>
        <v>7.9068598999316269</v>
      </c>
      <c r="BC953" s="247">
        <f t="shared" si="454"/>
        <v>7.9261549680322263</v>
      </c>
      <c r="BD953" s="252"/>
      <c r="BE953" s="252"/>
    </row>
    <row r="954" spans="1:61" s="245" customFormat="1" x14ac:dyDescent="0.2">
      <c r="A954" s="244" t="s">
        <v>89</v>
      </c>
      <c r="B954" s="244" t="s">
        <v>49</v>
      </c>
      <c r="C954" s="455" t="s">
        <v>131</v>
      </c>
      <c r="D954" s="459" t="s">
        <v>324</v>
      </c>
      <c r="E954" s="246">
        <v>6.35</v>
      </c>
      <c r="F954" s="247">
        <f>2.35*0.9+10</f>
        <v>12.115</v>
      </c>
      <c r="G954" s="247">
        <f t="shared" si="435"/>
        <v>7.0272621809744784</v>
      </c>
      <c r="H954" s="766">
        <f>9.7*0.9</f>
        <v>8.73</v>
      </c>
      <c r="I954" s="767">
        <f>(30+4.4*E954)*H954/100+(-34.66+29.72*E954)*F954/100</f>
        <v>23.7227733</v>
      </c>
      <c r="J954" s="246">
        <v>118</v>
      </c>
      <c r="K954" s="248">
        <v>7</v>
      </c>
      <c r="L954" s="248">
        <v>42</v>
      </c>
      <c r="M954" s="246" t="s">
        <v>93</v>
      </c>
      <c r="N954" s="248">
        <v>520</v>
      </c>
      <c r="O954" s="248">
        <f t="shared" si="441"/>
        <v>638</v>
      </c>
      <c r="P954" s="459" t="s">
        <v>121</v>
      </c>
      <c r="Q954" s="459"/>
      <c r="R954" s="249">
        <v>3</v>
      </c>
      <c r="S954" s="249">
        <v>0.79</v>
      </c>
      <c r="T954" s="250" t="s">
        <v>37</v>
      </c>
      <c r="U954" s="249"/>
      <c r="V954" s="250"/>
      <c r="W954" s="250"/>
      <c r="X954" s="250"/>
      <c r="Y954" s="506">
        <v>0.8</v>
      </c>
      <c r="Z954" s="507" t="s">
        <v>37</v>
      </c>
      <c r="AA954" s="246"/>
      <c r="AB954" s="244"/>
      <c r="AC954" s="244"/>
      <c r="AD954" s="244"/>
      <c r="AE954" s="768"/>
      <c r="AF954" s="247">
        <f t="shared" si="442"/>
        <v>6.253828811575473</v>
      </c>
      <c r="AG954" s="247">
        <f t="shared" si="443"/>
        <v>6.4583382833447898</v>
      </c>
      <c r="AH954" s="252"/>
      <c r="AI954" s="252"/>
      <c r="AK954" s="461">
        <f t="shared" si="444"/>
        <v>1560</v>
      </c>
      <c r="AL954" s="511">
        <f t="shared" si="445"/>
        <v>1678</v>
      </c>
      <c r="AM954" s="247">
        <f t="shared" si="446"/>
        <v>7.352441100243583</v>
      </c>
      <c r="AN954" s="247">
        <f t="shared" si="447"/>
        <v>7.4253578870271513</v>
      </c>
      <c r="AO954" s="252"/>
      <c r="AP954" s="252"/>
      <c r="AR954" s="511">
        <f t="shared" si="451"/>
        <v>864.28487948773852</v>
      </c>
      <c r="AS954" s="511">
        <f t="shared" si="452"/>
        <v>922.73681214811006</v>
      </c>
      <c r="AT954" s="247">
        <f t="shared" si="439"/>
        <v>6.7619024360871522</v>
      </c>
      <c r="AU954" s="247">
        <f t="shared" si="440"/>
        <v>6.8273440499067153</v>
      </c>
      <c r="AV954" s="253"/>
      <c r="AW954" s="253"/>
      <c r="AX954" s="461">
        <f>GEOMEAN(AR954)</f>
        <v>864.28487948773852</v>
      </c>
      <c r="AY954" s="461">
        <f>GEOMEAN(AS954)</f>
        <v>922.73681214811006</v>
      </c>
      <c r="AZ954" s="461">
        <f>MIN(AX954)</f>
        <v>864.28487948773852</v>
      </c>
      <c r="BA954" s="461">
        <f>MIN(AY954)</f>
        <v>922.73681214811006</v>
      </c>
      <c r="BB954" s="247">
        <f t="shared" si="454"/>
        <v>6.7619024360871522</v>
      </c>
      <c r="BC954" s="247">
        <f t="shared" si="454"/>
        <v>6.8273440499067153</v>
      </c>
      <c r="BD954" s="252"/>
      <c r="BE954" s="252"/>
    </row>
    <row r="955" spans="1:61" x14ac:dyDescent="0.2">
      <c r="A955" s="232" t="s">
        <v>89</v>
      </c>
      <c r="B955" s="232" t="s">
        <v>49</v>
      </c>
      <c r="C955" s="264" t="s">
        <v>57</v>
      </c>
      <c r="D955" s="232" t="s">
        <v>328</v>
      </c>
      <c r="E955" s="233">
        <v>6</v>
      </c>
      <c r="F955" s="136">
        <v>10</v>
      </c>
      <c r="G955" s="234">
        <f t="shared" si="435"/>
        <v>5.8004640371229703</v>
      </c>
      <c r="H955" s="233">
        <v>20</v>
      </c>
      <c r="I955" s="300">
        <f t="shared" ref="I955:I957" si="455">(30+4.4*E955)*(0/100)+(-34.66+29.72*E955)*(F955/100)</f>
        <v>14.366</v>
      </c>
      <c r="J955" s="753">
        <v>2</v>
      </c>
      <c r="K955" s="295">
        <v>2</v>
      </c>
      <c r="L955" s="295">
        <v>28</v>
      </c>
      <c r="M955" s="235" t="s">
        <v>93</v>
      </c>
      <c r="N955" s="235">
        <v>366</v>
      </c>
      <c r="O955" s="295">
        <f t="shared" si="441"/>
        <v>368</v>
      </c>
      <c r="P955" s="290" t="s">
        <v>132</v>
      </c>
      <c r="Q955" s="290"/>
      <c r="R955" s="236">
        <v>3</v>
      </c>
      <c r="S955" s="285">
        <v>1.1399999999999999</v>
      </c>
      <c r="T955" s="388" t="s">
        <v>37</v>
      </c>
      <c r="Y955" s="292">
        <v>1.1200000000000001</v>
      </c>
      <c r="Z955" s="301" t="s">
        <v>37</v>
      </c>
      <c r="AA955" s="233"/>
      <c r="AB955" s="232"/>
      <c r="AC955" s="232"/>
      <c r="AD955" s="232"/>
      <c r="AE955" s="449"/>
      <c r="AF955" s="239">
        <f t="shared" si="442"/>
        <v>5.9026333334013659</v>
      </c>
      <c r="AG955" s="239">
        <f t="shared" si="443"/>
        <v>5.9080829381689313</v>
      </c>
      <c r="AH955" s="240"/>
      <c r="AI955" s="240"/>
      <c r="AK955" s="265">
        <f t="shared" si="444"/>
        <v>1098</v>
      </c>
      <c r="AL955" s="286">
        <f t="shared" si="445"/>
        <v>1100</v>
      </c>
      <c r="AM955" s="239">
        <f t="shared" si="446"/>
        <v>7.0012456220694759</v>
      </c>
      <c r="AN955" s="239">
        <f t="shared" si="447"/>
        <v>7.0030654587864616</v>
      </c>
      <c r="AO955" s="240"/>
      <c r="AP955" s="240"/>
      <c r="AR955" s="286">
        <f t="shared" si="451"/>
        <v>829.5364505712671</v>
      </c>
      <c r="AS955" s="286">
        <f t="shared" si="452"/>
        <v>835.14537416664086</v>
      </c>
      <c r="AT955" s="239">
        <f t="shared" si="439"/>
        <v>6.7208670514875459</v>
      </c>
      <c r="AU955" s="239">
        <f t="shared" si="440"/>
        <v>6.7276058104954428</v>
      </c>
      <c r="AX955" s="385">
        <f>GEOMEAN(AR955:AR977)</f>
        <v>718.84208959985858</v>
      </c>
      <c r="AY955" s="385">
        <f>GEOMEAN(AS955:AS977)</f>
        <v>775.82196361425349</v>
      </c>
      <c r="AZ955" s="385">
        <f>MIN(AX955:AX977)</f>
        <v>718.84208959985858</v>
      </c>
      <c r="BA955" s="385">
        <f>MIN(AY955:AY977)</f>
        <v>775.82196361425349</v>
      </c>
      <c r="BB955" s="239">
        <f t="shared" si="454"/>
        <v>6.5776417085649701</v>
      </c>
      <c r="BC955" s="239">
        <f t="shared" si="454"/>
        <v>6.6539230655283648</v>
      </c>
      <c r="BD955" s="240"/>
      <c r="BE955" s="240"/>
      <c r="BF955" s="136"/>
      <c r="BG955" s="136"/>
      <c r="BH955" s="136"/>
      <c r="BI955" s="136"/>
    </row>
    <row r="956" spans="1:61" x14ac:dyDescent="0.2">
      <c r="A956" s="232" t="s">
        <v>89</v>
      </c>
      <c r="B956" s="232" t="s">
        <v>49</v>
      </c>
      <c r="C956" s="264" t="s">
        <v>57</v>
      </c>
      <c r="D956" s="445" t="s">
        <v>328</v>
      </c>
      <c r="E956" s="233">
        <v>6</v>
      </c>
      <c r="F956" s="136">
        <v>10</v>
      </c>
      <c r="G956" s="234">
        <f t="shared" si="435"/>
        <v>5.8004640371229703</v>
      </c>
      <c r="H956" s="233">
        <v>20</v>
      </c>
      <c r="I956" s="300">
        <f t="shared" si="455"/>
        <v>14.366</v>
      </c>
      <c r="J956" s="753">
        <v>2</v>
      </c>
      <c r="K956" s="295">
        <v>2</v>
      </c>
      <c r="L956" s="295">
        <v>28</v>
      </c>
      <c r="M956" s="235" t="s">
        <v>93</v>
      </c>
      <c r="N956" s="235">
        <v>620</v>
      </c>
      <c r="O956" s="295">
        <f t="shared" si="441"/>
        <v>622</v>
      </c>
      <c r="P956" s="290" t="s">
        <v>133</v>
      </c>
      <c r="Q956" s="290"/>
      <c r="R956" s="236">
        <v>3</v>
      </c>
      <c r="S956" s="285">
        <v>1.1399999999999999</v>
      </c>
      <c r="T956" s="388" t="s">
        <v>37</v>
      </c>
      <c r="Y956" s="292">
        <v>1.1200000000000001</v>
      </c>
      <c r="Z956" s="301" t="s">
        <v>37</v>
      </c>
      <c r="AA956" s="233"/>
      <c r="AB956" s="232"/>
      <c r="AC956" s="232"/>
      <c r="AD956" s="232"/>
      <c r="AE956" s="449"/>
      <c r="AF956" s="239">
        <f t="shared" si="442"/>
        <v>6.4297194780391376</v>
      </c>
      <c r="AG956" s="239">
        <f t="shared" si="443"/>
        <v>6.4329400927391793</v>
      </c>
      <c r="AH956" s="240"/>
      <c r="AI956" s="240"/>
      <c r="AK956" s="265">
        <f t="shared" si="444"/>
        <v>1860</v>
      </c>
      <c r="AL956" s="286">
        <f t="shared" si="445"/>
        <v>1862</v>
      </c>
      <c r="AM956" s="239">
        <f t="shared" si="446"/>
        <v>7.5283317667072467</v>
      </c>
      <c r="AN956" s="239">
        <f t="shared" si="447"/>
        <v>7.5294064578370126</v>
      </c>
      <c r="AO956" s="240"/>
      <c r="AP956" s="240"/>
      <c r="AR956" s="286">
        <f t="shared" si="451"/>
        <v>1405.2256812955891</v>
      </c>
      <c r="AS956" s="286">
        <f t="shared" si="452"/>
        <v>1413.6733515438957</v>
      </c>
      <c r="AT956" s="239">
        <f t="shared" si="439"/>
        <v>7.2479531961253167</v>
      </c>
      <c r="AU956" s="239">
        <f t="shared" si="440"/>
        <v>7.2539468095459929</v>
      </c>
      <c r="AX956" s="385"/>
      <c r="AY956" s="385"/>
      <c r="AZ956" s="234"/>
      <c r="BA956" s="239"/>
      <c r="BB956" s="239"/>
      <c r="BC956" s="239"/>
      <c r="BD956" s="240"/>
      <c r="BE956" s="240"/>
      <c r="BF956" s="136"/>
      <c r="BG956" s="136"/>
      <c r="BH956" s="136"/>
      <c r="BI956" s="136"/>
    </row>
    <row r="957" spans="1:61" x14ac:dyDescent="0.2">
      <c r="A957" s="232" t="s">
        <v>89</v>
      </c>
      <c r="B957" s="232" t="s">
        <v>49</v>
      </c>
      <c r="C957" s="264" t="s">
        <v>57</v>
      </c>
      <c r="D957" s="445" t="s">
        <v>328</v>
      </c>
      <c r="E957" s="233">
        <v>6</v>
      </c>
      <c r="F957" s="136">
        <v>10</v>
      </c>
      <c r="G957" s="234">
        <f t="shared" si="435"/>
        <v>5.8004640371229703</v>
      </c>
      <c r="H957" s="233">
        <v>20</v>
      </c>
      <c r="I957" s="300">
        <f t="shared" si="455"/>
        <v>14.366</v>
      </c>
      <c r="J957" s="233">
        <v>14</v>
      </c>
      <c r="K957" s="295">
        <v>2</v>
      </c>
      <c r="L957" s="295">
        <v>28</v>
      </c>
      <c r="M957" s="235" t="s">
        <v>104</v>
      </c>
      <c r="N957" s="235">
        <v>399</v>
      </c>
      <c r="O957" s="295">
        <f t="shared" si="441"/>
        <v>413</v>
      </c>
      <c r="P957" s="290" t="s">
        <v>134</v>
      </c>
      <c r="Q957" s="290"/>
      <c r="R957" s="236">
        <v>3</v>
      </c>
      <c r="S957" s="285">
        <v>1.1399999999999999</v>
      </c>
      <c r="T957" s="388" t="s">
        <v>37</v>
      </c>
      <c r="Y957" s="292">
        <v>1.1200000000000001</v>
      </c>
      <c r="Z957" s="301" t="s">
        <v>37</v>
      </c>
      <c r="AA957" s="233"/>
      <c r="AB957" s="232"/>
      <c r="AC957" s="232"/>
      <c r="AD957" s="232"/>
      <c r="AE957" s="121"/>
      <c r="AF957" s="239">
        <f t="shared" si="442"/>
        <v>5.9889614168898637</v>
      </c>
      <c r="AG957" s="239">
        <f t="shared" si="443"/>
        <v>6.0234475929610332</v>
      </c>
      <c r="AH957" s="240"/>
      <c r="AI957" s="240"/>
      <c r="AK957" s="265">
        <f t="shared" si="444"/>
        <v>1197</v>
      </c>
      <c r="AL957" s="286">
        <f t="shared" si="445"/>
        <v>1211</v>
      </c>
      <c r="AM957" s="239">
        <f t="shared" si="446"/>
        <v>7.0875737055579728</v>
      </c>
      <c r="AN957" s="239">
        <f t="shared" si="447"/>
        <v>7.0992017435530919</v>
      </c>
      <c r="AO957" s="240"/>
      <c r="AP957" s="240"/>
      <c r="AR957" s="286">
        <f t="shared" si="451"/>
        <v>904.33072070474191</v>
      </c>
      <c r="AS957" s="286">
        <f t="shared" si="452"/>
        <v>919.41913465072912</v>
      </c>
      <c r="AT957" s="239">
        <f t="shared" si="439"/>
        <v>6.8071951349760429</v>
      </c>
      <c r="AU957" s="239">
        <f t="shared" si="440"/>
        <v>6.8237420952620731</v>
      </c>
      <c r="AX957" s="385"/>
      <c r="AY957" s="385"/>
      <c r="AZ957" s="234"/>
      <c r="BA957" s="239"/>
      <c r="BB957" s="239"/>
      <c r="BC957" s="239"/>
      <c r="BD957" s="240"/>
      <c r="BE957" s="240"/>
      <c r="BF957" s="136"/>
      <c r="BG957" s="136"/>
      <c r="BH957" s="136"/>
      <c r="BI957" s="136"/>
    </row>
    <row r="958" spans="1:61" x14ac:dyDescent="0.2">
      <c r="A958" s="232" t="s">
        <v>89</v>
      </c>
      <c r="B958" s="232" t="s">
        <v>49</v>
      </c>
      <c r="C958" s="264" t="s">
        <v>57</v>
      </c>
      <c r="D958" s="232" t="s">
        <v>328</v>
      </c>
      <c r="E958" s="233">
        <v>6</v>
      </c>
      <c r="F958" s="136">
        <v>2.4</v>
      </c>
      <c r="G958" s="234">
        <f t="shared" si="435"/>
        <v>1.3921113689095128</v>
      </c>
      <c r="H958" s="233">
        <v>1.9</v>
      </c>
      <c r="I958" s="752">
        <f>(30+4.4*E958)*H958/100+(-34.66+29.72*E958)*F958/100</f>
        <v>4.5194399999999995</v>
      </c>
      <c r="J958" s="233">
        <v>23</v>
      </c>
      <c r="K958" s="295">
        <v>2</v>
      </c>
      <c r="L958" s="295">
        <v>28</v>
      </c>
      <c r="M958" s="233" t="s">
        <v>93</v>
      </c>
      <c r="N958" s="233">
        <v>275</v>
      </c>
      <c r="O958" s="295">
        <f t="shared" si="441"/>
        <v>298</v>
      </c>
      <c r="P958" s="290" t="s">
        <v>132</v>
      </c>
      <c r="Q958" s="290"/>
      <c r="R958" s="236">
        <v>3</v>
      </c>
      <c r="S958" s="285">
        <v>1.1399999999999999</v>
      </c>
      <c r="T958" s="388" t="s">
        <v>37</v>
      </c>
      <c r="Y958" s="292">
        <v>1.1200000000000001</v>
      </c>
      <c r="Z958" s="301" t="s">
        <v>37</v>
      </c>
      <c r="AA958" s="233"/>
      <c r="AB958" s="232"/>
      <c r="AC958" s="232"/>
      <c r="AD958" s="232"/>
      <c r="AE958" s="449"/>
      <c r="AF958" s="239">
        <f t="shared" si="442"/>
        <v>5.6167710976665717</v>
      </c>
      <c r="AG958" s="239">
        <f t="shared" si="443"/>
        <v>5.6970934865054046</v>
      </c>
      <c r="AH958" s="240"/>
      <c r="AI958" s="240"/>
      <c r="AK958" s="265">
        <f t="shared" si="444"/>
        <v>825</v>
      </c>
      <c r="AL958" s="286">
        <f t="shared" si="445"/>
        <v>848</v>
      </c>
      <c r="AM958" s="239">
        <f t="shared" si="446"/>
        <v>6.7153833863346808</v>
      </c>
      <c r="AN958" s="239">
        <f t="shared" si="447"/>
        <v>6.7428806357919031</v>
      </c>
      <c r="AO958" s="240"/>
      <c r="AP958" s="240"/>
      <c r="AR958" s="286">
        <f t="shared" si="451"/>
        <v>2329.4505344444647</v>
      </c>
      <c r="AS958" s="286">
        <f t="shared" si="452"/>
        <v>2351.1840801730682</v>
      </c>
      <c r="AT958" s="239">
        <f t="shared" si="439"/>
        <v>7.7533876966224966</v>
      </c>
      <c r="AU958" s="239">
        <f t="shared" si="440"/>
        <v>7.7626743441448456</v>
      </c>
      <c r="AX958" s="385"/>
      <c r="AY958" s="385"/>
      <c r="AZ958" s="234"/>
      <c r="BA958" s="239"/>
      <c r="BB958" s="239"/>
      <c r="BC958" s="239"/>
      <c r="BD958" s="240"/>
      <c r="BE958" s="240"/>
      <c r="BF958" s="136"/>
      <c r="BG958" s="136"/>
      <c r="BH958" s="136"/>
      <c r="BI958" s="136"/>
    </row>
    <row r="959" spans="1:61" x14ac:dyDescent="0.2">
      <c r="A959" s="232" t="s">
        <v>89</v>
      </c>
      <c r="B959" s="232" t="s">
        <v>49</v>
      </c>
      <c r="C959" s="264" t="s">
        <v>57</v>
      </c>
      <c r="D959" s="232" t="s">
        <v>328</v>
      </c>
      <c r="E959" s="235">
        <v>6</v>
      </c>
      <c r="F959" s="451">
        <v>2.4</v>
      </c>
      <c r="G959" s="769">
        <f t="shared" si="435"/>
        <v>1.3921113689095128</v>
      </c>
      <c r="H959" s="235">
        <v>1.9</v>
      </c>
      <c r="I959" s="760">
        <f>(30+4.4*E959)*H959/100+(-34.66+29.72*E959)*F959/100</f>
        <v>4.5194399999999995</v>
      </c>
      <c r="J959" s="235">
        <v>21</v>
      </c>
      <c r="K959" s="295" t="s">
        <v>135</v>
      </c>
      <c r="L959" s="295">
        <v>28</v>
      </c>
      <c r="M959" s="235" t="s">
        <v>93</v>
      </c>
      <c r="N959" s="235">
        <v>314</v>
      </c>
      <c r="O959" s="295">
        <f t="shared" si="441"/>
        <v>335</v>
      </c>
      <c r="P959" s="290" t="s">
        <v>132</v>
      </c>
      <c r="Q959" s="290"/>
      <c r="R959" s="236">
        <v>3</v>
      </c>
      <c r="S959" s="285">
        <v>1.1399999999999999</v>
      </c>
      <c r="T959" s="388" t="s">
        <v>37</v>
      </c>
      <c r="Y959" s="292">
        <v>1.1200000000000001</v>
      </c>
      <c r="Z959" s="301" t="s">
        <v>37</v>
      </c>
      <c r="AA959" s="233"/>
      <c r="AB959" s="232"/>
      <c r="AC959" s="232"/>
      <c r="AD959" s="232"/>
      <c r="AE959" s="449"/>
      <c r="AF959" s="239">
        <f t="shared" si="442"/>
        <v>5.7493929859082531</v>
      </c>
      <c r="AG959" s="239">
        <f t="shared" si="443"/>
        <v>5.8141305318250662</v>
      </c>
      <c r="AH959" s="240"/>
      <c r="AI959" s="240"/>
      <c r="AK959" s="265">
        <f t="shared" si="444"/>
        <v>942</v>
      </c>
      <c r="AL959" s="286">
        <f t="shared" si="445"/>
        <v>963</v>
      </c>
      <c r="AM959" s="239">
        <f t="shared" si="446"/>
        <v>6.8480052745763631</v>
      </c>
      <c r="AN959" s="239">
        <f t="shared" si="447"/>
        <v>6.8700534117981258</v>
      </c>
      <c r="AO959" s="240"/>
      <c r="AP959" s="240"/>
      <c r="AR959" s="286">
        <f t="shared" si="451"/>
        <v>2659.8089738747708</v>
      </c>
      <c r="AS959" s="286">
        <f t="shared" si="452"/>
        <v>2670.0356948191802</v>
      </c>
      <c r="AT959" s="239">
        <f t="shared" ref="AT959:AT980" si="456">LN(AR959)</f>
        <v>7.8860095848641789</v>
      </c>
      <c r="AU959" s="239">
        <f t="shared" ref="AU959:AU980" si="457">LN(AS959)</f>
        <v>7.8898471201510683</v>
      </c>
      <c r="AX959" s="385"/>
      <c r="AY959" s="385"/>
      <c r="AZ959" s="234"/>
      <c r="BA959" s="239"/>
      <c r="BB959" s="239"/>
      <c r="BC959" s="239"/>
      <c r="BD959" s="240"/>
      <c r="BE959" s="240"/>
      <c r="BF959" s="136"/>
      <c r="BG959" s="136"/>
      <c r="BH959" s="136"/>
      <c r="BI959" s="136"/>
    </row>
    <row r="960" spans="1:61" x14ac:dyDescent="0.2">
      <c r="A960" s="232" t="s">
        <v>89</v>
      </c>
      <c r="B960" s="232" t="s">
        <v>49</v>
      </c>
      <c r="C960" s="264" t="s">
        <v>57</v>
      </c>
      <c r="D960" s="232" t="s">
        <v>328</v>
      </c>
      <c r="E960" s="235">
        <v>5</v>
      </c>
      <c r="F960" s="451">
        <v>10</v>
      </c>
      <c r="G960" s="769">
        <f t="shared" si="435"/>
        <v>5.8004640371229703</v>
      </c>
      <c r="H960" s="235">
        <v>20</v>
      </c>
      <c r="I960" s="300">
        <f t="shared" ref="I960:I962" si="458">(30+4.4*E960)*(0/100)+(-34.66+29.72*E960)*(F960/100)</f>
        <v>11.394</v>
      </c>
      <c r="J960" s="753">
        <v>2</v>
      </c>
      <c r="K960" s="295">
        <v>2</v>
      </c>
      <c r="L960" s="295">
        <v>28</v>
      </c>
      <c r="M960" s="235" t="s">
        <v>93</v>
      </c>
      <c r="N960" s="235">
        <v>300</v>
      </c>
      <c r="O960" s="295">
        <f t="shared" si="441"/>
        <v>302</v>
      </c>
      <c r="P960" s="290" t="s">
        <v>133</v>
      </c>
      <c r="Q960" s="290"/>
      <c r="R960" s="236">
        <v>3</v>
      </c>
      <c r="S960" s="285">
        <v>1.1399999999999999</v>
      </c>
      <c r="T960" s="388" t="s">
        <v>37</v>
      </c>
      <c r="Y960" s="292">
        <v>1.1200000000000001</v>
      </c>
      <c r="Z960" s="301" t="s">
        <v>37</v>
      </c>
      <c r="AA960" s="233"/>
      <c r="AB960" s="232"/>
      <c r="AC960" s="232"/>
      <c r="AD960" s="232"/>
      <c r="AE960" s="449"/>
      <c r="AF960" s="239">
        <f t="shared" si="442"/>
        <v>5.7037824746562009</v>
      </c>
      <c r="AG960" s="239">
        <f t="shared" si="443"/>
        <v>5.7104270173748697</v>
      </c>
      <c r="AH960" s="240"/>
      <c r="AI960" s="240"/>
      <c r="AK960" s="265">
        <f t="shared" si="444"/>
        <v>900</v>
      </c>
      <c r="AL960" s="286">
        <f t="shared" si="445"/>
        <v>902</v>
      </c>
      <c r="AM960" s="239">
        <f t="shared" si="446"/>
        <v>6.8023947633243109</v>
      </c>
      <c r="AN960" s="239">
        <f t="shared" si="447"/>
        <v>6.804614520062624</v>
      </c>
      <c r="AO960" s="240"/>
      <c r="AP960" s="240"/>
      <c r="AR960" s="286">
        <f t="shared" si="451"/>
        <v>885.57967598383414</v>
      </c>
      <c r="AS960" s="286">
        <f t="shared" si="452"/>
        <v>887.79917459266323</v>
      </c>
      <c r="AT960" s="239">
        <f t="shared" si="456"/>
        <v>6.7862424317000034</v>
      </c>
      <c r="AU960" s="239">
        <f t="shared" si="457"/>
        <v>6.788745562677339</v>
      </c>
      <c r="AX960" s="385"/>
      <c r="AY960" s="385"/>
      <c r="AZ960" s="234"/>
      <c r="BA960" s="239"/>
      <c r="BB960" s="239"/>
      <c r="BC960" s="239"/>
      <c r="BD960" s="240"/>
      <c r="BE960" s="240"/>
      <c r="BF960" s="136"/>
      <c r="BG960" s="136"/>
      <c r="BH960" s="136"/>
      <c r="BI960" s="136"/>
    </row>
    <row r="961" spans="1:61" x14ac:dyDescent="0.2">
      <c r="A961" s="232" t="s">
        <v>89</v>
      </c>
      <c r="B961" s="232" t="s">
        <v>49</v>
      </c>
      <c r="C961" s="264" t="s">
        <v>57</v>
      </c>
      <c r="D961" s="232" t="s">
        <v>328</v>
      </c>
      <c r="E961" s="235">
        <v>4.5</v>
      </c>
      <c r="F961" s="451">
        <v>10</v>
      </c>
      <c r="G961" s="769">
        <f t="shared" si="435"/>
        <v>5.8004640371229703</v>
      </c>
      <c r="H961" s="235">
        <v>20</v>
      </c>
      <c r="I961" s="300">
        <f t="shared" si="458"/>
        <v>9.9080000000000013</v>
      </c>
      <c r="J961" s="753">
        <v>2</v>
      </c>
      <c r="K961" s="295">
        <v>2</v>
      </c>
      <c r="L961" s="295">
        <v>28</v>
      </c>
      <c r="M961" s="235" t="s">
        <v>93</v>
      </c>
      <c r="N961" s="235">
        <v>300</v>
      </c>
      <c r="O961" s="295">
        <f t="shared" si="441"/>
        <v>302</v>
      </c>
      <c r="P961" s="290" t="s">
        <v>133</v>
      </c>
      <c r="Q961" s="290"/>
      <c r="R961" s="236">
        <v>3</v>
      </c>
      <c r="S961" s="285">
        <v>1.1399999999999999</v>
      </c>
      <c r="T961" s="388" t="s">
        <v>37</v>
      </c>
      <c r="Y961" s="292">
        <v>1.1200000000000001</v>
      </c>
      <c r="Z961" s="301" t="s">
        <v>37</v>
      </c>
      <c r="AA961" s="233"/>
      <c r="AB961" s="232"/>
      <c r="AC961" s="232"/>
      <c r="AD961" s="232"/>
      <c r="AE961" s="449"/>
      <c r="AF961" s="239">
        <f t="shared" si="442"/>
        <v>5.7037824746562009</v>
      </c>
      <c r="AG961" s="239">
        <f t="shared" si="443"/>
        <v>5.7104270173748697</v>
      </c>
      <c r="AH961" s="240"/>
      <c r="AI961" s="240"/>
      <c r="AK961" s="265">
        <f t="shared" si="444"/>
        <v>900</v>
      </c>
      <c r="AL961" s="286">
        <f t="shared" si="445"/>
        <v>902</v>
      </c>
      <c r="AM961" s="239">
        <f t="shared" si="446"/>
        <v>6.8023947633243109</v>
      </c>
      <c r="AN961" s="239">
        <f t="shared" si="447"/>
        <v>6.804614520062624</v>
      </c>
      <c r="AO961" s="240"/>
      <c r="AP961" s="240"/>
      <c r="AR961" s="286">
        <f t="shared" si="451"/>
        <v>1038.5191006158398</v>
      </c>
      <c r="AS961" s="286">
        <f t="shared" si="452"/>
        <v>1038.2161497907171</v>
      </c>
      <c r="AT961" s="239">
        <f t="shared" si="456"/>
        <v>6.9455510356514463</v>
      </c>
      <c r="AU961" s="239">
        <f t="shared" si="457"/>
        <v>6.9452592788401608</v>
      </c>
      <c r="AX961" s="385"/>
      <c r="AY961" s="385"/>
      <c r="AZ961" s="234"/>
      <c r="BA961" s="239"/>
      <c r="BB961" s="239"/>
      <c r="BC961" s="239"/>
      <c r="BD961" s="240"/>
      <c r="BE961" s="240"/>
      <c r="BF961" s="136"/>
      <c r="BG961" s="136"/>
      <c r="BH961" s="136"/>
      <c r="BI961" s="136"/>
    </row>
    <row r="962" spans="1:61" x14ac:dyDescent="0.2">
      <c r="A962" s="232" t="s">
        <v>89</v>
      </c>
      <c r="B962" s="232" t="s">
        <v>49</v>
      </c>
      <c r="C962" s="264" t="s">
        <v>57</v>
      </c>
      <c r="D962" s="232" t="s">
        <v>328</v>
      </c>
      <c r="E962" s="235">
        <v>6</v>
      </c>
      <c r="F962" s="451">
        <v>10</v>
      </c>
      <c r="G962" s="769">
        <f t="shared" si="435"/>
        <v>5.8004640371229703</v>
      </c>
      <c r="H962" s="235">
        <v>20</v>
      </c>
      <c r="I962" s="300">
        <f t="shared" si="458"/>
        <v>14.366</v>
      </c>
      <c r="J962" s="753">
        <v>2</v>
      </c>
      <c r="K962" s="295">
        <v>2</v>
      </c>
      <c r="L962" s="295">
        <v>42</v>
      </c>
      <c r="M962" s="235" t="s">
        <v>93</v>
      </c>
      <c r="N962" s="235">
        <v>300</v>
      </c>
      <c r="O962" s="295">
        <f t="shared" si="441"/>
        <v>302</v>
      </c>
      <c r="P962" s="290" t="s">
        <v>136</v>
      </c>
      <c r="Q962" s="290"/>
      <c r="R962" s="236">
        <v>3</v>
      </c>
      <c r="S962" s="285">
        <v>1.1399999999999999</v>
      </c>
      <c r="T962" s="388" t="s">
        <v>37</v>
      </c>
      <c r="Y962" s="292">
        <v>1.1200000000000001</v>
      </c>
      <c r="Z962" s="301" t="s">
        <v>37</v>
      </c>
      <c r="AA962" s="233"/>
      <c r="AB962" s="232"/>
      <c r="AC962" s="232"/>
      <c r="AD962" s="232"/>
      <c r="AE962" s="449"/>
      <c r="AF962" s="239">
        <f t="shared" si="442"/>
        <v>5.7037824746562009</v>
      </c>
      <c r="AG962" s="239">
        <f t="shared" si="443"/>
        <v>5.7104270173748697</v>
      </c>
      <c r="AH962" s="240"/>
      <c r="AI962" s="240"/>
      <c r="AK962" s="265">
        <f t="shared" si="444"/>
        <v>900</v>
      </c>
      <c r="AL962" s="286">
        <f t="shared" si="445"/>
        <v>902</v>
      </c>
      <c r="AM962" s="239">
        <f t="shared" si="446"/>
        <v>6.8023947633243109</v>
      </c>
      <c r="AN962" s="239">
        <f t="shared" si="447"/>
        <v>6.804614520062624</v>
      </c>
      <c r="AO962" s="240"/>
      <c r="AP962" s="240"/>
      <c r="AR962" s="286">
        <f t="shared" si="451"/>
        <v>679.94791030431725</v>
      </c>
      <c r="AS962" s="286">
        <f t="shared" si="452"/>
        <v>684.81920681664553</v>
      </c>
      <c r="AT962" s="239">
        <f t="shared" si="456"/>
        <v>6.5220161927423801</v>
      </c>
      <c r="AU962" s="239">
        <f t="shared" si="457"/>
        <v>6.5291548717716044</v>
      </c>
      <c r="AX962" s="385"/>
      <c r="AY962" s="385"/>
      <c r="AZ962" s="234"/>
      <c r="BA962" s="239"/>
      <c r="BB962" s="239"/>
      <c r="BC962" s="239"/>
      <c r="BD962" s="240"/>
      <c r="BE962" s="240"/>
      <c r="BF962" s="136"/>
      <c r="BG962" s="136"/>
      <c r="BH962" s="136"/>
      <c r="BI962" s="136"/>
    </row>
    <row r="963" spans="1:61" x14ac:dyDescent="0.2">
      <c r="A963" s="232" t="s">
        <v>89</v>
      </c>
      <c r="B963" s="232" t="s">
        <v>49</v>
      </c>
      <c r="C963" s="264" t="s">
        <v>57</v>
      </c>
      <c r="D963" s="232" t="s">
        <v>328</v>
      </c>
      <c r="E963" s="233">
        <v>3.4</v>
      </c>
      <c r="F963" s="234">
        <v>3.1619999999999999</v>
      </c>
      <c r="G963" s="234">
        <f t="shared" si="435"/>
        <v>1.834106728538283</v>
      </c>
      <c r="H963" s="233">
        <v>5</v>
      </c>
      <c r="I963" s="233">
        <v>1.9</v>
      </c>
      <c r="J963" s="233">
        <v>8</v>
      </c>
      <c r="K963" s="295">
        <v>1</v>
      </c>
      <c r="L963" s="295">
        <v>28</v>
      </c>
      <c r="M963" s="235" t="s">
        <v>93</v>
      </c>
      <c r="N963" s="235">
        <v>32</v>
      </c>
      <c r="O963" s="295">
        <f t="shared" si="441"/>
        <v>40</v>
      </c>
      <c r="P963" s="290" t="s">
        <v>127</v>
      </c>
      <c r="Q963" s="290"/>
      <c r="R963" s="236">
        <v>3</v>
      </c>
      <c r="S963" s="285">
        <v>1.1399999999999999</v>
      </c>
      <c r="T963" s="388" t="s">
        <v>37</v>
      </c>
      <c r="Y963" s="292">
        <v>1.1200000000000001</v>
      </c>
      <c r="Z963" s="301" t="s">
        <v>37</v>
      </c>
      <c r="AA963" s="233"/>
      <c r="AB963" s="232"/>
      <c r="AC963" s="232"/>
      <c r="AD963" s="232"/>
      <c r="AE963" s="449"/>
      <c r="AF963" s="239">
        <f t="shared" si="442"/>
        <v>3.4657359027997265</v>
      </c>
      <c r="AG963" s="239">
        <f t="shared" si="443"/>
        <v>3.6888794541139363</v>
      </c>
      <c r="AH963" s="240"/>
      <c r="AI963" s="240"/>
      <c r="AK963" s="265">
        <f t="shared" si="444"/>
        <v>96</v>
      </c>
      <c r="AL963" s="286">
        <f t="shared" si="445"/>
        <v>104</v>
      </c>
      <c r="AM963" s="239">
        <f t="shared" si="446"/>
        <v>4.5643481914678361</v>
      </c>
      <c r="AN963" s="239">
        <f t="shared" si="447"/>
        <v>4.6443908991413725</v>
      </c>
      <c r="AO963" s="240"/>
      <c r="AP963" s="240"/>
      <c r="AR963" s="286">
        <f t="shared" si="451"/>
        <v>727.92753020022644</v>
      </c>
      <c r="AS963" s="286">
        <f t="shared" si="452"/>
        <v>761.0529374322706</v>
      </c>
      <c r="AT963" s="239">
        <f t="shared" si="456"/>
        <v>6.5902014968133509</v>
      </c>
      <c r="AU963" s="239">
        <f t="shared" si="457"/>
        <v>6.6347029184281947</v>
      </c>
      <c r="AX963" s="385"/>
      <c r="AY963" s="385"/>
      <c r="AZ963" s="234"/>
      <c r="BA963" s="239"/>
      <c r="BB963" s="239"/>
      <c r="BC963" s="239"/>
      <c r="BD963" s="240"/>
      <c r="BE963" s="240"/>
      <c r="BF963" s="136"/>
      <c r="BG963" s="136"/>
      <c r="BH963" s="136"/>
      <c r="BI963" s="136"/>
    </row>
    <row r="964" spans="1:61" x14ac:dyDescent="0.2">
      <c r="A964" s="232" t="s">
        <v>89</v>
      </c>
      <c r="B964" s="232" t="s">
        <v>49</v>
      </c>
      <c r="C964" s="264" t="s">
        <v>57</v>
      </c>
      <c r="D964" s="232" t="s">
        <v>328</v>
      </c>
      <c r="E964" s="233">
        <v>4.7</v>
      </c>
      <c r="F964" s="234">
        <v>39.61</v>
      </c>
      <c r="G964" s="234">
        <f t="shared" si="435"/>
        <v>22.975638051044083</v>
      </c>
      <c r="H964" s="233">
        <v>24</v>
      </c>
      <c r="I964" s="233">
        <v>35.299999999999997</v>
      </c>
      <c r="J964" s="233">
        <v>191</v>
      </c>
      <c r="K964" s="295">
        <v>1</v>
      </c>
      <c r="L964" s="295">
        <v>28</v>
      </c>
      <c r="M964" s="235" t="s">
        <v>93</v>
      </c>
      <c r="N964" s="235">
        <v>1000</v>
      </c>
      <c r="O964" s="295">
        <f t="shared" si="441"/>
        <v>1191</v>
      </c>
      <c r="P964" s="290" t="s">
        <v>127</v>
      </c>
      <c r="Q964" s="290"/>
      <c r="R964" s="236">
        <v>3</v>
      </c>
      <c r="S964" s="285">
        <v>1.1399999999999999</v>
      </c>
      <c r="T964" s="388" t="s">
        <v>37</v>
      </c>
      <c r="Y964" s="292">
        <v>1.1200000000000001</v>
      </c>
      <c r="Z964" s="301" t="s">
        <v>37</v>
      </c>
      <c r="AA964" s="233"/>
      <c r="AB964" s="232"/>
      <c r="AC964" s="232"/>
      <c r="AD964" s="232"/>
      <c r="AE964" s="449"/>
      <c r="AF964" s="239">
        <f t="shared" si="442"/>
        <v>6.9077552789821368</v>
      </c>
      <c r="AG964" s="239">
        <f t="shared" si="443"/>
        <v>7.0825485693552999</v>
      </c>
      <c r="AH964" s="240"/>
      <c r="AI964" s="240"/>
      <c r="AK964" s="265">
        <f t="shared" si="444"/>
        <v>3000</v>
      </c>
      <c r="AL964" s="286">
        <f t="shared" si="445"/>
        <v>3191</v>
      </c>
      <c r="AM964" s="239">
        <f t="shared" si="446"/>
        <v>8.0063675676502459</v>
      </c>
      <c r="AN964" s="239">
        <f t="shared" si="447"/>
        <v>8.068089626278244</v>
      </c>
      <c r="AO964" s="240"/>
      <c r="AP964" s="240"/>
      <c r="AR964" s="286">
        <f t="shared" si="451"/>
        <v>813.3062454919783</v>
      </c>
      <c r="AS964" s="286">
        <f t="shared" si="452"/>
        <v>885.12517746248898</v>
      </c>
      <c r="AT964" s="239">
        <f t="shared" si="456"/>
        <v>6.7011077243415453</v>
      </c>
      <c r="AU964" s="239">
        <f t="shared" si="457"/>
        <v>6.7857290784661863</v>
      </c>
      <c r="AX964" s="385"/>
      <c r="AY964" s="385"/>
      <c r="AZ964" s="234"/>
      <c r="BA964" s="239"/>
      <c r="BB964" s="239"/>
      <c r="BC964" s="239"/>
      <c r="BD964" s="240"/>
      <c r="BE964" s="240"/>
      <c r="BF964" s="136"/>
      <c r="BG964" s="136"/>
      <c r="BH964" s="136"/>
      <c r="BI964" s="136"/>
    </row>
    <row r="965" spans="1:61" x14ac:dyDescent="0.2">
      <c r="A965" s="232" t="s">
        <v>89</v>
      </c>
      <c r="B965" s="232" t="s">
        <v>49</v>
      </c>
      <c r="C965" s="264" t="s">
        <v>57</v>
      </c>
      <c r="D965" s="232" t="s">
        <v>328</v>
      </c>
      <c r="E965" s="233">
        <v>4.8</v>
      </c>
      <c r="F965" s="234">
        <v>13.209</v>
      </c>
      <c r="G965" s="234">
        <f t="shared" si="435"/>
        <v>7.6618329466357311</v>
      </c>
      <c r="I965" s="233">
        <v>13.3</v>
      </c>
      <c r="J965" s="233">
        <v>83</v>
      </c>
      <c r="K965" s="295">
        <v>1</v>
      </c>
      <c r="L965" s="295">
        <v>28</v>
      </c>
      <c r="M965" s="235" t="s">
        <v>93</v>
      </c>
      <c r="N965" s="235">
        <v>320</v>
      </c>
      <c r="O965" s="295">
        <f t="shared" si="441"/>
        <v>403</v>
      </c>
      <c r="P965" s="290" t="s">
        <v>127</v>
      </c>
      <c r="Q965" s="290"/>
      <c r="R965" s="236">
        <v>3</v>
      </c>
      <c r="S965" s="285">
        <v>1.1399999999999999</v>
      </c>
      <c r="T965" s="388" t="s">
        <v>37</v>
      </c>
      <c r="Y965" s="292">
        <v>1.1200000000000001</v>
      </c>
      <c r="Z965" s="301" t="s">
        <v>37</v>
      </c>
      <c r="AA965" s="233"/>
      <c r="AB965" s="232"/>
      <c r="AC965" s="232"/>
      <c r="AD965" s="232"/>
      <c r="AE965" s="449"/>
      <c r="AF965" s="239">
        <f t="shared" si="442"/>
        <v>5.768320995793772</v>
      </c>
      <c r="AG965" s="239">
        <f t="shared" si="443"/>
        <v>5.9989365619466826</v>
      </c>
      <c r="AH965" s="240"/>
      <c r="AI965" s="240"/>
      <c r="AK965" s="265">
        <f t="shared" si="444"/>
        <v>960</v>
      </c>
      <c r="AL965" s="286">
        <f t="shared" si="445"/>
        <v>1043</v>
      </c>
      <c r="AM965" s="239">
        <f t="shared" si="446"/>
        <v>6.866933284461882</v>
      </c>
      <c r="AN965" s="239">
        <f t="shared" si="447"/>
        <v>6.9498564550007726</v>
      </c>
      <c r="AO965" s="240"/>
      <c r="AP965" s="240"/>
      <c r="AR965" s="286">
        <f t="shared" si="451"/>
        <v>791.91100643165476</v>
      </c>
      <c r="AS965" s="286">
        <f t="shared" si="452"/>
        <v>863.28864949614433</v>
      </c>
      <c r="AT965" s="239">
        <f t="shared" si="456"/>
        <v>6.6744490198843396</v>
      </c>
      <c r="AU965" s="239">
        <f t="shared" si="457"/>
        <v>6.7607491073456432</v>
      </c>
      <c r="AX965" s="385"/>
      <c r="AY965" s="385"/>
      <c r="AZ965" s="234"/>
      <c r="BA965" s="239"/>
      <c r="BB965" s="239"/>
      <c r="BC965" s="239"/>
      <c r="BD965" s="240"/>
      <c r="BE965" s="240"/>
      <c r="BF965" s="136"/>
      <c r="BG965" s="136"/>
      <c r="BH965" s="136"/>
      <c r="BI965" s="136"/>
    </row>
    <row r="966" spans="1:61" x14ac:dyDescent="0.2">
      <c r="A966" s="232" t="s">
        <v>89</v>
      </c>
      <c r="B966" s="232" t="s">
        <v>49</v>
      </c>
      <c r="C966" s="264" t="s">
        <v>57</v>
      </c>
      <c r="D966" s="232" t="s">
        <v>328</v>
      </c>
      <c r="E966" s="233">
        <v>4.8</v>
      </c>
      <c r="F966" s="234">
        <v>0.69699999999999995</v>
      </c>
      <c r="G966" s="234">
        <f t="shared" si="435"/>
        <v>0.404292343387471</v>
      </c>
      <c r="H966" s="233">
        <v>38</v>
      </c>
      <c r="I966" s="233">
        <v>11.2</v>
      </c>
      <c r="J966" s="233">
        <v>37</v>
      </c>
      <c r="K966" s="295">
        <v>1</v>
      </c>
      <c r="L966" s="295">
        <v>28</v>
      </c>
      <c r="M966" s="235" t="s">
        <v>93</v>
      </c>
      <c r="N966" s="235">
        <v>100</v>
      </c>
      <c r="O966" s="295">
        <f t="shared" si="441"/>
        <v>137</v>
      </c>
      <c r="P966" s="290" t="s">
        <v>127</v>
      </c>
      <c r="Q966" s="290"/>
      <c r="R966" s="236">
        <v>3</v>
      </c>
      <c r="S966" s="285">
        <v>1.1399999999999999</v>
      </c>
      <c r="T966" s="388" t="s">
        <v>37</v>
      </c>
      <c r="Y966" s="292">
        <v>1.1200000000000001</v>
      </c>
      <c r="Z966" s="301" t="s">
        <v>37</v>
      </c>
      <c r="AA966" s="233"/>
      <c r="AB966" s="232"/>
      <c r="AC966" s="232"/>
      <c r="AD966" s="232"/>
      <c r="AE966" s="449"/>
      <c r="AF966" s="239">
        <f t="shared" si="442"/>
        <v>4.6051701859880918</v>
      </c>
      <c r="AG966" s="239">
        <f t="shared" si="443"/>
        <v>4.9199809258281251</v>
      </c>
      <c r="AH966" s="240"/>
      <c r="AI966" s="240"/>
      <c r="AK966" s="265">
        <f t="shared" si="444"/>
        <v>300</v>
      </c>
      <c r="AL966" s="286">
        <f t="shared" si="445"/>
        <v>337</v>
      </c>
      <c r="AM966" s="239">
        <f t="shared" si="446"/>
        <v>5.7037824746562009</v>
      </c>
      <c r="AN966" s="239">
        <f t="shared" si="447"/>
        <v>5.8200829303523616</v>
      </c>
      <c r="AO966" s="240"/>
      <c r="AP966" s="240"/>
      <c r="AR966" s="286">
        <f t="shared" si="451"/>
        <v>301.02927012914319</v>
      </c>
      <c r="AS966" s="286">
        <f t="shared" si="452"/>
        <v>338.13589485189516</v>
      </c>
      <c r="AT966" s="239">
        <f t="shared" si="456"/>
        <v>5.7072075029750504</v>
      </c>
      <c r="AU966" s="239">
        <f t="shared" si="457"/>
        <v>5.8234478704550909</v>
      </c>
      <c r="AX966" s="385"/>
      <c r="AY966" s="385"/>
      <c r="AZ966" s="234"/>
      <c r="BA966" s="239"/>
      <c r="BB966" s="239"/>
      <c r="BC966" s="239"/>
      <c r="BD966" s="240"/>
      <c r="BE966" s="240"/>
      <c r="BF966" s="136"/>
      <c r="BG966" s="136"/>
      <c r="BH966" s="136"/>
      <c r="BI966" s="136"/>
    </row>
    <row r="967" spans="1:61" x14ac:dyDescent="0.2">
      <c r="A967" s="232" t="s">
        <v>89</v>
      </c>
      <c r="B967" s="232" t="s">
        <v>49</v>
      </c>
      <c r="C967" s="264" t="s">
        <v>57</v>
      </c>
      <c r="D967" s="232" t="s">
        <v>328</v>
      </c>
      <c r="E967" s="233">
        <v>5.2</v>
      </c>
      <c r="F967" s="234">
        <v>17.408000000000001</v>
      </c>
      <c r="G967" s="234">
        <f t="shared" si="435"/>
        <v>10.097447795823667</v>
      </c>
      <c r="I967" s="233">
        <v>29.7</v>
      </c>
      <c r="J967" s="233">
        <v>155</v>
      </c>
      <c r="K967" s="295">
        <v>1</v>
      </c>
      <c r="L967" s="295">
        <v>28</v>
      </c>
      <c r="M967" s="235" t="s">
        <v>93</v>
      </c>
      <c r="N967" s="235">
        <v>300</v>
      </c>
      <c r="O967" s="295">
        <f t="shared" si="441"/>
        <v>455</v>
      </c>
      <c r="P967" s="290" t="s">
        <v>127</v>
      </c>
      <c r="Q967" s="290"/>
      <c r="R967" s="236">
        <v>3</v>
      </c>
      <c r="S967" s="285">
        <v>1.1399999999999999</v>
      </c>
      <c r="T967" s="388" t="s">
        <v>37</v>
      </c>
      <c r="Y967" s="292">
        <v>1.1200000000000001</v>
      </c>
      <c r="Z967" s="301" t="s">
        <v>37</v>
      </c>
      <c r="AA967" s="233"/>
      <c r="AB967" s="232"/>
      <c r="AC967" s="232"/>
      <c r="AD967" s="232"/>
      <c r="AE967" s="449"/>
      <c r="AF967" s="239">
        <f t="shared" si="442"/>
        <v>5.7037824746562009</v>
      </c>
      <c r="AG967" s="239">
        <f t="shared" si="443"/>
        <v>6.1202974189509503</v>
      </c>
      <c r="AH967" s="240"/>
      <c r="AI967" s="240"/>
      <c r="AK967" s="265">
        <f t="shared" si="444"/>
        <v>900</v>
      </c>
      <c r="AL967" s="286">
        <f t="shared" si="445"/>
        <v>1055</v>
      </c>
      <c r="AM967" s="239">
        <f t="shared" si="446"/>
        <v>6.8023947633243109</v>
      </c>
      <c r="AN967" s="239">
        <f t="shared" si="447"/>
        <v>6.9612960459101672</v>
      </c>
      <c r="AO967" s="240"/>
      <c r="AP967" s="240"/>
      <c r="AR967" s="286">
        <f t="shared" si="451"/>
        <v>297.09556855360165</v>
      </c>
      <c r="AS967" s="286">
        <f t="shared" si="452"/>
        <v>355.10010172030434</v>
      </c>
      <c r="AT967" s="239">
        <f t="shared" si="456"/>
        <v>5.6940538666844907</v>
      </c>
      <c r="AU967" s="239">
        <f t="shared" si="457"/>
        <v>5.8723997264043781</v>
      </c>
      <c r="AX967" s="385"/>
      <c r="AY967" s="385"/>
      <c r="AZ967" s="234"/>
      <c r="BA967" s="239"/>
      <c r="BB967" s="239"/>
      <c r="BC967" s="239"/>
      <c r="BD967" s="240"/>
      <c r="BE967" s="240"/>
      <c r="BF967" s="136"/>
      <c r="BG967" s="136"/>
      <c r="BH967" s="136"/>
      <c r="BI967" s="136"/>
    </row>
    <row r="968" spans="1:61" x14ac:dyDescent="0.2">
      <c r="A968" s="232" t="s">
        <v>89</v>
      </c>
      <c r="B968" s="232" t="s">
        <v>49</v>
      </c>
      <c r="C968" s="264" t="s">
        <v>57</v>
      </c>
      <c r="D968" s="232" t="s">
        <v>328</v>
      </c>
      <c r="E968" s="233">
        <v>5.4</v>
      </c>
      <c r="F968" s="234">
        <v>1.4789999999999999</v>
      </c>
      <c r="G968" s="234">
        <f t="shared" si="435"/>
        <v>0.85788863109048719</v>
      </c>
      <c r="H968" s="233">
        <v>51</v>
      </c>
      <c r="I968" s="233">
        <v>22.6</v>
      </c>
      <c r="J968" s="233">
        <v>53</v>
      </c>
      <c r="K968" s="295">
        <v>1</v>
      </c>
      <c r="L968" s="295">
        <v>28</v>
      </c>
      <c r="M968" s="235" t="s">
        <v>93</v>
      </c>
      <c r="N968" s="235">
        <v>320</v>
      </c>
      <c r="O968" s="295">
        <f t="shared" si="441"/>
        <v>373</v>
      </c>
      <c r="P968" s="290" t="s">
        <v>127</v>
      </c>
      <c r="Q968" s="290"/>
      <c r="R968" s="236">
        <v>3</v>
      </c>
      <c r="S968" s="285">
        <v>1.1399999999999999</v>
      </c>
      <c r="T968" s="388" t="s">
        <v>37</v>
      </c>
      <c r="Y968" s="292">
        <v>1.1200000000000001</v>
      </c>
      <c r="Z968" s="301" t="s">
        <v>37</v>
      </c>
      <c r="AA968" s="233"/>
      <c r="AB968" s="232"/>
      <c r="AC968" s="232"/>
      <c r="AD968" s="232"/>
      <c r="AE968" s="449"/>
      <c r="AF968" s="239">
        <f t="shared" si="442"/>
        <v>5.768320995793772</v>
      </c>
      <c r="AG968" s="239">
        <f t="shared" si="443"/>
        <v>5.9215784196438159</v>
      </c>
      <c r="AH968" s="240"/>
      <c r="AI968" s="240"/>
      <c r="AK968" s="265">
        <f t="shared" si="444"/>
        <v>960</v>
      </c>
      <c r="AL968" s="286">
        <f t="shared" si="445"/>
        <v>1013</v>
      </c>
      <c r="AM968" s="239">
        <f t="shared" si="446"/>
        <v>6.866933284461882</v>
      </c>
      <c r="AN968" s="239">
        <f t="shared" si="447"/>
        <v>6.9206715042486833</v>
      </c>
      <c r="AO968" s="240"/>
      <c r="AP968" s="240"/>
      <c r="AR968" s="286">
        <f t="shared" si="451"/>
        <v>432.69674595934106</v>
      </c>
      <c r="AS968" s="286">
        <f t="shared" si="452"/>
        <v>463.01339336263868</v>
      </c>
      <c r="AT968" s="239">
        <f t="shared" si="456"/>
        <v>6.0700371268867332</v>
      </c>
      <c r="AU968" s="239">
        <f t="shared" si="457"/>
        <v>6.1377559810169577</v>
      </c>
      <c r="AX968" s="385"/>
      <c r="AY968" s="385"/>
      <c r="AZ968" s="234"/>
      <c r="BA968" s="239"/>
      <c r="BB968" s="239"/>
      <c r="BC968" s="239"/>
      <c r="BD968" s="240"/>
      <c r="BE968" s="240"/>
      <c r="BF968" s="136"/>
      <c r="BG968" s="136"/>
      <c r="BH968" s="136"/>
      <c r="BI968" s="136"/>
    </row>
    <row r="969" spans="1:61" x14ac:dyDescent="0.2">
      <c r="A969" s="232" t="s">
        <v>89</v>
      </c>
      <c r="B969" s="232" t="s">
        <v>49</v>
      </c>
      <c r="C969" s="264" t="s">
        <v>57</v>
      </c>
      <c r="D969" s="232" t="s">
        <v>328</v>
      </c>
      <c r="E969" s="233">
        <v>5.7</v>
      </c>
      <c r="F969" s="234">
        <v>5.9329999999999998</v>
      </c>
      <c r="G969" s="234">
        <f t="shared" si="435"/>
        <v>3.441415313225058</v>
      </c>
      <c r="I969" s="233">
        <v>21.1</v>
      </c>
      <c r="J969" s="233">
        <v>76</v>
      </c>
      <c r="K969" s="295">
        <v>1</v>
      </c>
      <c r="L969" s="295">
        <v>28</v>
      </c>
      <c r="M969" s="235" t="s">
        <v>93</v>
      </c>
      <c r="N969" s="235">
        <v>320</v>
      </c>
      <c r="O969" s="295">
        <f t="shared" ref="O969:O985" si="459">N969+J969</f>
        <v>396</v>
      </c>
      <c r="P969" s="290" t="s">
        <v>127</v>
      </c>
      <c r="Q969" s="290"/>
      <c r="R969" s="236">
        <v>3</v>
      </c>
      <c r="S969" s="285">
        <v>1.1399999999999999</v>
      </c>
      <c r="T969" s="388" t="s">
        <v>37</v>
      </c>
      <c r="Y969" s="292">
        <v>1.1200000000000001</v>
      </c>
      <c r="Z969" s="301" t="s">
        <v>37</v>
      </c>
      <c r="AA969" s="233"/>
      <c r="AB969" s="232"/>
      <c r="AC969" s="232"/>
      <c r="AD969" s="232"/>
      <c r="AE969" s="449"/>
      <c r="AF969" s="239">
        <f t="shared" si="442"/>
        <v>5.768320995793772</v>
      </c>
      <c r="AG969" s="239">
        <f t="shared" si="443"/>
        <v>5.9814142112544806</v>
      </c>
      <c r="AH969" s="240"/>
      <c r="AI969" s="240"/>
      <c r="AK969" s="265">
        <f t="shared" si="444"/>
        <v>960</v>
      </c>
      <c r="AL969" s="286">
        <f t="shared" si="445"/>
        <v>1036</v>
      </c>
      <c r="AM969" s="239">
        <f t="shared" si="446"/>
        <v>6.866933284461882</v>
      </c>
      <c r="AN969" s="239">
        <f t="shared" si="447"/>
        <v>6.9431224228194282</v>
      </c>
      <c r="AO969" s="240"/>
      <c r="AP969" s="240"/>
      <c r="AR969" s="286">
        <f t="shared" si="451"/>
        <v>467.93469888936175</v>
      </c>
      <c r="AS969" s="286">
        <f t="shared" si="452"/>
        <v>511.38615475982726</v>
      </c>
      <c r="AT969" s="239">
        <f t="shared" si="456"/>
        <v>6.1483287538944227</v>
      </c>
      <c r="AU969" s="239">
        <f t="shared" si="457"/>
        <v>6.2371249892794687</v>
      </c>
      <c r="AX969" s="385"/>
      <c r="AY969" s="385"/>
      <c r="AZ969" s="234"/>
      <c r="BA969" s="239"/>
      <c r="BB969" s="239"/>
      <c r="BC969" s="239"/>
      <c r="BD969" s="240"/>
      <c r="BE969" s="240"/>
      <c r="BF969" s="136"/>
      <c r="BG969" s="136"/>
      <c r="BH969" s="136"/>
      <c r="BI969" s="136"/>
    </row>
    <row r="970" spans="1:61" x14ac:dyDescent="0.2">
      <c r="A970" s="232" t="s">
        <v>89</v>
      </c>
      <c r="B970" s="232" t="s">
        <v>49</v>
      </c>
      <c r="C970" s="264" t="s">
        <v>57</v>
      </c>
      <c r="D970" s="232" t="s">
        <v>328</v>
      </c>
      <c r="E970" s="233">
        <v>7.4</v>
      </c>
      <c r="F970" s="234">
        <v>2.2000000000000002</v>
      </c>
      <c r="G970" s="234">
        <f t="shared" si="435"/>
        <v>1.2761020881670535</v>
      </c>
      <c r="H970" s="233">
        <v>27</v>
      </c>
      <c r="I970" s="233">
        <v>20</v>
      </c>
      <c r="J970" s="233">
        <v>51</v>
      </c>
      <c r="K970" s="295">
        <v>1</v>
      </c>
      <c r="L970" s="295">
        <v>28</v>
      </c>
      <c r="M970" s="235" t="s">
        <v>93</v>
      </c>
      <c r="N970" s="235">
        <v>560</v>
      </c>
      <c r="O970" s="295">
        <f t="shared" si="459"/>
        <v>611</v>
      </c>
      <c r="P970" s="290" t="s">
        <v>127</v>
      </c>
      <c r="Q970" s="290"/>
      <c r="R970" s="236">
        <v>3</v>
      </c>
      <c r="S970" s="285">
        <v>1.1399999999999999</v>
      </c>
      <c r="T970" s="388" t="s">
        <v>37</v>
      </c>
      <c r="Y970" s="292">
        <v>1.1200000000000001</v>
      </c>
      <c r="Z970" s="301" t="s">
        <v>37</v>
      </c>
      <c r="AA970" s="233"/>
      <c r="AB970" s="232"/>
      <c r="AC970" s="232"/>
      <c r="AD970" s="232"/>
      <c r="AE970" s="449"/>
      <c r="AF970" s="239">
        <f t="shared" si="442"/>
        <v>6.3279367837291947</v>
      </c>
      <c r="AG970" s="239">
        <f t="shared" si="443"/>
        <v>6.4150969591715956</v>
      </c>
      <c r="AH970" s="240"/>
      <c r="AI970" s="240"/>
      <c r="AK970" s="265">
        <f t="shared" si="444"/>
        <v>1680</v>
      </c>
      <c r="AL970" s="286">
        <f t="shared" si="445"/>
        <v>1731</v>
      </c>
      <c r="AM970" s="239">
        <f t="shared" si="446"/>
        <v>7.4265490723973047</v>
      </c>
      <c r="AN970" s="239">
        <f t="shared" si="447"/>
        <v>7.4564545551762089</v>
      </c>
      <c r="AO970" s="240"/>
      <c r="AP970" s="240"/>
      <c r="AR970" s="286">
        <f t="shared" si="451"/>
        <v>870.42449342335749</v>
      </c>
      <c r="AS970" s="286">
        <f t="shared" si="452"/>
        <v>907.25429538752826</v>
      </c>
      <c r="AT970" s="239">
        <f t="shared" si="456"/>
        <v>6.7689810161277997</v>
      </c>
      <c r="AU970" s="239">
        <f t="shared" si="457"/>
        <v>6.8104227805956432</v>
      </c>
      <c r="AX970" s="385"/>
      <c r="AY970" s="385"/>
      <c r="AZ970" s="234"/>
      <c r="BA970" s="239"/>
      <c r="BB970" s="239"/>
      <c r="BC970" s="239"/>
      <c r="BD970" s="240"/>
      <c r="BE970" s="240"/>
      <c r="BF970" s="136"/>
      <c r="BG970" s="136"/>
      <c r="BH970" s="136"/>
      <c r="BI970" s="136"/>
    </row>
    <row r="971" spans="1:61" x14ac:dyDescent="0.2">
      <c r="A971" s="232" t="s">
        <v>89</v>
      </c>
      <c r="B971" s="232" t="s">
        <v>49</v>
      </c>
      <c r="C971" s="264" t="s">
        <v>57</v>
      </c>
      <c r="D971" s="232" t="s">
        <v>328</v>
      </c>
      <c r="E971" s="233">
        <v>7.4</v>
      </c>
      <c r="F971" s="234">
        <v>4.5</v>
      </c>
      <c r="G971" s="234">
        <f t="shared" si="435"/>
        <v>2.6102088167053363</v>
      </c>
      <c r="H971" s="233">
        <v>46</v>
      </c>
      <c r="I971" s="233">
        <v>36.299999999999997</v>
      </c>
      <c r="J971" s="233">
        <v>51</v>
      </c>
      <c r="K971" s="295">
        <v>1</v>
      </c>
      <c r="L971" s="295">
        <v>28</v>
      </c>
      <c r="M971" s="235" t="s">
        <v>93</v>
      </c>
      <c r="N971" s="235">
        <v>1000</v>
      </c>
      <c r="O971" s="295">
        <f t="shared" si="459"/>
        <v>1051</v>
      </c>
      <c r="P971" s="290" t="s">
        <v>127</v>
      </c>
      <c r="Q971" s="290"/>
      <c r="R971" s="236">
        <v>3</v>
      </c>
      <c r="S971" s="285">
        <v>1.1399999999999999</v>
      </c>
      <c r="T971" s="388" t="s">
        <v>37</v>
      </c>
      <c r="Y971" s="292">
        <v>1.1200000000000001</v>
      </c>
      <c r="Z971" s="301" t="s">
        <v>37</v>
      </c>
      <c r="AA971" s="233"/>
      <c r="AB971" s="232"/>
      <c r="AC971" s="232"/>
      <c r="AD971" s="232"/>
      <c r="AE971" s="449"/>
      <c r="AF971" s="239">
        <f t="shared" si="442"/>
        <v>6.9077552789821368</v>
      </c>
      <c r="AG971" s="239">
        <f t="shared" si="443"/>
        <v>6.9574973708769514</v>
      </c>
      <c r="AH971" s="240"/>
      <c r="AI971" s="240"/>
      <c r="AK971" s="265">
        <f t="shared" si="444"/>
        <v>3000</v>
      </c>
      <c r="AL971" s="286">
        <f t="shared" si="445"/>
        <v>3051</v>
      </c>
      <c r="AM971" s="239">
        <f t="shared" si="446"/>
        <v>8.0063675676502459</v>
      </c>
      <c r="AN971" s="239">
        <f t="shared" si="447"/>
        <v>8.0232246847166699</v>
      </c>
      <c r="AO971" s="240"/>
      <c r="AP971" s="240"/>
      <c r="AR971" s="286">
        <f t="shared" si="451"/>
        <v>787.81404474531644</v>
      </c>
      <c r="AS971" s="286">
        <f t="shared" si="452"/>
        <v>820.22376427388713</v>
      </c>
      <c r="AT971" s="239">
        <f t="shared" si="456"/>
        <v>6.6692620781835741</v>
      </c>
      <c r="AU971" s="239">
        <f t="shared" si="457"/>
        <v>6.7095771862932718</v>
      </c>
      <c r="AX971" s="385"/>
      <c r="AY971" s="385"/>
      <c r="AZ971" s="234"/>
      <c r="BA971" s="239"/>
      <c r="BB971" s="239"/>
      <c r="BC971" s="239"/>
      <c r="BD971" s="240"/>
      <c r="BE971" s="240"/>
      <c r="BF971" s="136"/>
      <c r="BG971" s="136"/>
      <c r="BH971" s="136"/>
      <c r="BI971" s="136"/>
    </row>
    <row r="972" spans="1:61" x14ac:dyDescent="0.2">
      <c r="A972" s="232" t="s">
        <v>89</v>
      </c>
      <c r="B972" s="232" t="s">
        <v>49</v>
      </c>
      <c r="C972" s="264" t="s">
        <v>57</v>
      </c>
      <c r="D972" s="232" t="s">
        <v>328</v>
      </c>
      <c r="E972" s="233">
        <v>7.5</v>
      </c>
      <c r="F972" s="234">
        <v>0.66</v>
      </c>
      <c r="G972" s="234">
        <f t="shared" si="435"/>
        <v>0.38283062645011601</v>
      </c>
      <c r="H972" s="233">
        <v>25</v>
      </c>
      <c r="I972" s="233">
        <v>16.899999999999999</v>
      </c>
      <c r="J972" s="233">
        <v>27</v>
      </c>
      <c r="K972" s="295">
        <v>1</v>
      </c>
      <c r="L972" s="295">
        <v>28</v>
      </c>
      <c r="M972" s="235" t="s">
        <v>93</v>
      </c>
      <c r="N972" s="235">
        <v>320</v>
      </c>
      <c r="O972" s="295">
        <f t="shared" si="459"/>
        <v>347</v>
      </c>
      <c r="P972" s="290" t="s">
        <v>127</v>
      </c>
      <c r="Q972" s="290"/>
      <c r="R972" s="236">
        <v>3</v>
      </c>
      <c r="S972" s="285">
        <v>1.1399999999999999</v>
      </c>
      <c r="T972" s="388" t="s">
        <v>37</v>
      </c>
      <c r="Y972" s="292">
        <v>1.1200000000000001</v>
      </c>
      <c r="Z972" s="301" t="s">
        <v>37</v>
      </c>
      <c r="AA972" s="233"/>
      <c r="AB972" s="232"/>
      <c r="AC972" s="232"/>
      <c r="AD972" s="232"/>
      <c r="AE972" s="449"/>
      <c r="AF972" s="239">
        <f t="shared" si="442"/>
        <v>5.768320995793772</v>
      </c>
      <c r="AG972" s="239">
        <f t="shared" si="443"/>
        <v>5.8493247799468593</v>
      </c>
      <c r="AH972" s="240"/>
      <c r="AI972" s="240"/>
      <c r="AK972" s="265">
        <f t="shared" si="444"/>
        <v>960</v>
      </c>
      <c r="AL972" s="286">
        <f t="shared" si="445"/>
        <v>987</v>
      </c>
      <c r="AM972" s="239">
        <f t="shared" si="446"/>
        <v>6.866933284461882</v>
      </c>
      <c r="AN972" s="239">
        <f t="shared" si="447"/>
        <v>6.8946700394334819</v>
      </c>
      <c r="AO972" s="240"/>
      <c r="AP972" s="240"/>
      <c r="AR972" s="286">
        <f t="shared" si="451"/>
        <v>602.66560522745749</v>
      </c>
      <c r="AS972" s="286">
        <f t="shared" si="452"/>
        <v>624.69726392828352</v>
      </c>
      <c r="AT972" s="239">
        <f t="shared" si="456"/>
        <v>6.4013624910448357</v>
      </c>
      <c r="AU972" s="239">
        <f t="shared" si="457"/>
        <v>6.4372671546728739</v>
      </c>
      <c r="AX972" s="385"/>
      <c r="AY972" s="385"/>
      <c r="AZ972" s="234"/>
      <c r="BA972" s="239"/>
      <c r="BB972" s="239"/>
      <c r="BC972" s="239"/>
      <c r="BD972" s="240"/>
      <c r="BE972" s="240"/>
      <c r="BF972" s="136"/>
      <c r="BG972" s="136"/>
      <c r="BH972" s="136"/>
      <c r="BI972" s="136"/>
    </row>
    <row r="973" spans="1:61" x14ac:dyDescent="0.2">
      <c r="A973" s="232" t="s">
        <v>89</v>
      </c>
      <c r="B973" s="232" t="s">
        <v>49</v>
      </c>
      <c r="C973" s="447" t="s">
        <v>57</v>
      </c>
      <c r="D973" s="290" t="s">
        <v>328</v>
      </c>
      <c r="E973" s="278">
        <v>6</v>
      </c>
      <c r="F973" s="239">
        <v>10</v>
      </c>
      <c r="G973" s="239">
        <f t="shared" si="435"/>
        <v>5.8004640371229703</v>
      </c>
      <c r="H973" s="405">
        <v>20</v>
      </c>
      <c r="I973" s="300">
        <f t="shared" ref="I973" si="460">(30+4.4*E973)*(0/100)+(-34.66+29.72*E973)*(F973/100)</f>
        <v>14.366</v>
      </c>
      <c r="J973" s="753">
        <v>2</v>
      </c>
      <c r="K973" s="295">
        <v>0</v>
      </c>
      <c r="L973" s="295">
        <v>28</v>
      </c>
      <c r="M973" s="233" t="s">
        <v>104</v>
      </c>
      <c r="N973" s="295">
        <v>123</v>
      </c>
      <c r="O973" s="295">
        <f t="shared" si="459"/>
        <v>125</v>
      </c>
      <c r="P973" s="290" t="s">
        <v>128</v>
      </c>
      <c r="Q973" s="290"/>
      <c r="R973" s="236">
        <v>3</v>
      </c>
      <c r="S973" s="285">
        <v>1.1399999999999999</v>
      </c>
      <c r="T973" s="388" t="s">
        <v>37</v>
      </c>
      <c r="U973" s="285"/>
      <c r="V973" s="388"/>
      <c r="W973" s="388"/>
      <c r="X973" s="388"/>
      <c r="Y973" s="292">
        <v>1.1200000000000001</v>
      </c>
      <c r="Z973" s="301" t="s">
        <v>37</v>
      </c>
      <c r="AA973" s="405"/>
      <c r="AB973" s="275"/>
      <c r="AC973" s="275"/>
      <c r="AD973" s="275"/>
      <c r="AE973" s="765"/>
      <c r="AF973" s="239">
        <f t="shared" si="442"/>
        <v>4.8121843553724171</v>
      </c>
      <c r="AG973" s="239">
        <f t="shared" si="443"/>
        <v>4.8283137373023015</v>
      </c>
      <c r="AH973" s="240"/>
      <c r="AI973" s="240"/>
      <c r="AK973" s="265">
        <f t="shared" si="444"/>
        <v>369</v>
      </c>
      <c r="AL973" s="286">
        <f t="shared" si="445"/>
        <v>371</v>
      </c>
      <c r="AM973" s="239">
        <f t="shared" si="446"/>
        <v>5.9107966440405271</v>
      </c>
      <c r="AN973" s="239">
        <f t="shared" si="447"/>
        <v>5.916202062607435</v>
      </c>
      <c r="AO973" s="240"/>
      <c r="AP973" s="240"/>
      <c r="AR973" s="286">
        <f t="shared" si="451"/>
        <v>278.77864322477006</v>
      </c>
      <c r="AS973" s="286">
        <f t="shared" si="452"/>
        <v>281.67175801438526</v>
      </c>
      <c r="AT973" s="239">
        <f t="shared" si="456"/>
        <v>5.6304180734585971</v>
      </c>
      <c r="AU973" s="239">
        <f t="shared" si="457"/>
        <v>5.6407424143164162</v>
      </c>
      <c r="AX973" s="265"/>
      <c r="AY973" s="265"/>
      <c r="AZ973" s="239"/>
      <c r="BA973" s="239"/>
      <c r="BB973" s="239"/>
      <c r="BC973" s="239"/>
      <c r="BD973" s="240"/>
      <c r="BE973" s="240"/>
      <c r="BF973" s="136"/>
      <c r="BG973" s="136"/>
      <c r="BH973" s="136"/>
      <c r="BI973" s="136"/>
    </row>
    <row r="974" spans="1:61" x14ac:dyDescent="0.2">
      <c r="A974" s="232" t="s">
        <v>89</v>
      </c>
      <c r="B974" s="232" t="s">
        <v>49</v>
      </c>
      <c r="C974" s="447" t="s">
        <v>57</v>
      </c>
      <c r="D974" s="290" t="s">
        <v>328</v>
      </c>
      <c r="E974" s="405">
        <v>6.3</v>
      </c>
      <c r="F974" s="239">
        <v>1.5</v>
      </c>
      <c r="G974" s="239">
        <f t="shared" si="435"/>
        <v>0.87006960556844548</v>
      </c>
      <c r="H974" s="405">
        <v>17</v>
      </c>
      <c r="I974" s="752">
        <f>(30+4.4*E974)*H974/100+(-34.66+29.72*E974)*F974/100</f>
        <v>12.101039999999999</v>
      </c>
      <c r="J974" s="753">
        <v>51</v>
      </c>
      <c r="K974" s="295">
        <v>0</v>
      </c>
      <c r="L974" s="295">
        <v>28</v>
      </c>
      <c r="M974" s="233" t="s">
        <v>104</v>
      </c>
      <c r="N974" s="295">
        <v>316</v>
      </c>
      <c r="O974" s="295">
        <f t="shared" si="459"/>
        <v>367</v>
      </c>
      <c r="P974" s="290" t="s">
        <v>128</v>
      </c>
      <c r="Q974" s="290"/>
      <c r="R974" s="236">
        <v>3</v>
      </c>
      <c r="S974" s="285">
        <v>1.1399999999999999</v>
      </c>
      <c r="T974" s="388" t="s">
        <v>37</v>
      </c>
      <c r="U974" s="285"/>
      <c r="V974" s="388"/>
      <c r="W974" s="388"/>
      <c r="X974" s="388"/>
      <c r="Y974" s="292">
        <v>1.1200000000000001</v>
      </c>
      <c r="Z974" s="301" t="s">
        <v>37</v>
      </c>
      <c r="AA974" s="405"/>
      <c r="AB974" s="275"/>
      <c r="AC974" s="275"/>
      <c r="AD974" s="275"/>
      <c r="AE974" s="765"/>
      <c r="AF974" s="239">
        <f t="shared" si="442"/>
        <v>5.7557422135869123</v>
      </c>
      <c r="AG974" s="239">
        <f t="shared" si="443"/>
        <v>5.9053618480545707</v>
      </c>
      <c r="AH974" s="240"/>
      <c r="AI974" s="240"/>
      <c r="AK974" s="265">
        <f t="shared" si="444"/>
        <v>948</v>
      </c>
      <c r="AL974" s="286">
        <f t="shared" si="445"/>
        <v>999</v>
      </c>
      <c r="AM974" s="239">
        <f t="shared" si="446"/>
        <v>6.8543545022550214</v>
      </c>
      <c r="AN974" s="239">
        <f t="shared" si="447"/>
        <v>6.9067547786485539</v>
      </c>
      <c r="AO974" s="240"/>
      <c r="AP974" s="240"/>
      <c r="AR974" s="286">
        <f t="shared" si="451"/>
        <v>870.93647659092187</v>
      </c>
      <c r="AS974" s="286">
        <f t="shared" si="452"/>
        <v>919.15685070645964</v>
      </c>
      <c r="AT974" s="239">
        <f t="shared" si="456"/>
        <v>6.7695690426095378</v>
      </c>
      <c r="AU974" s="239">
        <f t="shared" si="457"/>
        <v>6.8234567832073765</v>
      </c>
      <c r="AX974" s="265"/>
      <c r="AY974" s="265"/>
      <c r="AZ974" s="239"/>
      <c r="BA974" s="239"/>
      <c r="BB974" s="239"/>
      <c r="BC974" s="239"/>
      <c r="BD974" s="240"/>
      <c r="BE974" s="240"/>
      <c r="BF974" s="136"/>
      <c r="BG974" s="136"/>
      <c r="BH974" s="136"/>
      <c r="BI974" s="136"/>
    </row>
    <row r="975" spans="1:61" x14ac:dyDescent="0.2">
      <c r="A975" s="232" t="s">
        <v>89</v>
      </c>
      <c r="B975" s="232" t="s">
        <v>49</v>
      </c>
      <c r="C975" s="447" t="s">
        <v>57</v>
      </c>
      <c r="D975" s="290" t="s">
        <v>328</v>
      </c>
      <c r="E975" s="405">
        <v>4.5</v>
      </c>
      <c r="F975" s="239">
        <v>4.8</v>
      </c>
      <c r="G975" s="239">
        <f t="shared" si="435"/>
        <v>2.7842227378190256</v>
      </c>
      <c r="H975" s="405">
        <v>1</v>
      </c>
      <c r="I975" s="752">
        <f>(30+4.4*E975)*H975/100+(-34.66+29.72*E975)*F975/100</f>
        <v>5.2538400000000012</v>
      </c>
      <c r="J975" s="753">
        <v>51</v>
      </c>
      <c r="K975" s="295">
        <v>0</v>
      </c>
      <c r="L975" s="295">
        <v>28</v>
      </c>
      <c r="M975" s="233" t="s">
        <v>104</v>
      </c>
      <c r="N975" s="295">
        <v>14.6</v>
      </c>
      <c r="O975" s="295">
        <f t="shared" si="459"/>
        <v>65.599999999999994</v>
      </c>
      <c r="P975" s="290" t="s">
        <v>128</v>
      </c>
      <c r="Q975" s="290"/>
      <c r="R975" s="236">
        <v>3</v>
      </c>
      <c r="S975" s="285">
        <v>1.1399999999999999</v>
      </c>
      <c r="T975" s="388" t="s">
        <v>37</v>
      </c>
      <c r="U975" s="285"/>
      <c r="V975" s="388"/>
      <c r="W975" s="388"/>
      <c r="X975" s="388"/>
      <c r="Y975" s="292">
        <v>1.1200000000000001</v>
      </c>
      <c r="Z975" s="301" t="s">
        <v>37</v>
      </c>
      <c r="AA975" s="405"/>
      <c r="AB975" s="275"/>
      <c r="AC975" s="275"/>
      <c r="AD975" s="275"/>
      <c r="AE975" s="765"/>
      <c r="AF975" s="239">
        <f t="shared" si="442"/>
        <v>2.6810215287142909</v>
      </c>
      <c r="AG975" s="239">
        <f t="shared" si="443"/>
        <v>4.1835756959500436</v>
      </c>
      <c r="AH975" s="240"/>
      <c r="AI975" s="240"/>
      <c r="AK975" s="265">
        <f t="shared" si="444"/>
        <v>43.8</v>
      </c>
      <c r="AL975" s="286">
        <f t="shared" si="445"/>
        <v>94.8</v>
      </c>
      <c r="AM975" s="239">
        <f t="shared" si="446"/>
        <v>3.7796338173824005</v>
      </c>
      <c r="AN975" s="239">
        <f t="shared" si="447"/>
        <v>4.5517694092609764</v>
      </c>
      <c r="AO975" s="240"/>
      <c r="AP975" s="240"/>
      <c r="AR975" s="286">
        <f t="shared" si="451"/>
        <v>104.16612930878695</v>
      </c>
      <c r="AS975" s="286">
        <f t="shared" si="452"/>
        <v>222.05463045114425</v>
      </c>
      <c r="AT975" s="239">
        <f t="shared" si="456"/>
        <v>4.645987021859395</v>
      </c>
      <c r="AU975" s="239">
        <f t="shared" si="457"/>
        <v>5.4029234347120587</v>
      </c>
      <c r="AX975" s="265"/>
      <c r="AY975" s="265"/>
      <c r="AZ975" s="239"/>
      <c r="BA975" s="239"/>
      <c r="BB975" s="239"/>
      <c r="BC975" s="239"/>
      <c r="BD975" s="240"/>
      <c r="BE975" s="240"/>
      <c r="BF975" s="136"/>
      <c r="BG975" s="136"/>
      <c r="BH975" s="136"/>
      <c r="BI975" s="136"/>
    </row>
    <row r="976" spans="1:61" x14ac:dyDescent="0.2">
      <c r="A976" s="275" t="s">
        <v>89</v>
      </c>
      <c r="B976" s="275" t="s">
        <v>49</v>
      </c>
      <c r="C976" s="447" t="s">
        <v>57</v>
      </c>
      <c r="D976" s="290" t="s">
        <v>328</v>
      </c>
      <c r="E976" s="278">
        <v>6</v>
      </c>
      <c r="F976" s="239">
        <v>1.9</v>
      </c>
      <c r="G976" s="239">
        <f t="shared" si="435"/>
        <v>1.1020881670533642</v>
      </c>
      <c r="H976" s="405">
        <v>2.4</v>
      </c>
      <c r="I976" s="770">
        <f>(30+4.4*E976)*H976/100+(-34.66+29.72*E976)*F976/100</f>
        <v>4.0831400000000002</v>
      </c>
      <c r="J976" s="405">
        <v>28</v>
      </c>
      <c r="K976" s="295">
        <v>2</v>
      </c>
      <c r="L976" s="295">
        <v>28</v>
      </c>
      <c r="M976" s="405" t="s">
        <v>104</v>
      </c>
      <c r="N976" s="295">
        <v>150</v>
      </c>
      <c r="O976" s="295">
        <f t="shared" si="459"/>
        <v>178</v>
      </c>
      <c r="P976" s="290" t="s">
        <v>137</v>
      </c>
      <c r="Q976" s="290"/>
      <c r="R976" s="285">
        <v>3</v>
      </c>
      <c r="S976" s="285">
        <v>1.1399999999999999</v>
      </c>
      <c r="T976" s="388" t="s">
        <v>37</v>
      </c>
      <c r="U976" s="285"/>
      <c r="V976" s="388"/>
      <c r="W976" s="388"/>
      <c r="X976" s="388"/>
      <c r="Y976" s="292">
        <v>1.1200000000000001</v>
      </c>
      <c r="Z976" s="301" t="s">
        <v>37</v>
      </c>
      <c r="AA976" s="405"/>
      <c r="AB976" s="275"/>
      <c r="AC976" s="275"/>
      <c r="AD976" s="275"/>
      <c r="AE976" s="765"/>
      <c r="AF976" s="239">
        <f t="shared" si="442"/>
        <v>5.0106352940962555</v>
      </c>
      <c r="AG976" s="239">
        <f t="shared" si="443"/>
        <v>5.181783550292085</v>
      </c>
      <c r="AH976" s="240"/>
      <c r="AI976" s="240"/>
      <c r="AK976" s="265">
        <f t="shared" si="444"/>
        <v>450</v>
      </c>
      <c r="AL976" s="286">
        <f t="shared" si="445"/>
        <v>478</v>
      </c>
      <c r="AM976" s="239">
        <f t="shared" si="446"/>
        <v>6.1092475827643655</v>
      </c>
      <c r="AN976" s="239">
        <f t="shared" si="447"/>
        <v>6.1696107324914564</v>
      </c>
      <c r="AO976" s="240"/>
      <c r="AP976" s="240"/>
      <c r="AR976" s="286">
        <f t="shared" si="451"/>
        <v>1426.5107920740711</v>
      </c>
      <c r="AS976" s="286">
        <f t="shared" si="452"/>
        <v>1484.9091159699115</v>
      </c>
      <c r="AT976" s="239">
        <f t="shared" si="456"/>
        <v>7.2629867360466482</v>
      </c>
      <c r="AU976" s="239">
        <f t="shared" si="457"/>
        <v>7.3031088479968567</v>
      </c>
      <c r="AX976" s="265"/>
      <c r="AY976" s="265"/>
      <c r="AZ976" s="239"/>
      <c r="BA976" s="239"/>
      <c r="BB976" s="239"/>
      <c r="BC976" s="239"/>
      <c r="BD976" s="240"/>
      <c r="BE976" s="240"/>
      <c r="BF976" s="136"/>
      <c r="BG976" s="136"/>
      <c r="BH976" s="136"/>
      <c r="BI976" s="136"/>
    </row>
    <row r="977" spans="1:61" s="165" customFormat="1" x14ac:dyDescent="0.2">
      <c r="A977" s="156" t="s">
        <v>89</v>
      </c>
      <c r="B977" s="156" t="s">
        <v>49</v>
      </c>
      <c r="C977" s="442" t="s">
        <v>57</v>
      </c>
      <c r="D977" s="326" t="s">
        <v>328</v>
      </c>
      <c r="E977" s="160">
        <v>5.5</v>
      </c>
      <c r="F977" s="166">
        <v>1.9</v>
      </c>
      <c r="G977" s="166">
        <f t="shared" si="435"/>
        <v>1.1020881670533642</v>
      </c>
      <c r="H977" s="160">
        <v>2.4</v>
      </c>
      <c r="I977" s="757">
        <f>(30+4.4*E977)*H977/100+(-34.66+29.72*E977)*F977/100</f>
        <v>3.7479999999999998</v>
      </c>
      <c r="J977" s="160">
        <v>23</v>
      </c>
      <c r="K977" s="231">
        <v>2</v>
      </c>
      <c r="L977" s="231">
        <v>42</v>
      </c>
      <c r="M977" s="160" t="s">
        <v>104</v>
      </c>
      <c r="N977" s="231">
        <v>93</v>
      </c>
      <c r="O977" s="231">
        <f t="shared" si="459"/>
        <v>116</v>
      </c>
      <c r="P977" s="326" t="s">
        <v>137</v>
      </c>
      <c r="Q977" s="326"/>
      <c r="R977" s="163">
        <v>3</v>
      </c>
      <c r="S977" s="163">
        <v>1.1399999999999999</v>
      </c>
      <c r="T977" s="162" t="s">
        <v>37</v>
      </c>
      <c r="U977" s="163"/>
      <c r="V977" s="162"/>
      <c r="W977" s="162"/>
      <c r="X977" s="162"/>
      <c r="Y977" s="328">
        <v>1.1200000000000001</v>
      </c>
      <c r="Z977" s="314" t="s">
        <v>37</v>
      </c>
      <c r="AA977" s="160"/>
      <c r="AB977" s="156"/>
      <c r="AC977" s="156"/>
      <c r="AD977" s="156"/>
      <c r="AE977" s="450"/>
      <c r="AF977" s="166">
        <f t="shared" si="442"/>
        <v>4.5325994931532563</v>
      </c>
      <c r="AG977" s="166">
        <f t="shared" si="443"/>
        <v>4.7535901911063645</v>
      </c>
      <c r="AH977" s="169"/>
      <c r="AI977" s="169"/>
      <c r="AK977" s="168">
        <f t="shared" si="444"/>
        <v>279</v>
      </c>
      <c r="AL977" s="337">
        <f t="shared" si="445"/>
        <v>302</v>
      </c>
      <c r="AM977" s="166">
        <f t="shared" si="446"/>
        <v>5.6312117818213654</v>
      </c>
      <c r="AN977" s="166">
        <f t="shared" si="447"/>
        <v>5.7104270173748697</v>
      </c>
      <c r="AO977" s="169"/>
      <c r="AP977" s="169"/>
      <c r="AR977" s="337">
        <f t="shared" si="451"/>
        <v>975.14387285533689</v>
      </c>
      <c r="AS977" s="337">
        <f t="shared" si="452"/>
        <v>1032.6115327895805</v>
      </c>
      <c r="AT977" s="166">
        <f t="shared" si="456"/>
        <v>6.8825850220145703</v>
      </c>
      <c r="AU977" s="166">
        <f t="shared" si="457"/>
        <v>6.9398463410734568</v>
      </c>
      <c r="AV977" s="167"/>
      <c r="AW977" s="167"/>
      <c r="AX977" s="168"/>
      <c r="AY977" s="168"/>
      <c r="AZ977" s="166"/>
      <c r="BA977" s="166"/>
      <c r="BB977" s="166"/>
      <c r="BC977" s="166"/>
      <c r="BD977" s="169"/>
      <c r="BE977" s="169"/>
    </row>
    <row r="978" spans="1:61" s="179" customFormat="1" ht="13.5" thickBot="1" x14ac:dyDescent="0.25">
      <c r="A978" s="170" t="s">
        <v>89</v>
      </c>
      <c r="B978" s="170" t="s">
        <v>49</v>
      </c>
      <c r="C978" s="771" t="s">
        <v>138</v>
      </c>
      <c r="D978" s="517" t="s">
        <v>328</v>
      </c>
      <c r="E978" s="174">
        <v>6.5</v>
      </c>
      <c r="F978" s="180">
        <v>2.7</v>
      </c>
      <c r="G978" s="180">
        <f t="shared" si="435"/>
        <v>1.5661252900232019</v>
      </c>
      <c r="H978" s="174">
        <v>12</v>
      </c>
      <c r="I978" s="174">
        <v>20.100000000000001</v>
      </c>
      <c r="J978" s="772">
        <v>51</v>
      </c>
      <c r="K978" s="243">
        <v>28</v>
      </c>
      <c r="L978" s="243">
        <v>28</v>
      </c>
      <c r="M978" s="174" t="s">
        <v>104</v>
      </c>
      <c r="N978" s="243">
        <v>180</v>
      </c>
      <c r="O978" s="243">
        <f t="shared" si="459"/>
        <v>231</v>
      </c>
      <c r="P978" s="517" t="s">
        <v>139</v>
      </c>
      <c r="Q978" s="517"/>
      <c r="R978" s="177">
        <v>3</v>
      </c>
      <c r="S978" s="177">
        <v>1.1399999999999999</v>
      </c>
      <c r="T978" s="176" t="s">
        <v>37</v>
      </c>
      <c r="U978" s="177"/>
      <c r="V978" s="176"/>
      <c r="W978" s="176"/>
      <c r="X978" s="176"/>
      <c r="Y978" s="525">
        <v>1.1200000000000001</v>
      </c>
      <c r="Z978" s="526" t="s">
        <v>37</v>
      </c>
      <c r="AA978" s="174"/>
      <c r="AB978" s="170"/>
      <c r="AC978" s="170"/>
      <c r="AD978" s="170"/>
      <c r="AE978" s="773"/>
      <c r="AF978" s="180">
        <f t="shared" si="442"/>
        <v>5.1929568508902104</v>
      </c>
      <c r="AG978" s="180">
        <f t="shared" si="443"/>
        <v>5.4424177105217932</v>
      </c>
      <c r="AH978" s="183"/>
      <c r="AI978" s="183"/>
      <c r="AK978" s="182">
        <f t="shared" si="444"/>
        <v>540</v>
      </c>
      <c r="AL978" s="531">
        <f t="shared" si="445"/>
        <v>591</v>
      </c>
      <c r="AM978" s="180">
        <f t="shared" si="446"/>
        <v>6.2915691395583204</v>
      </c>
      <c r="AN978" s="180">
        <f t="shared" si="447"/>
        <v>6.3818160174060985</v>
      </c>
      <c r="AO978" s="183"/>
      <c r="AP978" s="183"/>
      <c r="AR978" s="531">
        <f t="shared" si="451"/>
        <v>278.19304688876201</v>
      </c>
      <c r="AS978" s="531">
        <f t="shared" si="452"/>
        <v>308.03031280632297</v>
      </c>
      <c r="AT978" s="180">
        <f t="shared" si="456"/>
        <v>5.6283152859662309</v>
      </c>
      <c r="AU978" s="180">
        <f t="shared" si="457"/>
        <v>5.7301981963331681</v>
      </c>
      <c r="AV978" s="181"/>
      <c r="AW978" s="181"/>
      <c r="AX978" s="182">
        <f>GEOMEAN(AR978)</f>
        <v>278.19304688876201</v>
      </c>
      <c r="AY978" s="182">
        <f>GEOMEAN(AS978)</f>
        <v>308.03031280632297</v>
      </c>
      <c r="AZ978" s="182">
        <f>MIN(AX978)</f>
        <v>278.19304688876201</v>
      </c>
      <c r="BA978" s="182">
        <f>MIN(AY978)</f>
        <v>308.03031280632297</v>
      </c>
      <c r="BB978" s="180">
        <f t="shared" ref="BB978:BC980" si="461">LN(AZ978)</f>
        <v>5.6283152859662309</v>
      </c>
      <c r="BC978" s="180">
        <f t="shared" si="461"/>
        <v>5.7301981963331681</v>
      </c>
      <c r="BD978" s="183"/>
      <c r="BE978" s="183"/>
    </row>
    <row r="979" spans="1:61" s="165" customFormat="1" ht="13.5" thickTop="1" x14ac:dyDescent="0.2">
      <c r="A979" s="156" t="s">
        <v>89</v>
      </c>
      <c r="B979" s="156" t="s">
        <v>260</v>
      </c>
      <c r="C979" s="326" t="s">
        <v>341</v>
      </c>
      <c r="D979" s="326" t="s">
        <v>352</v>
      </c>
      <c r="E979" s="231">
        <v>7.1</v>
      </c>
      <c r="F979" s="336">
        <v>3</v>
      </c>
      <c r="G979" s="334">
        <f>F979/1.724</f>
        <v>1.740139211136891</v>
      </c>
      <c r="H979" s="231">
        <v>17</v>
      </c>
      <c r="I979" s="774">
        <f>(30+4.4*E979)*H979/100+(-34.66+29.72*E979)*F979/100</f>
        <v>15.701359999999999</v>
      </c>
      <c r="J979" s="231">
        <v>57</v>
      </c>
      <c r="K979" s="231">
        <v>0</v>
      </c>
      <c r="L979" s="231">
        <v>21</v>
      </c>
      <c r="M979" s="231" t="s">
        <v>93</v>
      </c>
      <c r="N979" s="231">
        <v>1000</v>
      </c>
      <c r="O979" s="231">
        <f t="shared" si="459"/>
        <v>1057</v>
      </c>
      <c r="P979" s="326" t="s">
        <v>140</v>
      </c>
      <c r="Q979" s="326"/>
      <c r="R979" s="163">
        <v>3</v>
      </c>
      <c r="S979" s="163">
        <v>0.76</v>
      </c>
      <c r="T979" s="162" t="s">
        <v>141</v>
      </c>
      <c r="U979" s="163"/>
      <c r="V979" s="162"/>
      <c r="W979" s="162"/>
      <c r="X979" s="162"/>
      <c r="Y979" s="163">
        <v>0.79</v>
      </c>
      <c r="Z979" s="162" t="s">
        <v>141</v>
      </c>
      <c r="AA979" s="160"/>
      <c r="AB979" s="156"/>
      <c r="AC979" s="156"/>
      <c r="AD979" s="156"/>
      <c r="AF979" s="166">
        <f t="shared" si="442"/>
        <v>6.9077552789821368</v>
      </c>
      <c r="AG979" s="166">
        <f t="shared" si="443"/>
        <v>6.9631899858702377</v>
      </c>
      <c r="AH979" s="169"/>
      <c r="AI979" s="169"/>
      <c r="AK979" s="168">
        <f t="shared" si="444"/>
        <v>3000</v>
      </c>
      <c r="AL979" s="337">
        <f t="shared" si="445"/>
        <v>3057</v>
      </c>
      <c r="AM979" s="166">
        <f t="shared" si="446"/>
        <v>8.0063675676502459</v>
      </c>
      <c r="AN979" s="166">
        <f t="shared" si="447"/>
        <v>8.025189321890835</v>
      </c>
      <c r="AO979" s="169"/>
      <c r="AP979" s="169"/>
      <c r="AR979" s="337">
        <f>AK979*(Zn_bg/$J979)^$S979</f>
        <v>1559.5141397785524</v>
      </c>
      <c r="AS979" s="337">
        <f>AL979*(Zn_bg/$J979)^$Y979</f>
        <v>1548.6303502886481</v>
      </c>
      <c r="AT979" s="166">
        <f t="shared" si="456"/>
        <v>7.3521296028734113</v>
      </c>
      <c r="AU979" s="166">
        <f t="shared" si="457"/>
        <v>7.3451261742938616</v>
      </c>
      <c r="AV979" s="167"/>
      <c r="AW979" s="167"/>
      <c r="AX979" s="168">
        <f>GEOMEAN(AR979)</f>
        <v>1559.5141397785524</v>
      </c>
      <c r="AY979" s="168">
        <f>GEOMEAN(AS979)</f>
        <v>1548.6303502886481</v>
      </c>
      <c r="AZ979" s="168">
        <f>MIN(AX979)</f>
        <v>1559.5141397785524</v>
      </c>
      <c r="BA979" s="168">
        <f>MIN(AY979)</f>
        <v>1548.6303502886481</v>
      </c>
      <c r="BB979" s="166">
        <f t="shared" si="461"/>
        <v>7.3521296028734113</v>
      </c>
      <c r="BC979" s="166">
        <f t="shared" si="461"/>
        <v>7.3451261742938616</v>
      </c>
      <c r="BD979" s="169"/>
      <c r="BE979" s="169"/>
    </row>
    <row r="980" spans="1:61" x14ac:dyDescent="0.2">
      <c r="A980" s="232" t="s">
        <v>89</v>
      </c>
      <c r="B980" s="232" t="s">
        <v>260</v>
      </c>
      <c r="C980" s="445" t="s">
        <v>341</v>
      </c>
      <c r="D980" s="445" t="s">
        <v>385</v>
      </c>
      <c r="E980" s="235">
        <v>6.9</v>
      </c>
      <c r="F980" s="451">
        <v>2.2000000000000002</v>
      </c>
      <c r="G980" s="769">
        <f>F980/1.724</f>
        <v>1.2761020881670535</v>
      </c>
      <c r="H980" s="235">
        <v>44</v>
      </c>
      <c r="I980" s="435">
        <v>27.5</v>
      </c>
      <c r="J980" s="235">
        <v>11.1</v>
      </c>
      <c r="K980" s="295">
        <v>0</v>
      </c>
      <c r="L980" s="295">
        <v>90</v>
      </c>
      <c r="M980" s="235" t="s">
        <v>93</v>
      </c>
      <c r="N980" s="235">
        <v>100</v>
      </c>
      <c r="O980" s="295">
        <f t="shared" si="459"/>
        <v>111.1</v>
      </c>
      <c r="P980" s="290" t="s">
        <v>143</v>
      </c>
      <c r="Q980" s="290"/>
      <c r="R980" s="236">
        <v>3</v>
      </c>
      <c r="S980" s="285">
        <v>0.76</v>
      </c>
      <c r="T980" s="388" t="s">
        <v>141</v>
      </c>
      <c r="Y980" s="292">
        <v>0.79</v>
      </c>
      <c r="Z980" s="301" t="s">
        <v>141</v>
      </c>
      <c r="AA980" s="233"/>
      <c r="AB980" s="232"/>
      <c r="AC980" s="232"/>
      <c r="AD980" s="232"/>
      <c r="AE980" s="136"/>
      <c r="AF980" s="239">
        <f t="shared" si="442"/>
        <v>4.6051701859880918</v>
      </c>
      <c r="AG980" s="239">
        <f t="shared" si="443"/>
        <v>4.7104306966455844</v>
      </c>
      <c r="AH980" s="240"/>
      <c r="AI980" s="240"/>
      <c r="AK980" s="265">
        <f t="shared" si="444"/>
        <v>300</v>
      </c>
      <c r="AL980" s="286">
        <f t="shared" si="445"/>
        <v>311.10000000000002</v>
      </c>
      <c r="AM980" s="239">
        <f t="shared" si="446"/>
        <v>5.7037824746562009</v>
      </c>
      <c r="AN980" s="239">
        <f t="shared" si="447"/>
        <v>5.7401144039035916</v>
      </c>
      <c r="AO980" s="240"/>
      <c r="AP980" s="240"/>
      <c r="AR980" s="286">
        <f>AK980*(Zn_bg/$J980)^$S980</f>
        <v>540.76520949902192</v>
      </c>
      <c r="AS980" s="286">
        <f>AL980*(Zn_bg/$J980)^$Y980</f>
        <v>573.96884757220266</v>
      </c>
      <c r="AT980" s="239">
        <f t="shared" si="456"/>
        <v>6.2929851911117254</v>
      </c>
      <c r="AU980" s="239">
        <f t="shared" si="457"/>
        <v>6.3525751223244651</v>
      </c>
      <c r="AX980" s="385">
        <f>GEOMEAN(AR980:AR986)</f>
        <v>738.16431725386838</v>
      </c>
      <c r="AY980" s="385">
        <f>GEOMEAN(AS980:AS986)</f>
        <v>766.07146118546564</v>
      </c>
      <c r="AZ980" s="385">
        <f>MIN(AX980:AX986)</f>
        <v>738.16431725386838</v>
      </c>
      <c r="BA980" s="385">
        <f>MIN(AY980:AY986)</f>
        <v>766.07146118546564</v>
      </c>
      <c r="BB980" s="239">
        <f t="shared" si="461"/>
        <v>6.6041664519226835</v>
      </c>
      <c r="BC980" s="239">
        <f t="shared" si="461"/>
        <v>6.6412754567540606</v>
      </c>
      <c r="BD980" s="240"/>
      <c r="BE980" s="240"/>
      <c r="BF980" s="136"/>
      <c r="BG980" s="136"/>
      <c r="BH980" s="136"/>
      <c r="BI980" s="136"/>
    </row>
    <row r="981" spans="1:61" x14ac:dyDescent="0.2">
      <c r="A981" s="232" t="s">
        <v>89</v>
      </c>
      <c r="B981" s="232" t="s">
        <v>260</v>
      </c>
      <c r="C981" s="445" t="s">
        <v>341</v>
      </c>
      <c r="D981" s="445" t="s">
        <v>142</v>
      </c>
      <c r="E981" s="235">
        <v>5.8</v>
      </c>
      <c r="F981" s="769">
        <f>G981*1.724</f>
        <v>4.4479199999999999</v>
      </c>
      <c r="G981" s="769">
        <v>2.58</v>
      </c>
      <c r="H981" s="235">
        <v>23</v>
      </c>
      <c r="I981" s="410">
        <f>(30+4.4*E981)*H981/100+(-34.66+29.72*E981)*F981/100</f>
        <v>18.895097507199999</v>
      </c>
      <c r="J981" s="753">
        <v>51</v>
      </c>
      <c r="K981" s="295">
        <v>0</v>
      </c>
      <c r="L981" s="295">
        <v>21</v>
      </c>
      <c r="M981" s="233" t="s">
        <v>144</v>
      </c>
      <c r="N981" s="235">
        <v>164</v>
      </c>
      <c r="O981" s="295">
        <f t="shared" si="459"/>
        <v>215</v>
      </c>
      <c r="P981" s="290" t="s">
        <v>145</v>
      </c>
      <c r="Q981" s="290"/>
      <c r="R981" s="236">
        <v>3</v>
      </c>
      <c r="S981" s="285">
        <v>0.76</v>
      </c>
      <c r="T981" s="388" t="s">
        <v>141</v>
      </c>
      <c r="Y981" s="292">
        <v>0.79</v>
      </c>
      <c r="Z981" s="301" t="s">
        <v>141</v>
      </c>
      <c r="AA981" s="233"/>
      <c r="AB981" s="232"/>
      <c r="AC981" s="232"/>
      <c r="AD981" s="232"/>
      <c r="AE981" s="136"/>
      <c r="AF981" s="239">
        <f t="shared" si="442"/>
        <v>5.0998664278241987</v>
      </c>
      <c r="AG981" s="239">
        <f t="shared" si="443"/>
        <v>5.3706380281276624</v>
      </c>
      <c r="AH981" s="240"/>
      <c r="AI981" s="240"/>
      <c r="AK981" s="265">
        <f t="shared" si="444"/>
        <v>492</v>
      </c>
      <c r="AL981" s="286">
        <f t="shared" si="445"/>
        <v>543</v>
      </c>
      <c r="AM981" s="239">
        <f t="shared" si="446"/>
        <v>6.1984787164923079</v>
      </c>
      <c r="AN981" s="239">
        <f t="shared" si="447"/>
        <v>6.2971093199339352</v>
      </c>
      <c r="AO981" s="240"/>
      <c r="AP981" s="240"/>
      <c r="AR981" s="286"/>
      <c r="AS981" s="286"/>
      <c r="AT981" s="239"/>
      <c r="AU981" s="239"/>
      <c r="AX981" s="385"/>
      <c r="AY981" s="385"/>
      <c r="AZ981" s="385"/>
      <c r="BA981" s="265"/>
      <c r="BB981" s="239"/>
      <c r="BC981" s="239"/>
      <c r="BD981" s="240"/>
      <c r="BE981" s="240"/>
      <c r="BF981" s="136"/>
      <c r="BG981" s="136"/>
      <c r="BH981" s="136"/>
      <c r="BI981" s="136"/>
    </row>
    <row r="982" spans="1:61" x14ac:dyDescent="0.2">
      <c r="A982" s="232" t="s">
        <v>89</v>
      </c>
      <c r="B982" s="232" t="s">
        <v>260</v>
      </c>
      <c r="C982" s="445" t="s">
        <v>341</v>
      </c>
      <c r="D982" s="445" t="s">
        <v>142</v>
      </c>
      <c r="E982" s="235">
        <v>6.6</v>
      </c>
      <c r="F982" s="769">
        <f>G982*1.724</f>
        <v>5.0857999999999999</v>
      </c>
      <c r="G982" s="769">
        <v>2.95</v>
      </c>
      <c r="H982" s="235">
        <v>45</v>
      </c>
      <c r="I982" s="410">
        <f>(30+4.4*E982)*H982/100+(-34.66+29.72*E982)*F982/100</f>
        <v>34.781160135999997</v>
      </c>
      <c r="J982" s="753">
        <v>51</v>
      </c>
      <c r="K982" s="295">
        <v>0</v>
      </c>
      <c r="L982" s="295">
        <v>21</v>
      </c>
      <c r="M982" s="233" t="s">
        <v>146</v>
      </c>
      <c r="N982" s="235">
        <v>164</v>
      </c>
      <c r="O982" s="295">
        <f t="shared" si="459"/>
        <v>215</v>
      </c>
      <c r="P982" s="290" t="s">
        <v>145</v>
      </c>
      <c r="Q982" s="290"/>
      <c r="R982" s="236">
        <v>3</v>
      </c>
      <c r="S982" s="285">
        <v>0.76</v>
      </c>
      <c r="T982" s="388" t="s">
        <v>141</v>
      </c>
      <c r="Y982" s="292">
        <v>0.79</v>
      </c>
      <c r="Z982" s="301" t="s">
        <v>141</v>
      </c>
      <c r="AA982" s="233"/>
      <c r="AB982" s="232"/>
      <c r="AC982" s="232"/>
      <c r="AD982" s="232"/>
      <c r="AE982" s="136"/>
      <c r="AF982" s="239">
        <f t="shared" si="442"/>
        <v>5.0998664278241987</v>
      </c>
      <c r="AG982" s="239">
        <f t="shared" si="443"/>
        <v>5.3706380281276624</v>
      </c>
      <c r="AH982" s="240"/>
      <c r="AI982" s="240"/>
      <c r="AK982" s="265">
        <f t="shared" si="444"/>
        <v>492</v>
      </c>
      <c r="AL982" s="286">
        <f t="shared" si="445"/>
        <v>543</v>
      </c>
      <c r="AM982" s="239">
        <f t="shared" si="446"/>
        <v>6.1984787164923079</v>
      </c>
      <c r="AN982" s="239">
        <f t="shared" si="447"/>
        <v>6.2971093199339352</v>
      </c>
      <c r="AO982" s="240"/>
      <c r="AP982" s="240"/>
      <c r="AR982" s="286"/>
      <c r="AS982" s="286"/>
      <c r="AT982" s="239"/>
      <c r="AU982" s="239"/>
      <c r="AX982" s="385"/>
      <c r="AY982" s="385"/>
      <c r="AZ982" s="385"/>
      <c r="BA982" s="265"/>
      <c r="BB982" s="239"/>
      <c r="BC982" s="239"/>
      <c r="BD982" s="240"/>
      <c r="BE982" s="240"/>
      <c r="BF982" s="136"/>
      <c r="BG982" s="136"/>
      <c r="BH982" s="136"/>
      <c r="BI982" s="136"/>
    </row>
    <row r="983" spans="1:61" x14ac:dyDescent="0.2">
      <c r="A983" s="232" t="s">
        <v>89</v>
      </c>
      <c r="B983" s="232" t="s">
        <v>260</v>
      </c>
      <c r="C983" s="445" t="s">
        <v>341</v>
      </c>
      <c r="D983" s="445" t="s">
        <v>142</v>
      </c>
      <c r="E983" s="235">
        <v>7.8</v>
      </c>
      <c r="F983" s="769">
        <f>G983*1.724</f>
        <v>6.4477600000000006</v>
      </c>
      <c r="G983" s="769">
        <v>3.74</v>
      </c>
      <c r="H983" s="235">
        <v>30</v>
      </c>
      <c r="I983" s="410">
        <f>(30+4.4*E983)*H983/100+(-34.66+29.72*E983)*F983/100</f>
        <v>32.0081457056</v>
      </c>
      <c r="J983" s="753">
        <v>51</v>
      </c>
      <c r="K983" s="295">
        <v>0</v>
      </c>
      <c r="L983" s="295">
        <v>21</v>
      </c>
      <c r="M983" s="233" t="s">
        <v>147</v>
      </c>
      <c r="N983" s="235">
        <v>164</v>
      </c>
      <c r="O983" s="295">
        <f t="shared" si="459"/>
        <v>215</v>
      </c>
      <c r="P983" s="290" t="s">
        <v>145</v>
      </c>
      <c r="Q983" s="290"/>
      <c r="R983" s="236">
        <v>3</v>
      </c>
      <c r="S983" s="285">
        <v>0.76</v>
      </c>
      <c r="T983" s="388" t="s">
        <v>141</v>
      </c>
      <c r="Y983" s="292">
        <v>0.79</v>
      </c>
      <c r="Z983" s="301" t="s">
        <v>141</v>
      </c>
      <c r="AA983" s="233"/>
      <c r="AB983" s="232"/>
      <c r="AC983" s="232"/>
      <c r="AD983" s="232"/>
      <c r="AE983" s="136"/>
      <c r="AF983" s="239">
        <f t="shared" si="442"/>
        <v>5.0998664278241987</v>
      </c>
      <c r="AG983" s="239">
        <f t="shared" si="443"/>
        <v>5.3706380281276624</v>
      </c>
      <c r="AH983" s="240"/>
      <c r="AI983" s="240"/>
      <c r="AK983" s="265">
        <f t="shared" si="444"/>
        <v>492</v>
      </c>
      <c r="AL983" s="286">
        <f t="shared" si="445"/>
        <v>543</v>
      </c>
      <c r="AM983" s="239">
        <f t="shared" si="446"/>
        <v>6.1984787164923079</v>
      </c>
      <c r="AN983" s="239">
        <f t="shared" si="447"/>
        <v>6.2971093199339352</v>
      </c>
      <c r="AO983" s="240"/>
      <c r="AP983" s="240"/>
      <c r="AR983" s="286"/>
      <c r="AS983" s="286"/>
      <c r="AT983" s="239"/>
      <c r="AU983" s="239"/>
      <c r="AX983" s="385"/>
      <c r="AY983" s="385"/>
      <c r="AZ983" s="385"/>
      <c r="BA983" s="265"/>
      <c r="BB983" s="239"/>
      <c r="BC983" s="239"/>
      <c r="BD983" s="240"/>
      <c r="BE983" s="240"/>
      <c r="BF983" s="136"/>
      <c r="BG983" s="136"/>
      <c r="BH983" s="136"/>
      <c r="BI983" s="136"/>
    </row>
    <row r="984" spans="1:61" x14ac:dyDescent="0.2">
      <c r="A984" s="232" t="s">
        <v>89</v>
      </c>
      <c r="B984" s="232" t="s">
        <v>260</v>
      </c>
      <c r="C984" s="445" t="s">
        <v>341</v>
      </c>
      <c r="D984" s="445" t="s">
        <v>142</v>
      </c>
      <c r="E984" s="235">
        <v>7.4</v>
      </c>
      <c r="F984" s="769">
        <f>G984*1.724</f>
        <v>9.3957999999999995</v>
      </c>
      <c r="G984" s="769">
        <v>5.45</v>
      </c>
      <c r="H984" s="235">
        <v>34</v>
      </c>
      <c r="I984" s="410">
        <f>(30+4.4*E984)*H984/100+(-34.66+29.72*E984)*F984/100</f>
        <v>38.677810743999999</v>
      </c>
      <c r="J984" s="753">
        <v>51</v>
      </c>
      <c r="K984" s="295">
        <v>0</v>
      </c>
      <c r="L984" s="295">
        <v>21</v>
      </c>
      <c r="M984" s="233" t="s">
        <v>144</v>
      </c>
      <c r="N984" s="235">
        <v>164</v>
      </c>
      <c r="O984" s="295">
        <f t="shared" si="459"/>
        <v>215</v>
      </c>
      <c r="P984" s="290" t="s">
        <v>145</v>
      </c>
      <c r="Q984" s="290"/>
      <c r="R984" s="236">
        <v>3</v>
      </c>
      <c r="S984" s="285">
        <v>0.76</v>
      </c>
      <c r="T984" s="388" t="s">
        <v>141</v>
      </c>
      <c r="Y984" s="292">
        <v>0.79</v>
      </c>
      <c r="Z984" s="301" t="s">
        <v>141</v>
      </c>
      <c r="AA984" s="233"/>
      <c r="AB984" s="232"/>
      <c r="AC984" s="232"/>
      <c r="AD984" s="232"/>
      <c r="AE984" s="136"/>
      <c r="AF984" s="239">
        <f t="shared" si="442"/>
        <v>5.0998664278241987</v>
      </c>
      <c r="AG984" s="239">
        <f t="shared" si="443"/>
        <v>5.3706380281276624</v>
      </c>
      <c r="AH984" s="240"/>
      <c r="AI984" s="240"/>
      <c r="AK984" s="265">
        <f t="shared" si="444"/>
        <v>492</v>
      </c>
      <c r="AL984" s="286">
        <f t="shared" si="445"/>
        <v>543</v>
      </c>
      <c r="AM984" s="239">
        <f t="shared" si="446"/>
        <v>6.1984787164923079</v>
      </c>
      <c r="AN984" s="239">
        <f t="shared" si="447"/>
        <v>6.2971093199339352</v>
      </c>
      <c r="AO984" s="240"/>
      <c r="AP984" s="240"/>
      <c r="AR984" s="286"/>
      <c r="AS984" s="286"/>
      <c r="AT984" s="239"/>
      <c r="AU984" s="239"/>
      <c r="AX984" s="385"/>
      <c r="AY984" s="385"/>
      <c r="AZ984" s="385"/>
      <c r="BA984" s="265"/>
      <c r="BB984" s="239"/>
      <c r="BC984" s="239"/>
      <c r="BD984" s="240"/>
      <c r="BE984" s="240"/>
      <c r="BF984" s="136"/>
      <c r="BG984" s="136"/>
      <c r="BH984" s="136"/>
      <c r="BI984" s="136"/>
    </row>
    <row r="985" spans="1:61" x14ac:dyDescent="0.2">
      <c r="A985" s="232" t="s">
        <v>89</v>
      </c>
      <c r="B985" s="232" t="s">
        <v>260</v>
      </c>
      <c r="C985" s="445" t="s">
        <v>341</v>
      </c>
      <c r="D985" s="445" t="s">
        <v>142</v>
      </c>
      <c r="E985" s="235">
        <v>3.4</v>
      </c>
      <c r="F985" s="451">
        <v>8</v>
      </c>
      <c r="G985" s="769">
        <f>F985/1.724</f>
        <v>4.6403712296983759</v>
      </c>
      <c r="H985" s="235">
        <v>10</v>
      </c>
      <c r="I985" s="410">
        <f>(30+4.4*E985)*H985/100+(-34.66+29.72*E985)*F985/100</f>
        <v>9.8070400000000006</v>
      </c>
      <c r="J985" s="753">
        <v>51</v>
      </c>
      <c r="K985" s="295">
        <v>0</v>
      </c>
      <c r="L985" s="295">
        <v>63</v>
      </c>
      <c r="M985" s="233" t="s">
        <v>148</v>
      </c>
      <c r="N985" s="235">
        <v>233</v>
      </c>
      <c r="O985" s="295">
        <f t="shared" si="459"/>
        <v>284</v>
      </c>
      <c r="P985" s="290" t="s">
        <v>149</v>
      </c>
      <c r="Q985" s="290"/>
      <c r="R985" s="236">
        <v>3</v>
      </c>
      <c r="S985" s="285">
        <v>0.76</v>
      </c>
      <c r="T985" s="388" t="s">
        <v>141</v>
      </c>
      <c r="Y985" s="292">
        <v>0.79</v>
      </c>
      <c r="Z985" s="301" t="s">
        <v>141</v>
      </c>
      <c r="AA985" s="233"/>
      <c r="AB985" s="232"/>
      <c r="AC985" s="232"/>
      <c r="AD985" s="232"/>
      <c r="AE985" s="136"/>
      <c r="AF985" s="239">
        <f t="shared" si="442"/>
        <v>5.4510384535657002</v>
      </c>
      <c r="AG985" s="239">
        <f t="shared" si="443"/>
        <v>5.6489742381612063</v>
      </c>
      <c r="AH985" s="240"/>
      <c r="AI985" s="240"/>
      <c r="AK985" s="265">
        <f t="shared" si="444"/>
        <v>699</v>
      </c>
      <c r="AL985" s="286">
        <f t="shared" si="445"/>
        <v>750</v>
      </c>
      <c r="AM985" s="239">
        <f t="shared" si="446"/>
        <v>6.5496507422338102</v>
      </c>
      <c r="AN985" s="239">
        <f t="shared" si="447"/>
        <v>6.620073206530356</v>
      </c>
      <c r="AO985" s="240"/>
      <c r="AP985" s="240"/>
      <c r="AR985" s="286"/>
      <c r="AS985" s="286"/>
      <c r="AT985" s="239"/>
      <c r="AU985" s="239"/>
      <c r="AX985" s="385"/>
      <c r="AY985" s="385"/>
      <c r="AZ985" s="385"/>
      <c r="BA985" s="265"/>
      <c r="BB985" s="239"/>
      <c r="BC985" s="239"/>
      <c r="BD985" s="240"/>
      <c r="BE985" s="240"/>
      <c r="BF985" s="136"/>
      <c r="BG985" s="136"/>
      <c r="BH985" s="136"/>
      <c r="BI985" s="136"/>
    </row>
    <row r="986" spans="1:61" s="165" customFormat="1" x14ac:dyDescent="0.2">
      <c r="A986" s="156" t="s">
        <v>89</v>
      </c>
      <c r="B986" s="156" t="s">
        <v>260</v>
      </c>
      <c r="C986" s="326" t="s">
        <v>341</v>
      </c>
      <c r="D986" s="326" t="s">
        <v>349</v>
      </c>
      <c r="E986" s="231">
        <v>4.5999999999999996</v>
      </c>
      <c r="F986" s="334">
        <f>G986*1.724</f>
        <v>4.9996</v>
      </c>
      <c r="G986" s="334">
        <v>2.9</v>
      </c>
      <c r="H986" s="231"/>
      <c r="I986" s="231"/>
      <c r="J986" s="231">
        <v>35</v>
      </c>
      <c r="K986" s="231">
        <v>3</v>
      </c>
      <c r="L986" s="231">
        <v>28</v>
      </c>
      <c r="M986" s="231" t="s">
        <v>104</v>
      </c>
      <c r="N986" s="231">
        <f>O986-J986</f>
        <v>446</v>
      </c>
      <c r="O986" s="231">
        <v>481</v>
      </c>
      <c r="P986" s="326" t="s">
        <v>150</v>
      </c>
      <c r="Q986" s="326"/>
      <c r="R986" s="163">
        <v>3</v>
      </c>
      <c r="S986" s="163">
        <v>0.76</v>
      </c>
      <c r="T986" s="162" t="s">
        <v>141</v>
      </c>
      <c r="U986" s="163"/>
      <c r="V986" s="162"/>
      <c r="W986" s="162"/>
      <c r="X986" s="162"/>
      <c r="Y986" s="328">
        <v>0.79</v>
      </c>
      <c r="Z986" s="314" t="s">
        <v>141</v>
      </c>
      <c r="AA986" s="160"/>
      <c r="AB986" s="156"/>
      <c r="AC986" s="156"/>
      <c r="AD986" s="156"/>
      <c r="AF986" s="166">
        <f t="shared" si="442"/>
        <v>6.1003189520200642</v>
      </c>
      <c r="AG986" s="166">
        <f t="shared" si="443"/>
        <v>6.1758672701057611</v>
      </c>
      <c r="AH986" s="169"/>
      <c r="AI986" s="169"/>
      <c r="AK986" s="168">
        <f t="shared" si="444"/>
        <v>1338</v>
      </c>
      <c r="AL986" s="337">
        <f t="shared" si="445"/>
        <v>1373</v>
      </c>
      <c r="AM986" s="166">
        <f t="shared" si="446"/>
        <v>7.1989312406881734</v>
      </c>
      <c r="AN986" s="166">
        <f t="shared" si="447"/>
        <v>7.224753405767971</v>
      </c>
      <c r="AO986" s="169"/>
      <c r="AP986" s="169"/>
      <c r="AR986" s="337">
        <f>AK986*(Zn_bg/$J986)^$S986</f>
        <v>1007.6213293596786</v>
      </c>
      <c r="AS986" s="337">
        <f>AL986*(Zn_bg/$J986)^$Y986</f>
        <v>1022.4692265532921</v>
      </c>
      <c r="AT986" s="166">
        <f>LN(AR986)</f>
        <v>6.9153477127336425</v>
      </c>
      <c r="AU986" s="166">
        <f>LN(AS986)</f>
        <v>6.9299757911836561</v>
      </c>
      <c r="AV986" s="167"/>
      <c r="AW986" s="167"/>
      <c r="AX986" s="168"/>
      <c r="AY986" s="168"/>
      <c r="AZ986" s="168"/>
      <c r="BA986" s="168"/>
      <c r="BB986" s="166"/>
      <c r="BC986" s="166"/>
      <c r="BD986" s="169"/>
      <c r="BE986" s="169"/>
    </row>
    <row r="987" spans="1:61" x14ac:dyDescent="0.2">
      <c r="A987" s="275" t="s">
        <v>89</v>
      </c>
      <c r="B987" s="275" t="s">
        <v>260</v>
      </c>
      <c r="C987" s="290" t="s">
        <v>341</v>
      </c>
      <c r="D987" s="290" t="s">
        <v>70</v>
      </c>
      <c r="E987" s="295">
        <v>6.8</v>
      </c>
      <c r="F987" s="298">
        <v>2.9</v>
      </c>
      <c r="G987" s="287">
        <f>F987/1.724</f>
        <v>1.6821345707656612</v>
      </c>
      <c r="H987" s="295">
        <v>28</v>
      </c>
      <c r="I987" s="411">
        <f>(30+4.4*E987)*H987/100+(-34.66+29.72*E987)*F987/100</f>
        <v>21.633243999999998</v>
      </c>
      <c r="J987" s="753">
        <v>51</v>
      </c>
      <c r="K987" s="295">
        <v>0</v>
      </c>
      <c r="L987" s="295">
        <v>21</v>
      </c>
      <c r="M987" s="405" t="s">
        <v>93</v>
      </c>
      <c r="N987" s="295">
        <v>100</v>
      </c>
      <c r="O987" s="295">
        <f t="shared" ref="O987:O1006" si="462">N987+J987</f>
        <v>151</v>
      </c>
      <c r="P987" s="290" t="s">
        <v>151</v>
      </c>
      <c r="Q987" s="290"/>
      <c r="R987" s="285">
        <v>3</v>
      </c>
      <c r="S987" s="285">
        <v>0.76</v>
      </c>
      <c r="T987" s="388" t="s">
        <v>141</v>
      </c>
      <c r="U987" s="285"/>
      <c r="V987" s="388"/>
      <c r="W987" s="388"/>
      <c r="X987" s="388"/>
      <c r="Y987" s="292">
        <v>0.79</v>
      </c>
      <c r="Z987" s="301" t="s">
        <v>141</v>
      </c>
      <c r="AA987" s="405"/>
      <c r="AB987" s="275"/>
      <c r="AC987" s="275"/>
      <c r="AD987" s="275"/>
      <c r="AE987" s="238"/>
      <c r="AF987" s="239">
        <f t="shared" si="442"/>
        <v>4.6051701859880918</v>
      </c>
      <c r="AG987" s="239">
        <f t="shared" si="443"/>
        <v>5.0172798368149243</v>
      </c>
      <c r="AH987" s="240"/>
      <c r="AI987" s="240"/>
      <c r="AK987" s="265">
        <f t="shared" si="444"/>
        <v>300</v>
      </c>
      <c r="AL987" s="286">
        <f t="shared" si="445"/>
        <v>351</v>
      </c>
      <c r="AM987" s="239">
        <f t="shared" si="446"/>
        <v>5.7037824746562009</v>
      </c>
      <c r="AN987" s="239">
        <f t="shared" si="447"/>
        <v>5.8607862234658654</v>
      </c>
      <c r="AO987" s="240"/>
      <c r="AP987" s="240"/>
      <c r="AR987" s="286"/>
      <c r="AS987" s="286"/>
      <c r="AT987" s="239"/>
      <c r="AU987" s="239"/>
      <c r="AX987" s="385">
        <f>GEOMEAN(AR987:AR988)</f>
        <v>72.790935955819833</v>
      </c>
      <c r="AY987" s="385">
        <f>GEOMEAN(AS987:AS988)</f>
        <v>98.916921623168903</v>
      </c>
      <c r="AZ987" s="385">
        <f>MIN(AX987:AX988)</f>
        <v>72.790935955819833</v>
      </c>
      <c r="BA987" s="385">
        <f>MIN(AY987:AY988)</f>
        <v>98.916921623168903</v>
      </c>
      <c r="BB987" s="239">
        <f>LN(AZ987)</f>
        <v>4.2875914413497362</v>
      </c>
      <c r="BC987" s="239">
        <f>LN(BA987)</f>
        <v>4.5942803223061528</v>
      </c>
      <c r="BD987" s="240"/>
      <c r="BE987" s="240"/>
      <c r="BF987" s="136"/>
      <c r="BG987" s="136"/>
      <c r="BH987" s="136"/>
      <c r="BI987" s="136"/>
    </row>
    <row r="988" spans="1:61" s="165" customFormat="1" x14ac:dyDescent="0.2">
      <c r="A988" s="156" t="s">
        <v>89</v>
      </c>
      <c r="B988" s="156" t="s">
        <v>260</v>
      </c>
      <c r="C988" s="326" t="s">
        <v>341</v>
      </c>
      <c r="D988" s="326" t="s">
        <v>386</v>
      </c>
      <c r="E988" s="231">
        <v>6.8</v>
      </c>
      <c r="F988" s="334">
        <f>G988*1.724</f>
        <v>1.6895199999999999</v>
      </c>
      <c r="G988" s="334">
        <v>0.98</v>
      </c>
      <c r="H988" s="231"/>
      <c r="I988" s="231">
        <v>8.9</v>
      </c>
      <c r="J988" s="231">
        <v>45</v>
      </c>
      <c r="K988" s="231">
        <v>0</v>
      </c>
      <c r="L988" s="231">
        <v>11</v>
      </c>
      <c r="M988" s="231" t="s">
        <v>104</v>
      </c>
      <c r="N988" s="231">
        <v>39</v>
      </c>
      <c r="O988" s="231">
        <f t="shared" si="462"/>
        <v>84</v>
      </c>
      <c r="P988" s="326" t="s">
        <v>152</v>
      </c>
      <c r="Q988" s="326"/>
      <c r="R988" s="163">
        <v>3</v>
      </c>
      <c r="S988" s="163">
        <v>0.76</v>
      </c>
      <c r="T988" s="162" t="s">
        <v>141</v>
      </c>
      <c r="U988" s="163"/>
      <c r="V988" s="162"/>
      <c r="W988" s="162"/>
      <c r="X988" s="162"/>
      <c r="Y988" s="328">
        <v>0.79</v>
      </c>
      <c r="Z988" s="314" t="s">
        <v>141</v>
      </c>
      <c r="AA988" s="160"/>
      <c r="AB988" s="156"/>
      <c r="AC988" s="156"/>
      <c r="AD988" s="156"/>
      <c r="AF988" s="166">
        <f t="shared" si="442"/>
        <v>3.6635616461296463</v>
      </c>
      <c r="AG988" s="166">
        <f t="shared" si="443"/>
        <v>4.4308167988433134</v>
      </c>
      <c r="AH988" s="169"/>
      <c r="AI988" s="169"/>
      <c r="AK988" s="168">
        <f t="shared" si="444"/>
        <v>117</v>
      </c>
      <c r="AL988" s="337">
        <f t="shared" si="445"/>
        <v>162</v>
      </c>
      <c r="AM988" s="166">
        <f t="shared" si="446"/>
        <v>4.7621739347977563</v>
      </c>
      <c r="AN988" s="166">
        <f t="shared" si="447"/>
        <v>5.0875963352323836</v>
      </c>
      <c r="AO988" s="169"/>
      <c r="AP988" s="169"/>
      <c r="AR988" s="337">
        <f>AK988*(Zn_bg/$J988)^$S988</f>
        <v>72.790935955819833</v>
      </c>
      <c r="AS988" s="337">
        <f>AL988*(Zn_bg/$J988)^$Y988</f>
        <v>98.916921623168903</v>
      </c>
      <c r="AT988" s="166">
        <f>LN(AR988)</f>
        <v>4.2875914413497362</v>
      </c>
      <c r="AU988" s="166">
        <f>LN(AS988)</f>
        <v>4.5942803223061528</v>
      </c>
      <c r="AV988" s="167"/>
      <c r="AW988" s="167"/>
      <c r="AX988" s="168"/>
      <c r="AY988" s="168"/>
      <c r="AZ988" s="168"/>
      <c r="BA988" s="168"/>
      <c r="BB988" s="166"/>
      <c r="BC988" s="166"/>
      <c r="BD988" s="169"/>
      <c r="BE988" s="169"/>
    </row>
    <row r="989" spans="1:61" x14ac:dyDescent="0.2">
      <c r="A989" s="232" t="s">
        <v>89</v>
      </c>
      <c r="B989" s="232" t="s">
        <v>260</v>
      </c>
      <c r="C989" s="445" t="s">
        <v>341</v>
      </c>
      <c r="D989" s="445" t="s">
        <v>385</v>
      </c>
      <c r="E989" s="235">
        <v>7.8</v>
      </c>
      <c r="F989" s="769">
        <f>G989*1.724</f>
        <v>6.4477600000000006</v>
      </c>
      <c r="G989" s="769">
        <v>3.74</v>
      </c>
      <c r="H989" s="235">
        <v>30</v>
      </c>
      <c r="I989" s="410">
        <f>(30+4.4*E989)*H989/100+(-34.66+29.72*E989)*F989/100</f>
        <v>32.0081457056</v>
      </c>
      <c r="J989" s="753">
        <v>51</v>
      </c>
      <c r="K989" s="295">
        <v>0</v>
      </c>
      <c r="L989" s="295">
        <v>10</v>
      </c>
      <c r="M989" s="233" t="s">
        <v>153</v>
      </c>
      <c r="N989" s="235">
        <v>109</v>
      </c>
      <c r="O989" s="295">
        <f t="shared" si="462"/>
        <v>160</v>
      </c>
      <c r="P989" s="290" t="s">
        <v>154</v>
      </c>
      <c r="Q989" s="290"/>
      <c r="R989" s="236">
        <v>3</v>
      </c>
      <c r="S989" s="285">
        <v>0.76</v>
      </c>
      <c r="T989" s="388" t="s">
        <v>141</v>
      </c>
      <c r="Y989" s="292">
        <v>0.79</v>
      </c>
      <c r="Z989" s="301" t="s">
        <v>141</v>
      </c>
      <c r="AA989" s="233"/>
      <c r="AB989" s="232"/>
      <c r="AC989" s="232"/>
      <c r="AD989" s="232"/>
      <c r="AE989" s="136"/>
      <c r="AF989" s="239">
        <f t="shared" si="442"/>
        <v>4.6913478822291435</v>
      </c>
      <c r="AG989" s="239">
        <f t="shared" si="443"/>
        <v>5.0751738152338266</v>
      </c>
      <c r="AH989" s="240"/>
      <c r="AI989" s="240"/>
      <c r="AK989" s="265">
        <f t="shared" si="444"/>
        <v>327</v>
      </c>
      <c r="AL989" s="286">
        <f t="shared" si="445"/>
        <v>378</v>
      </c>
      <c r="AM989" s="239">
        <f t="shared" si="446"/>
        <v>5.7899601708972535</v>
      </c>
      <c r="AN989" s="239">
        <f t="shared" si="447"/>
        <v>5.934894195619588</v>
      </c>
      <c r="AO989" s="240"/>
      <c r="AP989" s="240"/>
      <c r="AR989" s="286"/>
      <c r="AS989" s="286"/>
      <c r="AT989" s="239"/>
      <c r="AU989" s="239"/>
      <c r="AX989" s="385">
        <f>GEOMEAN(AR989:AR1008)</f>
        <v>193.39431298779454</v>
      </c>
      <c r="AY989" s="385">
        <f>GEOMEAN(AS989:AS1008)</f>
        <v>222.65052322978883</v>
      </c>
      <c r="AZ989" s="385">
        <f>MIN(AX989:AX1008)</f>
        <v>193.39431298779454</v>
      </c>
      <c r="BA989" s="385">
        <f>MIN(AY989:AY1008)</f>
        <v>222.65052322978883</v>
      </c>
      <c r="BB989" s="239">
        <f>LN(AZ989)</f>
        <v>5.2647311771462793</v>
      </c>
      <c r="BC989" s="239">
        <f>LN(BA989)</f>
        <v>5.4056033817752303</v>
      </c>
      <c r="BD989" s="240"/>
      <c r="BE989" s="240"/>
      <c r="BF989" s="136"/>
      <c r="BG989" s="136"/>
      <c r="BH989" s="136"/>
      <c r="BI989" s="136"/>
    </row>
    <row r="990" spans="1:61" x14ac:dyDescent="0.2">
      <c r="A990" s="232" t="s">
        <v>89</v>
      </c>
      <c r="B990" s="232" t="s">
        <v>260</v>
      </c>
      <c r="C990" s="445" t="s">
        <v>341</v>
      </c>
      <c r="D990" s="445" t="s">
        <v>349</v>
      </c>
      <c r="E990" s="235">
        <v>7.1</v>
      </c>
      <c r="F990" s="451">
        <v>3</v>
      </c>
      <c r="G990" s="769">
        <f t="shared" ref="G990:G1006" si="463">F990/1.724</f>
        <v>1.740139211136891</v>
      </c>
      <c r="H990" s="235">
        <v>17</v>
      </c>
      <c r="I990" s="410">
        <f>(30+4.4*E990)*H990/100+(-34.66+29.72*E990)*F990/100</f>
        <v>15.701359999999999</v>
      </c>
      <c r="J990" s="235">
        <v>57</v>
      </c>
      <c r="K990" s="295">
        <v>0</v>
      </c>
      <c r="L990" s="295">
        <v>21</v>
      </c>
      <c r="M990" s="235" t="s">
        <v>93</v>
      </c>
      <c r="N990" s="235">
        <v>100</v>
      </c>
      <c r="O990" s="295">
        <f t="shared" si="462"/>
        <v>157</v>
      </c>
      <c r="P990" s="290" t="s">
        <v>140</v>
      </c>
      <c r="Q990" s="290"/>
      <c r="R990" s="236">
        <v>3</v>
      </c>
      <c r="S990" s="285">
        <v>0.76</v>
      </c>
      <c r="T990" s="388" t="s">
        <v>141</v>
      </c>
      <c r="Y990" s="292">
        <v>0.79</v>
      </c>
      <c r="Z990" s="301" t="s">
        <v>141</v>
      </c>
      <c r="AA990" s="233"/>
      <c r="AB990" s="232"/>
      <c r="AC990" s="232"/>
      <c r="AD990" s="232"/>
      <c r="AE990" s="136"/>
      <c r="AF990" s="239">
        <f t="shared" si="442"/>
        <v>4.6051701859880918</v>
      </c>
      <c r="AG990" s="239">
        <f t="shared" si="443"/>
        <v>5.0562458053483077</v>
      </c>
      <c r="AH990" s="240"/>
      <c r="AI990" s="240"/>
      <c r="AK990" s="265">
        <f t="shared" si="444"/>
        <v>300</v>
      </c>
      <c r="AL990" s="286">
        <f t="shared" si="445"/>
        <v>357</v>
      </c>
      <c r="AM990" s="239">
        <f t="shared" si="446"/>
        <v>5.7037824746562009</v>
      </c>
      <c r="AN990" s="239">
        <f t="shared" si="447"/>
        <v>5.8777357817796387</v>
      </c>
      <c r="AO990" s="240"/>
      <c r="AP990" s="240"/>
      <c r="AR990" s="286">
        <f t="shared" ref="AR990:AR1012" si="464">AK990*(Zn_bg/$J990)^$S990</f>
        <v>155.95141397785525</v>
      </c>
      <c r="AS990" s="286">
        <f t="shared" ref="AS990:AS1012" si="465">AL990*(Zn_bg/$J990)^$Y990</f>
        <v>180.85084561761443</v>
      </c>
      <c r="AT990" s="239">
        <f t="shared" ref="AT990:AT1012" si="466">LN(AR990)</f>
        <v>5.0495445098793663</v>
      </c>
      <c r="AU990" s="239">
        <f t="shared" ref="AU990:AU1012" si="467">LN(AS990)</f>
        <v>5.1976726341826653</v>
      </c>
      <c r="AX990" s="385"/>
      <c r="AY990" s="385"/>
      <c r="AZ990" s="385"/>
      <c r="BA990" s="265"/>
      <c r="BB990" s="239"/>
      <c r="BC990" s="239"/>
      <c r="BD990" s="240"/>
      <c r="BE990" s="240"/>
      <c r="BF990" s="136"/>
      <c r="BG990" s="136"/>
      <c r="BH990" s="136"/>
      <c r="BI990" s="136"/>
    </row>
    <row r="991" spans="1:61" x14ac:dyDescent="0.2">
      <c r="A991" s="232" t="s">
        <v>89</v>
      </c>
      <c r="B991" s="232" t="s">
        <v>260</v>
      </c>
      <c r="C991" s="445" t="s">
        <v>341</v>
      </c>
      <c r="D991" s="445" t="s">
        <v>387</v>
      </c>
      <c r="E991" s="235">
        <v>6.2</v>
      </c>
      <c r="F991" s="451">
        <v>1.6</v>
      </c>
      <c r="G991" s="769">
        <f t="shared" si="463"/>
        <v>0.92807424593967525</v>
      </c>
      <c r="H991" s="235">
        <v>8</v>
      </c>
      <c r="I991" s="435">
        <v>4.4400000000000004</v>
      </c>
      <c r="J991" s="235">
        <v>24</v>
      </c>
      <c r="K991" s="295">
        <v>0</v>
      </c>
      <c r="L991" s="295">
        <v>63</v>
      </c>
      <c r="M991" s="235" t="s">
        <v>93</v>
      </c>
      <c r="N991" s="235">
        <v>100</v>
      </c>
      <c r="O991" s="295">
        <f t="shared" si="462"/>
        <v>124</v>
      </c>
      <c r="P991" s="290" t="s">
        <v>155</v>
      </c>
      <c r="Q991" s="290"/>
      <c r="R991" s="236">
        <v>3</v>
      </c>
      <c r="S991" s="285">
        <v>0.76</v>
      </c>
      <c r="T991" s="388" t="s">
        <v>141</v>
      </c>
      <c r="Y991" s="292">
        <v>0.79</v>
      </c>
      <c r="Z991" s="301" t="s">
        <v>141</v>
      </c>
      <c r="AA991" s="233"/>
      <c r="AB991" s="232"/>
      <c r="AC991" s="232"/>
      <c r="AD991" s="232"/>
      <c r="AE991" s="136"/>
      <c r="AF991" s="239">
        <f t="shared" si="442"/>
        <v>4.6051701859880918</v>
      </c>
      <c r="AG991" s="239">
        <f t="shared" si="443"/>
        <v>4.8202815656050371</v>
      </c>
      <c r="AH991" s="240"/>
      <c r="AI991" s="240"/>
      <c r="AK991" s="265">
        <f t="shared" si="444"/>
        <v>300</v>
      </c>
      <c r="AL991" s="286">
        <f t="shared" si="445"/>
        <v>324</v>
      </c>
      <c r="AM991" s="239">
        <f t="shared" si="446"/>
        <v>5.7037824746562009</v>
      </c>
      <c r="AN991" s="239">
        <f t="shared" si="447"/>
        <v>5.780743515792329</v>
      </c>
      <c r="AO991" s="240"/>
      <c r="AP991" s="240"/>
      <c r="AR991" s="286">
        <f t="shared" si="464"/>
        <v>300.94952581615189</v>
      </c>
      <c r="AS991" s="286">
        <f t="shared" si="465"/>
        <v>325.06603418858634</v>
      </c>
      <c r="AT991" s="239">
        <f t="shared" si="466"/>
        <v>5.7069425623691856</v>
      </c>
      <c r="AU991" s="239">
        <f t="shared" si="467"/>
        <v>5.7840283438097737</v>
      </c>
      <c r="AX991" s="385"/>
      <c r="AY991" s="385"/>
      <c r="AZ991" s="385"/>
      <c r="BA991" s="265"/>
      <c r="BB991" s="239"/>
      <c r="BC991" s="239"/>
      <c r="BD991" s="240"/>
      <c r="BE991" s="240"/>
      <c r="BF991" s="136"/>
      <c r="BG991" s="136"/>
      <c r="BH991" s="136"/>
      <c r="BI991" s="136"/>
    </row>
    <row r="992" spans="1:61" x14ac:dyDescent="0.2">
      <c r="A992" s="232" t="s">
        <v>89</v>
      </c>
      <c r="B992" s="232" t="s">
        <v>260</v>
      </c>
      <c r="C992" s="445" t="s">
        <v>341</v>
      </c>
      <c r="D992" s="445" t="s">
        <v>387</v>
      </c>
      <c r="E992" s="235">
        <v>5.5</v>
      </c>
      <c r="F992" s="451">
        <v>2.37</v>
      </c>
      <c r="G992" s="769">
        <f t="shared" si="463"/>
        <v>1.3747099767981439</v>
      </c>
      <c r="H992" s="235">
        <v>28</v>
      </c>
      <c r="I992" s="435">
        <v>12.44</v>
      </c>
      <c r="J992" s="235">
        <v>136</v>
      </c>
      <c r="K992" s="295">
        <v>0</v>
      </c>
      <c r="L992" s="295">
        <v>63</v>
      </c>
      <c r="M992" s="235" t="s">
        <v>93</v>
      </c>
      <c r="N992" s="235">
        <v>100</v>
      </c>
      <c r="O992" s="295">
        <f t="shared" si="462"/>
        <v>236</v>
      </c>
      <c r="P992" s="290" t="s">
        <v>155</v>
      </c>
      <c r="Q992" s="290"/>
      <c r="R992" s="236">
        <v>3</v>
      </c>
      <c r="S992" s="285">
        <v>0.76</v>
      </c>
      <c r="T992" s="388" t="s">
        <v>141</v>
      </c>
      <c r="Y992" s="292">
        <v>0.79</v>
      </c>
      <c r="Z992" s="301" t="s">
        <v>141</v>
      </c>
      <c r="AA992" s="233"/>
      <c r="AB992" s="232"/>
      <c r="AC992" s="232"/>
      <c r="AD992" s="232"/>
      <c r="AE992" s="136"/>
      <c r="AF992" s="239">
        <f t="shared" si="442"/>
        <v>4.6051701859880918</v>
      </c>
      <c r="AG992" s="239">
        <f t="shared" si="443"/>
        <v>5.4638318050256105</v>
      </c>
      <c r="AH992" s="240"/>
      <c r="AI992" s="240"/>
      <c r="AK992" s="265">
        <f t="shared" si="444"/>
        <v>300</v>
      </c>
      <c r="AL992" s="286">
        <f t="shared" si="445"/>
        <v>436</v>
      </c>
      <c r="AM992" s="239">
        <f t="shared" si="446"/>
        <v>5.7037824746562009</v>
      </c>
      <c r="AN992" s="239">
        <f t="shared" si="447"/>
        <v>6.0776422433490342</v>
      </c>
      <c r="AO992" s="240"/>
      <c r="AP992" s="240"/>
      <c r="AR992" s="286">
        <f t="shared" si="464"/>
        <v>80.531286434084109</v>
      </c>
      <c r="AS992" s="286">
        <f t="shared" si="465"/>
        <v>111.11794865081481</v>
      </c>
      <c r="AT992" s="239">
        <f t="shared" si="466"/>
        <v>4.3886457602742244</v>
      </c>
      <c r="AU992" s="239">
        <f t="shared" si="467"/>
        <v>4.710592237609875</v>
      </c>
      <c r="AX992" s="385"/>
      <c r="AY992" s="385"/>
      <c r="AZ992" s="385"/>
      <c r="BA992" s="265"/>
      <c r="BB992" s="239"/>
      <c r="BC992" s="239"/>
      <c r="BD992" s="240"/>
      <c r="BE992" s="240"/>
      <c r="BF992" s="136"/>
      <c r="BG992" s="136"/>
      <c r="BH992" s="136"/>
      <c r="BI992" s="136"/>
    </row>
    <row r="993" spans="1:61" x14ac:dyDescent="0.2">
      <c r="A993" s="275" t="s">
        <v>89</v>
      </c>
      <c r="B993" s="275" t="s">
        <v>260</v>
      </c>
      <c r="C993" s="290" t="s">
        <v>341</v>
      </c>
      <c r="D993" s="290" t="s">
        <v>387</v>
      </c>
      <c r="E993" s="295">
        <v>5.0999999999999996</v>
      </c>
      <c r="F993" s="298">
        <v>1.1399999999999999</v>
      </c>
      <c r="G993" s="287">
        <f t="shared" si="463"/>
        <v>0.66125290023201855</v>
      </c>
      <c r="H993" s="295">
        <v>2</v>
      </c>
      <c r="I993" s="294">
        <v>3.13</v>
      </c>
      <c r="J993" s="295">
        <v>7</v>
      </c>
      <c r="K993" s="295">
        <v>0</v>
      </c>
      <c r="L993" s="295">
        <v>63</v>
      </c>
      <c r="M993" s="295" t="s">
        <v>156</v>
      </c>
      <c r="N993" s="295">
        <v>50</v>
      </c>
      <c r="O993" s="295">
        <f t="shared" si="462"/>
        <v>57</v>
      </c>
      <c r="P993" s="290" t="s">
        <v>155</v>
      </c>
      <c r="Q993" s="290"/>
      <c r="R993" s="285">
        <v>3</v>
      </c>
      <c r="S993" s="285">
        <v>0.76</v>
      </c>
      <c r="T993" s="388" t="s">
        <v>141</v>
      </c>
      <c r="U993" s="285"/>
      <c r="V993" s="388"/>
      <c r="W993" s="388"/>
      <c r="X993" s="388"/>
      <c r="Y993" s="292">
        <v>0.79</v>
      </c>
      <c r="Z993" s="301" t="s">
        <v>141</v>
      </c>
      <c r="AA993" s="405"/>
      <c r="AB993" s="275"/>
      <c r="AC993" s="275"/>
      <c r="AD993" s="275"/>
      <c r="AE993" s="238"/>
      <c r="AF993" s="239">
        <f t="shared" si="442"/>
        <v>3.912023005428146</v>
      </c>
      <c r="AG993" s="239">
        <f t="shared" si="443"/>
        <v>4.0430512678345503</v>
      </c>
      <c r="AH993" s="240"/>
      <c r="AI993" s="240"/>
      <c r="AK993" s="265">
        <f t="shared" si="444"/>
        <v>150</v>
      </c>
      <c r="AL993" s="286">
        <f t="shared" si="445"/>
        <v>157</v>
      </c>
      <c r="AM993" s="239">
        <f t="shared" si="446"/>
        <v>5.0106352940962555</v>
      </c>
      <c r="AN993" s="239">
        <f t="shared" si="447"/>
        <v>5.0562458053483077</v>
      </c>
      <c r="AO993" s="240"/>
      <c r="AP993" s="240"/>
      <c r="AR993" s="286">
        <f t="shared" si="464"/>
        <v>383.83953190750378</v>
      </c>
      <c r="AS993" s="286">
        <f t="shared" si="465"/>
        <v>416.93241802864856</v>
      </c>
      <c r="AT993" s="239">
        <f t="shared" si="466"/>
        <v>5.9502245795916409</v>
      </c>
      <c r="AU993" s="239">
        <f t="shared" si="467"/>
        <v>6.0329241415869319</v>
      </c>
      <c r="AX993" s="265"/>
      <c r="AY993" s="265"/>
      <c r="AZ993" s="265"/>
      <c r="BA993" s="265"/>
      <c r="BB993" s="239"/>
      <c r="BC993" s="239"/>
      <c r="BD993" s="240"/>
      <c r="BE993" s="240"/>
      <c r="BF993" s="136"/>
      <c r="BG993" s="136"/>
      <c r="BH993" s="136"/>
      <c r="BI993" s="136"/>
    </row>
    <row r="994" spans="1:61" x14ac:dyDescent="0.2">
      <c r="A994" s="232" t="s">
        <v>89</v>
      </c>
      <c r="B994" s="232" t="s">
        <v>260</v>
      </c>
      <c r="C994" s="445" t="s">
        <v>341</v>
      </c>
      <c r="D994" s="445" t="s">
        <v>303</v>
      </c>
      <c r="E994" s="235">
        <v>4.7</v>
      </c>
      <c r="F994" s="769">
        <v>39.61</v>
      </c>
      <c r="G994" s="769">
        <f t="shared" si="463"/>
        <v>22.975638051044083</v>
      </c>
      <c r="H994" s="235">
        <v>24</v>
      </c>
      <c r="I994" s="235">
        <v>35.299999999999997</v>
      </c>
      <c r="J994" s="235">
        <v>191</v>
      </c>
      <c r="K994" s="295">
        <v>3</v>
      </c>
      <c r="L994" s="295">
        <v>7</v>
      </c>
      <c r="M994" s="235" t="s">
        <v>93</v>
      </c>
      <c r="N994" s="235">
        <v>400</v>
      </c>
      <c r="O994" s="295">
        <f t="shared" si="462"/>
        <v>591</v>
      </c>
      <c r="P994" s="290" t="s">
        <v>157</v>
      </c>
      <c r="Q994" s="290"/>
      <c r="R994" s="236">
        <v>3</v>
      </c>
      <c r="S994" s="285">
        <v>0.76</v>
      </c>
      <c r="T994" s="388" t="s">
        <v>141</v>
      </c>
      <c r="Y994" s="292">
        <v>0.79</v>
      </c>
      <c r="Z994" s="301" t="s">
        <v>141</v>
      </c>
      <c r="AA994" s="233"/>
      <c r="AB994" s="232"/>
      <c r="AC994" s="232"/>
      <c r="AD994" s="232"/>
      <c r="AE994" s="136"/>
      <c r="AF994" s="239">
        <f t="shared" si="442"/>
        <v>5.9914645471079817</v>
      </c>
      <c r="AG994" s="239">
        <f t="shared" si="443"/>
        <v>6.3818160174060985</v>
      </c>
      <c r="AH994" s="240"/>
      <c r="AI994" s="240"/>
      <c r="AK994" s="265">
        <f t="shared" si="444"/>
        <v>1200</v>
      </c>
      <c r="AL994" s="286">
        <f t="shared" si="445"/>
        <v>1391</v>
      </c>
      <c r="AM994" s="239">
        <f t="shared" si="446"/>
        <v>7.0900768357760917</v>
      </c>
      <c r="AN994" s="239">
        <f t="shared" si="447"/>
        <v>7.237778191923443</v>
      </c>
      <c r="AO994" s="240"/>
      <c r="AP994" s="240"/>
      <c r="AR994" s="286">
        <f t="shared" si="464"/>
        <v>248.84495435200779</v>
      </c>
      <c r="AS994" s="286">
        <f t="shared" si="465"/>
        <v>271.08421735746981</v>
      </c>
      <c r="AT994" s="239">
        <f t="shared" si="466"/>
        <v>5.5168300292380756</v>
      </c>
      <c r="AU994" s="239">
        <f t="shared" si="467"/>
        <v>5.6024295377589262</v>
      </c>
      <c r="AX994" s="385"/>
      <c r="AY994" s="385"/>
      <c r="AZ994" s="385"/>
      <c r="BA994" s="265"/>
      <c r="BB994" s="239"/>
      <c r="BC994" s="239"/>
      <c r="BD994" s="240"/>
      <c r="BE994" s="240"/>
      <c r="BF994" s="136"/>
      <c r="BG994" s="136"/>
      <c r="BH994" s="136"/>
      <c r="BI994" s="136"/>
    </row>
    <row r="995" spans="1:61" x14ac:dyDescent="0.2">
      <c r="A995" s="232" t="s">
        <v>89</v>
      </c>
      <c r="B995" s="232" t="s">
        <v>260</v>
      </c>
      <c r="C995" s="445" t="s">
        <v>341</v>
      </c>
      <c r="D995" s="445" t="s">
        <v>303</v>
      </c>
      <c r="E995" s="235">
        <v>4.8</v>
      </c>
      <c r="F995" s="769">
        <v>13.209</v>
      </c>
      <c r="G995" s="769">
        <f t="shared" si="463"/>
        <v>7.6618329466357311</v>
      </c>
      <c r="H995" s="235"/>
      <c r="I995" s="235">
        <v>13.3</v>
      </c>
      <c r="J995" s="235">
        <v>83</v>
      </c>
      <c r="K995" s="295">
        <v>3</v>
      </c>
      <c r="L995" s="295">
        <v>7</v>
      </c>
      <c r="M995" s="235" t="s">
        <v>93</v>
      </c>
      <c r="N995" s="235">
        <v>257</v>
      </c>
      <c r="O995" s="295">
        <f t="shared" si="462"/>
        <v>340</v>
      </c>
      <c r="P995" s="290" t="s">
        <v>157</v>
      </c>
      <c r="Q995" s="290"/>
      <c r="R995" s="236">
        <v>3</v>
      </c>
      <c r="S995" s="285">
        <v>0.76</v>
      </c>
      <c r="T995" s="388" t="s">
        <v>141</v>
      </c>
      <c r="Y995" s="292">
        <v>0.79</v>
      </c>
      <c r="Z995" s="301" t="s">
        <v>141</v>
      </c>
      <c r="AA995" s="233"/>
      <c r="AB995" s="232"/>
      <c r="AC995" s="232"/>
      <c r="AD995" s="232"/>
      <c r="AE995" s="136"/>
      <c r="AF995" s="239">
        <f t="shared" si="442"/>
        <v>5.5490760848952201</v>
      </c>
      <c r="AG995" s="239">
        <f t="shared" si="443"/>
        <v>5.8289456176102075</v>
      </c>
      <c r="AH995" s="240"/>
      <c r="AI995" s="240"/>
      <c r="AK995" s="265">
        <f t="shared" si="444"/>
        <v>771</v>
      </c>
      <c r="AL995" s="286">
        <f t="shared" si="445"/>
        <v>854</v>
      </c>
      <c r="AM995" s="239">
        <f t="shared" si="446"/>
        <v>6.6476883735633292</v>
      </c>
      <c r="AN995" s="239">
        <f t="shared" si="447"/>
        <v>6.7499311937885702</v>
      </c>
      <c r="AO995" s="240"/>
      <c r="AP995" s="240"/>
      <c r="AR995" s="286">
        <f t="shared" si="464"/>
        <v>301.22289643448681</v>
      </c>
      <c r="AS995" s="286">
        <f t="shared" si="465"/>
        <v>321.4990110494864</v>
      </c>
      <c r="AT995" s="239">
        <f t="shared" si="466"/>
        <v>5.7078505104153381</v>
      </c>
      <c r="AU995" s="239">
        <f t="shared" si="467"/>
        <v>5.7729944676215785</v>
      </c>
      <c r="AX995" s="385"/>
      <c r="AY995" s="385"/>
      <c r="AZ995" s="385"/>
      <c r="BA995" s="265"/>
      <c r="BB995" s="239"/>
      <c r="BC995" s="239"/>
      <c r="BD995" s="240"/>
      <c r="BE995" s="240"/>
      <c r="BF995" s="136"/>
      <c r="BG995" s="136"/>
      <c r="BH995" s="136"/>
      <c r="BI995" s="136"/>
    </row>
    <row r="996" spans="1:61" x14ac:dyDescent="0.2">
      <c r="A996" s="232" t="s">
        <v>89</v>
      </c>
      <c r="B996" s="232" t="s">
        <v>260</v>
      </c>
      <c r="C996" s="445" t="s">
        <v>341</v>
      </c>
      <c r="D996" s="445" t="s">
        <v>303</v>
      </c>
      <c r="E996" s="235">
        <v>4.8</v>
      </c>
      <c r="F996" s="769">
        <v>0.69699999999999995</v>
      </c>
      <c r="G996" s="769">
        <f t="shared" si="463"/>
        <v>0.404292343387471</v>
      </c>
      <c r="H996" s="233">
        <v>38</v>
      </c>
      <c r="I996" s="235">
        <v>11.2</v>
      </c>
      <c r="J996" s="235">
        <v>37</v>
      </c>
      <c r="K996" s="295">
        <v>3</v>
      </c>
      <c r="L996" s="295">
        <v>28</v>
      </c>
      <c r="M996" s="235" t="s">
        <v>93</v>
      </c>
      <c r="N996" s="235">
        <v>50</v>
      </c>
      <c r="O996" s="295">
        <f t="shared" si="462"/>
        <v>87</v>
      </c>
      <c r="P996" s="290" t="s">
        <v>157</v>
      </c>
      <c r="Q996" s="290"/>
      <c r="R996" s="236">
        <v>3</v>
      </c>
      <c r="S996" s="285">
        <v>0.76</v>
      </c>
      <c r="T996" s="388" t="s">
        <v>141</v>
      </c>
      <c r="Y996" s="292">
        <v>0.79</v>
      </c>
      <c r="Z996" s="301" t="s">
        <v>141</v>
      </c>
      <c r="AA996" s="233"/>
      <c r="AB996" s="232"/>
      <c r="AC996" s="232"/>
      <c r="AD996" s="232"/>
      <c r="AE996" s="136"/>
      <c r="AF996" s="239">
        <f t="shared" si="442"/>
        <v>3.912023005428146</v>
      </c>
      <c r="AG996" s="239">
        <f t="shared" si="443"/>
        <v>4.4659081186545837</v>
      </c>
      <c r="AH996" s="240"/>
      <c r="AI996" s="240"/>
      <c r="AK996" s="265">
        <f t="shared" si="444"/>
        <v>150</v>
      </c>
      <c r="AL996" s="286">
        <f t="shared" si="445"/>
        <v>187</v>
      </c>
      <c r="AM996" s="239">
        <f t="shared" si="446"/>
        <v>5.0106352940962555</v>
      </c>
      <c r="AN996" s="239">
        <f t="shared" si="447"/>
        <v>5.2311086168545868</v>
      </c>
      <c r="AO996" s="240"/>
      <c r="AP996" s="240"/>
      <c r="AR996" s="286">
        <f t="shared" si="464"/>
        <v>108.29063519026205</v>
      </c>
      <c r="AS996" s="286">
        <f t="shared" si="465"/>
        <v>133.27715336144846</v>
      </c>
      <c r="AT996" s="239">
        <f t="shared" si="466"/>
        <v>4.684818679264068</v>
      </c>
      <c r="AU996" s="239">
        <f t="shared" si="467"/>
        <v>4.8924308198579709</v>
      </c>
      <c r="AX996" s="385"/>
      <c r="AY996" s="385"/>
      <c r="AZ996" s="385"/>
      <c r="BA996" s="265"/>
      <c r="BB996" s="239"/>
      <c r="BC996" s="239"/>
      <c r="BD996" s="240"/>
      <c r="BE996" s="240"/>
      <c r="BF996" s="136"/>
      <c r="BG996" s="136"/>
      <c r="BH996" s="136"/>
      <c r="BI996" s="136"/>
    </row>
    <row r="997" spans="1:61" x14ac:dyDescent="0.2">
      <c r="A997" s="232" t="s">
        <v>89</v>
      </c>
      <c r="B997" s="232" t="s">
        <v>260</v>
      </c>
      <c r="C997" s="445" t="s">
        <v>341</v>
      </c>
      <c r="D997" s="445" t="s">
        <v>303</v>
      </c>
      <c r="E997" s="235">
        <v>5.0999999999999996</v>
      </c>
      <c r="F997" s="769">
        <v>3.9950000000000001</v>
      </c>
      <c r="G997" s="769">
        <f t="shared" si="463"/>
        <v>2.3172853828306264</v>
      </c>
      <c r="H997" s="233">
        <v>9</v>
      </c>
      <c r="I997" s="235">
        <v>4.7</v>
      </c>
      <c r="J997" s="235">
        <v>26</v>
      </c>
      <c r="K997" s="295">
        <v>3</v>
      </c>
      <c r="L997" s="295">
        <v>14</v>
      </c>
      <c r="M997" s="235" t="s">
        <v>93</v>
      </c>
      <c r="N997" s="235">
        <v>50</v>
      </c>
      <c r="O997" s="295">
        <f t="shared" si="462"/>
        <v>76</v>
      </c>
      <c r="P997" s="290" t="s">
        <v>157</v>
      </c>
      <c r="Q997" s="290"/>
      <c r="R997" s="236">
        <v>3</v>
      </c>
      <c r="S997" s="285">
        <v>0.76</v>
      </c>
      <c r="T997" s="388" t="s">
        <v>141</v>
      </c>
      <c r="Y997" s="292">
        <v>0.79</v>
      </c>
      <c r="Z997" s="301" t="s">
        <v>141</v>
      </c>
      <c r="AA997" s="233"/>
      <c r="AB997" s="232"/>
      <c r="AC997" s="232"/>
      <c r="AD997" s="232"/>
      <c r="AE997" s="136"/>
      <c r="AF997" s="239">
        <f t="shared" si="442"/>
        <v>3.912023005428146</v>
      </c>
      <c r="AG997" s="239">
        <f t="shared" si="443"/>
        <v>4.3307333402863311</v>
      </c>
      <c r="AH997" s="240"/>
      <c r="AI997" s="240"/>
      <c r="AK997" s="265">
        <f t="shared" si="444"/>
        <v>150</v>
      </c>
      <c r="AL997" s="286">
        <f t="shared" si="445"/>
        <v>176</v>
      </c>
      <c r="AM997" s="239">
        <f t="shared" si="446"/>
        <v>5.0106352940962555</v>
      </c>
      <c r="AN997" s="239">
        <f t="shared" si="447"/>
        <v>5.1704839950381514</v>
      </c>
      <c r="AO997" s="240"/>
      <c r="AP997" s="240"/>
      <c r="AR997" s="286">
        <f t="shared" si="464"/>
        <v>141.59387490130953</v>
      </c>
      <c r="AS997" s="286">
        <f t="shared" si="465"/>
        <v>165.75902614999512</v>
      </c>
      <c r="AT997" s="239">
        <f t="shared" si="466"/>
        <v>4.9529629239773527</v>
      </c>
      <c r="AU997" s="239">
        <f t="shared" si="467"/>
        <v>5.1105350839935024</v>
      </c>
      <c r="AX997" s="385"/>
      <c r="AY997" s="385"/>
      <c r="AZ997" s="385"/>
      <c r="BA997" s="265"/>
      <c r="BB997" s="239"/>
      <c r="BC997" s="239"/>
      <c r="BD997" s="240"/>
      <c r="BE997" s="240"/>
      <c r="BF997" s="136"/>
      <c r="BG997" s="136"/>
      <c r="BH997" s="136"/>
      <c r="BI997" s="136"/>
    </row>
    <row r="998" spans="1:61" x14ac:dyDescent="0.2">
      <c r="A998" s="232" t="s">
        <v>89</v>
      </c>
      <c r="B998" s="232" t="s">
        <v>260</v>
      </c>
      <c r="C998" s="445" t="s">
        <v>341</v>
      </c>
      <c r="D998" s="445" t="s">
        <v>303</v>
      </c>
      <c r="E998" s="235">
        <v>5.2</v>
      </c>
      <c r="F998" s="769">
        <v>17.408000000000001</v>
      </c>
      <c r="G998" s="769">
        <f t="shared" si="463"/>
        <v>10.097447795823667</v>
      </c>
      <c r="I998" s="235">
        <v>29.7</v>
      </c>
      <c r="J998" s="235">
        <v>155</v>
      </c>
      <c r="K998" s="295">
        <v>3</v>
      </c>
      <c r="L998" s="295">
        <v>4</v>
      </c>
      <c r="M998" s="235" t="s">
        <v>93</v>
      </c>
      <c r="N998" s="235">
        <v>424</v>
      </c>
      <c r="O998" s="295">
        <f t="shared" si="462"/>
        <v>579</v>
      </c>
      <c r="P998" s="290" t="s">
        <v>157</v>
      </c>
      <c r="Q998" s="290"/>
      <c r="R998" s="236">
        <v>3</v>
      </c>
      <c r="S998" s="285">
        <v>0.76</v>
      </c>
      <c r="T998" s="388" t="s">
        <v>141</v>
      </c>
      <c r="Y998" s="292">
        <v>0.79</v>
      </c>
      <c r="Z998" s="301" t="s">
        <v>141</v>
      </c>
      <c r="AA998" s="233"/>
      <c r="AB998" s="232"/>
      <c r="AC998" s="232"/>
      <c r="AD998" s="232"/>
      <c r="AE998" s="136"/>
      <c r="AF998" s="239">
        <f t="shared" si="442"/>
        <v>6.0497334552319577</v>
      </c>
      <c r="AG998" s="239">
        <f t="shared" si="443"/>
        <v>6.3613024775729956</v>
      </c>
      <c r="AH998" s="240"/>
      <c r="AI998" s="240"/>
      <c r="AK998" s="265">
        <f t="shared" si="444"/>
        <v>1272</v>
      </c>
      <c r="AL998" s="286">
        <f t="shared" si="445"/>
        <v>1427</v>
      </c>
      <c r="AM998" s="239">
        <f t="shared" si="446"/>
        <v>7.1483457439000677</v>
      </c>
      <c r="AN998" s="239">
        <f t="shared" si="447"/>
        <v>7.2633296174768365</v>
      </c>
      <c r="AO998" s="240"/>
      <c r="AP998" s="240"/>
      <c r="AR998" s="286">
        <f t="shared" si="464"/>
        <v>309.14909042462438</v>
      </c>
      <c r="AS998" s="286">
        <f t="shared" si="465"/>
        <v>327.9860670917015</v>
      </c>
      <c r="AT998" s="239">
        <f t="shared" si="466"/>
        <v>5.7338236538188632</v>
      </c>
      <c r="AU998" s="239">
        <f t="shared" si="467"/>
        <v>5.7929711291029529</v>
      </c>
      <c r="AX998" s="385"/>
      <c r="AY998" s="385"/>
      <c r="AZ998" s="385"/>
      <c r="BA998" s="265"/>
      <c r="BB998" s="239"/>
      <c r="BC998" s="239"/>
      <c r="BD998" s="240"/>
      <c r="BE998" s="240"/>
      <c r="BF998" s="136"/>
      <c r="BG998" s="136"/>
      <c r="BH998" s="136"/>
      <c r="BI998" s="136"/>
    </row>
    <row r="999" spans="1:61" x14ac:dyDescent="0.2">
      <c r="A999" s="232" t="s">
        <v>89</v>
      </c>
      <c r="B999" s="232" t="s">
        <v>260</v>
      </c>
      <c r="C999" s="445" t="s">
        <v>341</v>
      </c>
      <c r="D999" s="445" t="s">
        <v>303</v>
      </c>
      <c r="E999" s="235">
        <v>5.4</v>
      </c>
      <c r="F999" s="769">
        <v>1.4789999999999999</v>
      </c>
      <c r="G999" s="769">
        <f t="shared" si="463"/>
        <v>0.85788863109048719</v>
      </c>
      <c r="H999" s="233">
        <v>51</v>
      </c>
      <c r="I999" s="235">
        <v>22.6</v>
      </c>
      <c r="J999" s="235">
        <v>53</v>
      </c>
      <c r="K999" s="295">
        <v>3</v>
      </c>
      <c r="L999" s="295">
        <v>14</v>
      </c>
      <c r="M999" s="235" t="s">
        <v>93</v>
      </c>
      <c r="N999" s="235">
        <v>38</v>
      </c>
      <c r="O999" s="295">
        <f t="shared" si="462"/>
        <v>91</v>
      </c>
      <c r="P999" s="290" t="s">
        <v>157</v>
      </c>
      <c r="Q999" s="290"/>
      <c r="R999" s="236">
        <v>3</v>
      </c>
      <c r="S999" s="285">
        <v>0.76</v>
      </c>
      <c r="T999" s="388" t="s">
        <v>141</v>
      </c>
      <c r="Y999" s="292">
        <v>0.79</v>
      </c>
      <c r="Z999" s="301" t="s">
        <v>141</v>
      </c>
      <c r="AA999" s="233"/>
      <c r="AB999" s="232"/>
      <c r="AC999" s="232"/>
      <c r="AD999" s="232"/>
      <c r="AE999" s="136"/>
      <c r="AF999" s="239">
        <f t="shared" si="442"/>
        <v>3.6375861597263857</v>
      </c>
      <c r="AG999" s="239">
        <f t="shared" si="443"/>
        <v>4.5108595065168497</v>
      </c>
      <c r="AH999" s="240"/>
      <c r="AI999" s="240"/>
      <c r="AK999" s="265">
        <f t="shared" si="444"/>
        <v>114</v>
      </c>
      <c r="AL999" s="286">
        <f t="shared" si="445"/>
        <v>167</v>
      </c>
      <c r="AM999" s="239">
        <f t="shared" si="446"/>
        <v>4.7361984483944957</v>
      </c>
      <c r="AN999" s="239">
        <f t="shared" si="447"/>
        <v>5.1179938124167554</v>
      </c>
      <c r="AO999" s="240"/>
      <c r="AP999" s="240"/>
      <c r="AR999" s="286">
        <f t="shared" si="464"/>
        <v>62.630826491913389</v>
      </c>
      <c r="AS999" s="286">
        <f t="shared" si="465"/>
        <v>89.604949167774279</v>
      </c>
      <c r="AT999" s="239">
        <f t="shared" si="466"/>
        <v>4.1372575928723059</v>
      </c>
      <c r="AU999" s="239">
        <f t="shared" si="467"/>
        <v>4.4954105547029002</v>
      </c>
      <c r="AX999" s="385"/>
      <c r="AY999" s="385"/>
      <c r="AZ999" s="385"/>
      <c r="BA999" s="265"/>
      <c r="BB999" s="239"/>
      <c r="BC999" s="239"/>
      <c r="BD999" s="240"/>
      <c r="BE999" s="240"/>
      <c r="BF999" s="136"/>
      <c r="BG999" s="136"/>
      <c r="BH999" s="136"/>
      <c r="BI999" s="136"/>
    </row>
    <row r="1000" spans="1:61" x14ac:dyDescent="0.2">
      <c r="A1000" s="232" t="s">
        <v>89</v>
      </c>
      <c r="B1000" s="232" t="s">
        <v>260</v>
      </c>
      <c r="C1000" s="445" t="s">
        <v>341</v>
      </c>
      <c r="D1000" s="445" t="s">
        <v>303</v>
      </c>
      <c r="E1000" s="235">
        <v>5.7</v>
      </c>
      <c r="F1000" s="769">
        <v>5.9329999999999998</v>
      </c>
      <c r="G1000" s="769">
        <f t="shared" si="463"/>
        <v>3.441415313225058</v>
      </c>
      <c r="I1000" s="235">
        <v>21.1</v>
      </c>
      <c r="J1000" s="235">
        <v>76</v>
      </c>
      <c r="K1000" s="295">
        <v>3</v>
      </c>
      <c r="L1000" s="295">
        <v>7</v>
      </c>
      <c r="M1000" s="235" t="s">
        <v>93</v>
      </c>
      <c r="N1000" s="235">
        <v>206</v>
      </c>
      <c r="O1000" s="295">
        <f t="shared" si="462"/>
        <v>282</v>
      </c>
      <c r="P1000" s="290" t="s">
        <v>157</v>
      </c>
      <c r="Q1000" s="290"/>
      <c r="R1000" s="236">
        <v>3</v>
      </c>
      <c r="S1000" s="285">
        <v>0.76</v>
      </c>
      <c r="T1000" s="388" t="s">
        <v>141</v>
      </c>
      <c r="Y1000" s="292">
        <v>0.79</v>
      </c>
      <c r="Z1000" s="301" t="s">
        <v>141</v>
      </c>
      <c r="AA1000" s="233"/>
      <c r="AB1000" s="232"/>
      <c r="AC1000" s="232"/>
      <c r="AD1000" s="232"/>
      <c r="AE1000" s="136"/>
      <c r="AF1000" s="239">
        <f t="shared" si="442"/>
        <v>5.3278761687895813</v>
      </c>
      <c r="AG1000" s="239">
        <f t="shared" si="443"/>
        <v>5.6419070709381138</v>
      </c>
      <c r="AH1000" s="240"/>
      <c r="AI1000" s="240"/>
      <c r="AK1000" s="265">
        <f t="shared" si="444"/>
        <v>618</v>
      </c>
      <c r="AL1000" s="286">
        <f t="shared" si="445"/>
        <v>694</v>
      </c>
      <c r="AM1000" s="239">
        <f t="shared" si="446"/>
        <v>6.4264884574576904</v>
      </c>
      <c r="AN1000" s="239">
        <f t="shared" si="447"/>
        <v>6.5424719605068047</v>
      </c>
      <c r="AO1000" s="240"/>
      <c r="AP1000" s="240"/>
      <c r="AR1000" s="286">
        <f t="shared" si="464"/>
        <v>258.16840837554827</v>
      </c>
      <c r="AS1000" s="286">
        <f t="shared" si="465"/>
        <v>280.09812148956109</v>
      </c>
      <c r="AT1000" s="239">
        <f t="shared" si="466"/>
        <v>5.5536121176175026</v>
      </c>
      <c r="AU1000" s="239">
        <f t="shared" si="467"/>
        <v>5.6351399756729244</v>
      </c>
      <c r="AX1000" s="385"/>
      <c r="AY1000" s="385"/>
      <c r="AZ1000" s="385"/>
      <c r="BA1000" s="265"/>
      <c r="BB1000" s="239"/>
      <c r="BC1000" s="239"/>
      <c r="BD1000" s="240"/>
      <c r="BE1000" s="240"/>
      <c r="BF1000" s="136"/>
      <c r="BG1000" s="136"/>
      <c r="BH1000" s="136"/>
      <c r="BI1000" s="136"/>
    </row>
    <row r="1001" spans="1:61" x14ac:dyDescent="0.2">
      <c r="A1001" s="232" t="s">
        <v>89</v>
      </c>
      <c r="B1001" s="232" t="s">
        <v>260</v>
      </c>
      <c r="C1001" s="445" t="s">
        <v>341</v>
      </c>
      <c r="D1001" s="445" t="s">
        <v>303</v>
      </c>
      <c r="E1001" s="235">
        <v>6.4</v>
      </c>
      <c r="F1001" s="769">
        <v>7.48</v>
      </c>
      <c r="G1001" s="769">
        <f t="shared" si="463"/>
        <v>4.338747099767982</v>
      </c>
      <c r="H1001" s="233">
        <v>21</v>
      </c>
      <c r="I1001" s="235">
        <v>23.4</v>
      </c>
      <c r="J1001" s="235">
        <v>99</v>
      </c>
      <c r="K1001" s="295">
        <v>3</v>
      </c>
      <c r="L1001" s="295">
        <v>4</v>
      </c>
      <c r="M1001" s="235" t="s">
        <v>93</v>
      </c>
      <c r="N1001" s="235">
        <v>75</v>
      </c>
      <c r="O1001" s="295">
        <f t="shared" si="462"/>
        <v>174</v>
      </c>
      <c r="P1001" s="290" t="s">
        <v>157</v>
      </c>
      <c r="Q1001" s="290"/>
      <c r="R1001" s="236">
        <v>3</v>
      </c>
      <c r="S1001" s="285">
        <v>0.76</v>
      </c>
      <c r="T1001" s="388" t="s">
        <v>141</v>
      </c>
      <c r="Y1001" s="292">
        <v>0.79</v>
      </c>
      <c r="Z1001" s="301" t="s">
        <v>141</v>
      </c>
      <c r="AA1001" s="233"/>
      <c r="AB1001" s="232"/>
      <c r="AC1001" s="232"/>
      <c r="AD1001" s="232"/>
      <c r="AE1001" s="136"/>
      <c r="AF1001" s="239">
        <f t="shared" ref="AF1001:AF1064" si="468">LN(N1001)</f>
        <v>4.3174881135363101</v>
      </c>
      <c r="AG1001" s="239">
        <f t="shared" ref="AG1001:AG1064" si="469">LN(O1001)</f>
        <v>5.1590552992145291</v>
      </c>
      <c r="AH1001" s="240"/>
      <c r="AI1001" s="240"/>
      <c r="AK1001" s="265">
        <f t="shared" ref="AK1001:AK1064" si="470">N1001*R1001</f>
        <v>225</v>
      </c>
      <c r="AL1001" s="286">
        <f t="shared" ref="AL1001:AL1064" si="471">AK1001+J1001</f>
        <v>324</v>
      </c>
      <c r="AM1001" s="239">
        <f t="shared" ref="AM1001:AM1064" si="472">LN(AK1001)</f>
        <v>5.4161004022044201</v>
      </c>
      <c r="AN1001" s="239">
        <f t="shared" ref="AN1001:AN1064" si="473">LN(AL1001)</f>
        <v>5.780743515792329</v>
      </c>
      <c r="AO1001" s="240"/>
      <c r="AP1001" s="240"/>
      <c r="AR1001" s="286">
        <f t="shared" si="464"/>
        <v>76.883425097016612</v>
      </c>
      <c r="AS1001" s="286">
        <f t="shared" si="465"/>
        <v>106.11741695483755</v>
      </c>
      <c r="AT1001" s="239">
        <f t="shared" si="466"/>
        <v>4.3422903148795546</v>
      </c>
      <c r="AU1001" s="239">
        <f t="shared" si="467"/>
        <v>4.664546188178325</v>
      </c>
      <c r="AX1001" s="385"/>
      <c r="AY1001" s="385"/>
      <c r="AZ1001" s="385"/>
      <c r="BA1001" s="265"/>
      <c r="BB1001" s="239"/>
      <c r="BC1001" s="239"/>
      <c r="BD1001" s="240"/>
      <c r="BE1001" s="240"/>
      <c r="BF1001" s="136"/>
      <c r="BG1001" s="136"/>
      <c r="BH1001" s="136"/>
      <c r="BI1001" s="136"/>
    </row>
    <row r="1002" spans="1:61" x14ac:dyDescent="0.2">
      <c r="A1002" s="232" t="s">
        <v>89</v>
      </c>
      <c r="B1002" s="232" t="s">
        <v>260</v>
      </c>
      <c r="C1002" s="445" t="s">
        <v>341</v>
      </c>
      <c r="D1002" s="445" t="s">
        <v>303</v>
      </c>
      <c r="E1002" s="235">
        <v>6.8</v>
      </c>
      <c r="F1002" s="769">
        <v>1.6659999999999999</v>
      </c>
      <c r="G1002" s="769">
        <f t="shared" si="463"/>
        <v>0.96635730858468671</v>
      </c>
      <c r="H1002" s="233">
        <v>15</v>
      </c>
      <c r="I1002" s="235">
        <v>8.9</v>
      </c>
      <c r="J1002" s="235">
        <v>54</v>
      </c>
      <c r="K1002" s="295">
        <v>3</v>
      </c>
      <c r="L1002" s="295">
        <v>4</v>
      </c>
      <c r="M1002" s="235" t="s">
        <v>93</v>
      </c>
      <c r="N1002" s="235">
        <v>150</v>
      </c>
      <c r="O1002" s="295">
        <f t="shared" si="462"/>
        <v>204</v>
      </c>
      <c r="P1002" s="290" t="s">
        <v>157</v>
      </c>
      <c r="Q1002" s="290"/>
      <c r="R1002" s="236">
        <v>3</v>
      </c>
      <c r="S1002" s="285">
        <v>0.76</v>
      </c>
      <c r="T1002" s="388" t="s">
        <v>141</v>
      </c>
      <c r="Y1002" s="292">
        <v>0.79</v>
      </c>
      <c r="Z1002" s="301" t="s">
        <v>141</v>
      </c>
      <c r="AA1002" s="233"/>
      <c r="AB1002" s="232"/>
      <c r="AC1002" s="232"/>
      <c r="AD1002" s="232"/>
      <c r="AE1002" s="136"/>
      <c r="AF1002" s="239">
        <f t="shared" si="468"/>
        <v>5.0106352940962555</v>
      </c>
      <c r="AG1002" s="239">
        <f t="shared" si="469"/>
        <v>5.3181199938442161</v>
      </c>
      <c r="AH1002" s="240"/>
      <c r="AI1002" s="240"/>
      <c r="AK1002" s="265">
        <f t="shared" si="470"/>
        <v>450</v>
      </c>
      <c r="AL1002" s="286">
        <f t="shared" si="471"/>
        <v>504</v>
      </c>
      <c r="AM1002" s="239">
        <f t="shared" si="472"/>
        <v>6.1092475827643655</v>
      </c>
      <c r="AN1002" s="239">
        <f t="shared" si="473"/>
        <v>6.2225762680713688</v>
      </c>
      <c r="AO1002" s="240"/>
      <c r="AP1002" s="240"/>
      <c r="AR1002" s="286">
        <f t="shared" si="464"/>
        <v>243.7396643111646</v>
      </c>
      <c r="AS1002" s="286">
        <f t="shared" si="465"/>
        <v>266.46055603487866</v>
      </c>
      <c r="AT1002" s="239">
        <f t="shared" si="466"/>
        <v>5.4961007061529399</v>
      </c>
      <c r="AU1002" s="239">
        <f t="shared" si="467"/>
        <v>5.5852262252779132</v>
      </c>
      <c r="AX1002" s="385"/>
      <c r="AY1002" s="385"/>
      <c r="AZ1002" s="385"/>
      <c r="BA1002" s="265"/>
      <c r="BB1002" s="239"/>
      <c r="BC1002" s="239"/>
      <c r="BD1002" s="240"/>
      <c r="BE1002" s="240"/>
      <c r="BF1002" s="136"/>
      <c r="BG1002" s="136"/>
      <c r="BH1002" s="136"/>
      <c r="BI1002" s="136"/>
    </row>
    <row r="1003" spans="1:61" x14ac:dyDescent="0.2">
      <c r="A1003" s="232" t="s">
        <v>89</v>
      </c>
      <c r="B1003" s="232" t="s">
        <v>260</v>
      </c>
      <c r="C1003" s="445" t="s">
        <v>341</v>
      </c>
      <c r="D1003" s="445" t="s">
        <v>303</v>
      </c>
      <c r="E1003" s="235">
        <v>7.4</v>
      </c>
      <c r="F1003" s="769">
        <v>2.2000000000000002</v>
      </c>
      <c r="G1003" s="441">
        <f t="shared" si="463"/>
        <v>1.2761020881670535</v>
      </c>
      <c r="H1003" s="233">
        <v>27</v>
      </c>
      <c r="I1003" s="235">
        <v>20</v>
      </c>
      <c r="J1003" s="235">
        <v>51</v>
      </c>
      <c r="K1003" s="295">
        <v>3</v>
      </c>
      <c r="L1003" s="295">
        <v>4</v>
      </c>
      <c r="M1003" s="235" t="s">
        <v>93</v>
      </c>
      <c r="N1003" s="235">
        <v>300</v>
      </c>
      <c r="O1003" s="295">
        <f t="shared" si="462"/>
        <v>351</v>
      </c>
      <c r="P1003" s="290" t="s">
        <v>157</v>
      </c>
      <c r="Q1003" s="290"/>
      <c r="R1003" s="236">
        <v>3</v>
      </c>
      <c r="S1003" s="285">
        <v>0.76</v>
      </c>
      <c r="T1003" s="388" t="s">
        <v>141</v>
      </c>
      <c r="Y1003" s="292">
        <v>0.79</v>
      </c>
      <c r="Z1003" s="301" t="s">
        <v>141</v>
      </c>
      <c r="AA1003" s="233"/>
      <c r="AB1003" s="232"/>
      <c r="AC1003" s="232"/>
      <c r="AD1003" s="232"/>
      <c r="AE1003" s="136"/>
      <c r="AF1003" s="239">
        <f t="shared" si="468"/>
        <v>5.7037824746562009</v>
      </c>
      <c r="AG1003" s="239">
        <f t="shared" si="469"/>
        <v>5.8607862234658654</v>
      </c>
      <c r="AH1003" s="240"/>
      <c r="AI1003" s="240"/>
      <c r="AK1003" s="265">
        <f t="shared" si="470"/>
        <v>900</v>
      </c>
      <c r="AL1003" s="286">
        <f t="shared" si="471"/>
        <v>951</v>
      </c>
      <c r="AM1003" s="239">
        <f t="shared" si="472"/>
        <v>6.8023947633243109</v>
      </c>
      <c r="AN1003" s="239">
        <f t="shared" si="473"/>
        <v>6.8575140625453903</v>
      </c>
      <c r="AO1003" s="240"/>
      <c r="AP1003" s="240"/>
      <c r="AR1003" s="286">
        <f t="shared" si="464"/>
        <v>509.12230941521619</v>
      </c>
      <c r="AS1003" s="286">
        <f t="shared" si="465"/>
        <v>526.00944386131175</v>
      </c>
      <c r="AT1003" s="239">
        <f t="shared" si="466"/>
        <v>6.2326882812312459</v>
      </c>
      <c r="AU1003" s="239">
        <f t="shared" si="467"/>
        <v>6.2653191666854946</v>
      </c>
      <c r="AX1003" s="385"/>
      <c r="AY1003" s="385"/>
      <c r="AZ1003" s="385"/>
      <c r="BA1003" s="265"/>
      <c r="BB1003" s="239"/>
      <c r="BC1003" s="239"/>
      <c r="BD1003" s="240"/>
      <c r="BE1003" s="240"/>
      <c r="BF1003" s="136"/>
      <c r="BG1003" s="136"/>
      <c r="BH1003" s="136"/>
      <c r="BI1003" s="136"/>
    </row>
    <row r="1004" spans="1:61" x14ac:dyDescent="0.2">
      <c r="A1004" s="232" t="s">
        <v>89</v>
      </c>
      <c r="B1004" s="232" t="s">
        <v>260</v>
      </c>
      <c r="C1004" s="445" t="s">
        <v>341</v>
      </c>
      <c r="D1004" s="445" t="s">
        <v>303</v>
      </c>
      <c r="E1004" s="235">
        <v>7.4</v>
      </c>
      <c r="F1004" s="769">
        <v>4.5</v>
      </c>
      <c r="G1004" s="769">
        <f t="shared" si="463"/>
        <v>2.6102088167053363</v>
      </c>
      <c r="H1004" s="233">
        <v>46</v>
      </c>
      <c r="I1004" s="235">
        <v>36.299999999999997</v>
      </c>
      <c r="J1004" s="235">
        <v>51</v>
      </c>
      <c r="K1004" s="295">
        <v>3</v>
      </c>
      <c r="L1004" s="295">
        <v>23</v>
      </c>
      <c r="M1004" s="235" t="s">
        <v>93</v>
      </c>
      <c r="N1004" s="235">
        <v>150</v>
      </c>
      <c r="O1004" s="295">
        <f t="shared" si="462"/>
        <v>201</v>
      </c>
      <c r="P1004" s="290" t="s">
        <v>157</v>
      </c>
      <c r="Q1004" s="290"/>
      <c r="R1004" s="236">
        <v>3</v>
      </c>
      <c r="S1004" s="285">
        <v>0.76</v>
      </c>
      <c r="T1004" s="388" t="s">
        <v>141</v>
      </c>
      <c r="Y1004" s="292">
        <v>0.79</v>
      </c>
      <c r="Z1004" s="301" t="s">
        <v>141</v>
      </c>
      <c r="AA1004" s="233"/>
      <c r="AB1004" s="232"/>
      <c r="AC1004" s="232"/>
      <c r="AD1004" s="232"/>
      <c r="AE1004" s="136"/>
      <c r="AF1004" s="239">
        <f t="shared" si="468"/>
        <v>5.0106352940962555</v>
      </c>
      <c r="AG1004" s="239">
        <f t="shared" si="469"/>
        <v>5.3033049080590757</v>
      </c>
      <c r="AH1004" s="240"/>
      <c r="AI1004" s="240"/>
      <c r="AK1004" s="265">
        <f t="shared" si="470"/>
        <v>450</v>
      </c>
      <c r="AL1004" s="286">
        <f t="shared" si="471"/>
        <v>501</v>
      </c>
      <c r="AM1004" s="239">
        <f t="shared" si="472"/>
        <v>6.1092475827643655</v>
      </c>
      <c r="AN1004" s="239">
        <f t="shared" si="473"/>
        <v>6.2166061010848646</v>
      </c>
      <c r="AO1004" s="240"/>
      <c r="AP1004" s="240"/>
      <c r="AR1004" s="286">
        <f t="shared" si="464"/>
        <v>254.5611547076081</v>
      </c>
      <c r="AS1004" s="286">
        <f t="shared" si="465"/>
        <v>277.10907610359322</v>
      </c>
      <c r="AT1004" s="239">
        <f t="shared" si="466"/>
        <v>5.5395411006713013</v>
      </c>
      <c r="AU1004" s="239">
        <f t="shared" si="467"/>
        <v>5.6244112052249688</v>
      </c>
      <c r="AX1004" s="385"/>
      <c r="AY1004" s="385"/>
      <c r="AZ1004" s="385"/>
      <c r="BA1004" s="265"/>
      <c r="BB1004" s="239"/>
      <c r="BC1004" s="239"/>
      <c r="BD1004" s="240"/>
      <c r="BE1004" s="240"/>
      <c r="BF1004" s="136"/>
      <c r="BG1004" s="136"/>
      <c r="BH1004" s="136"/>
      <c r="BI1004" s="136"/>
    </row>
    <row r="1005" spans="1:61" x14ac:dyDescent="0.2">
      <c r="A1005" s="232" t="s">
        <v>89</v>
      </c>
      <c r="B1005" s="232" t="s">
        <v>260</v>
      </c>
      <c r="C1005" s="445" t="s">
        <v>341</v>
      </c>
      <c r="D1005" s="445" t="s">
        <v>303</v>
      </c>
      <c r="E1005" s="235">
        <v>7.5</v>
      </c>
      <c r="F1005" s="769">
        <v>2.2000000000000002</v>
      </c>
      <c r="G1005" s="769">
        <f t="shared" si="463"/>
        <v>1.2761020881670535</v>
      </c>
      <c r="H1005" s="233">
        <v>26</v>
      </c>
      <c r="I1005" s="235">
        <v>20.100000000000001</v>
      </c>
      <c r="J1005" s="235">
        <v>80</v>
      </c>
      <c r="K1005" s="295">
        <v>3</v>
      </c>
      <c r="L1005" s="295">
        <v>4</v>
      </c>
      <c r="M1005" s="235" t="s">
        <v>93</v>
      </c>
      <c r="N1005" s="235">
        <v>300</v>
      </c>
      <c r="O1005" s="295">
        <f t="shared" si="462"/>
        <v>380</v>
      </c>
      <c r="P1005" s="290" t="s">
        <v>157</v>
      </c>
      <c r="Q1005" s="290"/>
      <c r="R1005" s="236">
        <v>3</v>
      </c>
      <c r="S1005" s="285">
        <v>0.76</v>
      </c>
      <c r="T1005" s="388" t="s">
        <v>141</v>
      </c>
      <c r="Y1005" s="292">
        <v>0.79</v>
      </c>
      <c r="Z1005" s="301" t="s">
        <v>141</v>
      </c>
      <c r="AA1005" s="233"/>
      <c r="AB1005" s="232"/>
      <c r="AC1005" s="232"/>
      <c r="AD1005" s="232"/>
      <c r="AE1005" s="136"/>
      <c r="AF1005" s="239">
        <f t="shared" si="468"/>
        <v>5.7037824746562009</v>
      </c>
      <c r="AG1005" s="239">
        <f t="shared" si="469"/>
        <v>5.9401712527204316</v>
      </c>
      <c r="AH1005" s="240"/>
      <c r="AI1005" s="240"/>
      <c r="AK1005" s="265">
        <f t="shared" si="470"/>
        <v>900</v>
      </c>
      <c r="AL1005" s="286">
        <f t="shared" si="471"/>
        <v>980</v>
      </c>
      <c r="AM1005" s="239">
        <f t="shared" si="472"/>
        <v>6.8023947633243109</v>
      </c>
      <c r="AN1005" s="239">
        <f t="shared" si="473"/>
        <v>6.8875525716646173</v>
      </c>
      <c r="AO1005" s="240"/>
      <c r="AP1005" s="240"/>
      <c r="AR1005" s="286">
        <f t="shared" si="464"/>
        <v>361.59887587108028</v>
      </c>
      <c r="AS1005" s="286">
        <f t="shared" si="465"/>
        <v>379.82054237517104</v>
      </c>
      <c r="AT1005" s="239">
        <f t="shared" si="466"/>
        <v>5.8905355197495837</v>
      </c>
      <c r="AU1005" s="239">
        <f t="shared" si="467"/>
        <v>5.9396988842645726</v>
      </c>
      <c r="AX1005" s="385"/>
      <c r="AY1005" s="385"/>
      <c r="AZ1005" s="385"/>
      <c r="BA1005" s="265"/>
      <c r="BB1005" s="239"/>
      <c r="BC1005" s="239"/>
      <c r="BD1005" s="240"/>
      <c r="BE1005" s="240"/>
      <c r="BF1005" s="136"/>
      <c r="BG1005" s="136"/>
      <c r="BH1005" s="136"/>
      <c r="BI1005" s="136"/>
    </row>
    <row r="1006" spans="1:61" x14ac:dyDescent="0.2">
      <c r="A1006" s="232" t="s">
        <v>89</v>
      </c>
      <c r="B1006" s="232" t="s">
        <v>260</v>
      </c>
      <c r="C1006" s="445" t="s">
        <v>341</v>
      </c>
      <c r="D1006" s="445" t="s">
        <v>303</v>
      </c>
      <c r="E1006" s="235">
        <v>7.5</v>
      </c>
      <c r="F1006" s="769">
        <v>0.66</v>
      </c>
      <c r="G1006" s="769">
        <f t="shared" si="463"/>
        <v>0.38283062645011601</v>
      </c>
      <c r="H1006" s="233">
        <v>25</v>
      </c>
      <c r="I1006" s="235">
        <v>16.899999999999999</v>
      </c>
      <c r="J1006" s="235">
        <v>27</v>
      </c>
      <c r="K1006" s="295">
        <v>3</v>
      </c>
      <c r="L1006" s="295">
        <v>10</v>
      </c>
      <c r="M1006" s="235" t="s">
        <v>93</v>
      </c>
      <c r="N1006" s="235">
        <v>75</v>
      </c>
      <c r="O1006" s="295">
        <f t="shared" si="462"/>
        <v>102</v>
      </c>
      <c r="P1006" s="290" t="s">
        <v>157</v>
      </c>
      <c r="Q1006" s="290"/>
      <c r="R1006" s="236">
        <v>3</v>
      </c>
      <c r="S1006" s="285">
        <v>0.76</v>
      </c>
      <c r="T1006" s="388" t="s">
        <v>141</v>
      </c>
      <c r="Y1006" s="292">
        <v>0.79</v>
      </c>
      <c r="Z1006" s="301" t="s">
        <v>141</v>
      </c>
      <c r="AA1006" s="233"/>
      <c r="AB1006" s="232"/>
      <c r="AC1006" s="232"/>
      <c r="AD1006" s="232"/>
      <c r="AE1006" s="136"/>
      <c r="AF1006" s="239">
        <f t="shared" si="468"/>
        <v>4.3174881135363101</v>
      </c>
      <c r="AG1006" s="239">
        <f t="shared" si="469"/>
        <v>4.6249728132842707</v>
      </c>
      <c r="AH1006" s="240"/>
      <c r="AI1006" s="240"/>
      <c r="AK1006" s="265">
        <f t="shared" si="470"/>
        <v>225</v>
      </c>
      <c r="AL1006" s="286">
        <f t="shared" si="471"/>
        <v>252</v>
      </c>
      <c r="AM1006" s="239">
        <f t="shared" si="472"/>
        <v>5.4161004022044201</v>
      </c>
      <c r="AN1006" s="239">
        <f t="shared" si="473"/>
        <v>5.5294290875114234</v>
      </c>
      <c r="AO1006" s="240"/>
      <c r="AP1006" s="240"/>
      <c r="AR1006" s="286">
        <f t="shared" si="464"/>
        <v>206.38541819229459</v>
      </c>
      <c r="AS1006" s="286">
        <f t="shared" si="465"/>
        <v>230.36507136714826</v>
      </c>
      <c r="AT1006" s="239">
        <f t="shared" si="466"/>
        <v>5.3297453828185528</v>
      </c>
      <c r="AU1006" s="239">
        <f t="shared" si="467"/>
        <v>5.4396653173603244</v>
      </c>
      <c r="AX1006" s="385"/>
      <c r="AY1006" s="385"/>
      <c r="AZ1006" s="385"/>
      <c r="BA1006" s="265"/>
      <c r="BB1006" s="239"/>
      <c r="BC1006" s="239"/>
      <c r="BD1006" s="240"/>
      <c r="BE1006" s="240"/>
      <c r="BF1006" s="136"/>
      <c r="BG1006" s="136"/>
      <c r="BH1006" s="136"/>
      <c r="BI1006" s="136"/>
    </row>
    <row r="1007" spans="1:61" x14ac:dyDescent="0.2">
      <c r="A1007" s="275" t="s">
        <v>89</v>
      </c>
      <c r="B1007" s="275" t="s">
        <v>260</v>
      </c>
      <c r="C1007" s="290" t="s">
        <v>341</v>
      </c>
      <c r="D1007" s="290" t="s">
        <v>303</v>
      </c>
      <c r="E1007" s="295">
        <v>4.5999999999999996</v>
      </c>
      <c r="F1007" s="287">
        <f>G1007*1.724</f>
        <v>4.9996</v>
      </c>
      <c r="G1007" s="287">
        <v>2.9</v>
      </c>
      <c r="H1007" s="405"/>
      <c r="I1007" s="295"/>
      <c r="J1007" s="295">
        <v>35</v>
      </c>
      <c r="K1007" s="295">
        <v>3</v>
      </c>
      <c r="L1007" s="295">
        <v>8</v>
      </c>
      <c r="M1007" s="295" t="s">
        <v>104</v>
      </c>
      <c r="N1007" s="295">
        <f>O1007-J1007</f>
        <v>49</v>
      </c>
      <c r="O1007" s="295">
        <v>84</v>
      </c>
      <c r="P1007" s="290" t="s">
        <v>150</v>
      </c>
      <c r="Q1007" s="290"/>
      <c r="R1007" s="285">
        <v>3</v>
      </c>
      <c r="S1007" s="285">
        <v>0.76</v>
      </c>
      <c r="T1007" s="388" t="s">
        <v>141</v>
      </c>
      <c r="U1007" s="285"/>
      <c r="V1007" s="388"/>
      <c r="W1007" s="388"/>
      <c r="X1007" s="388"/>
      <c r="Y1007" s="292">
        <v>0.79</v>
      </c>
      <c r="Z1007" s="301" t="s">
        <v>141</v>
      </c>
      <c r="AA1007" s="405"/>
      <c r="AB1007" s="275"/>
      <c r="AC1007" s="275"/>
      <c r="AD1007" s="275"/>
      <c r="AE1007" s="238"/>
      <c r="AF1007" s="239">
        <f t="shared" si="468"/>
        <v>3.8918202981106265</v>
      </c>
      <c r="AG1007" s="239">
        <f t="shared" si="469"/>
        <v>4.4308167988433134</v>
      </c>
      <c r="AH1007" s="240"/>
      <c r="AI1007" s="240"/>
      <c r="AK1007" s="265">
        <f t="shared" si="470"/>
        <v>147</v>
      </c>
      <c r="AL1007" s="286">
        <f t="shared" si="471"/>
        <v>182</v>
      </c>
      <c r="AM1007" s="239">
        <f t="shared" si="472"/>
        <v>4.990432586778736</v>
      </c>
      <c r="AN1007" s="239">
        <f t="shared" si="473"/>
        <v>5.2040066870767951</v>
      </c>
      <c r="AO1007" s="240"/>
      <c r="AP1007" s="240"/>
      <c r="AR1007" s="286">
        <f t="shared" si="464"/>
        <v>110.70279179063733</v>
      </c>
      <c r="AS1007" s="286">
        <f t="shared" si="465"/>
        <v>135.53488654967163</v>
      </c>
      <c r="AT1007" s="239">
        <f t="shared" si="466"/>
        <v>4.7068490588242051</v>
      </c>
      <c r="AU1007" s="239">
        <f t="shared" si="467"/>
        <v>4.9092290724924803</v>
      </c>
      <c r="AX1007" s="265"/>
      <c r="AY1007" s="265"/>
      <c r="AZ1007" s="265"/>
      <c r="BA1007" s="265"/>
      <c r="BB1007" s="239"/>
      <c r="BC1007" s="239"/>
      <c r="BD1007" s="240"/>
      <c r="BE1007" s="240"/>
      <c r="BF1007" s="136"/>
      <c r="BG1007" s="136"/>
      <c r="BH1007" s="136"/>
      <c r="BI1007" s="136"/>
    </row>
    <row r="1008" spans="1:61" s="165" customFormat="1" x14ac:dyDescent="0.2">
      <c r="A1008" s="156" t="s">
        <v>89</v>
      </c>
      <c r="B1008" s="156" t="s">
        <v>260</v>
      </c>
      <c r="C1008" s="326" t="s">
        <v>341</v>
      </c>
      <c r="D1008" s="326" t="s">
        <v>303</v>
      </c>
      <c r="E1008" s="231">
        <v>6.9</v>
      </c>
      <c r="F1008" s="334">
        <f>G1008*1.724</f>
        <v>5.1719999999999997</v>
      </c>
      <c r="G1008" s="334">
        <v>3</v>
      </c>
      <c r="H1008" s="160">
        <v>27</v>
      </c>
      <c r="I1008" s="761">
        <f>(30+4.4*E1008)*H1008/100+(-34.66+29.72*E1008)*F1008/100</f>
        <v>25.110701760000001</v>
      </c>
      <c r="J1008" s="231">
        <v>82</v>
      </c>
      <c r="K1008" s="231">
        <v>3</v>
      </c>
      <c r="L1008" s="231">
        <v>3</v>
      </c>
      <c r="M1008" s="231" t="s">
        <v>104</v>
      </c>
      <c r="N1008" s="231">
        <f>O1008-J1008</f>
        <v>140</v>
      </c>
      <c r="O1008" s="231">
        <v>222</v>
      </c>
      <c r="P1008" s="326" t="s">
        <v>150</v>
      </c>
      <c r="Q1008" s="326"/>
      <c r="R1008" s="163">
        <v>3</v>
      </c>
      <c r="S1008" s="163">
        <v>0.76</v>
      </c>
      <c r="T1008" s="162" t="s">
        <v>141</v>
      </c>
      <c r="U1008" s="163"/>
      <c r="V1008" s="162"/>
      <c r="W1008" s="162"/>
      <c r="X1008" s="162"/>
      <c r="Y1008" s="328">
        <v>0.79</v>
      </c>
      <c r="Z1008" s="314" t="s">
        <v>141</v>
      </c>
      <c r="AA1008" s="160"/>
      <c r="AB1008" s="156"/>
      <c r="AC1008" s="156"/>
      <c r="AD1008" s="156"/>
      <c r="AF1008" s="166">
        <f t="shared" si="468"/>
        <v>4.9416424226093039</v>
      </c>
      <c r="AG1008" s="166">
        <f t="shared" si="469"/>
        <v>5.4026773818722793</v>
      </c>
      <c r="AH1008" s="169"/>
      <c r="AI1008" s="169"/>
      <c r="AK1008" s="168">
        <f t="shared" si="470"/>
        <v>420</v>
      </c>
      <c r="AL1008" s="337">
        <f t="shared" si="471"/>
        <v>502</v>
      </c>
      <c r="AM1008" s="166">
        <f t="shared" si="472"/>
        <v>6.0402547112774139</v>
      </c>
      <c r="AN1008" s="166">
        <f t="shared" si="473"/>
        <v>6.2186001196917289</v>
      </c>
      <c r="AO1008" s="169"/>
      <c r="AP1008" s="169"/>
      <c r="AR1008" s="337">
        <f t="shared" si="464"/>
        <v>165.6089161743013</v>
      </c>
      <c r="AS1008" s="337">
        <f t="shared" si="465"/>
        <v>190.80257759778553</v>
      </c>
      <c r="AT1008" s="166">
        <f t="shared" si="466"/>
        <v>5.1096290821340045</v>
      </c>
      <c r="AU1008" s="166">
        <f t="shared" si="467"/>
        <v>5.2512392683452909</v>
      </c>
      <c r="AV1008" s="167"/>
      <c r="AW1008" s="167"/>
      <c r="AX1008" s="168"/>
      <c r="AY1008" s="168"/>
      <c r="AZ1008" s="168"/>
      <c r="BA1008" s="168"/>
      <c r="BB1008" s="166"/>
      <c r="BC1008" s="166"/>
      <c r="BD1008" s="169"/>
      <c r="BE1008" s="169"/>
    </row>
    <row r="1009" spans="1:61" s="245" customFormat="1" x14ac:dyDescent="0.2">
      <c r="A1009" s="244" t="s">
        <v>89</v>
      </c>
      <c r="B1009" s="244" t="s">
        <v>260</v>
      </c>
      <c r="C1009" s="244" t="s">
        <v>341</v>
      </c>
      <c r="D1009" s="244" t="s">
        <v>158</v>
      </c>
      <c r="E1009" s="246">
        <v>7.4</v>
      </c>
      <c r="F1009" s="245">
        <v>1</v>
      </c>
      <c r="G1009" s="247">
        <f>F1009/1.724</f>
        <v>0.58004640371229699</v>
      </c>
      <c r="H1009" s="246">
        <v>1</v>
      </c>
      <c r="I1009" s="767">
        <f>(30+4.4*E1009)*H1009/100+(-34.66+29.72*E1009)*F1009/100</f>
        <v>2.4782800000000003</v>
      </c>
      <c r="J1009" s="246">
        <v>43</v>
      </c>
      <c r="K1009" s="248">
        <v>0</v>
      </c>
      <c r="L1009" s="248">
        <v>0.75</v>
      </c>
      <c r="M1009" s="246" t="s">
        <v>104</v>
      </c>
      <c r="N1009" s="248">
        <v>303</v>
      </c>
      <c r="O1009" s="248">
        <f t="shared" ref="O1009:O1041" si="474">N1009+J1009</f>
        <v>346</v>
      </c>
      <c r="P1009" s="459" t="s">
        <v>159</v>
      </c>
      <c r="Q1009" s="459"/>
      <c r="R1009" s="249">
        <v>3</v>
      </c>
      <c r="S1009" s="249">
        <v>0.76</v>
      </c>
      <c r="T1009" s="162" t="s">
        <v>141</v>
      </c>
      <c r="U1009" s="249"/>
      <c r="V1009" s="250"/>
      <c r="W1009" s="250"/>
      <c r="X1009" s="250"/>
      <c r="Y1009" s="506">
        <v>0.77</v>
      </c>
      <c r="Z1009" s="162" t="s">
        <v>141</v>
      </c>
      <c r="AA1009" s="246"/>
      <c r="AB1009" s="244"/>
      <c r="AC1009" s="244"/>
      <c r="AD1009" s="244"/>
      <c r="AF1009" s="247">
        <f t="shared" si="468"/>
        <v>5.7137328055093688</v>
      </c>
      <c r="AG1009" s="247">
        <f t="shared" si="469"/>
        <v>5.8464387750577247</v>
      </c>
      <c r="AH1009" s="252"/>
      <c r="AI1009" s="252"/>
      <c r="AK1009" s="461">
        <f t="shared" si="470"/>
        <v>909</v>
      </c>
      <c r="AL1009" s="511">
        <f t="shared" si="471"/>
        <v>952</v>
      </c>
      <c r="AM1009" s="247">
        <f t="shared" si="472"/>
        <v>6.8123450941774788</v>
      </c>
      <c r="AN1009" s="247">
        <f t="shared" si="473"/>
        <v>6.8585650347913649</v>
      </c>
      <c r="AO1009" s="252"/>
      <c r="AP1009" s="252"/>
      <c r="AR1009" s="511">
        <f t="shared" si="464"/>
        <v>585.41090655436176</v>
      </c>
      <c r="AS1009" s="511">
        <f t="shared" si="465"/>
        <v>609.56407033101516</v>
      </c>
      <c r="AT1009" s="247">
        <f t="shared" si="466"/>
        <v>6.3723140050277944</v>
      </c>
      <c r="AU1009" s="247">
        <f t="shared" si="467"/>
        <v>6.4127440628897112</v>
      </c>
      <c r="AV1009" s="253"/>
      <c r="AW1009" s="253"/>
      <c r="AX1009" s="461">
        <f>GEOMEAN(AR1009)</f>
        <v>585.41090655436176</v>
      </c>
      <c r="AY1009" s="461">
        <f>GEOMEAN(AS1009)</f>
        <v>609.56407033101516</v>
      </c>
      <c r="AZ1009" s="461">
        <f>MIN(AX1009)</f>
        <v>585.41090655436176</v>
      </c>
      <c r="BA1009" s="461">
        <f>MIN(AY1009)</f>
        <v>609.56407033101516</v>
      </c>
      <c r="BB1009" s="247">
        <f>LN(AZ1009)</f>
        <v>6.3723140050277944</v>
      </c>
      <c r="BC1009" s="247">
        <f>LN(BA1009)</f>
        <v>6.4127440628897112</v>
      </c>
      <c r="BD1009" s="252"/>
      <c r="BE1009" s="252"/>
    </row>
    <row r="1010" spans="1:61" x14ac:dyDescent="0.2">
      <c r="A1010" s="232" t="s">
        <v>89</v>
      </c>
      <c r="B1010" s="232" t="s">
        <v>260</v>
      </c>
      <c r="C1010" s="445" t="s">
        <v>341</v>
      </c>
      <c r="D1010" s="445" t="s">
        <v>342</v>
      </c>
      <c r="E1010" s="235">
        <v>3.4</v>
      </c>
      <c r="F1010" s="451">
        <v>4</v>
      </c>
      <c r="G1010" s="769">
        <f>F1010/1.724</f>
        <v>2.3201856148491879</v>
      </c>
      <c r="H1010" s="235">
        <v>12</v>
      </c>
      <c r="I1010" s="760">
        <f>(30+4.4*E1010)*H1010/100+(-34.66+29.72*E1010)*F1010/100</f>
        <v>8.0507200000000001</v>
      </c>
      <c r="J1010" s="235">
        <v>11</v>
      </c>
      <c r="K1010" s="295">
        <v>0</v>
      </c>
      <c r="L1010" s="295">
        <v>2</v>
      </c>
      <c r="M1010" s="235" t="s">
        <v>93</v>
      </c>
      <c r="N1010" s="235">
        <v>100</v>
      </c>
      <c r="O1010" s="295">
        <f t="shared" si="474"/>
        <v>111</v>
      </c>
      <c r="P1010" s="290" t="s">
        <v>160</v>
      </c>
      <c r="Q1010" s="290"/>
      <c r="R1010" s="236">
        <v>3</v>
      </c>
      <c r="S1010" s="285">
        <v>0.76</v>
      </c>
      <c r="T1010" s="388" t="s">
        <v>141</v>
      </c>
      <c r="Y1010" s="292">
        <v>0.77</v>
      </c>
      <c r="Z1010" s="301" t="s">
        <v>141</v>
      </c>
      <c r="AA1010" s="233"/>
      <c r="AB1010" s="232"/>
      <c r="AC1010" s="232"/>
      <c r="AD1010" s="232"/>
      <c r="AE1010" s="136"/>
      <c r="AF1010" s="239">
        <f t="shared" si="468"/>
        <v>4.6051701859880918</v>
      </c>
      <c r="AG1010" s="239">
        <f t="shared" si="469"/>
        <v>4.7095302013123339</v>
      </c>
      <c r="AH1010" s="240"/>
      <c r="AI1010" s="240"/>
      <c r="AK1010" s="265">
        <f t="shared" si="470"/>
        <v>300</v>
      </c>
      <c r="AL1010" s="286">
        <f t="shared" si="471"/>
        <v>311</v>
      </c>
      <c r="AM1010" s="239">
        <f t="shared" si="472"/>
        <v>5.7037824746562009</v>
      </c>
      <c r="AN1010" s="239">
        <f t="shared" si="473"/>
        <v>5.7397929121792339</v>
      </c>
      <c r="AO1010" s="240"/>
      <c r="AP1010" s="240"/>
      <c r="AR1010" s="286">
        <f t="shared" si="464"/>
        <v>544.49734487955345</v>
      </c>
      <c r="AS1010" s="286">
        <f t="shared" si="465"/>
        <v>568.90682544729646</v>
      </c>
      <c r="AT1010" s="239">
        <f t="shared" si="466"/>
        <v>6.2998630661068624</v>
      </c>
      <c r="AU1010" s="239">
        <f t="shared" si="467"/>
        <v>6.3437166693068781</v>
      </c>
      <c r="AX1010" s="385">
        <f>GEOMEAN(AR1010:AR1013)</f>
        <v>225.31041154653616</v>
      </c>
      <c r="AY1010" s="385">
        <f>GEOMEAN(AS1010:AS1013)</f>
        <v>254.76153830923562</v>
      </c>
      <c r="AZ1010" s="385">
        <f>MIN(AX1010:AX1013)</f>
        <v>225.31041154653616</v>
      </c>
      <c r="BA1010" s="385">
        <f>MIN(AY1010:AY1013)</f>
        <v>254.76153830923562</v>
      </c>
      <c r="BB1010" s="239">
        <f>LN(AZ1010)</f>
        <v>5.4174790582947221</v>
      </c>
      <c r="BC1010" s="239">
        <f>LN(BA1010)</f>
        <v>5.5403279637532483</v>
      </c>
      <c r="BD1010" s="240"/>
      <c r="BE1010" s="240"/>
      <c r="BF1010" s="136"/>
      <c r="BG1010" s="136"/>
      <c r="BH1010" s="136"/>
      <c r="BI1010" s="136"/>
    </row>
    <row r="1011" spans="1:61" x14ac:dyDescent="0.2">
      <c r="A1011" s="232" t="s">
        <v>89</v>
      </c>
      <c r="B1011" s="232" t="s">
        <v>260</v>
      </c>
      <c r="C1011" s="445" t="s">
        <v>341</v>
      </c>
      <c r="D1011" s="445" t="s">
        <v>342</v>
      </c>
      <c r="E1011" s="235">
        <v>4.9000000000000004</v>
      </c>
      <c r="F1011" s="451">
        <v>2</v>
      </c>
      <c r="G1011" s="769">
        <f>F1011/1.724</f>
        <v>1.160092807424594</v>
      </c>
      <c r="H1011" s="235">
        <v>3</v>
      </c>
      <c r="I1011" s="760">
        <f>(30+4.4*E1011)*H1011/100+(-34.66+29.72*E1011)*F1011/100</f>
        <v>3.7661600000000006</v>
      </c>
      <c r="J1011" s="235">
        <v>23</v>
      </c>
      <c r="K1011" s="295">
        <v>0</v>
      </c>
      <c r="L1011" s="295">
        <v>2</v>
      </c>
      <c r="M1011" s="235" t="s">
        <v>93</v>
      </c>
      <c r="N1011" s="235">
        <v>30</v>
      </c>
      <c r="O1011" s="295">
        <f t="shared" si="474"/>
        <v>53</v>
      </c>
      <c r="P1011" s="290" t="s">
        <v>160</v>
      </c>
      <c r="Q1011" s="290"/>
      <c r="R1011" s="236">
        <v>3</v>
      </c>
      <c r="S1011" s="285">
        <v>0.76</v>
      </c>
      <c r="T1011" s="388" t="s">
        <v>141</v>
      </c>
      <c r="Y1011" s="292">
        <v>0.77</v>
      </c>
      <c r="Z1011" s="301" t="s">
        <v>141</v>
      </c>
      <c r="AA1011" s="233"/>
      <c r="AB1011" s="232"/>
      <c r="AC1011" s="232"/>
      <c r="AD1011" s="232"/>
      <c r="AE1011" s="136"/>
      <c r="AF1011" s="239">
        <f t="shared" si="468"/>
        <v>3.4011973816621555</v>
      </c>
      <c r="AG1011" s="239">
        <f t="shared" si="469"/>
        <v>3.970291913552122</v>
      </c>
      <c r="AH1011" s="240"/>
      <c r="AI1011" s="240"/>
      <c r="AK1011" s="265">
        <f t="shared" si="470"/>
        <v>90</v>
      </c>
      <c r="AL1011" s="286">
        <f t="shared" si="471"/>
        <v>113</v>
      </c>
      <c r="AM1011" s="239">
        <f t="shared" si="472"/>
        <v>4.499809670330265</v>
      </c>
      <c r="AN1011" s="239">
        <f t="shared" si="473"/>
        <v>4.7273878187123408</v>
      </c>
      <c r="AO1011" s="240"/>
      <c r="AP1011" s="240"/>
      <c r="AR1011" s="286">
        <f t="shared" si="464"/>
        <v>93.2528913988629</v>
      </c>
      <c r="AS1011" s="286">
        <f t="shared" si="465"/>
        <v>117.1388975968577</v>
      </c>
      <c r="AT1011" s="239">
        <f t="shared" si="466"/>
        <v>4.5353150650015346</v>
      </c>
      <c r="AU1011" s="239">
        <f t="shared" si="467"/>
        <v>4.7633603896292849</v>
      </c>
      <c r="AX1011" s="385"/>
      <c r="AY1011" s="385"/>
      <c r="AZ1011" s="385"/>
      <c r="BA1011" s="265"/>
      <c r="BB1011" s="239"/>
      <c r="BC1011" s="239"/>
      <c r="BD1011" s="240"/>
      <c r="BE1011" s="240"/>
      <c r="BF1011" s="136"/>
      <c r="BG1011" s="136"/>
      <c r="BH1011" s="136"/>
      <c r="BI1011" s="136"/>
    </row>
    <row r="1012" spans="1:61" x14ac:dyDescent="0.2">
      <c r="A1012" s="275" t="s">
        <v>89</v>
      </c>
      <c r="B1012" s="275" t="s">
        <v>260</v>
      </c>
      <c r="C1012" s="290" t="s">
        <v>341</v>
      </c>
      <c r="D1012" s="290" t="s">
        <v>342</v>
      </c>
      <c r="E1012" s="295">
        <v>6</v>
      </c>
      <c r="F1012" s="298">
        <v>2</v>
      </c>
      <c r="G1012" s="287">
        <f>F1012/1.724</f>
        <v>1.160092807424594</v>
      </c>
      <c r="H1012" s="295">
        <v>3</v>
      </c>
      <c r="I1012" s="763">
        <f>(30+4.4*E1012)*H1012/100+(-34.66+29.72*E1012)*F1012/100</f>
        <v>4.5651999999999999</v>
      </c>
      <c r="J1012" s="295">
        <v>16</v>
      </c>
      <c r="K1012" s="295">
        <v>0</v>
      </c>
      <c r="L1012" s="295">
        <v>2</v>
      </c>
      <c r="M1012" s="295" t="s">
        <v>93</v>
      </c>
      <c r="N1012" s="295">
        <v>55</v>
      </c>
      <c r="O1012" s="295">
        <f t="shared" si="474"/>
        <v>71</v>
      </c>
      <c r="P1012" s="290" t="s">
        <v>160</v>
      </c>
      <c r="Q1012" s="290"/>
      <c r="R1012" s="285">
        <v>3</v>
      </c>
      <c r="S1012" s="285">
        <v>0.76</v>
      </c>
      <c r="T1012" s="388" t="s">
        <v>141</v>
      </c>
      <c r="U1012" s="285"/>
      <c r="V1012" s="388"/>
      <c r="W1012" s="388"/>
      <c r="X1012" s="388"/>
      <c r="Y1012" s="292">
        <v>0.77</v>
      </c>
      <c r="Z1012" s="301" t="s">
        <v>141</v>
      </c>
      <c r="AA1012" s="405"/>
      <c r="AB1012" s="275"/>
      <c r="AC1012" s="275"/>
      <c r="AD1012" s="275"/>
      <c r="AE1012" s="238"/>
      <c r="AF1012" s="239">
        <f t="shared" si="468"/>
        <v>4.0073331852324712</v>
      </c>
      <c r="AG1012" s="239">
        <f t="shared" si="469"/>
        <v>4.2626798770413155</v>
      </c>
      <c r="AH1012" s="240"/>
      <c r="AI1012" s="240"/>
      <c r="AK1012" s="265">
        <f t="shared" si="470"/>
        <v>165</v>
      </c>
      <c r="AL1012" s="286">
        <f t="shared" si="471"/>
        <v>181</v>
      </c>
      <c r="AM1012" s="239">
        <f t="shared" si="472"/>
        <v>5.1059454739005803</v>
      </c>
      <c r="AN1012" s="239">
        <f t="shared" si="473"/>
        <v>5.1984970312658261</v>
      </c>
      <c r="AO1012" s="240"/>
      <c r="AP1012" s="240"/>
      <c r="AR1012" s="286">
        <f t="shared" si="464"/>
        <v>225.26084543755653</v>
      </c>
      <c r="AS1012" s="286">
        <f t="shared" si="465"/>
        <v>248.11859371408084</v>
      </c>
      <c r="AT1012" s="239">
        <f t="shared" si="466"/>
        <v>5.4172590437757702</v>
      </c>
      <c r="AU1012" s="239">
        <f t="shared" si="467"/>
        <v>5.5139068323235838</v>
      </c>
      <c r="AX1012" s="265"/>
      <c r="AY1012" s="265"/>
      <c r="AZ1012" s="265"/>
      <c r="BA1012" s="265"/>
      <c r="BB1012" s="239"/>
      <c r="BC1012" s="239"/>
      <c r="BD1012" s="240"/>
      <c r="BE1012" s="240"/>
      <c r="BF1012" s="136"/>
      <c r="BG1012" s="136"/>
      <c r="BH1012" s="136"/>
      <c r="BI1012" s="136"/>
    </row>
    <row r="1013" spans="1:61" s="165" customFormat="1" x14ac:dyDescent="0.2">
      <c r="A1013" s="156" t="s">
        <v>89</v>
      </c>
      <c r="B1013" s="156" t="s">
        <v>260</v>
      </c>
      <c r="C1013" s="326" t="s">
        <v>341</v>
      </c>
      <c r="D1013" s="326" t="s">
        <v>342</v>
      </c>
      <c r="E1013" s="231">
        <v>5.5</v>
      </c>
      <c r="F1013" s="336">
        <v>4</v>
      </c>
      <c r="G1013" s="334">
        <f>F1013/1.724</f>
        <v>2.3201856148491879</v>
      </c>
      <c r="H1013" s="231"/>
      <c r="I1013" s="329"/>
      <c r="J1013" s="754">
        <v>51</v>
      </c>
      <c r="K1013" s="231">
        <v>0</v>
      </c>
      <c r="L1013" s="231">
        <v>2</v>
      </c>
      <c r="M1013" s="160" t="s">
        <v>93</v>
      </c>
      <c r="N1013" s="231">
        <v>100</v>
      </c>
      <c r="O1013" s="231">
        <f t="shared" si="474"/>
        <v>151</v>
      </c>
      <c r="P1013" s="326" t="s">
        <v>161</v>
      </c>
      <c r="Q1013" s="326"/>
      <c r="R1013" s="163">
        <v>3</v>
      </c>
      <c r="S1013" s="163">
        <v>0.76</v>
      </c>
      <c r="T1013" s="162" t="s">
        <v>141</v>
      </c>
      <c r="U1013" s="163"/>
      <c r="V1013" s="162"/>
      <c r="W1013" s="162"/>
      <c r="X1013" s="162"/>
      <c r="Y1013" s="328">
        <v>0.77</v>
      </c>
      <c r="Z1013" s="314" t="s">
        <v>141</v>
      </c>
      <c r="AA1013" s="160"/>
      <c r="AB1013" s="156"/>
      <c r="AC1013" s="156"/>
      <c r="AD1013" s="156"/>
      <c r="AF1013" s="166">
        <f t="shared" si="468"/>
        <v>4.6051701859880918</v>
      </c>
      <c r="AG1013" s="166">
        <f t="shared" si="469"/>
        <v>5.0172798368149243</v>
      </c>
      <c r="AH1013" s="169"/>
      <c r="AI1013" s="169"/>
      <c r="AK1013" s="168">
        <f t="shared" si="470"/>
        <v>300</v>
      </c>
      <c r="AL1013" s="337">
        <f t="shared" si="471"/>
        <v>351</v>
      </c>
      <c r="AM1013" s="166">
        <f t="shared" si="472"/>
        <v>5.7037824746562009</v>
      </c>
      <c r="AN1013" s="166">
        <f t="shared" si="473"/>
        <v>5.8607862234658654</v>
      </c>
      <c r="AO1013" s="169"/>
      <c r="AP1013" s="169"/>
      <c r="AR1013" s="337"/>
      <c r="AS1013" s="337"/>
      <c r="AT1013" s="166"/>
      <c r="AU1013" s="166"/>
      <c r="AV1013" s="167"/>
      <c r="AW1013" s="167"/>
      <c r="AX1013" s="168"/>
      <c r="AY1013" s="168"/>
      <c r="AZ1013" s="168"/>
      <c r="BA1013" s="168"/>
      <c r="BB1013" s="166"/>
      <c r="BC1013" s="166"/>
      <c r="BD1013" s="169"/>
      <c r="BE1013" s="169"/>
    </row>
    <row r="1014" spans="1:61" x14ac:dyDescent="0.2">
      <c r="A1014" s="232" t="s">
        <v>89</v>
      </c>
      <c r="B1014" s="232" t="s">
        <v>260</v>
      </c>
      <c r="C1014" s="445" t="s">
        <v>341</v>
      </c>
      <c r="D1014" s="445" t="s">
        <v>194</v>
      </c>
      <c r="E1014" s="235">
        <v>3</v>
      </c>
      <c r="F1014" s="769">
        <v>8.7040000000000006</v>
      </c>
      <c r="G1014" s="769">
        <f t="shared" ref="G1014:G1054" si="475">F1014/1.724</f>
        <v>5.0487238979118336</v>
      </c>
      <c r="H1014" s="233">
        <v>7</v>
      </c>
      <c r="I1014" s="235">
        <v>5.8</v>
      </c>
      <c r="J1014" s="235">
        <v>7</v>
      </c>
      <c r="K1014" s="295">
        <v>2</v>
      </c>
      <c r="L1014" s="295">
        <v>1</v>
      </c>
      <c r="M1014" s="235" t="s">
        <v>93</v>
      </c>
      <c r="N1014" s="235">
        <v>240</v>
      </c>
      <c r="O1014" s="295">
        <f t="shared" si="474"/>
        <v>247</v>
      </c>
      <c r="P1014" s="290" t="s">
        <v>157</v>
      </c>
      <c r="Q1014" s="290"/>
      <c r="R1014" s="236">
        <v>3</v>
      </c>
      <c r="S1014" s="285">
        <v>0.76</v>
      </c>
      <c r="T1014" s="388" t="s">
        <v>141</v>
      </c>
      <c r="Y1014" s="292">
        <v>0.77</v>
      </c>
      <c r="Z1014" s="301" t="s">
        <v>141</v>
      </c>
      <c r="AA1014" s="233"/>
      <c r="AB1014" s="232"/>
      <c r="AC1014" s="232"/>
      <c r="AD1014" s="232"/>
      <c r="AE1014" s="136"/>
      <c r="AF1014" s="239">
        <f t="shared" si="468"/>
        <v>5.4806389233419912</v>
      </c>
      <c r="AG1014" s="239">
        <f t="shared" si="469"/>
        <v>5.5093883366279774</v>
      </c>
      <c r="AH1014" s="240"/>
      <c r="AI1014" s="240"/>
      <c r="AK1014" s="265">
        <f t="shared" si="470"/>
        <v>720</v>
      </c>
      <c r="AL1014" s="286">
        <f t="shared" si="471"/>
        <v>727</v>
      </c>
      <c r="AM1014" s="239">
        <f t="shared" si="472"/>
        <v>6.5792512120101012</v>
      </c>
      <c r="AN1014" s="239">
        <f t="shared" si="473"/>
        <v>6.5889264775335192</v>
      </c>
      <c r="AO1014" s="240"/>
      <c r="AP1014" s="240"/>
      <c r="AR1014" s="286">
        <f t="shared" ref="AR1014:AR1030" si="476">AK1014*(Zn_bg/$J1014)^$S1014</f>
        <v>1842.4297531560183</v>
      </c>
      <c r="AS1014" s="286">
        <f t="shared" ref="AS1014:AS1030" si="477">AL1014*(Zn_bg/$J1014)^$Y1014</f>
        <v>1883.48446648399</v>
      </c>
      <c r="AT1014" s="239">
        <f t="shared" ref="AT1014:AT1030" si="478">LN(AR1014)</f>
        <v>7.5188404975054857</v>
      </c>
      <c r="AU1014" s="239">
        <f t="shared" ref="AU1014:AU1030" si="479">LN(AS1014)</f>
        <v>7.5408787799433172</v>
      </c>
      <c r="AX1014" s="385">
        <f>GEOMEAN(AR1014:AR1029)</f>
        <v>414.33661255988795</v>
      </c>
      <c r="AY1014" s="385">
        <f>GEOMEAN(AS1014:AS1029)</f>
        <v>454.82827904581364</v>
      </c>
      <c r="AZ1014" s="385">
        <f>MIN(AX1014:AX1029)</f>
        <v>414.33661255988795</v>
      </c>
      <c r="BA1014" s="385">
        <f>MIN(AY1014:AY1029)</f>
        <v>454.82827904581364</v>
      </c>
      <c r="BB1014" s="239">
        <f>LN(AZ1014)</f>
        <v>6.0266787172760159</v>
      </c>
      <c r="BC1014" s="239">
        <f>LN(BA1014)</f>
        <v>6.1199199390238475</v>
      </c>
      <c r="BD1014" s="240"/>
      <c r="BE1014" s="240"/>
      <c r="BF1014" s="136"/>
      <c r="BG1014" s="136"/>
      <c r="BH1014" s="136"/>
      <c r="BI1014" s="136"/>
    </row>
    <row r="1015" spans="1:61" x14ac:dyDescent="0.2">
      <c r="A1015" s="232" t="s">
        <v>89</v>
      </c>
      <c r="B1015" s="232" t="s">
        <v>260</v>
      </c>
      <c r="C1015" s="445" t="s">
        <v>341</v>
      </c>
      <c r="D1015" s="445" t="s">
        <v>194</v>
      </c>
      <c r="E1015" s="235">
        <v>3.4</v>
      </c>
      <c r="F1015" s="769">
        <v>3.1619999999999999</v>
      </c>
      <c r="G1015" s="769">
        <f t="shared" si="475"/>
        <v>1.834106728538283</v>
      </c>
      <c r="H1015" s="233">
        <v>5</v>
      </c>
      <c r="I1015" s="235">
        <v>1.9</v>
      </c>
      <c r="J1015" s="235">
        <v>8</v>
      </c>
      <c r="K1015" s="295">
        <v>2</v>
      </c>
      <c r="L1015" s="295">
        <v>1</v>
      </c>
      <c r="M1015" s="235" t="s">
        <v>93</v>
      </c>
      <c r="N1015" s="235">
        <v>30</v>
      </c>
      <c r="O1015" s="295">
        <f t="shared" si="474"/>
        <v>38</v>
      </c>
      <c r="P1015" s="290" t="s">
        <v>157</v>
      </c>
      <c r="Q1015" s="290"/>
      <c r="R1015" s="236">
        <v>3</v>
      </c>
      <c r="S1015" s="285">
        <v>0.76</v>
      </c>
      <c r="T1015" s="388" t="s">
        <v>141</v>
      </c>
      <c r="Y1015" s="292">
        <v>0.77</v>
      </c>
      <c r="Z1015" s="301" t="s">
        <v>141</v>
      </c>
      <c r="AA1015" s="233"/>
      <c r="AB1015" s="232"/>
      <c r="AC1015" s="232"/>
      <c r="AD1015" s="232"/>
      <c r="AE1015" s="136"/>
      <c r="AF1015" s="239">
        <f t="shared" si="468"/>
        <v>3.4011973816621555</v>
      </c>
      <c r="AG1015" s="239">
        <f t="shared" si="469"/>
        <v>3.6375861597263857</v>
      </c>
      <c r="AH1015" s="240"/>
      <c r="AI1015" s="240"/>
      <c r="AK1015" s="265">
        <f t="shared" si="470"/>
        <v>90</v>
      </c>
      <c r="AL1015" s="286">
        <f t="shared" si="471"/>
        <v>98</v>
      </c>
      <c r="AM1015" s="239">
        <f t="shared" si="472"/>
        <v>4.499809670330265</v>
      </c>
      <c r="AN1015" s="239">
        <f t="shared" si="473"/>
        <v>4.5849674786705723</v>
      </c>
      <c r="AO1015" s="240"/>
      <c r="AP1015" s="240"/>
      <c r="AR1015" s="286">
        <f t="shared" si="476"/>
        <v>208.07843447244085</v>
      </c>
      <c r="AS1015" s="286">
        <f t="shared" si="477"/>
        <v>229.08671700672099</v>
      </c>
      <c r="AT1015" s="239">
        <f t="shared" si="478"/>
        <v>5.3379150974310132</v>
      </c>
      <c r="AU1015" s="239">
        <f t="shared" si="479"/>
        <v>5.4341006087594872</v>
      </c>
      <c r="AX1015" s="385"/>
      <c r="AY1015" s="385"/>
      <c r="AZ1015" s="385"/>
      <c r="BA1015" s="265"/>
      <c r="BB1015" s="239"/>
      <c r="BC1015" s="239"/>
      <c r="BD1015" s="240"/>
      <c r="BE1015" s="240"/>
      <c r="BF1015" s="136"/>
      <c r="BG1015" s="136"/>
      <c r="BH1015" s="136"/>
      <c r="BI1015" s="136"/>
    </row>
    <row r="1016" spans="1:61" x14ac:dyDescent="0.2">
      <c r="A1016" s="232" t="s">
        <v>89</v>
      </c>
      <c r="B1016" s="232" t="s">
        <v>260</v>
      </c>
      <c r="C1016" s="445" t="s">
        <v>341</v>
      </c>
      <c r="D1016" s="445" t="s">
        <v>194</v>
      </c>
      <c r="E1016" s="235">
        <v>4.8</v>
      </c>
      <c r="F1016" s="769">
        <v>13.209</v>
      </c>
      <c r="G1016" s="769">
        <f t="shared" si="475"/>
        <v>7.6618329466357311</v>
      </c>
      <c r="I1016" s="235">
        <v>13.3</v>
      </c>
      <c r="J1016" s="235">
        <v>83</v>
      </c>
      <c r="K1016" s="295">
        <v>2</v>
      </c>
      <c r="L1016" s="295">
        <v>1</v>
      </c>
      <c r="M1016" s="235" t="s">
        <v>93</v>
      </c>
      <c r="N1016" s="235">
        <v>800</v>
      </c>
      <c r="O1016" s="295">
        <f t="shared" si="474"/>
        <v>883</v>
      </c>
      <c r="P1016" s="290" t="s">
        <v>157</v>
      </c>
      <c r="Q1016" s="290"/>
      <c r="R1016" s="236">
        <v>3</v>
      </c>
      <c r="S1016" s="285">
        <v>0.76</v>
      </c>
      <c r="T1016" s="388" t="s">
        <v>141</v>
      </c>
      <c r="Y1016" s="292">
        <v>0.77</v>
      </c>
      <c r="Z1016" s="301" t="s">
        <v>141</v>
      </c>
      <c r="AA1016" s="233"/>
      <c r="AB1016" s="232"/>
      <c r="AC1016" s="232"/>
      <c r="AD1016" s="232"/>
      <c r="AE1016" s="136"/>
      <c r="AF1016" s="239">
        <f t="shared" si="468"/>
        <v>6.6846117276679271</v>
      </c>
      <c r="AG1016" s="239">
        <f t="shared" si="469"/>
        <v>6.7833252006039597</v>
      </c>
      <c r="AH1016" s="240"/>
      <c r="AI1016" s="240"/>
      <c r="AK1016" s="265">
        <f t="shared" si="470"/>
        <v>2400</v>
      </c>
      <c r="AL1016" s="286">
        <f t="shared" si="471"/>
        <v>2483</v>
      </c>
      <c r="AM1016" s="239">
        <f t="shared" si="472"/>
        <v>7.7832240163360371</v>
      </c>
      <c r="AN1016" s="239">
        <f t="shared" si="473"/>
        <v>7.8172227855081662</v>
      </c>
      <c r="AO1016" s="240"/>
      <c r="AP1016" s="240"/>
      <c r="AR1016" s="286">
        <f t="shared" si="476"/>
        <v>937.65882158595116</v>
      </c>
      <c r="AS1016" s="286">
        <f t="shared" si="477"/>
        <v>958.16369471800238</v>
      </c>
      <c r="AT1016" s="239">
        <f t="shared" si="478"/>
        <v>6.843386153188046</v>
      </c>
      <c r="AU1016" s="239">
        <f t="shared" si="479"/>
        <v>6.8650186346871758</v>
      </c>
      <c r="AX1016" s="385"/>
      <c r="AY1016" s="385"/>
      <c r="AZ1016" s="385"/>
      <c r="BA1016" s="265"/>
      <c r="BB1016" s="239"/>
      <c r="BC1016" s="239"/>
      <c r="BD1016" s="240"/>
      <c r="BE1016" s="240"/>
      <c r="BF1016" s="136"/>
      <c r="BG1016" s="136"/>
      <c r="BH1016" s="136"/>
      <c r="BI1016" s="136"/>
    </row>
    <row r="1017" spans="1:61" x14ac:dyDescent="0.2">
      <c r="A1017" s="232" t="s">
        <v>89</v>
      </c>
      <c r="B1017" s="232" t="s">
        <v>260</v>
      </c>
      <c r="C1017" s="445" t="s">
        <v>341</v>
      </c>
      <c r="D1017" s="445" t="s">
        <v>194</v>
      </c>
      <c r="E1017" s="235">
        <v>4.8</v>
      </c>
      <c r="F1017" s="769">
        <v>0.69699999999999995</v>
      </c>
      <c r="G1017" s="769">
        <f t="shared" si="475"/>
        <v>0.404292343387471</v>
      </c>
      <c r="H1017" s="233">
        <v>38</v>
      </c>
      <c r="I1017" s="235">
        <v>11.2</v>
      </c>
      <c r="J1017" s="233">
        <v>37</v>
      </c>
      <c r="K1017" s="295">
        <v>2</v>
      </c>
      <c r="L1017" s="295">
        <v>1</v>
      </c>
      <c r="M1017" s="235" t="s">
        <v>93</v>
      </c>
      <c r="N1017" s="235">
        <v>100</v>
      </c>
      <c r="O1017" s="295">
        <f t="shared" si="474"/>
        <v>137</v>
      </c>
      <c r="P1017" s="290" t="s">
        <v>157</v>
      </c>
      <c r="Q1017" s="290"/>
      <c r="R1017" s="236">
        <v>3</v>
      </c>
      <c r="S1017" s="285">
        <v>0.76</v>
      </c>
      <c r="T1017" s="388" t="s">
        <v>141</v>
      </c>
      <c r="Y1017" s="292">
        <v>0.77</v>
      </c>
      <c r="Z1017" s="301" t="s">
        <v>141</v>
      </c>
      <c r="AA1017" s="233"/>
      <c r="AB1017" s="232"/>
      <c r="AC1017" s="232"/>
      <c r="AD1017" s="232"/>
      <c r="AE1017" s="136"/>
      <c r="AF1017" s="239">
        <f t="shared" si="468"/>
        <v>4.6051701859880918</v>
      </c>
      <c r="AG1017" s="239">
        <f t="shared" si="469"/>
        <v>4.9199809258281251</v>
      </c>
      <c r="AH1017" s="240"/>
      <c r="AI1017" s="240"/>
      <c r="AK1017" s="265">
        <f t="shared" si="470"/>
        <v>300</v>
      </c>
      <c r="AL1017" s="286">
        <f t="shared" si="471"/>
        <v>337</v>
      </c>
      <c r="AM1017" s="239">
        <f t="shared" si="472"/>
        <v>5.7037824746562009</v>
      </c>
      <c r="AN1017" s="239">
        <f t="shared" si="473"/>
        <v>5.8200829303523616</v>
      </c>
      <c r="AO1017" s="240"/>
      <c r="AP1017" s="240"/>
      <c r="AR1017" s="286">
        <f t="shared" si="476"/>
        <v>216.5812703805241</v>
      </c>
      <c r="AS1017" s="286">
        <f t="shared" si="477"/>
        <v>242.25218123555993</v>
      </c>
      <c r="AT1017" s="239">
        <f t="shared" si="478"/>
        <v>5.3779658598240134</v>
      </c>
      <c r="AU1017" s="239">
        <f t="shared" si="479"/>
        <v>5.4899792547986976</v>
      </c>
      <c r="AX1017" s="385"/>
      <c r="AY1017" s="385"/>
      <c r="AZ1017" s="385"/>
      <c r="BA1017" s="265"/>
      <c r="BB1017" s="239"/>
      <c r="BC1017" s="239"/>
      <c r="BD1017" s="240"/>
      <c r="BE1017" s="240"/>
      <c r="BF1017" s="136"/>
      <c r="BG1017" s="136"/>
      <c r="BH1017" s="136"/>
      <c r="BI1017" s="136"/>
    </row>
    <row r="1018" spans="1:61" x14ac:dyDescent="0.2">
      <c r="A1018" s="232" t="s">
        <v>89</v>
      </c>
      <c r="B1018" s="232" t="s">
        <v>260</v>
      </c>
      <c r="C1018" s="445" t="s">
        <v>341</v>
      </c>
      <c r="D1018" s="445" t="s">
        <v>194</v>
      </c>
      <c r="E1018" s="235">
        <v>5.0999999999999996</v>
      </c>
      <c r="F1018" s="769">
        <v>3.9950000000000001</v>
      </c>
      <c r="G1018" s="769">
        <f t="shared" si="475"/>
        <v>2.3172853828306264</v>
      </c>
      <c r="H1018" s="233">
        <v>9</v>
      </c>
      <c r="I1018" s="235">
        <v>4.7</v>
      </c>
      <c r="J1018" s="233">
        <v>26</v>
      </c>
      <c r="K1018" s="295">
        <v>2</v>
      </c>
      <c r="L1018" s="295">
        <v>1</v>
      </c>
      <c r="M1018" s="235" t="s">
        <v>93</v>
      </c>
      <c r="N1018" s="235">
        <v>400</v>
      </c>
      <c r="O1018" s="295">
        <f t="shared" si="474"/>
        <v>426</v>
      </c>
      <c r="P1018" s="290" t="s">
        <v>157</v>
      </c>
      <c r="Q1018" s="290"/>
      <c r="R1018" s="236">
        <v>3</v>
      </c>
      <c r="S1018" s="285">
        <v>0.76</v>
      </c>
      <c r="T1018" s="388" t="s">
        <v>141</v>
      </c>
      <c r="Y1018" s="292">
        <v>0.77</v>
      </c>
      <c r="Z1018" s="301" t="s">
        <v>141</v>
      </c>
      <c r="AA1018" s="233"/>
      <c r="AB1018" s="232"/>
      <c r="AC1018" s="232"/>
      <c r="AD1018" s="232"/>
      <c r="AE1018" s="136"/>
      <c r="AF1018" s="239">
        <f t="shared" si="468"/>
        <v>5.9914645471079817</v>
      </c>
      <c r="AG1018" s="239">
        <f t="shared" si="469"/>
        <v>6.0544393462693709</v>
      </c>
      <c r="AH1018" s="240"/>
      <c r="AI1018" s="240"/>
      <c r="AK1018" s="265">
        <f t="shared" si="470"/>
        <v>1200</v>
      </c>
      <c r="AL1018" s="286">
        <f t="shared" si="471"/>
        <v>1226</v>
      </c>
      <c r="AM1018" s="239">
        <f t="shared" si="472"/>
        <v>7.0900768357760917</v>
      </c>
      <c r="AN1018" s="239">
        <f t="shared" si="473"/>
        <v>7.111512116496157</v>
      </c>
      <c r="AO1018" s="240"/>
      <c r="AP1018" s="240"/>
      <c r="AR1018" s="286">
        <f t="shared" si="476"/>
        <v>1132.7509992104763</v>
      </c>
      <c r="AS1018" s="286">
        <f t="shared" si="477"/>
        <v>1156.4160616515906</v>
      </c>
      <c r="AT1018" s="239">
        <f t="shared" si="478"/>
        <v>7.0324044656571889</v>
      </c>
      <c r="AU1018" s="239">
        <f t="shared" si="479"/>
        <v>7.0530808994020049</v>
      </c>
      <c r="AX1018" s="385"/>
      <c r="AY1018" s="385"/>
      <c r="AZ1018" s="385"/>
      <c r="BA1018" s="265"/>
      <c r="BB1018" s="239"/>
      <c r="BC1018" s="239"/>
      <c r="BD1018" s="240"/>
      <c r="BE1018" s="240"/>
      <c r="BF1018" s="136"/>
      <c r="BG1018" s="136"/>
      <c r="BH1018" s="136"/>
      <c r="BI1018" s="136"/>
    </row>
    <row r="1019" spans="1:61" x14ac:dyDescent="0.2">
      <c r="A1019" s="232" t="s">
        <v>89</v>
      </c>
      <c r="B1019" s="232" t="s">
        <v>260</v>
      </c>
      <c r="C1019" s="445" t="s">
        <v>341</v>
      </c>
      <c r="D1019" s="445" t="s">
        <v>194</v>
      </c>
      <c r="E1019" s="235">
        <v>5.2</v>
      </c>
      <c r="F1019" s="769">
        <v>17.408000000000001</v>
      </c>
      <c r="G1019" s="769">
        <f t="shared" si="475"/>
        <v>10.097447795823667</v>
      </c>
      <c r="I1019" s="235">
        <v>29.7</v>
      </c>
      <c r="J1019" s="235">
        <v>155</v>
      </c>
      <c r="K1019" s="295">
        <v>2</v>
      </c>
      <c r="L1019" s="295">
        <v>1</v>
      </c>
      <c r="M1019" s="235" t="s">
        <v>93</v>
      </c>
      <c r="N1019" s="235">
        <v>1300</v>
      </c>
      <c r="O1019" s="295">
        <f t="shared" si="474"/>
        <v>1455</v>
      </c>
      <c r="P1019" s="290" t="s">
        <v>157</v>
      </c>
      <c r="Q1019" s="290"/>
      <c r="R1019" s="236">
        <v>3</v>
      </c>
      <c r="S1019" s="285">
        <v>0.76</v>
      </c>
      <c r="T1019" s="388" t="s">
        <v>141</v>
      </c>
      <c r="Y1019" s="292">
        <v>0.77</v>
      </c>
      <c r="Z1019" s="301" t="s">
        <v>141</v>
      </c>
      <c r="AA1019" s="233"/>
      <c r="AB1019" s="232"/>
      <c r="AC1019" s="232"/>
      <c r="AD1019" s="232"/>
      <c r="AE1019" s="136"/>
      <c r="AF1019" s="239">
        <f t="shared" si="468"/>
        <v>7.1701195434496281</v>
      </c>
      <c r="AG1019" s="239">
        <f t="shared" si="469"/>
        <v>7.2827611796055933</v>
      </c>
      <c r="AH1019" s="240"/>
      <c r="AI1019" s="240"/>
      <c r="AK1019" s="265">
        <f t="shared" si="470"/>
        <v>3900</v>
      </c>
      <c r="AL1019" s="286">
        <f t="shared" si="471"/>
        <v>4055</v>
      </c>
      <c r="AM1019" s="239">
        <f t="shared" si="472"/>
        <v>8.2687318321177372</v>
      </c>
      <c r="AN1019" s="239">
        <f t="shared" si="473"/>
        <v>8.3077059665495128</v>
      </c>
      <c r="AO1019" s="240"/>
      <c r="AP1019" s="240"/>
      <c r="AR1019" s="286">
        <f t="shared" si="476"/>
        <v>947.86277724531055</v>
      </c>
      <c r="AS1019" s="286">
        <f t="shared" si="477"/>
        <v>967.36099842533667</v>
      </c>
      <c r="AT1019" s="239">
        <f t="shared" si="478"/>
        <v>6.8542097420365335</v>
      </c>
      <c r="AU1019" s="239">
        <f t="shared" si="479"/>
        <v>6.8745717437040827</v>
      </c>
      <c r="AX1019" s="385"/>
      <c r="AY1019" s="385"/>
      <c r="AZ1019" s="385"/>
      <c r="BA1019" s="265"/>
      <c r="BB1019" s="239"/>
      <c r="BC1019" s="239"/>
      <c r="BD1019" s="240"/>
      <c r="BE1019" s="240"/>
      <c r="BF1019" s="136"/>
      <c r="BG1019" s="136"/>
      <c r="BH1019" s="136"/>
      <c r="BI1019" s="136"/>
    </row>
    <row r="1020" spans="1:61" x14ac:dyDescent="0.2">
      <c r="A1020" s="232" t="s">
        <v>89</v>
      </c>
      <c r="B1020" s="232" t="s">
        <v>260</v>
      </c>
      <c r="C1020" s="445" t="s">
        <v>341</v>
      </c>
      <c r="D1020" s="445" t="s">
        <v>194</v>
      </c>
      <c r="E1020" s="235">
        <v>5.4</v>
      </c>
      <c r="F1020" s="769">
        <v>1.4789999999999999</v>
      </c>
      <c r="G1020" s="769">
        <f t="shared" si="475"/>
        <v>0.85788863109048719</v>
      </c>
      <c r="H1020" s="233">
        <v>51</v>
      </c>
      <c r="I1020" s="235">
        <v>22.6</v>
      </c>
      <c r="J1020" s="235">
        <v>53</v>
      </c>
      <c r="K1020" s="295">
        <v>2</v>
      </c>
      <c r="L1020" s="295">
        <v>1</v>
      </c>
      <c r="M1020" s="235" t="s">
        <v>93</v>
      </c>
      <c r="N1020" s="235">
        <v>600</v>
      </c>
      <c r="O1020" s="295">
        <f t="shared" si="474"/>
        <v>653</v>
      </c>
      <c r="P1020" s="290" t="s">
        <v>157</v>
      </c>
      <c r="Q1020" s="290"/>
      <c r="R1020" s="236">
        <v>3</v>
      </c>
      <c r="S1020" s="285">
        <v>0.76</v>
      </c>
      <c r="T1020" s="388" t="s">
        <v>141</v>
      </c>
      <c r="Y1020" s="292">
        <v>0.77</v>
      </c>
      <c r="Z1020" s="301" t="s">
        <v>141</v>
      </c>
      <c r="AA1020" s="233"/>
      <c r="AB1020" s="232"/>
      <c r="AC1020" s="232"/>
      <c r="AD1020" s="232"/>
      <c r="AE1020" s="136"/>
      <c r="AF1020" s="239">
        <f t="shared" si="468"/>
        <v>6.3969296552161463</v>
      </c>
      <c r="AG1020" s="239">
        <f t="shared" si="469"/>
        <v>6.481577129276431</v>
      </c>
      <c r="AH1020" s="240"/>
      <c r="AI1020" s="240"/>
      <c r="AK1020" s="265">
        <f t="shared" si="470"/>
        <v>1800</v>
      </c>
      <c r="AL1020" s="286">
        <f t="shared" si="471"/>
        <v>1853</v>
      </c>
      <c r="AM1020" s="239">
        <f t="shared" si="472"/>
        <v>7.4955419438842563</v>
      </c>
      <c r="AN1020" s="239">
        <f t="shared" si="473"/>
        <v>7.5245612262853596</v>
      </c>
      <c r="AO1020" s="240"/>
      <c r="AP1020" s="240"/>
      <c r="AR1020" s="286">
        <f t="shared" si="476"/>
        <v>988.90778671442195</v>
      </c>
      <c r="AS1020" s="286">
        <f t="shared" si="477"/>
        <v>1010.0343003817036</v>
      </c>
      <c r="AT1020" s="239">
        <f t="shared" si="478"/>
        <v>6.8966010883620665</v>
      </c>
      <c r="AU1020" s="239">
        <f t="shared" si="479"/>
        <v>6.917739570032615</v>
      </c>
      <c r="AX1020" s="385"/>
      <c r="AY1020" s="385"/>
      <c r="AZ1020" s="385"/>
      <c r="BA1020" s="265"/>
      <c r="BB1020" s="239"/>
      <c r="BC1020" s="239"/>
      <c r="BD1020" s="240"/>
      <c r="BE1020" s="240"/>
      <c r="BF1020" s="136"/>
      <c r="BG1020" s="136"/>
      <c r="BH1020" s="136"/>
      <c r="BI1020" s="136"/>
    </row>
    <row r="1021" spans="1:61" x14ac:dyDescent="0.2">
      <c r="A1021" s="232" t="s">
        <v>89</v>
      </c>
      <c r="B1021" s="232" t="s">
        <v>260</v>
      </c>
      <c r="C1021" s="445" t="s">
        <v>341</v>
      </c>
      <c r="D1021" s="445" t="s">
        <v>194</v>
      </c>
      <c r="E1021" s="235">
        <v>5.7</v>
      </c>
      <c r="F1021" s="769">
        <v>5.9329999999999998</v>
      </c>
      <c r="G1021" s="769">
        <f t="shared" si="475"/>
        <v>3.441415313225058</v>
      </c>
      <c r="I1021" s="235">
        <v>21.1</v>
      </c>
      <c r="J1021" s="235">
        <v>76</v>
      </c>
      <c r="K1021" s="295">
        <v>2</v>
      </c>
      <c r="L1021" s="295">
        <v>1</v>
      </c>
      <c r="M1021" s="235" t="s">
        <v>93</v>
      </c>
      <c r="N1021" s="235">
        <v>1400</v>
      </c>
      <c r="O1021" s="295">
        <f t="shared" si="474"/>
        <v>1476</v>
      </c>
      <c r="P1021" s="290" t="s">
        <v>157</v>
      </c>
      <c r="Q1021" s="290"/>
      <c r="R1021" s="236">
        <v>3</v>
      </c>
      <c r="S1021" s="285">
        <v>0.76</v>
      </c>
      <c r="T1021" s="388" t="s">
        <v>141</v>
      </c>
      <c r="Y1021" s="292">
        <v>0.77</v>
      </c>
      <c r="Z1021" s="301" t="s">
        <v>141</v>
      </c>
      <c r="AA1021" s="233"/>
      <c r="AB1021" s="232"/>
      <c r="AC1021" s="232"/>
      <c r="AD1021" s="232"/>
      <c r="AE1021" s="136"/>
      <c r="AF1021" s="239">
        <f t="shared" si="468"/>
        <v>7.2442275156033498</v>
      </c>
      <c r="AG1021" s="239">
        <f t="shared" si="469"/>
        <v>7.2970910051604179</v>
      </c>
      <c r="AH1021" s="240"/>
      <c r="AI1021" s="240"/>
      <c r="AK1021" s="265">
        <f t="shared" si="470"/>
        <v>4200</v>
      </c>
      <c r="AL1021" s="286">
        <f t="shared" si="471"/>
        <v>4276</v>
      </c>
      <c r="AM1021" s="239">
        <f t="shared" si="472"/>
        <v>8.3428398042714598</v>
      </c>
      <c r="AN1021" s="239">
        <f t="shared" si="473"/>
        <v>8.3607732721449359</v>
      </c>
      <c r="AO1021" s="240"/>
      <c r="AP1021" s="240"/>
      <c r="AR1021" s="286">
        <f t="shared" si="476"/>
        <v>1754.5425811930463</v>
      </c>
      <c r="AS1021" s="286">
        <f t="shared" si="477"/>
        <v>1765.892870877906</v>
      </c>
      <c r="AT1021" s="239">
        <f t="shared" si="478"/>
        <v>7.4699634644312711</v>
      </c>
      <c r="AU1021" s="239">
        <f t="shared" si="479"/>
        <v>7.4764117173068501</v>
      </c>
      <c r="AX1021" s="385"/>
      <c r="AY1021" s="385"/>
      <c r="AZ1021" s="385"/>
      <c r="BA1021" s="265"/>
      <c r="BB1021" s="239"/>
      <c r="BC1021" s="239"/>
      <c r="BD1021" s="240"/>
      <c r="BE1021" s="240"/>
      <c r="BF1021" s="136"/>
      <c r="BG1021" s="136"/>
      <c r="BH1021" s="136"/>
      <c r="BI1021" s="136"/>
    </row>
    <row r="1022" spans="1:61" x14ac:dyDescent="0.2">
      <c r="A1022" s="232" t="s">
        <v>89</v>
      </c>
      <c r="B1022" s="232" t="s">
        <v>260</v>
      </c>
      <c r="C1022" s="445" t="s">
        <v>341</v>
      </c>
      <c r="D1022" s="445" t="s">
        <v>194</v>
      </c>
      <c r="E1022" s="235">
        <v>6.4</v>
      </c>
      <c r="F1022" s="769">
        <v>7.48</v>
      </c>
      <c r="G1022" s="769">
        <f t="shared" si="475"/>
        <v>4.338747099767982</v>
      </c>
      <c r="H1022" s="233">
        <v>21</v>
      </c>
      <c r="I1022" s="235">
        <v>23.4</v>
      </c>
      <c r="J1022" s="235">
        <v>99</v>
      </c>
      <c r="K1022" s="295">
        <v>2</v>
      </c>
      <c r="L1022" s="295">
        <v>1</v>
      </c>
      <c r="M1022" s="235" t="s">
        <v>93</v>
      </c>
      <c r="N1022" s="235">
        <v>300</v>
      </c>
      <c r="O1022" s="295">
        <f t="shared" si="474"/>
        <v>399</v>
      </c>
      <c r="P1022" s="290" t="s">
        <v>157</v>
      </c>
      <c r="Q1022" s="290"/>
      <c r="R1022" s="236">
        <v>3</v>
      </c>
      <c r="S1022" s="285">
        <v>0.76</v>
      </c>
      <c r="T1022" s="388" t="s">
        <v>141</v>
      </c>
      <c r="Y1022" s="292">
        <v>0.77</v>
      </c>
      <c r="Z1022" s="301" t="s">
        <v>141</v>
      </c>
      <c r="AA1022" s="233"/>
      <c r="AB1022" s="232"/>
      <c r="AC1022" s="232"/>
      <c r="AD1022" s="232"/>
      <c r="AE1022" s="136"/>
      <c r="AF1022" s="239">
        <f t="shared" si="468"/>
        <v>5.7037824746562009</v>
      </c>
      <c r="AG1022" s="239">
        <f t="shared" si="469"/>
        <v>5.9889614168898637</v>
      </c>
      <c r="AH1022" s="240"/>
      <c r="AI1022" s="240"/>
      <c r="AK1022" s="265">
        <f t="shared" si="470"/>
        <v>900</v>
      </c>
      <c r="AL1022" s="286">
        <f t="shared" si="471"/>
        <v>999</v>
      </c>
      <c r="AM1022" s="239">
        <f t="shared" si="472"/>
        <v>6.8023947633243109</v>
      </c>
      <c r="AN1022" s="239">
        <f t="shared" si="473"/>
        <v>6.9067547786485539</v>
      </c>
      <c r="AO1022" s="240"/>
      <c r="AP1022" s="240"/>
      <c r="AR1022" s="286">
        <f t="shared" si="476"/>
        <v>307.53370038806645</v>
      </c>
      <c r="AS1022" s="286">
        <f t="shared" si="477"/>
        <v>336.57318396804283</v>
      </c>
      <c r="AT1022" s="239">
        <f t="shared" si="478"/>
        <v>5.7285846759994454</v>
      </c>
      <c r="AU1022" s="239">
        <f t="shared" si="479"/>
        <v>5.8188156112273086</v>
      </c>
      <c r="AX1022" s="385"/>
      <c r="AY1022" s="385"/>
      <c r="AZ1022" s="385"/>
      <c r="BA1022" s="265"/>
      <c r="BB1022" s="239"/>
      <c r="BC1022" s="239"/>
      <c r="BD1022" s="240"/>
      <c r="BE1022" s="240"/>
      <c r="BF1022" s="136"/>
      <c r="BG1022" s="136"/>
      <c r="BH1022" s="136"/>
      <c r="BI1022" s="136"/>
    </row>
    <row r="1023" spans="1:61" x14ac:dyDescent="0.2">
      <c r="A1023" s="232" t="s">
        <v>89</v>
      </c>
      <c r="B1023" s="232" t="s">
        <v>260</v>
      </c>
      <c r="C1023" s="445" t="s">
        <v>341</v>
      </c>
      <c r="D1023" s="445" t="s">
        <v>194</v>
      </c>
      <c r="E1023" s="235">
        <v>6.8</v>
      </c>
      <c r="F1023" s="769">
        <v>1.6659999999999999</v>
      </c>
      <c r="G1023" s="769">
        <f t="shared" si="475"/>
        <v>0.96635730858468671</v>
      </c>
      <c r="H1023" s="233">
        <v>15</v>
      </c>
      <c r="I1023" s="235">
        <v>8.9</v>
      </c>
      <c r="J1023" s="235">
        <v>54</v>
      </c>
      <c r="K1023" s="295">
        <v>2</v>
      </c>
      <c r="L1023" s="295">
        <v>1</v>
      </c>
      <c r="M1023" s="235" t="s">
        <v>93</v>
      </c>
      <c r="N1023" s="235">
        <v>50</v>
      </c>
      <c r="O1023" s="295">
        <f t="shared" si="474"/>
        <v>104</v>
      </c>
      <c r="P1023" s="290" t="s">
        <v>157</v>
      </c>
      <c r="Q1023" s="290"/>
      <c r="R1023" s="236">
        <v>3</v>
      </c>
      <c r="S1023" s="285">
        <v>0.76</v>
      </c>
      <c r="T1023" s="388" t="s">
        <v>141</v>
      </c>
      <c r="Y1023" s="292">
        <v>0.77</v>
      </c>
      <c r="Z1023" s="301" t="s">
        <v>141</v>
      </c>
      <c r="AA1023" s="233"/>
      <c r="AB1023" s="232"/>
      <c r="AC1023" s="232"/>
      <c r="AD1023" s="232"/>
      <c r="AE1023" s="136"/>
      <c r="AF1023" s="239">
        <f t="shared" si="468"/>
        <v>3.912023005428146</v>
      </c>
      <c r="AG1023" s="239">
        <f t="shared" si="469"/>
        <v>4.6443908991413725</v>
      </c>
      <c r="AH1023" s="240"/>
      <c r="AI1023" s="240"/>
      <c r="AK1023" s="265">
        <f t="shared" si="470"/>
        <v>150</v>
      </c>
      <c r="AL1023" s="286">
        <f t="shared" si="471"/>
        <v>204</v>
      </c>
      <c r="AM1023" s="239">
        <f t="shared" si="472"/>
        <v>5.0106352940962555</v>
      </c>
      <c r="AN1023" s="239">
        <f t="shared" si="473"/>
        <v>5.3181199938442161</v>
      </c>
      <c r="AO1023" s="240"/>
      <c r="AP1023" s="240"/>
      <c r="AR1023" s="286">
        <f t="shared" si="476"/>
        <v>81.246554770388201</v>
      </c>
      <c r="AS1023" s="286">
        <f t="shared" si="477"/>
        <v>109.60745531769356</v>
      </c>
      <c r="AT1023" s="239">
        <f t="shared" si="478"/>
        <v>4.3974884174848299</v>
      </c>
      <c r="AU1023" s="239">
        <f t="shared" si="479"/>
        <v>4.6969053951721147</v>
      </c>
      <c r="AX1023" s="385"/>
      <c r="AY1023" s="385"/>
      <c r="AZ1023" s="385"/>
      <c r="BA1023" s="265"/>
      <c r="BB1023" s="239"/>
      <c r="BC1023" s="239"/>
      <c r="BD1023" s="240"/>
      <c r="BE1023" s="240"/>
      <c r="BF1023" s="136"/>
      <c r="BG1023" s="136"/>
      <c r="BH1023" s="136"/>
      <c r="BI1023" s="136"/>
    </row>
    <row r="1024" spans="1:61" x14ac:dyDescent="0.2">
      <c r="A1024" s="232" t="s">
        <v>89</v>
      </c>
      <c r="B1024" s="232" t="s">
        <v>260</v>
      </c>
      <c r="C1024" s="445" t="s">
        <v>341</v>
      </c>
      <c r="D1024" s="445" t="s">
        <v>194</v>
      </c>
      <c r="E1024" s="235">
        <v>7.4</v>
      </c>
      <c r="F1024" s="769">
        <v>2.2000000000000002</v>
      </c>
      <c r="G1024" s="769">
        <f t="shared" si="475"/>
        <v>1.2761020881670535</v>
      </c>
      <c r="H1024" s="233">
        <v>27</v>
      </c>
      <c r="I1024" s="235">
        <v>20</v>
      </c>
      <c r="J1024" s="235">
        <v>51</v>
      </c>
      <c r="K1024" s="295">
        <v>2</v>
      </c>
      <c r="L1024" s="295">
        <v>1</v>
      </c>
      <c r="M1024" s="235" t="s">
        <v>93</v>
      </c>
      <c r="N1024" s="235">
        <v>100</v>
      </c>
      <c r="O1024" s="295">
        <f t="shared" si="474"/>
        <v>151</v>
      </c>
      <c r="P1024" s="290" t="s">
        <v>157</v>
      </c>
      <c r="Q1024" s="290"/>
      <c r="R1024" s="236">
        <v>3</v>
      </c>
      <c r="S1024" s="285">
        <v>0.76</v>
      </c>
      <c r="T1024" s="388" t="s">
        <v>141</v>
      </c>
      <c r="Y1024" s="292">
        <v>0.77</v>
      </c>
      <c r="Z1024" s="301" t="s">
        <v>141</v>
      </c>
      <c r="AA1024" s="233"/>
      <c r="AB1024" s="232"/>
      <c r="AC1024" s="232"/>
      <c r="AD1024" s="232"/>
      <c r="AE1024" s="136"/>
      <c r="AF1024" s="239">
        <f t="shared" si="468"/>
        <v>4.6051701859880918</v>
      </c>
      <c r="AG1024" s="239">
        <f t="shared" si="469"/>
        <v>5.0172798368149243</v>
      </c>
      <c r="AH1024" s="240"/>
      <c r="AI1024" s="240"/>
      <c r="AK1024" s="265">
        <f t="shared" si="470"/>
        <v>300</v>
      </c>
      <c r="AL1024" s="286">
        <f t="shared" si="471"/>
        <v>351</v>
      </c>
      <c r="AM1024" s="239">
        <f t="shared" si="472"/>
        <v>5.7037824746562009</v>
      </c>
      <c r="AN1024" s="239">
        <f t="shared" si="473"/>
        <v>5.8607862234658654</v>
      </c>
      <c r="AO1024" s="240"/>
      <c r="AP1024" s="240"/>
      <c r="AR1024" s="286">
        <f t="shared" si="476"/>
        <v>169.70743647173873</v>
      </c>
      <c r="AS1024" s="286">
        <f t="shared" si="477"/>
        <v>197.07484953419208</v>
      </c>
      <c r="AT1024" s="239">
        <f t="shared" si="478"/>
        <v>5.1340759925631367</v>
      </c>
      <c r="AU1024" s="239">
        <f t="shared" si="479"/>
        <v>5.2835836034505244</v>
      </c>
      <c r="AX1024" s="385"/>
      <c r="AY1024" s="385"/>
      <c r="AZ1024" s="385"/>
      <c r="BA1024" s="265"/>
      <c r="BB1024" s="239"/>
      <c r="BC1024" s="239"/>
      <c r="BD1024" s="240"/>
      <c r="BE1024" s="240"/>
      <c r="BF1024" s="136"/>
      <c r="BG1024" s="136"/>
      <c r="BH1024" s="136"/>
      <c r="BI1024" s="136"/>
    </row>
    <row r="1025" spans="1:61" x14ac:dyDescent="0.2">
      <c r="A1025" s="232" t="s">
        <v>89</v>
      </c>
      <c r="B1025" s="232" t="s">
        <v>260</v>
      </c>
      <c r="C1025" s="445" t="s">
        <v>341</v>
      </c>
      <c r="D1025" s="445" t="s">
        <v>194</v>
      </c>
      <c r="E1025" s="235">
        <v>7.4</v>
      </c>
      <c r="F1025" s="769">
        <v>4.5</v>
      </c>
      <c r="G1025" s="769">
        <f t="shared" si="475"/>
        <v>2.6102088167053363</v>
      </c>
      <c r="H1025" s="233">
        <v>46</v>
      </c>
      <c r="I1025" s="235">
        <v>36.299999999999997</v>
      </c>
      <c r="J1025" s="235">
        <v>51</v>
      </c>
      <c r="K1025" s="295">
        <v>2</v>
      </c>
      <c r="L1025" s="295">
        <v>1</v>
      </c>
      <c r="M1025" s="235" t="s">
        <v>93</v>
      </c>
      <c r="N1025" s="235">
        <v>100</v>
      </c>
      <c r="O1025" s="295">
        <f t="shared" si="474"/>
        <v>151</v>
      </c>
      <c r="P1025" s="290" t="s">
        <v>157</v>
      </c>
      <c r="Q1025" s="290"/>
      <c r="R1025" s="236">
        <v>3</v>
      </c>
      <c r="S1025" s="285">
        <v>0.76</v>
      </c>
      <c r="T1025" s="388" t="s">
        <v>141</v>
      </c>
      <c r="Y1025" s="292">
        <v>0.77</v>
      </c>
      <c r="Z1025" s="301" t="s">
        <v>141</v>
      </c>
      <c r="AA1025" s="233"/>
      <c r="AB1025" s="232"/>
      <c r="AC1025" s="232"/>
      <c r="AD1025" s="232"/>
      <c r="AE1025" s="136"/>
      <c r="AF1025" s="239">
        <f t="shared" si="468"/>
        <v>4.6051701859880918</v>
      </c>
      <c r="AG1025" s="239">
        <f t="shared" si="469"/>
        <v>5.0172798368149243</v>
      </c>
      <c r="AH1025" s="240"/>
      <c r="AI1025" s="240"/>
      <c r="AK1025" s="265">
        <f t="shared" si="470"/>
        <v>300</v>
      </c>
      <c r="AL1025" s="286">
        <f t="shared" si="471"/>
        <v>351</v>
      </c>
      <c r="AM1025" s="239">
        <f t="shared" si="472"/>
        <v>5.7037824746562009</v>
      </c>
      <c r="AN1025" s="239">
        <f t="shared" si="473"/>
        <v>5.8607862234658654</v>
      </c>
      <c r="AO1025" s="240"/>
      <c r="AP1025" s="240"/>
      <c r="AR1025" s="286">
        <f t="shared" si="476"/>
        <v>169.70743647173873</v>
      </c>
      <c r="AS1025" s="286">
        <f t="shared" si="477"/>
        <v>197.07484953419208</v>
      </c>
      <c r="AT1025" s="239">
        <f t="shared" si="478"/>
        <v>5.1340759925631367</v>
      </c>
      <c r="AU1025" s="239">
        <f t="shared" si="479"/>
        <v>5.2835836034505244</v>
      </c>
      <c r="AX1025" s="385"/>
      <c r="AY1025" s="385"/>
      <c r="AZ1025" s="385"/>
      <c r="BA1025" s="265"/>
      <c r="BB1025" s="239"/>
      <c r="BC1025" s="239"/>
      <c r="BD1025" s="240"/>
      <c r="BE1025" s="240"/>
      <c r="BF1025" s="136"/>
      <c r="BG1025" s="136"/>
      <c r="BH1025" s="136"/>
      <c r="BI1025" s="136"/>
    </row>
    <row r="1026" spans="1:61" x14ac:dyDescent="0.2">
      <c r="A1026" s="232" t="s">
        <v>89</v>
      </c>
      <c r="B1026" s="232" t="s">
        <v>260</v>
      </c>
      <c r="C1026" s="445" t="s">
        <v>341</v>
      </c>
      <c r="D1026" s="445" t="s">
        <v>194</v>
      </c>
      <c r="E1026" s="235">
        <v>7.5</v>
      </c>
      <c r="F1026" s="769">
        <v>2.2000000000000002</v>
      </c>
      <c r="G1026" s="769">
        <f t="shared" si="475"/>
        <v>1.2761020881670535</v>
      </c>
      <c r="H1026" s="233">
        <v>26</v>
      </c>
      <c r="I1026" s="235">
        <v>20.100000000000001</v>
      </c>
      <c r="J1026" s="235">
        <v>80</v>
      </c>
      <c r="K1026" s="295">
        <v>2</v>
      </c>
      <c r="L1026" s="295">
        <v>1</v>
      </c>
      <c r="M1026" s="235" t="s">
        <v>93</v>
      </c>
      <c r="N1026" s="235">
        <v>100</v>
      </c>
      <c r="O1026" s="295">
        <f t="shared" si="474"/>
        <v>180</v>
      </c>
      <c r="P1026" s="290" t="s">
        <v>157</v>
      </c>
      <c r="Q1026" s="290"/>
      <c r="R1026" s="236">
        <v>3</v>
      </c>
      <c r="S1026" s="285">
        <v>0.76</v>
      </c>
      <c r="T1026" s="388" t="s">
        <v>141</v>
      </c>
      <c r="Y1026" s="292">
        <v>0.77</v>
      </c>
      <c r="Z1026" s="301" t="s">
        <v>141</v>
      </c>
      <c r="AA1026" s="233"/>
      <c r="AB1026" s="232"/>
      <c r="AC1026" s="232"/>
      <c r="AD1026" s="232"/>
      <c r="AE1026" s="136"/>
      <c r="AF1026" s="239">
        <f t="shared" si="468"/>
        <v>4.6051701859880918</v>
      </c>
      <c r="AG1026" s="239">
        <f t="shared" si="469"/>
        <v>5.1929568508902104</v>
      </c>
      <c r="AH1026" s="240"/>
      <c r="AI1026" s="240"/>
      <c r="AK1026" s="265">
        <f t="shared" si="470"/>
        <v>300</v>
      </c>
      <c r="AL1026" s="286">
        <f t="shared" si="471"/>
        <v>380</v>
      </c>
      <c r="AM1026" s="239">
        <f t="shared" si="472"/>
        <v>5.7037824746562009</v>
      </c>
      <c r="AN1026" s="239">
        <f t="shared" si="473"/>
        <v>5.9401712527204316</v>
      </c>
      <c r="AO1026" s="240"/>
      <c r="AP1026" s="240"/>
      <c r="AR1026" s="286">
        <f t="shared" si="476"/>
        <v>120.53295862369342</v>
      </c>
      <c r="AS1026" s="286">
        <f t="shared" si="477"/>
        <v>150.85420810978189</v>
      </c>
      <c r="AT1026" s="239">
        <f t="shared" si="478"/>
        <v>4.7919232310814737</v>
      </c>
      <c r="AU1026" s="239">
        <f t="shared" si="479"/>
        <v>5.0163138612039315</v>
      </c>
      <c r="AX1026" s="385"/>
      <c r="AY1026" s="385"/>
      <c r="AZ1026" s="385"/>
      <c r="BA1026" s="265"/>
      <c r="BB1026" s="239"/>
      <c r="BC1026" s="239"/>
      <c r="BD1026" s="240"/>
      <c r="BE1026" s="240"/>
      <c r="BF1026" s="136"/>
      <c r="BG1026" s="136"/>
      <c r="BH1026" s="136"/>
      <c r="BI1026" s="136"/>
    </row>
    <row r="1027" spans="1:61" x14ac:dyDescent="0.2">
      <c r="A1027" s="275" t="s">
        <v>89</v>
      </c>
      <c r="B1027" s="275" t="s">
        <v>260</v>
      </c>
      <c r="C1027" s="290" t="s">
        <v>341</v>
      </c>
      <c r="D1027" s="290" t="s">
        <v>194</v>
      </c>
      <c r="E1027" s="295">
        <v>7.5</v>
      </c>
      <c r="F1027" s="287">
        <v>0.66</v>
      </c>
      <c r="G1027" s="287">
        <f t="shared" si="475"/>
        <v>0.38283062645011601</v>
      </c>
      <c r="H1027" s="405">
        <v>25</v>
      </c>
      <c r="I1027" s="295">
        <v>16.899999999999999</v>
      </c>
      <c r="J1027" s="295">
        <v>27</v>
      </c>
      <c r="K1027" s="295">
        <v>2</v>
      </c>
      <c r="L1027" s="295">
        <v>1</v>
      </c>
      <c r="M1027" s="295" t="s">
        <v>93</v>
      </c>
      <c r="N1027" s="295">
        <v>100</v>
      </c>
      <c r="O1027" s="295">
        <f t="shared" si="474"/>
        <v>127</v>
      </c>
      <c r="P1027" s="290" t="s">
        <v>157</v>
      </c>
      <c r="Q1027" s="290"/>
      <c r="R1027" s="285">
        <v>3</v>
      </c>
      <c r="S1027" s="285">
        <v>0.76</v>
      </c>
      <c r="T1027" s="388" t="s">
        <v>141</v>
      </c>
      <c r="U1027" s="285"/>
      <c r="V1027" s="388"/>
      <c r="W1027" s="388"/>
      <c r="X1027" s="388"/>
      <c r="Y1027" s="292">
        <v>0.77</v>
      </c>
      <c r="Z1027" s="301" t="s">
        <v>141</v>
      </c>
      <c r="AA1027" s="405"/>
      <c r="AB1027" s="275"/>
      <c r="AC1027" s="275"/>
      <c r="AD1027" s="275"/>
      <c r="AE1027" s="238"/>
      <c r="AF1027" s="239">
        <f t="shared" si="468"/>
        <v>4.6051701859880918</v>
      </c>
      <c r="AG1027" s="239">
        <f t="shared" si="469"/>
        <v>4.8441870864585912</v>
      </c>
      <c r="AH1027" s="240"/>
      <c r="AI1027" s="240"/>
      <c r="AK1027" s="265">
        <f t="shared" si="470"/>
        <v>300</v>
      </c>
      <c r="AL1027" s="286">
        <f t="shared" si="471"/>
        <v>327</v>
      </c>
      <c r="AM1027" s="239">
        <f t="shared" si="472"/>
        <v>5.7037824746562009</v>
      </c>
      <c r="AN1027" s="239">
        <f t="shared" si="473"/>
        <v>5.7899601708972535</v>
      </c>
      <c r="AO1027" s="240"/>
      <c r="AP1027" s="240"/>
      <c r="AR1027" s="286">
        <f t="shared" si="476"/>
        <v>275.18055758972611</v>
      </c>
      <c r="AS1027" s="286">
        <f t="shared" si="477"/>
        <v>299.6061866880043</v>
      </c>
      <c r="AT1027" s="239">
        <f t="shared" si="478"/>
        <v>5.6174274552703336</v>
      </c>
      <c r="AU1027" s="239">
        <f t="shared" si="479"/>
        <v>5.7024689012563092</v>
      </c>
      <c r="AX1027" s="265"/>
      <c r="AY1027" s="265"/>
      <c r="AZ1027" s="265"/>
      <c r="BA1027" s="265"/>
      <c r="BB1027" s="239"/>
      <c r="BC1027" s="239"/>
      <c r="BD1027" s="240"/>
      <c r="BE1027" s="240"/>
      <c r="BF1027" s="136"/>
      <c r="BG1027" s="136"/>
      <c r="BH1027" s="136"/>
      <c r="BI1027" s="136"/>
    </row>
    <row r="1028" spans="1:61" x14ac:dyDescent="0.2">
      <c r="A1028" s="232" t="s">
        <v>89</v>
      </c>
      <c r="B1028" s="232" t="s">
        <v>260</v>
      </c>
      <c r="C1028" s="445" t="s">
        <v>341</v>
      </c>
      <c r="D1028" s="445" t="s">
        <v>304</v>
      </c>
      <c r="E1028" s="235">
        <v>6.7</v>
      </c>
      <c r="F1028" s="775">
        <f>G1028*1.724</f>
        <v>2.01708</v>
      </c>
      <c r="G1028" s="769">
        <v>1.17</v>
      </c>
      <c r="H1028" s="235">
        <v>14</v>
      </c>
      <c r="I1028" s="435">
        <v>6.9</v>
      </c>
      <c r="J1028" s="235">
        <v>14</v>
      </c>
      <c r="K1028" s="295">
        <v>0</v>
      </c>
      <c r="L1028" s="295">
        <v>4</v>
      </c>
      <c r="M1028" s="235" t="s">
        <v>93</v>
      </c>
      <c r="N1028" s="235">
        <v>300</v>
      </c>
      <c r="O1028" s="295">
        <f t="shared" si="474"/>
        <v>314</v>
      </c>
      <c r="P1028" s="290" t="s">
        <v>163</v>
      </c>
      <c r="Q1028" s="290"/>
      <c r="R1028" s="236">
        <v>3</v>
      </c>
      <c r="S1028" s="285">
        <v>0.76</v>
      </c>
      <c r="T1028" s="388" t="s">
        <v>141</v>
      </c>
      <c r="Y1028" s="292">
        <v>0.77</v>
      </c>
      <c r="Z1028" s="301" t="s">
        <v>141</v>
      </c>
      <c r="AA1028" s="233"/>
      <c r="AB1028" s="232"/>
      <c r="AC1028" s="232"/>
      <c r="AD1028" s="232"/>
      <c r="AE1028" s="136"/>
      <c r="AF1028" s="239">
        <f t="shared" si="468"/>
        <v>5.7037824746562009</v>
      </c>
      <c r="AG1028" s="239">
        <f t="shared" si="469"/>
        <v>5.7493929859082531</v>
      </c>
      <c r="AH1028" s="240"/>
      <c r="AI1028" s="240"/>
      <c r="AK1028" s="265">
        <f t="shared" si="470"/>
        <v>900</v>
      </c>
      <c r="AL1028" s="286">
        <f t="shared" si="471"/>
        <v>914</v>
      </c>
      <c r="AM1028" s="239">
        <f t="shared" si="472"/>
        <v>6.8023947633243109</v>
      </c>
      <c r="AN1028" s="239">
        <f t="shared" si="473"/>
        <v>6.8178305714541496</v>
      </c>
      <c r="AO1028" s="240"/>
      <c r="AP1028" s="240"/>
      <c r="AR1028" s="286">
        <f t="shared" si="476"/>
        <v>1359.9350110479243</v>
      </c>
      <c r="AS1028" s="286">
        <f t="shared" si="477"/>
        <v>1388.6114150521275</v>
      </c>
      <c r="AT1028" s="239">
        <f t="shared" si="478"/>
        <v>7.2151921915941371</v>
      </c>
      <c r="AU1028" s="239">
        <f t="shared" si="479"/>
        <v>7.2360595448327905</v>
      </c>
      <c r="AX1028" s="385"/>
      <c r="AY1028" s="385"/>
      <c r="AZ1028" s="385"/>
      <c r="BA1028" s="265"/>
      <c r="BB1028" s="239"/>
      <c r="BC1028" s="239"/>
      <c r="BD1028" s="240"/>
      <c r="BE1028" s="240"/>
      <c r="BF1028" s="136"/>
      <c r="BG1028" s="136"/>
      <c r="BH1028" s="136"/>
      <c r="BI1028" s="136"/>
    </row>
    <row r="1029" spans="1:61" s="165" customFormat="1" x14ac:dyDescent="0.2">
      <c r="A1029" s="156" t="s">
        <v>89</v>
      </c>
      <c r="B1029" s="156" t="s">
        <v>260</v>
      </c>
      <c r="C1029" s="326" t="s">
        <v>341</v>
      </c>
      <c r="D1029" s="326" t="s">
        <v>162</v>
      </c>
      <c r="E1029" s="231">
        <v>6.7</v>
      </c>
      <c r="F1029" s="336">
        <v>1.2</v>
      </c>
      <c r="G1029" s="334">
        <f>F1029/1.724</f>
        <v>0.69605568445475641</v>
      </c>
      <c r="H1029" s="231">
        <v>4</v>
      </c>
      <c r="I1029" s="329">
        <v>11.3</v>
      </c>
      <c r="J1029" s="231">
        <v>41</v>
      </c>
      <c r="K1029" s="231">
        <v>63</v>
      </c>
      <c r="L1029" s="231">
        <v>1</v>
      </c>
      <c r="M1029" s="231" t="s">
        <v>93</v>
      </c>
      <c r="N1029" s="231">
        <v>80</v>
      </c>
      <c r="O1029" s="231">
        <f t="shared" si="474"/>
        <v>121</v>
      </c>
      <c r="P1029" s="326" t="s">
        <v>164</v>
      </c>
      <c r="Q1029" s="326"/>
      <c r="R1029" s="163">
        <v>3</v>
      </c>
      <c r="S1029" s="163">
        <v>0.76</v>
      </c>
      <c r="T1029" s="162" t="s">
        <v>141</v>
      </c>
      <c r="U1029" s="163"/>
      <c r="V1029" s="162"/>
      <c r="W1029" s="162"/>
      <c r="X1029" s="162"/>
      <c r="Y1029" s="328">
        <v>0.77</v>
      </c>
      <c r="Z1029" s="314" t="s">
        <v>141</v>
      </c>
      <c r="AA1029" s="160"/>
      <c r="AB1029" s="156"/>
      <c r="AC1029" s="156"/>
      <c r="AD1029" s="156"/>
      <c r="AF1029" s="166">
        <f t="shared" si="468"/>
        <v>4.3820266346738812</v>
      </c>
      <c r="AG1029" s="166">
        <f t="shared" si="469"/>
        <v>4.7957905455967413</v>
      </c>
      <c r="AH1029" s="169"/>
      <c r="AI1029" s="169"/>
      <c r="AK1029" s="168">
        <f t="shared" si="470"/>
        <v>240</v>
      </c>
      <c r="AL1029" s="337">
        <f t="shared" si="471"/>
        <v>281</v>
      </c>
      <c r="AM1029" s="166">
        <f t="shared" si="472"/>
        <v>5.4806389233419912</v>
      </c>
      <c r="AN1029" s="166">
        <f t="shared" si="473"/>
        <v>5.6383546693337454</v>
      </c>
      <c r="AO1029" s="169"/>
      <c r="AP1029" s="169"/>
      <c r="AR1029" s="337">
        <f t="shared" si="476"/>
        <v>160.26122680688951</v>
      </c>
      <c r="AS1029" s="337">
        <f t="shared" si="477"/>
        <v>186.64479063260305</v>
      </c>
      <c r="AT1029" s="166">
        <f t="shared" si="478"/>
        <v>5.076805151424141</v>
      </c>
      <c r="AU1029" s="166">
        <f t="shared" si="479"/>
        <v>5.2292072951538175</v>
      </c>
      <c r="AV1029" s="167"/>
      <c r="AW1029" s="167"/>
      <c r="AX1029" s="168"/>
      <c r="AY1029" s="168"/>
      <c r="AZ1029" s="168"/>
      <c r="BA1029" s="168"/>
      <c r="BB1029" s="166"/>
      <c r="BC1029" s="166"/>
      <c r="BD1029" s="169"/>
      <c r="BE1029" s="169"/>
    </row>
    <row r="1030" spans="1:61" x14ac:dyDescent="0.2">
      <c r="A1030" s="232" t="s">
        <v>89</v>
      </c>
      <c r="B1030" s="232" t="s">
        <v>260</v>
      </c>
      <c r="C1030" s="445" t="s">
        <v>341</v>
      </c>
      <c r="D1030" s="445" t="s">
        <v>348</v>
      </c>
      <c r="E1030" s="235">
        <v>6.9</v>
      </c>
      <c r="F1030" s="451">
        <v>2.2000000000000002</v>
      </c>
      <c r="G1030" s="769">
        <f t="shared" ref="G1030:G1036" si="480">F1030/1.724</f>
        <v>1.2761020881670535</v>
      </c>
      <c r="H1030" s="235">
        <v>44</v>
      </c>
      <c r="I1030" s="435">
        <v>27.5</v>
      </c>
      <c r="J1030" s="235">
        <v>11.1</v>
      </c>
      <c r="K1030" s="295">
        <v>0</v>
      </c>
      <c r="L1030" s="295">
        <v>90</v>
      </c>
      <c r="M1030" s="235" t="s">
        <v>165</v>
      </c>
      <c r="N1030" s="235">
        <v>17</v>
      </c>
      <c r="O1030" s="295">
        <f t="shared" si="474"/>
        <v>28.1</v>
      </c>
      <c r="P1030" s="290" t="s">
        <v>166</v>
      </c>
      <c r="Q1030" s="290"/>
      <c r="R1030" s="236">
        <v>3</v>
      </c>
      <c r="S1030" s="285">
        <v>0.76</v>
      </c>
      <c r="T1030" s="388" t="s">
        <v>141</v>
      </c>
      <c r="Y1030" s="292">
        <v>0.77</v>
      </c>
      <c r="Z1030" s="301" t="s">
        <v>141</v>
      </c>
      <c r="AA1030" s="233"/>
      <c r="AB1030" s="232"/>
      <c r="AC1030" s="232"/>
      <c r="AD1030" s="232"/>
      <c r="AE1030" s="136"/>
      <c r="AF1030" s="239">
        <f t="shared" si="468"/>
        <v>2.8332133440562162</v>
      </c>
      <c r="AG1030" s="239">
        <f t="shared" si="469"/>
        <v>3.3357695763396999</v>
      </c>
      <c r="AH1030" s="240"/>
      <c r="AI1030" s="240"/>
      <c r="AK1030" s="265">
        <f t="shared" si="470"/>
        <v>51</v>
      </c>
      <c r="AL1030" s="286">
        <f t="shared" si="471"/>
        <v>62.1</v>
      </c>
      <c r="AM1030" s="239">
        <f t="shared" si="472"/>
        <v>3.9318256327243257</v>
      </c>
      <c r="AN1030" s="239">
        <f t="shared" si="473"/>
        <v>4.1287459889394329</v>
      </c>
      <c r="AO1030" s="240"/>
      <c r="AP1030" s="240"/>
      <c r="AR1030" s="286">
        <f t="shared" si="476"/>
        <v>91.930085614833729</v>
      </c>
      <c r="AS1030" s="286">
        <f t="shared" si="477"/>
        <v>112.80959220385806</v>
      </c>
      <c r="AT1030" s="239">
        <f t="shared" si="478"/>
        <v>4.5210283491798497</v>
      </c>
      <c r="AU1030" s="239">
        <f t="shared" si="479"/>
        <v>4.7257013727167401</v>
      </c>
      <c r="AX1030" s="385">
        <f>GEOMEAN(AR1030:AR1043)</f>
        <v>240.06885179437324</v>
      </c>
      <c r="AY1030" s="385">
        <f>GEOMEAN(AS1030:AS1043)</f>
        <v>272.07143932244429</v>
      </c>
      <c r="AZ1030" s="385">
        <f>MIN(AX1030:AX1043)</f>
        <v>240.06885179437324</v>
      </c>
      <c r="BA1030" s="385">
        <f>MIN(AY1030:AY1043)</f>
        <v>272.07143932244429</v>
      </c>
      <c r="BB1030" s="239">
        <f>LN(AZ1030)</f>
        <v>5.4809257646756375</v>
      </c>
      <c r="BC1030" s="239">
        <f>LN(BA1030)</f>
        <v>5.6060646763787609</v>
      </c>
      <c r="BD1030" s="240"/>
      <c r="BE1030" s="240"/>
      <c r="BF1030" s="136"/>
      <c r="BG1030" s="136"/>
      <c r="BH1030" s="136"/>
      <c r="BI1030" s="136"/>
    </row>
    <row r="1031" spans="1:61" x14ac:dyDescent="0.2">
      <c r="A1031" s="232" t="s">
        <v>89</v>
      </c>
      <c r="B1031" s="232" t="s">
        <v>260</v>
      </c>
      <c r="C1031" s="445" t="s">
        <v>341</v>
      </c>
      <c r="D1031" s="445" t="s">
        <v>171</v>
      </c>
      <c r="E1031" s="235">
        <v>6.7</v>
      </c>
      <c r="F1031" s="451">
        <v>3</v>
      </c>
      <c r="G1031" s="769">
        <f t="shared" si="480"/>
        <v>1.740139211136891</v>
      </c>
      <c r="H1031" s="235">
        <v>27</v>
      </c>
      <c r="I1031" s="435">
        <v>14</v>
      </c>
      <c r="J1031" s="753">
        <v>51</v>
      </c>
      <c r="K1031" s="295">
        <v>0</v>
      </c>
      <c r="L1031" s="295">
        <v>45</v>
      </c>
      <c r="M1031" s="233" t="s">
        <v>93</v>
      </c>
      <c r="N1031" s="235">
        <v>110</v>
      </c>
      <c r="O1031" s="295">
        <f t="shared" si="474"/>
        <v>161</v>
      </c>
      <c r="P1031" s="290" t="s">
        <v>167</v>
      </c>
      <c r="Q1031" s="290"/>
      <c r="R1031" s="236">
        <v>3</v>
      </c>
      <c r="S1031" s="285">
        <v>0.76</v>
      </c>
      <c r="T1031" s="388" t="s">
        <v>141</v>
      </c>
      <c r="Y1031" s="292">
        <v>0.77</v>
      </c>
      <c r="Z1031" s="301" t="s">
        <v>141</v>
      </c>
      <c r="AA1031" s="233"/>
      <c r="AB1031" s="232"/>
      <c r="AC1031" s="232"/>
      <c r="AD1031" s="232"/>
      <c r="AE1031" s="136"/>
      <c r="AF1031" s="239">
        <f t="shared" si="468"/>
        <v>4.7004803657924166</v>
      </c>
      <c r="AG1031" s="239">
        <f t="shared" si="469"/>
        <v>5.0814043649844631</v>
      </c>
      <c r="AH1031" s="240"/>
      <c r="AI1031" s="240"/>
      <c r="AK1031" s="265">
        <f t="shared" si="470"/>
        <v>330</v>
      </c>
      <c r="AL1031" s="286">
        <f t="shared" si="471"/>
        <v>381</v>
      </c>
      <c r="AM1031" s="239">
        <f t="shared" si="472"/>
        <v>5.7990926544605257</v>
      </c>
      <c r="AN1031" s="239">
        <f t="shared" si="473"/>
        <v>5.9427993751267012</v>
      </c>
      <c r="AO1031" s="240"/>
      <c r="AP1031" s="240"/>
      <c r="AR1031" s="286"/>
      <c r="AS1031" s="286"/>
      <c r="AT1031" s="239"/>
      <c r="AU1031" s="239"/>
      <c r="AX1031" s="385"/>
      <c r="AY1031" s="385"/>
      <c r="AZ1031" s="385"/>
      <c r="BA1031" s="265"/>
      <c r="BB1031" s="239"/>
      <c r="BC1031" s="239"/>
      <c r="BD1031" s="240"/>
      <c r="BE1031" s="240"/>
      <c r="BF1031" s="136"/>
      <c r="BG1031" s="136"/>
      <c r="BH1031" s="136"/>
      <c r="BI1031" s="136"/>
    </row>
    <row r="1032" spans="1:61" x14ac:dyDescent="0.2">
      <c r="A1032" s="232" t="s">
        <v>89</v>
      </c>
      <c r="B1032" s="232" t="s">
        <v>260</v>
      </c>
      <c r="C1032" s="445" t="s">
        <v>341</v>
      </c>
      <c r="D1032" s="445" t="s">
        <v>171</v>
      </c>
      <c r="E1032" s="235">
        <v>7</v>
      </c>
      <c r="F1032" s="451">
        <v>6</v>
      </c>
      <c r="G1032" s="769">
        <f t="shared" si="480"/>
        <v>3.4802784222737819</v>
      </c>
      <c r="H1032" s="235">
        <v>51</v>
      </c>
      <c r="I1032" s="435">
        <v>25.1</v>
      </c>
      <c r="J1032" s="753">
        <v>51</v>
      </c>
      <c r="K1032" s="295">
        <v>0</v>
      </c>
      <c r="L1032" s="295">
        <v>45</v>
      </c>
      <c r="M1032" s="233" t="s">
        <v>93</v>
      </c>
      <c r="N1032" s="235">
        <v>165</v>
      </c>
      <c r="O1032" s="295">
        <f t="shared" si="474"/>
        <v>216</v>
      </c>
      <c r="P1032" s="290" t="s">
        <v>167</v>
      </c>
      <c r="Q1032" s="290"/>
      <c r="R1032" s="236">
        <v>3</v>
      </c>
      <c r="S1032" s="285">
        <v>0.76</v>
      </c>
      <c r="T1032" s="388" t="s">
        <v>141</v>
      </c>
      <c r="Y1032" s="292">
        <v>0.77</v>
      </c>
      <c r="Z1032" s="301" t="s">
        <v>141</v>
      </c>
      <c r="AA1032" s="233"/>
      <c r="AB1032" s="232"/>
      <c r="AC1032" s="232"/>
      <c r="AD1032" s="232"/>
      <c r="AE1032" s="136"/>
      <c r="AF1032" s="239">
        <f t="shared" si="468"/>
        <v>5.1059454739005803</v>
      </c>
      <c r="AG1032" s="239">
        <f t="shared" si="469"/>
        <v>5.3752784076841653</v>
      </c>
      <c r="AH1032" s="240"/>
      <c r="AI1032" s="240"/>
      <c r="AK1032" s="265">
        <f t="shared" si="470"/>
        <v>495</v>
      </c>
      <c r="AL1032" s="286">
        <f t="shared" si="471"/>
        <v>546</v>
      </c>
      <c r="AM1032" s="239">
        <f t="shared" si="472"/>
        <v>6.2045577625686903</v>
      </c>
      <c r="AN1032" s="239">
        <f t="shared" si="473"/>
        <v>6.3026189757449051</v>
      </c>
      <c r="AO1032" s="240"/>
      <c r="AP1032" s="240"/>
      <c r="AR1032" s="286"/>
      <c r="AS1032" s="286"/>
      <c r="AT1032" s="239"/>
      <c r="AU1032" s="239"/>
      <c r="AX1032" s="385"/>
      <c r="AY1032" s="385"/>
      <c r="AZ1032" s="385"/>
      <c r="BA1032" s="265"/>
      <c r="BB1032" s="239"/>
      <c r="BC1032" s="239"/>
      <c r="BD1032" s="240"/>
      <c r="BE1032" s="240"/>
      <c r="BF1032" s="136"/>
      <c r="BG1032" s="136"/>
      <c r="BH1032" s="136"/>
      <c r="BI1032" s="136"/>
    </row>
    <row r="1033" spans="1:61" x14ac:dyDescent="0.2">
      <c r="A1033" s="232" t="s">
        <v>89</v>
      </c>
      <c r="B1033" s="232" t="s">
        <v>260</v>
      </c>
      <c r="C1033" s="445" t="s">
        <v>341</v>
      </c>
      <c r="D1033" s="445" t="s">
        <v>171</v>
      </c>
      <c r="E1033" s="235">
        <v>7.2</v>
      </c>
      <c r="F1033" s="451">
        <v>2</v>
      </c>
      <c r="G1033" s="769">
        <f t="shared" si="480"/>
        <v>1.160092807424594</v>
      </c>
      <c r="H1033" s="235">
        <v>21</v>
      </c>
      <c r="I1033" s="435">
        <v>18.399999999999999</v>
      </c>
      <c r="J1033" s="753">
        <v>51</v>
      </c>
      <c r="K1033" s="295">
        <v>0</v>
      </c>
      <c r="L1033" s="295">
        <v>45</v>
      </c>
      <c r="M1033" s="233" t="s">
        <v>93</v>
      </c>
      <c r="N1033" s="235">
        <v>110</v>
      </c>
      <c r="O1033" s="295">
        <f t="shared" si="474"/>
        <v>161</v>
      </c>
      <c r="P1033" s="290" t="s">
        <v>167</v>
      </c>
      <c r="Q1033" s="290"/>
      <c r="R1033" s="236">
        <v>3</v>
      </c>
      <c r="S1033" s="285">
        <v>0.76</v>
      </c>
      <c r="T1033" s="388" t="s">
        <v>141</v>
      </c>
      <c r="Y1033" s="292">
        <v>0.77</v>
      </c>
      <c r="Z1033" s="301" t="s">
        <v>141</v>
      </c>
      <c r="AA1033" s="233"/>
      <c r="AB1033" s="232"/>
      <c r="AC1033" s="232"/>
      <c r="AD1033" s="232"/>
      <c r="AE1033" s="136"/>
      <c r="AF1033" s="239">
        <f t="shared" si="468"/>
        <v>4.7004803657924166</v>
      </c>
      <c r="AG1033" s="239">
        <f t="shared" si="469"/>
        <v>5.0814043649844631</v>
      </c>
      <c r="AH1033" s="240"/>
      <c r="AI1033" s="240"/>
      <c r="AK1033" s="265">
        <f t="shared" si="470"/>
        <v>330</v>
      </c>
      <c r="AL1033" s="286">
        <f t="shared" si="471"/>
        <v>381</v>
      </c>
      <c r="AM1033" s="239">
        <f t="shared" si="472"/>
        <v>5.7990926544605257</v>
      </c>
      <c r="AN1033" s="239">
        <f t="shared" si="473"/>
        <v>5.9427993751267012</v>
      </c>
      <c r="AO1033" s="240"/>
      <c r="AP1033" s="240"/>
      <c r="AR1033" s="286"/>
      <c r="AS1033" s="286"/>
      <c r="AT1033" s="239"/>
      <c r="AU1033" s="239"/>
      <c r="AX1033" s="385"/>
      <c r="AY1033" s="385"/>
      <c r="AZ1033" s="385"/>
      <c r="BA1033" s="265"/>
      <c r="BB1033" s="239"/>
      <c r="BC1033" s="239"/>
      <c r="BD1033" s="240"/>
      <c r="BE1033" s="240"/>
      <c r="BF1033" s="136"/>
      <c r="BG1033" s="136"/>
      <c r="BH1033" s="136"/>
      <c r="BI1033" s="136"/>
    </row>
    <row r="1034" spans="1:61" x14ac:dyDescent="0.2">
      <c r="A1034" s="232" t="s">
        <v>89</v>
      </c>
      <c r="B1034" s="232" t="s">
        <v>260</v>
      </c>
      <c r="C1034" s="445" t="s">
        <v>341</v>
      </c>
      <c r="D1034" s="445" t="s">
        <v>171</v>
      </c>
      <c r="E1034" s="235">
        <v>8.1999999999999993</v>
      </c>
      <c r="F1034" s="451">
        <v>5</v>
      </c>
      <c r="G1034" s="769">
        <f t="shared" si="480"/>
        <v>2.9002320185614852</v>
      </c>
      <c r="H1034" s="235">
        <v>11</v>
      </c>
      <c r="I1034" s="435">
        <v>20</v>
      </c>
      <c r="J1034" s="753">
        <v>51</v>
      </c>
      <c r="K1034" s="295">
        <v>0</v>
      </c>
      <c r="L1034" s="295">
        <v>45</v>
      </c>
      <c r="M1034" s="233" t="s">
        <v>93</v>
      </c>
      <c r="N1034" s="235">
        <v>17</v>
      </c>
      <c r="O1034" s="295">
        <f t="shared" si="474"/>
        <v>68</v>
      </c>
      <c r="P1034" s="290" t="s">
        <v>167</v>
      </c>
      <c r="Q1034" s="290"/>
      <c r="R1034" s="236">
        <v>3</v>
      </c>
      <c r="S1034" s="285">
        <v>0.76</v>
      </c>
      <c r="T1034" s="388" t="s">
        <v>141</v>
      </c>
      <c r="Y1034" s="292">
        <v>0.77</v>
      </c>
      <c r="Z1034" s="301" t="s">
        <v>141</v>
      </c>
      <c r="AA1034" s="233"/>
      <c r="AB1034" s="232"/>
      <c r="AC1034" s="232"/>
      <c r="AD1034" s="232"/>
      <c r="AE1034" s="136"/>
      <c r="AF1034" s="239">
        <f t="shared" si="468"/>
        <v>2.8332133440562162</v>
      </c>
      <c r="AG1034" s="239">
        <f t="shared" si="469"/>
        <v>4.219507705176107</v>
      </c>
      <c r="AH1034" s="240"/>
      <c r="AI1034" s="240"/>
      <c r="AK1034" s="265">
        <f t="shared" si="470"/>
        <v>51</v>
      </c>
      <c r="AL1034" s="286">
        <f t="shared" si="471"/>
        <v>102</v>
      </c>
      <c r="AM1034" s="239">
        <f t="shared" si="472"/>
        <v>3.9318256327243257</v>
      </c>
      <c r="AN1034" s="239">
        <f t="shared" si="473"/>
        <v>4.6249728132842707</v>
      </c>
      <c r="AO1034" s="240"/>
      <c r="AP1034" s="240"/>
      <c r="AR1034" s="286"/>
      <c r="AS1034" s="286"/>
      <c r="AT1034" s="239"/>
      <c r="AU1034" s="239"/>
      <c r="AX1034" s="385"/>
      <c r="AY1034" s="385"/>
      <c r="AZ1034" s="385"/>
      <c r="BA1034" s="265"/>
      <c r="BB1034" s="239"/>
      <c r="BC1034" s="239"/>
      <c r="BD1034" s="240"/>
      <c r="BE1034" s="240"/>
      <c r="BF1034" s="136"/>
      <c r="BG1034" s="136"/>
      <c r="BH1034" s="136"/>
      <c r="BI1034" s="136"/>
    </row>
    <row r="1035" spans="1:61" x14ac:dyDescent="0.2">
      <c r="A1035" s="232" t="s">
        <v>89</v>
      </c>
      <c r="B1035" s="232" t="s">
        <v>260</v>
      </c>
      <c r="C1035" s="445" t="s">
        <v>341</v>
      </c>
      <c r="D1035" s="445" t="s">
        <v>171</v>
      </c>
      <c r="E1035" s="235">
        <v>6.2</v>
      </c>
      <c r="F1035" s="451">
        <v>64</v>
      </c>
      <c r="G1035" s="769">
        <f t="shared" si="480"/>
        <v>37.122969837587007</v>
      </c>
      <c r="H1035" s="235"/>
      <c r="I1035" s="435">
        <v>12.5</v>
      </c>
      <c r="J1035" s="753">
        <v>51</v>
      </c>
      <c r="K1035" s="295">
        <v>0</v>
      </c>
      <c r="L1035" s="295">
        <v>45</v>
      </c>
      <c r="M1035" s="233" t="s">
        <v>93</v>
      </c>
      <c r="N1035" s="235">
        <v>327</v>
      </c>
      <c r="O1035" s="295">
        <f t="shared" si="474"/>
        <v>378</v>
      </c>
      <c r="P1035" s="290" t="s">
        <v>167</v>
      </c>
      <c r="Q1035" s="290"/>
      <c r="R1035" s="236">
        <v>3</v>
      </c>
      <c r="S1035" s="285">
        <v>0.76</v>
      </c>
      <c r="T1035" s="388" t="s">
        <v>141</v>
      </c>
      <c r="Y1035" s="292">
        <v>0.77</v>
      </c>
      <c r="Z1035" s="301" t="s">
        <v>141</v>
      </c>
      <c r="AA1035" s="233"/>
      <c r="AB1035" s="232"/>
      <c r="AC1035" s="232"/>
      <c r="AD1035" s="232"/>
      <c r="AE1035" s="136"/>
      <c r="AF1035" s="239">
        <f t="shared" si="468"/>
        <v>5.7899601708972535</v>
      </c>
      <c r="AG1035" s="239">
        <f t="shared" si="469"/>
        <v>5.934894195619588</v>
      </c>
      <c r="AH1035" s="240"/>
      <c r="AI1035" s="240"/>
      <c r="AK1035" s="265">
        <f t="shared" si="470"/>
        <v>981</v>
      </c>
      <c r="AL1035" s="286">
        <f t="shared" si="471"/>
        <v>1032</v>
      </c>
      <c r="AM1035" s="239">
        <f t="shared" si="472"/>
        <v>6.8885724595653635</v>
      </c>
      <c r="AN1035" s="239">
        <f t="shared" si="473"/>
        <v>6.9392539460415081</v>
      </c>
      <c r="AO1035" s="240"/>
      <c r="AP1035" s="240"/>
      <c r="AR1035" s="286"/>
      <c r="AS1035" s="286"/>
      <c r="AT1035" s="239"/>
      <c r="AU1035" s="239"/>
      <c r="AX1035" s="385"/>
      <c r="AY1035" s="385"/>
      <c r="AZ1035" s="385"/>
      <c r="BA1035" s="265"/>
      <c r="BB1035" s="239"/>
      <c r="BC1035" s="239"/>
      <c r="BD1035" s="240"/>
      <c r="BE1035" s="240"/>
      <c r="BF1035" s="136"/>
      <c r="BG1035" s="136"/>
      <c r="BH1035" s="136"/>
      <c r="BI1035" s="136"/>
    </row>
    <row r="1036" spans="1:61" x14ac:dyDescent="0.2">
      <c r="A1036" s="275" t="s">
        <v>89</v>
      </c>
      <c r="B1036" s="275" t="s">
        <v>260</v>
      </c>
      <c r="C1036" s="290" t="s">
        <v>341</v>
      </c>
      <c r="D1036" s="290" t="s">
        <v>347</v>
      </c>
      <c r="E1036" s="295">
        <v>5.2</v>
      </c>
      <c r="F1036" s="298">
        <v>2.2000000000000002</v>
      </c>
      <c r="G1036" s="287">
        <f t="shared" si="480"/>
        <v>1.2761020881670535</v>
      </c>
      <c r="H1036" s="295">
        <v>8</v>
      </c>
      <c r="I1036" s="763">
        <f t="shared" ref="I1036:I1043" si="481">(30+4.4*E1036)*H1036/100+(-34.66+29.72*E1036)*F1036/100</f>
        <v>6.8678480000000004</v>
      </c>
      <c r="J1036" s="295">
        <v>4</v>
      </c>
      <c r="K1036" s="295">
        <v>0</v>
      </c>
      <c r="L1036" s="295">
        <v>28</v>
      </c>
      <c r="M1036" s="295" t="s">
        <v>93</v>
      </c>
      <c r="N1036" s="295">
        <v>50</v>
      </c>
      <c r="O1036" s="295">
        <f t="shared" si="474"/>
        <v>54</v>
      </c>
      <c r="P1036" s="290" t="s">
        <v>168</v>
      </c>
      <c r="Q1036" s="290"/>
      <c r="R1036" s="285">
        <v>3</v>
      </c>
      <c r="S1036" s="285">
        <v>0.76</v>
      </c>
      <c r="T1036" s="388" t="s">
        <v>141</v>
      </c>
      <c r="U1036" s="285"/>
      <c r="V1036" s="388"/>
      <c r="W1036" s="388"/>
      <c r="X1036" s="388"/>
      <c r="Y1036" s="292">
        <v>0.77</v>
      </c>
      <c r="Z1036" s="301" t="s">
        <v>141</v>
      </c>
      <c r="AA1036" s="405"/>
      <c r="AB1036" s="275"/>
      <c r="AC1036" s="275"/>
      <c r="AD1036" s="275"/>
      <c r="AE1036" s="238"/>
      <c r="AF1036" s="239">
        <f t="shared" si="468"/>
        <v>3.912023005428146</v>
      </c>
      <c r="AG1036" s="239">
        <f t="shared" si="469"/>
        <v>3.9889840465642745</v>
      </c>
      <c r="AH1036" s="240"/>
      <c r="AI1036" s="240"/>
      <c r="AK1036" s="265">
        <f t="shared" si="470"/>
        <v>150</v>
      </c>
      <c r="AL1036" s="286">
        <f t="shared" si="471"/>
        <v>154</v>
      </c>
      <c r="AM1036" s="239">
        <f t="shared" si="472"/>
        <v>5.0106352940962555</v>
      </c>
      <c r="AN1036" s="239">
        <f t="shared" si="473"/>
        <v>5.0369526024136295</v>
      </c>
      <c r="AO1036" s="240"/>
      <c r="AP1036" s="240"/>
      <c r="AR1036" s="286">
        <f t="shared" ref="AR1036:AR1054" si="482">AK1036*(Zn_bg/$J1036)^$S1036</f>
        <v>587.29812997757517</v>
      </c>
      <c r="AS1036" s="286">
        <f t="shared" ref="AS1036:AS1054" si="483">AL1036*(Zn_bg/$J1036)^$Y1036</f>
        <v>613.885888504435</v>
      </c>
      <c r="AT1036" s="239">
        <f t="shared" ref="AT1036:AT1054" si="484">LN(AR1036)</f>
        <v>6.375532578422562</v>
      </c>
      <c r="AU1036" s="239">
        <f t="shared" ref="AU1036:AU1054" si="485">LN(AS1036)</f>
        <v>6.4198090615337025</v>
      </c>
      <c r="AX1036" s="265"/>
      <c r="AY1036" s="265"/>
      <c r="AZ1036" s="265"/>
      <c r="BA1036" s="265"/>
      <c r="BB1036" s="239"/>
      <c r="BC1036" s="239"/>
      <c r="BD1036" s="240"/>
      <c r="BE1036" s="240"/>
      <c r="BF1036" s="136"/>
      <c r="BG1036" s="136"/>
      <c r="BH1036" s="136"/>
      <c r="BI1036" s="136"/>
    </row>
    <row r="1037" spans="1:61" x14ac:dyDescent="0.2">
      <c r="A1037" s="290" t="s">
        <v>89</v>
      </c>
      <c r="B1037" s="290" t="s">
        <v>260</v>
      </c>
      <c r="C1037" s="290" t="s">
        <v>341</v>
      </c>
      <c r="D1037" s="290" t="s">
        <v>379</v>
      </c>
      <c r="E1037" s="293">
        <v>5</v>
      </c>
      <c r="F1037" s="287">
        <v>4</v>
      </c>
      <c r="G1037" s="287">
        <f>F1037/1.724</f>
        <v>2.3201856148491879</v>
      </c>
      <c r="H1037" s="405">
        <v>1.6</v>
      </c>
      <c r="I1037" s="763">
        <f t="shared" si="481"/>
        <v>5.3895999999999997</v>
      </c>
      <c r="J1037" s="295">
        <v>17.7</v>
      </c>
      <c r="K1037" s="295">
        <v>7</v>
      </c>
      <c r="L1037" s="295">
        <v>52</v>
      </c>
      <c r="M1037" s="295" t="s">
        <v>93</v>
      </c>
      <c r="N1037" s="295">
        <v>144.30000000000001</v>
      </c>
      <c r="O1037" s="295">
        <f t="shared" si="474"/>
        <v>162</v>
      </c>
      <c r="P1037" s="290" t="s">
        <v>169</v>
      </c>
      <c r="Q1037" s="290"/>
      <c r="R1037" s="285">
        <v>3</v>
      </c>
      <c r="S1037" s="285">
        <v>0.76</v>
      </c>
      <c r="T1037" s="388" t="s">
        <v>141</v>
      </c>
      <c r="U1037" s="285"/>
      <c r="V1037" s="388"/>
      <c r="W1037" s="388"/>
      <c r="X1037" s="388"/>
      <c r="Y1037" s="292">
        <v>0.77</v>
      </c>
      <c r="Z1037" s="301" t="s">
        <v>141</v>
      </c>
      <c r="AA1037" s="405"/>
      <c r="AB1037" s="275"/>
      <c r="AC1037" s="275"/>
      <c r="AD1037" s="275"/>
      <c r="AE1037" s="238"/>
      <c r="AF1037" s="239">
        <f t="shared" si="468"/>
        <v>4.9718944657798252</v>
      </c>
      <c r="AG1037" s="239">
        <f t="shared" si="469"/>
        <v>5.0875963352323836</v>
      </c>
      <c r="AH1037" s="240"/>
      <c r="AI1037" s="240"/>
      <c r="AK1037" s="265">
        <f t="shared" si="470"/>
        <v>432.90000000000003</v>
      </c>
      <c r="AL1037" s="286">
        <f t="shared" si="471"/>
        <v>450.6</v>
      </c>
      <c r="AM1037" s="239">
        <f t="shared" si="472"/>
        <v>6.0705067544479352</v>
      </c>
      <c r="AN1037" s="239">
        <f t="shared" si="473"/>
        <v>6.1105800279981439</v>
      </c>
      <c r="AO1037" s="240"/>
      <c r="AP1037" s="240"/>
      <c r="AR1037" s="286">
        <f t="shared" si="482"/>
        <v>547.34462263787623</v>
      </c>
      <c r="AS1037" s="286">
        <f t="shared" si="483"/>
        <v>571.48507802647885</v>
      </c>
      <c r="AT1037" s="239">
        <f t="shared" si="484"/>
        <v>6.3050786271447228</v>
      </c>
      <c r="AU1037" s="239">
        <f t="shared" si="485"/>
        <v>6.3482383727040999</v>
      </c>
      <c r="AX1037" s="265"/>
      <c r="AY1037" s="265"/>
      <c r="AZ1037" s="265"/>
      <c r="BA1037" s="265"/>
      <c r="BB1037" s="239"/>
      <c r="BC1037" s="239"/>
      <c r="BD1037" s="240"/>
      <c r="BE1037" s="240"/>
      <c r="BF1037" s="136"/>
      <c r="BG1037" s="136"/>
      <c r="BH1037" s="136"/>
      <c r="BI1037" s="136"/>
    </row>
    <row r="1038" spans="1:61" x14ac:dyDescent="0.2">
      <c r="A1038" s="232" t="s">
        <v>89</v>
      </c>
      <c r="B1038" s="232" t="s">
        <v>260</v>
      </c>
      <c r="C1038" s="445" t="s">
        <v>341</v>
      </c>
      <c r="D1038" s="290" t="s">
        <v>380</v>
      </c>
      <c r="E1038" s="235">
        <v>4.4000000000000004</v>
      </c>
      <c r="F1038" s="769">
        <f t="shared" ref="F1038:F1043" si="486">G1038*1.724</f>
        <v>4.8271999999999995</v>
      </c>
      <c r="G1038" s="769">
        <v>2.8</v>
      </c>
      <c r="H1038" s="233">
        <v>1</v>
      </c>
      <c r="I1038" s="760">
        <f t="shared" si="481"/>
        <v>5.1329253759999993</v>
      </c>
      <c r="J1038" s="235">
        <v>39</v>
      </c>
      <c r="K1038" s="295">
        <v>0</v>
      </c>
      <c r="L1038" s="295">
        <v>55</v>
      </c>
      <c r="M1038" s="235" t="s">
        <v>93</v>
      </c>
      <c r="N1038" s="235">
        <v>50</v>
      </c>
      <c r="O1038" s="295">
        <f t="shared" si="474"/>
        <v>89</v>
      </c>
      <c r="P1038" s="290" t="s">
        <v>170</v>
      </c>
      <c r="Q1038" s="290"/>
      <c r="R1038" s="236">
        <v>3</v>
      </c>
      <c r="S1038" s="285">
        <v>0.76</v>
      </c>
      <c r="T1038" s="388" t="s">
        <v>141</v>
      </c>
      <c r="U1038" s="285"/>
      <c r="V1038" s="388"/>
      <c r="W1038" s="388"/>
      <c r="X1038" s="388"/>
      <c r="Y1038" s="292">
        <v>0.77</v>
      </c>
      <c r="Z1038" s="301" t="s">
        <v>141</v>
      </c>
      <c r="AA1038" s="405"/>
      <c r="AB1038" s="275"/>
      <c r="AC1038" s="275"/>
      <c r="AD1038" s="275"/>
      <c r="AE1038" s="136"/>
      <c r="AF1038" s="239">
        <f t="shared" si="468"/>
        <v>3.912023005428146</v>
      </c>
      <c r="AG1038" s="239">
        <f t="shared" si="469"/>
        <v>4.4886363697321396</v>
      </c>
      <c r="AH1038" s="240"/>
      <c r="AI1038" s="240"/>
      <c r="AK1038" s="265">
        <f t="shared" si="470"/>
        <v>150</v>
      </c>
      <c r="AL1038" s="286">
        <f t="shared" si="471"/>
        <v>189</v>
      </c>
      <c r="AM1038" s="239">
        <f t="shared" si="472"/>
        <v>5.0106352940962555</v>
      </c>
      <c r="AN1038" s="239">
        <f t="shared" si="473"/>
        <v>5.2417470150596426</v>
      </c>
      <c r="AO1038" s="240"/>
      <c r="AP1038" s="240"/>
      <c r="AR1038" s="286">
        <f t="shared" si="482"/>
        <v>104.04353754859802</v>
      </c>
      <c r="AS1038" s="286">
        <f t="shared" si="483"/>
        <v>130.46534875494029</v>
      </c>
      <c r="AT1038" s="239">
        <f t="shared" si="484"/>
        <v>4.6448094418151475</v>
      </c>
      <c r="AU1038" s="239">
        <f t="shared" si="485"/>
        <v>4.8711076647222038</v>
      </c>
      <c r="AX1038" s="265"/>
      <c r="AY1038" s="265"/>
      <c r="AZ1038" s="385"/>
      <c r="BA1038" s="265"/>
      <c r="BB1038" s="239"/>
      <c r="BC1038" s="239"/>
      <c r="BD1038" s="240"/>
      <c r="BE1038" s="240"/>
      <c r="BF1038" s="136"/>
      <c r="BG1038" s="136"/>
      <c r="BH1038" s="136"/>
      <c r="BI1038" s="136"/>
    </row>
    <row r="1039" spans="1:61" x14ac:dyDescent="0.2">
      <c r="A1039" s="232" t="s">
        <v>89</v>
      </c>
      <c r="B1039" s="232" t="s">
        <v>260</v>
      </c>
      <c r="C1039" s="445" t="s">
        <v>341</v>
      </c>
      <c r="D1039" s="290" t="s">
        <v>380</v>
      </c>
      <c r="E1039" s="305">
        <v>5</v>
      </c>
      <c r="F1039" s="769">
        <f t="shared" si="486"/>
        <v>2.5859999999999999</v>
      </c>
      <c r="G1039" s="769">
        <v>1.5</v>
      </c>
      <c r="H1039" s="233">
        <v>7</v>
      </c>
      <c r="I1039" s="760">
        <f t="shared" si="481"/>
        <v>6.5864883999999995</v>
      </c>
      <c r="J1039" s="235">
        <v>50</v>
      </c>
      <c r="K1039" s="295">
        <v>0</v>
      </c>
      <c r="L1039" s="295">
        <v>55</v>
      </c>
      <c r="M1039" s="235" t="s">
        <v>93</v>
      </c>
      <c r="N1039" s="235">
        <v>50</v>
      </c>
      <c r="O1039" s="295">
        <f t="shared" si="474"/>
        <v>100</v>
      </c>
      <c r="P1039" s="290" t="s">
        <v>170</v>
      </c>
      <c r="Q1039" s="290"/>
      <c r="R1039" s="236">
        <v>3</v>
      </c>
      <c r="S1039" s="285">
        <v>0.76</v>
      </c>
      <c r="T1039" s="388" t="s">
        <v>141</v>
      </c>
      <c r="U1039" s="285"/>
      <c r="V1039" s="388"/>
      <c r="W1039" s="388"/>
      <c r="X1039" s="388"/>
      <c r="Y1039" s="292">
        <v>0.77</v>
      </c>
      <c r="Z1039" s="301" t="s">
        <v>141</v>
      </c>
      <c r="AA1039" s="233"/>
      <c r="AB1039" s="232"/>
      <c r="AC1039" s="232"/>
      <c r="AD1039" s="232"/>
      <c r="AE1039" s="136"/>
      <c r="AF1039" s="239">
        <f t="shared" si="468"/>
        <v>3.912023005428146</v>
      </c>
      <c r="AG1039" s="239">
        <f t="shared" si="469"/>
        <v>4.6051701859880918</v>
      </c>
      <c r="AH1039" s="240"/>
      <c r="AI1039" s="240"/>
      <c r="AK1039" s="265">
        <f t="shared" si="470"/>
        <v>150</v>
      </c>
      <c r="AL1039" s="286">
        <f t="shared" si="471"/>
        <v>200</v>
      </c>
      <c r="AM1039" s="239">
        <f t="shared" si="472"/>
        <v>5.0106352940962555</v>
      </c>
      <c r="AN1039" s="239">
        <f t="shared" si="473"/>
        <v>5.2983173665480363</v>
      </c>
      <c r="AO1039" s="240"/>
      <c r="AP1039" s="240"/>
      <c r="AR1039" s="286">
        <f t="shared" si="482"/>
        <v>86.140424595643381</v>
      </c>
      <c r="AS1039" s="286">
        <f t="shared" si="483"/>
        <v>114.01873415097994</v>
      </c>
      <c r="AT1039" s="239">
        <f t="shared" si="484"/>
        <v>4.4559788087482879</v>
      </c>
      <c r="AU1039" s="239">
        <f t="shared" si="485"/>
        <v>4.7363627695507535</v>
      </c>
      <c r="AX1039" s="265"/>
      <c r="AY1039" s="265"/>
      <c r="AZ1039" s="385"/>
      <c r="BA1039" s="265"/>
      <c r="BB1039" s="239"/>
      <c r="BC1039" s="239"/>
      <c r="BD1039" s="240"/>
      <c r="BE1039" s="240"/>
      <c r="BF1039" s="136"/>
      <c r="BG1039" s="136"/>
      <c r="BH1039" s="136"/>
      <c r="BI1039" s="136"/>
    </row>
    <row r="1040" spans="1:61" x14ac:dyDescent="0.2">
      <c r="A1040" s="232" t="s">
        <v>89</v>
      </c>
      <c r="B1040" s="232" t="s">
        <v>260</v>
      </c>
      <c r="C1040" s="445" t="s">
        <v>341</v>
      </c>
      <c r="D1040" s="290" t="s">
        <v>380</v>
      </c>
      <c r="E1040" s="235">
        <v>6.6</v>
      </c>
      <c r="F1040" s="769">
        <f t="shared" si="486"/>
        <v>1.8964000000000001</v>
      </c>
      <c r="G1040" s="769">
        <v>1.1000000000000001</v>
      </c>
      <c r="H1040" s="233">
        <v>10</v>
      </c>
      <c r="I1040" s="760">
        <f t="shared" si="481"/>
        <v>8.9665342880000001</v>
      </c>
      <c r="J1040" s="235">
        <v>27</v>
      </c>
      <c r="K1040" s="295">
        <v>0</v>
      </c>
      <c r="L1040" s="295">
        <v>55</v>
      </c>
      <c r="M1040" s="235" t="s">
        <v>93</v>
      </c>
      <c r="N1040" s="235">
        <v>150</v>
      </c>
      <c r="O1040" s="295">
        <f t="shared" si="474"/>
        <v>177</v>
      </c>
      <c r="P1040" s="290" t="s">
        <v>170</v>
      </c>
      <c r="Q1040" s="290"/>
      <c r="R1040" s="236">
        <v>3</v>
      </c>
      <c r="S1040" s="285">
        <v>0.76</v>
      </c>
      <c r="T1040" s="388" t="s">
        <v>141</v>
      </c>
      <c r="U1040" s="285"/>
      <c r="V1040" s="388"/>
      <c r="W1040" s="388"/>
      <c r="X1040" s="388"/>
      <c r="Y1040" s="292">
        <v>0.77</v>
      </c>
      <c r="Z1040" s="301" t="s">
        <v>141</v>
      </c>
      <c r="AA1040" s="233"/>
      <c r="AB1040" s="232"/>
      <c r="AC1040" s="232"/>
      <c r="AD1040" s="232"/>
      <c r="AE1040" s="136"/>
      <c r="AF1040" s="239">
        <f t="shared" si="468"/>
        <v>5.0106352940962555</v>
      </c>
      <c r="AG1040" s="239">
        <f t="shared" si="469"/>
        <v>5.1761497325738288</v>
      </c>
      <c r="AH1040" s="240"/>
      <c r="AI1040" s="240"/>
      <c r="AK1040" s="265">
        <f t="shared" si="470"/>
        <v>450</v>
      </c>
      <c r="AL1040" s="286">
        <f t="shared" si="471"/>
        <v>477</v>
      </c>
      <c r="AM1040" s="239">
        <f t="shared" si="472"/>
        <v>6.1092475827643655</v>
      </c>
      <c r="AN1040" s="239">
        <f t="shared" si="473"/>
        <v>6.1675164908883415</v>
      </c>
      <c r="AO1040" s="240"/>
      <c r="AP1040" s="240"/>
      <c r="AR1040" s="286">
        <f t="shared" si="482"/>
        <v>412.77083638458919</v>
      </c>
      <c r="AS1040" s="286">
        <f t="shared" si="483"/>
        <v>437.0402172788319</v>
      </c>
      <c r="AT1040" s="239">
        <f t="shared" si="484"/>
        <v>6.0228925633784982</v>
      </c>
      <c r="AU1040" s="239">
        <f t="shared" si="485"/>
        <v>6.0800252212473973</v>
      </c>
      <c r="AX1040" s="265"/>
      <c r="AY1040" s="265"/>
      <c r="AZ1040" s="385"/>
      <c r="BA1040" s="265"/>
      <c r="BB1040" s="239"/>
      <c r="BC1040" s="239"/>
      <c r="BD1040" s="240"/>
      <c r="BE1040" s="240"/>
      <c r="BF1040" s="136"/>
      <c r="BG1040" s="136"/>
      <c r="BH1040" s="136"/>
      <c r="BI1040" s="136"/>
    </row>
    <row r="1041" spans="1:61" x14ac:dyDescent="0.2">
      <c r="A1041" s="232" t="s">
        <v>89</v>
      </c>
      <c r="B1041" s="232" t="s">
        <v>260</v>
      </c>
      <c r="C1041" s="445" t="s">
        <v>341</v>
      </c>
      <c r="D1041" s="290" t="s">
        <v>380</v>
      </c>
      <c r="E1041" s="235">
        <v>6.6</v>
      </c>
      <c r="F1041" s="769">
        <f t="shared" si="486"/>
        <v>1.5516000000000001</v>
      </c>
      <c r="G1041" s="769">
        <v>0.9</v>
      </c>
      <c r="H1041" s="233">
        <v>17</v>
      </c>
      <c r="I1041" s="760">
        <f t="shared" si="481"/>
        <v>12.542509872</v>
      </c>
      <c r="J1041" s="235">
        <v>48</v>
      </c>
      <c r="K1041" s="295">
        <v>0</v>
      </c>
      <c r="L1041" s="295">
        <v>55</v>
      </c>
      <c r="M1041" s="235" t="s">
        <v>93</v>
      </c>
      <c r="N1041" s="235">
        <v>150</v>
      </c>
      <c r="O1041" s="295">
        <f t="shared" si="474"/>
        <v>198</v>
      </c>
      <c r="P1041" s="290" t="s">
        <v>170</v>
      </c>
      <c r="Q1041" s="290"/>
      <c r="R1041" s="236">
        <v>3</v>
      </c>
      <c r="S1041" s="285">
        <v>0.76</v>
      </c>
      <c r="T1041" s="388" t="s">
        <v>141</v>
      </c>
      <c r="U1041" s="285"/>
      <c r="V1041" s="388"/>
      <c r="W1041" s="388"/>
      <c r="X1041" s="388"/>
      <c r="Y1041" s="292">
        <v>0.77</v>
      </c>
      <c r="Z1041" s="301" t="s">
        <v>141</v>
      </c>
      <c r="AA1041" s="233"/>
      <c r="AB1041" s="232"/>
      <c r="AC1041" s="232"/>
      <c r="AD1041" s="232"/>
      <c r="AE1041" s="136"/>
      <c r="AF1041" s="239">
        <f t="shared" si="468"/>
        <v>5.0106352940962555</v>
      </c>
      <c r="AG1041" s="239">
        <f t="shared" si="469"/>
        <v>5.2882670306945352</v>
      </c>
      <c r="AH1041" s="240"/>
      <c r="AI1041" s="240"/>
      <c r="AK1041" s="265">
        <f t="shared" si="470"/>
        <v>450</v>
      </c>
      <c r="AL1041" s="286">
        <f t="shared" si="471"/>
        <v>498</v>
      </c>
      <c r="AM1041" s="239">
        <f t="shared" si="472"/>
        <v>6.1092475827643655</v>
      </c>
      <c r="AN1041" s="239">
        <f t="shared" si="473"/>
        <v>6.2106000770246528</v>
      </c>
      <c r="AO1041" s="240"/>
      <c r="AP1041" s="240"/>
      <c r="AR1041" s="286">
        <f t="shared" si="482"/>
        <v>266.56438608717929</v>
      </c>
      <c r="AS1041" s="286">
        <f t="shared" si="483"/>
        <v>292.97240268949338</v>
      </c>
      <c r="AT1041" s="239">
        <f t="shared" si="484"/>
        <v>5.585615813251791</v>
      </c>
      <c r="AU1041" s="239">
        <f t="shared" si="485"/>
        <v>5.6800784158079658</v>
      </c>
      <c r="AX1041" s="265"/>
      <c r="AY1041" s="265"/>
      <c r="AZ1041" s="385"/>
      <c r="BA1041" s="265"/>
      <c r="BB1041" s="239"/>
      <c r="BC1041" s="239"/>
      <c r="BD1041" s="240"/>
      <c r="BE1041" s="240"/>
      <c r="BF1041" s="136"/>
      <c r="BG1041" s="136"/>
      <c r="BH1041" s="136"/>
      <c r="BI1041" s="136"/>
    </row>
    <row r="1042" spans="1:61" x14ac:dyDescent="0.2">
      <c r="A1042" s="232" t="s">
        <v>89</v>
      </c>
      <c r="B1042" s="232" t="s">
        <v>260</v>
      </c>
      <c r="C1042" s="445" t="s">
        <v>341</v>
      </c>
      <c r="D1042" s="290" t="s">
        <v>171</v>
      </c>
      <c r="E1042" s="235">
        <v>6.9</v>
      </c>
      <c r="F1042" s="769">
        <f t="shared" si="486"/>
        <v>5.1719999999999997</v>
      </c>
      <c r="G1042" s="769">
        <v>3</v>
      </c>
      <c r="H1042" s="233">
        <v>27</v>
      </c>
      <c r="I1042" s="760">
        <f t="shared" si="481"/>
        <v>25.110701760000001</v>
      </c>
      <c r="J1042" s="235">
        <v>82</v>
      </c>
      <c r="K1042" s="295">
        <v>3</v>
      </c>
      <c r="L1042" s="295">
        <v>28</v>
      </c>
      <c r="M1042" s="235" t="s">
        <v>104</v>
      </c>
      <c r="N1042" s="235">
        <f>O1042-J1042</f>
        <v>204</v>
      </c>
      <c r="O1042" s="295">
        <v>286</v>
      </c>
      <c r="P1042" s="290" t="s">
        <v>150</v>
      </c>
      <c r="Q1042" s="290"/>
      <c r="R1042" s="236">
        <v>3</v>
      </c>
      <c r="S1042" s="285">
        <v>0.76</v>
      </c>
      <c r="T1042" s="388" t="s">
        <v>141</v>
      </c>
      <c r="U1042" s="285"/>
      <c r="V1042" s="388"/>
      <c r="W1042" s="388"/>
      <c r="X1042" s="388"/>
      <c r="Y1042" s="292">
        <v>0.77</v>
      </c>
      <c r="Z1042" s="301" t="s">
        <v>141</v>
      </c>
      <c r="AA1042" s="233"/>
      <c r="AB1042" s="232"/>
      <c r="AC1042" s="232"/>
      <c r="AD1042" s="232"/>
      <c r="AE1042" s="136"/>
      <c r="AF1042" s="239">
        <f t="shared" si="468"/>
        <v>5.3181199938442161</v>
      </c>
      <c r="AG1042" s="239">
        <f t="shared" si="469"/>
        <v>5.6559918108198524</v>
      </c>
      <c r="AH1042" s="240"/>
      <c r="AI1042" s="240"/>
      <c r="AK1042" s="265">
        <f t="shared" si="470"/>
        <v>612</v>
      </c>
      <c r="AL1042" s="286">
        <f t="shared" si="471"/>
        <v>694</v>
      </c>
      <c r="AM1042" s="239">
        <f t="shared" si="472"/>
        <v>6.4167322825123261</v>
      </c>
      <c r="AN1042" s="239">
        <f t="shared" si="473"/>
        <v>6.5424719605068047</v>
      </c>
      <c r="AO1042" s="240"/>
      <c r="AP1042" s="240"/>
      <c r="AR1042" s="286">
        <f t="shared" si="482"/>
        <v>241.3158492825533</v>
      </c>
      <c r="AS1042" s="286">
        <f t="shared" si="483"/>
        <v>270.31859836461331</v>
      </c>
      <c r="AT1042" s="239">
        <f t="shared" si="484"/>
        <v>5.4861066533689167</v>
      </c>
      <c r="AU1042" s="239">
        <f t="shared" si="485"/>
        <v>5.5996012572957188</v>
      </c>
      <c r="AX1042" s="265"/>
      <c r="AY1042" s="265"/>
      <c r="AZ1042" s="385"/>
      <c r="BA1042" s="265"/>
      <c r="BB1042" s="239"/>
      <c r="BC1042" s="239"/>
      <c r="BD1042" s="240"/>
      <c r="BE1042" s="240"/>
      <c r="BF1042" s="136"/>
      <c r="BG1042" s="136"/>
      <c r="BH1042" s="136"/>
      <c r="BI1042" s="136"/>
    </row>
    <row r="1043" spans="1:61" s="165" customFormat="1" x14ac:dyDescent="0.2">
      <c r="A1043" s="156" t="s">
        <v>89</v>
      </c>
      <c r="B1043" s="156" t="s">
        <v>260</v>
      </c>
      <c r="C1043" s="326" t="s">
        <v>341</v>
      </c>
      <c r="D1043" s="326" t="s">
        <v>171</v>
      </c>
      <c r="E1043" s="231">
        <v>4.7</v>
      </c>
      <c r="F1043" s="334">
        <f t="shared" si="486"/>
        <v>3.9651999999999998</v>
      </c>
      <c r="G1043" s="334">
        <v>2.2999999999999998</v>
      </c>
      <c r="H1043" s="160">
        <v>7.8</v>
      </c>
      <c r="I1043" s="761">
        <f t="shared" si="481"/>
        <v>8.1174516479999994</v>
      </c>
      <c r="J1043" s="231">
        <v>26</v>
      </c>
      <c r="K1043" s="231">
        <v>3</v>
      </c>
      <c r="L1043" s="231">
        <v>28</v>
      </c>
      <c r="M1043" s="231" t="s">
        <v>104</v>
      </c>
      <c r="N1043" s="231">
        <f>O1043-J1043</f>
        <v>133</v>
      </c>
      <c r="O1043" s="231">
        <v>159</v>
      </c>
      <c r="P1043" s="326" t="s">
        <v>150</v>
      </c>
      <c r="Q1043" s="326"/>
      <c r="R1043" s="163">
        <v>3</v>
      </c>
      <c r="S1043" s="163">
        <v>0.76</v>
      </c>
      <c r="T1043" s="162" t="s">
        <v>141</v>
      </c>
      <c r="U1043" s="163"/>
      <c r="V1043" s="162"/>
      <c r="W1043" s="162"/>
      <c r="X1043" s="162"/>
      <c r="Y1043" s="328">
        <v>0.77</v>
      </c>
      <c r="Z1043" s="314" t="s">
        <v>141</v>
      </c>
      <c r="AA1043" s="160"/>
      <c r="AB1043" s="156"/>
      <c r="AC1043" s="156"/>
      <c r="AD1043" s="156"/>
      <c r="AF1043" s="166">
        <f t="shared" si="468"/>
        <v>4.8903491282217537</v>
      </c>
      <c r="AG1043" s="166">
        <f t="shared" si="469"/>
        <v>5.0689042022202315</v>
      </c>
      <c r="AH1043" s="169"/>
      <c r="AI1043" s="169"/>
      <c r="AK1043" s="168">
        <f t="shared" si="470"/>
        <v>399</v>
      </c>
      <c r="AL1043" s="337">
        <f t="shared" si="471"/>
        <v>425</v>
      </c>
      <c r="AM1043" s="166">
        <f t="shared" si="472"/>
        <v>5.9889614168898637</v>
      </c>
      <c r="AN1043" s="166">
        <f t="shared" si="473"/>
        <v>6.0520891689244172</v>
      </c>
      <c r="AO1043" s="169"/>
      <c r="AP1043" s="169"/>
      <c r="AR1043" s="337">
        <f t="shared" si="482"/>
        <v>376.63970723748332</v>
      </c>
      <c r="AS1043" s="337">
        <f t="shared" si="483"/>
        <v>400.87832479765575</v>
      </c>
      <c r="AT1043" s="166">
        <f t="shared" si="484"/>
        <v>5.93128904677096</v>
      </c>
      <c r="AU1043" s="166">
        <f t="shared" si="485"/>
        <v>5.9936579518302651</v>
      </c>
      <c r="AV1043" s="167"/>
      <c r="AW1043" s="167"/>
      <c r="AX1043" s="168"/>
      <c r="AY1043" s="168"/>
      <c r="AZ1043" s="168"/>
      <c r="BA1043" s="168"/>
      <c r="BB1043" s="166"/>
      <c r="BC1043" s="166"/>
      <c r="BD1043" s="169"/>
      <c r="BE1043" s="169"/>
    </row>
    <row r="1044" spans="1:61" x14ac:dyDescent="0.2">
      <c r="A1044" s="232" t="s">
        <v>89</v>
      </c>
      <c r="B1044" s="232" t="s">
        <v>260</v>
      </c>
      <c r="C1044" s="445" t="s">
        <v>341</v>
      </c>
      <c r="D1044" s="445" t="s">
        <v>172</v>
      </c>
      <c r="E1044" s="235">
        <v>3</v>
      </c>
      <c r="F1044" s="769">
        <v>8.7040000000000006</v>
      </c>
      <c r="G1044" s="769">
        <f t="shared" si="475"/>
        <v>5.0487238979118336</v>
      </c>
      <c r="H1044" s="233">
        <v>7</v>
      </c>
      <c r="I1044" s="235">
        <v>5.8</v>
      </c>
      <c r="J1044" s="235">
        <v>7</v>
      </c>
      <c r="K1044" s="295">
        <v>2</v>
      </c>
      <c r="L1044" s="295">
        <v>28</v>
      </c>
      <c r="M1044" s="235" t="s">
        <v>93</v>
      </c>
      <c r="N1044" s="235">
        <v>120</v>
      </c>
      <c r="O1044" s="295">
        <f t="shared" ref="O1044:O1086" si="487">N1044+J1044</f>
        <v>127</v>
      </c>
      <c r="P1044" s="290" t="s">
        <v>157</v>
      </c>
      <c r="Q1044" s="290"/>
      <c r="R1044" s="236">
        <v>3</v>
      </c>
      <c r="S1044" s="285">
        <v>0.76</v>
      </c>
      <c r="T1044" s="388" t="s">
        <v>141</v>
      </c>
      <c r="Y1044" s="292">
        <v>0.77</v>
      </c>
      <c r="Z1044" s="301" t="s">
        <v>141</v>
      </c>
      <c r="AA1044" s="233"/>
      <c r="AB1044" s="232"/>
      <c r="AC1044" s="232"/>
      <c r="AD1044" s="232"/>
      <c r="AE1044" s="136"/>
      <c r="AF1044" s="239">
        <f t="shared" si="468"/>
        <v>4.7874917427820458</v>
      </c>
      <c r="AG1044" s="239">
        <f t="shared" si="469"/>
        <v>4.8441870864585912</v>
      </c>
      <c r="AH1044" s="240"/>
      <c r="AI1044" s="240"/>
      <c r="AK1044" s="265">
        <f t="shared" si="470"/>
        <v>360</v>
      </c>
      <c r="AL1044" s="286">
        <f t="shared" si="471"/>
        <v>367</v>
      </c>
      <c r="AM1044" s="239">
        <f t="shared" si="472"/>
        <v>5.8861040314501558</v>
      </c>
      <c r="AN1044" s="239">
        <f t="shared" si="473"/>
        <v>5.9053618480545707</v>
      </c>
      <c r="AO1044" s="240"/>
      <c r="AP1044" s="240"/>
      <c r="AR1044" s="286">
        <f t="shared" si="482"/>
        <v>921.21487657800913</v>
      </c>
      <c r="AS1044" s="286">
        <f t="shared" si="483"/>
        <v>950.80990261296324</v>
      </c>
      <c r="AT1044" s="239">
        <f t="shared" si="484"/>
        <v>6.8256933169455403</v>
      </c>
      <c r="AU1044" s="239">
        <f t="shared" si="485"/>
        <v>6.8573141504643687</v>
      </c>
      <c r="AX1044" s="385">
        <f>GEOMEAN(AR1044:AR1054)</f>
        <v>393.92427707951867</v>
      </c>
      <c r="AY1044" s="385">
        <f>GEOMEAN(AS1044:AS1054)</f>
        <v>439.25741342321658</v>
      </c>
      <c r="AZ1044" s="385">
        <f>MIN(AX1044:AX1054)</f>
        <v>393.92427707951867</v>
      </c>
      <c r="BA1044" s="385">
        <f>MIN(AY1044:AY1054)</f>
        <v>439.25741342321658</v>
      </c>
      <c r="BB1044" s="239">
        <f>LN(AZ1044)</f>
        <v>5.9761587006735333</v>
      </c>
      <c r="BC1044" s="239">
        <f>LN(BA1044)</f>
        <v>6.0850856043823063</v>
      </c>
      <c r="BD1044" s="240"/>
      <c r="BE1044" s="240"/>
      <c r="BF1044" s="136"/>
      <c r="BG1044" s="136"/>
      <c r="BH1044" s="136"/>
      <c r="BI1044" s="136"/>
    </row>
    <row r="1045" spans="1:61" x14ac:dyDescent="0.2">
      <c r="A1045" s="232" t="s">
        <v>89</v>
      </c>
      <c r="B1045" s="232" t="s">
        <v>260</v>
      </c>
      <c r="C1045" s="445" t="s">
        <v>341</v>
      </c>
      <c r="D1045" s="445" t="s">
        <v>172</v>
      </c>
      <c r="E1045" s="235">
        <v>4.7</v>
      </c>
      <c r="F1045" s="769">
        <v>39.61</v>
      </c>
      <c r="G1045" s="769">
        <f t="shared" si="475"/>
        <v>22.975638051044083</v>
      </c>
      <c r="H1045" s="233">
        <v>24</v>
      </c>
      <c r="I1045" s="235">
        <v>35.299999999999997</v>
      </c>
      <c r="J1045" s="235">
        <v>191</v>
      </c>
      <c r="K1045" s="295">
        <v>2</v>
      </c>
      <c r="L1045" s="295">
        <v>28</v>
      </c>
      <c r="M1045" s="235" t="s">
        <v>93</v>
      </c>
      <c r="N1045" s="235">
        <v>200</v>
      </c>
      <c r="O1045" s="295">
        <f t="shared" si="487"/>
        <v>391</v>
      </c>
      <c r="P1045" s="290" t="s">
        <v>157</v>
      </c>
      <c r="Q1045" s="290"/>
      <c r="R1045" s="236">
        <v>3</v>
      </c>
      <c r="S1045" s="285">
        <v>0.76</v>
      </c>
      <c r="T1045" s="388" t="s">
        <v>141</v>
      </c>
      <c r="Y1045" s="292">
        <v>0.77</v>
      </c>
      <c r="Z1045" s="301" t="s">
        <v>141</v>
      </c>
      <c r="AA1045" s="233"/>
      <c r="AB1045" s="232"/>
      <c r="AC1045" s="232"/>
      <c r="AD1045" s="232"/>
      <c r="AE1045" s="136"/>
      <c r="AF1045" s="239">
        <f t="shared" si="468"/>
        <v>5.2983173665480363</v>
      </c>
      <c r="AG1045" s="239">
        <f t="shared" si="469"/>
        <v>5.9687075599853658</v>
      </c>
      <c r="AH1045" s="240"/>
      <c r="AI1045" s="240"/>
      <c r="AK1045" s="265">
        <f t="shared" si="470"/>
        <v>600</v>
      </c>
      <c r="AL1045" s="286">
        <f t="shared" si="471"/>
        <v>791</v>
      </c>
      <c r="AM1045" s="239">
        <f t="shared" si="472"/>
        <v>6.3969296552161463</v>
      </c>
      <c r="AN1045" s="239">
        <f t="shared" si="473"/>
        <v>6.6732979677676543</v>
      </c>
      <c r="AO1045" s="240"/>
      <c r="AP1045" s="240"/>
      <c r="AR1045" s="286">
        <f t="shared" si="482"/>
        <v>124.42247717600389</v>
      </c>
      <c r="AS1045" s="286">
        <f t="shared" si="483"/>
        <v>160.66967437026329</v>
      </c>
      <c r="AT1045" s="239">
        <f t="shared" si="484"/>
        <v>4.8236828486781311</v>
      </c>
      <c r="AU1045" s="239">
        <f t="shared" si="485"/>
        <v>5.0793505453541377</v>
      </c>
      <c r="AX1045" s="385"/>
      <c r="AY1045" s="385"/>
      <c r="AZ1045" s="385"/>
      <c r="BA1045" s="265"/>
      <c r="BB1045" s="239"/>
      <c r="BC1045" s="239"/>
      <c r="BD1045" s="240"/>
      <c r="BE1045" s="240"/>
      <c r="BF1045" s="136"/>
      <c r="BG1045" s="136"/>
      <c r="BH1045" s="136"/>
      <c r="BI1045" s="136"/>
    </row>
    <row r="1046" spans="1:61" x14ac:dyDescent="0.2">
      <c r="A1046" s="232" t="s">
        <v>89</v>
      </c>
      <c r="B1046" s="232" t="s">
        <v>260</v>
      </c>
      <c r="C1046" s="445" t="s">
        <v>341</v>
      </c>
      <c r="D1046" s="445" t="s">
        <v>172</v>
      </c>
      <c r="E1046" s="235">
        <v>4.8</v>
      </c>
      <c r="F1046" s="769">
        <v>13.209</v>
      </c>
      <c r="G1046" s="769">
        <f t="shared" si="475"/>
        <v>7.6618329466357311</v>
      </c>
      <c r="I1046" s="235">
        <v>13.3</v>
      </c>
      <c r="J1046" s="235">
        <v>83</v>
      </c>
      <c r="K1046" s="295">
        <v>2</v>
      </c>
      <c r="L1046" s="295">
        <v>28</v>
      </c>
      <c r="M1046" s="235" t="s">
        <v>93</v>
      </c>
      <c r="N1046" s="235">
        <v>469</v>
      </c>
      <c r="O1046" s="295">
        <f t="shared" si="487"/>
        <v>552</v>
      </c>
      <c r="P1046" s="290" t="s">
        <v>157</v>
      </c>
      <c r="Q1046" s="290"/>
      <c r="R1046" s="236">
        <v>3</v>
      </c>
      <c r="S1046" s="285">
        <v>0.76</v>
      </c>
      <c r="T1046" s="388" t="s">
        <v>141</v>
      </c>
      <c r="Y1046" s="292">
        <v>0.77</v>
      </c>
      <c r="Z1046" s="301" t="s">
        <v>141</v>
      </c>
      <c r="AA1046" s="233"/>
      <c r="AB1046" s="232"/>
      <c r="AC1046" s="232"/>
      <c r="AD1046" s="232"/>
      <c r="AE1046" s="136"/>
      <c r="AF1046" s="239">
        <f t="shared" si="468"/>
        <v>6.1506027684462792</v>
      </c>
      <c r="AG1046" s="239">
        <f t="shared" si="469"/>
        <v>6.313548046277095</v>
      </c>
      <c r="AH1046" s="240"/>
      <c r="AI1046" s="240"/>
      <c r="AK1046" s="265">
        <f t="shared" si="470"/>
        <v>1407</v>
      </c>
      <c r="AL1046" s="286">
        <f t="shared" si="471"/>
        <v>1490</v>
      </c>
      <c r="AM1046" s="239">
        <f t="shared" si="472"/>
        <v>7.2492150571143892</v>
      </c>
      <c r="AN1046" s="239">
        <f t="shared" si="473"/>
        <v>7.3065313989395051</v>
      </c>
      <c r="AO1046" s="240"/>
      <c r="AP1046" s="240"/>
      <c r="AR1046" s="286">
        <f t="shared" si="482"/>
        <v>549.70248415476385</v>
      </c>
      <c r="AS1046" s="286">
        <f t="shared" si="483"/>
        <v>574.97539473613517</v>
      </c>
      <c r="AT1046" s="239">
        <f t="shared" si="484"/>
        <v>6.3093771939663981</v>
      </c>
      <c r="AU1046" s="239">
        <f t="shared" si="485"/>
        <v>6.3543272481185138</v>
      </c>
      <c r="AX1046" s="385"/>
      <c r="AY1046" s="385"/>
      <c r="AZ1046" s="385"/>
      <c r="BA1046" s="265"/>
      <c r="BB1046" s="239"/>
      <c r="BC1046" s="239"/>
      <c r="BD1046" s="240"/>
      <c r="BE1046" s="240"/>
      <c r="BF1046" s="136"/>
      <c r="BG1046" s="136"/>
      <c r="BH1046" s="136"/>
      <c r="BI1046" s="136"/>
    </row>
    <row r="1047" spans="1:61" x14ac:dyDescent="0.2">
      <c r="A1047" s="232" t="s">
        <v>89</v>
      </c>
      <c r="B1047" s="232" t="s">
        <v>260</v>
      </c>
      <c r="C1047" s="445" t="s">
        <v>341</v>
      </c>
      <c r="D1047" s="445" t="s">
        <v>172</v>
      </c>
      <c r="E1047" s="235">
        <v>5.0999999999999996</v>
      </c>
      <c r="F1047" s="769">
        <v>3.9950000000000001</v>
      </c>
      <c r="G1047" s="769">
        <f t="shared" si="475"/>
        <v>2.3172853828306264</v>
      </c>
      <c r="H1047" s="233">
        <v>9</v>
      </c>
      <c r="I1047" s="235">
        <v>4.7</v>
      </c>
      <c r="J1047" s="235">
        <v>26</v>
      </c>
      <c r="K1047" s="295">
        <v>2</v>
      </c>
      <c r="L1047" s="295">
        <v>28</v>
      </c>
      <c r="M1047" s="235" t="s">
        <v>93</v>
      </c>
      <c r="N1047" s="235">
        <v>50</v>
      </c>
      <c r="O1047" s="295">
        <f t="shared" si="487"/>
        <v>76</v>
      </c>
      <c r="P1047" s="290" t="s">
        <v>157</v>
      </c>
      <c r="Q1047" s="290"/>
      <c r="R1047" s="236">
        <v>3</v>
      </c>
      <c r="S1047" s="285">
        <v>0.76</v>
      </c>
      <c r="T1047" s="388" t="s">
        <v>141</v>
      </c>
      <c r="Y1047" s="292">
        <v>0.77</v>
      </c>
      <c r="Z1047" s="301" t="s">
        <v>141</v>
      </c>
      <c r="AA1047" s="233"/>
      <c r="AB1047" s="232"/>
      <c r="AC1047" s="232"/>
      <c r="AD1047" s="232"/>
      <c r="AE1047" s="136"/>
      <c r="AF1047" s="239">
        <f t="shared" si="468"/>
        <v>3.912023005428146</v>
      </c>
      <c r="AG1047" s="239">
        <f t="shared" si="469"/>
        <v>4.3307333402863311</v>
      </c>
      <c r="AH1047" s="240"/>
      <c r="AI1047" s="240"/>
      <c r="AK1047" s="265">
        <f t="shared" si="470"/>
        <v>150</v>
      </c>
      <c r="AL1047" s="286">
        <f t="shared" si="471"/>
        <v>176</v>
      </c>
      <c r="AM1047" s="239">
        <f t="shared" si="472"/>
        <v>5.0106352940962555</v>
      </c>
      <c r="AN1047" s="239">
        <f t="shared" si="473"/>
        <v>5.1704839950381514</v>
      </c>
      <c r="AO1047" s="240"/>
      <c r="AP1047" s="240"/>
      <c r="AR1047" s="286">
        <f t="shared" si="482"/>
        <v>141.59387490130953</v>
      </c>
      <c r="AS1047" s="286">
        <f t="shared" si="483"/>
        <v>166.01078862208803</v>
      </c>
      <c r="AT1047" s="239">
        <f t="shared" si="484"/>
        <v>4.9529629239773527</v>
      </c>
      <c r="AU1047" s="239">
        <f t="shared" si="485"/>
        <v>5.1120527779440001</v>
      </c>
      <c r="AX1047" s="385"/>
      <c r="AY1047" s="385"/>
      <c r="AZ1047" s="385"/>
      <c r="BA1047" s="265"/>
      <c r="BB1047" s="239"/>
      <c r="BC1047" s="239"/>
      <c r="BD1047" s="240"/>
      <c r="BE1047" s="240"/>
      <c r="BF1047" s="136"/>
      <c r="BG1047" s="136"/>
      <c r="BH1047" s="136"/>
      <c r="BI1047" s="136"/>
    </row>
    <row r="1048" spans="1:61" x14ac:dyDescent="0.2">
      <c r="A1048" s="232" t="s">
        <v>89</v>
      </c>
      <c r="B1048" s="232" t="s">
        <v>260</v>
      </c>
      <c r="C1048" s="445" t="s">
        <v>341</v>
      </c>
      <c r="D1048" s="445" t="s">
        <v>172</v>
      </c>
      <c r="E1048" s="235">
        <v>5.2</v>
      </c>
      <c r="F1048" s="769">
        <v>17.408000000000001</v>
      </c>
      <c r="G1048" s="769">
        <f t="shared" si="475"/>
        <v>10.097447795823667</v>
      </c>
      <c r="I1048" s="235">
        <v>29.7</v>
      </c>
      <c r="J1048" s="235">
        <v>155</v>
      </c>
      <c r="K1048" s="295">
        <v>2</v>
      </c>
      <c r="L1048" s="295">
        <v>28</v>
      </c>
      <c r="M1048" s="235" t="s">
        <v>93</v>
      </c>
      <c r="N1048" s="235">
        <v>1300</v>
      </c>
      <c r="O1048" s="295">
        <f t="shared" si="487"/>
        <v>1455</v>
      </c>
      <c r="P1048" s="290" t="s">
        <v>157</v>
      </c>
      <c r="Q1048" s="290"/>
      <c r="R1048" s="236">
        <v>3</v>
      </c>
      <c r="S1048" s="285">
        <v>0.76</v>
      </c>
      <c r="T1048" s="388" t="s">
        <v>141</v>
      </c>
      <c r="Y1048" s="292">
        <v>0.77</v>
      </c>
      <c r="Z1048" s="301" t="s">
        <v>141</v>
      </c>
      <c r="AA1048" s="233"/>
      <c r="AB1048" s="232"/>
      <c r="AC1048" s="232"/>
      <c r="AD1048" s="232"/>
      <c r="AE1048" s="136"/>
      <c r="AF1048" s="239">
        <f t="shared" si="468"/>
        <v>7.1701195434496281</v>
      </c>
      <c r="AG1048" s="239">
        <f t="shared" si="469"/>
        <v>7.2827611796055933</v>
      </c>
      <c r="AH1048" s="240"/>
      <c r="AI1048" s="240"/>
      <c r="AK1048" s="265">
        <f t="shared" si="470"/>
        <v>3900</v>
      </c>
      <c r="AL1048" s="286">
        <f t="shared" si="471"/>
        <v>4055</v>
      </c>
      <c r="AM1048" s="239">
        <f t="shared" si="472"/>
        <v>8.2687318321177372</v>
      </c>
      <c r="AN1048" s="239">
        <f t="shared" si="473"/>
        <v>8.3077059665495128</v>
      </c>
      <c r="AO1048" s="240"/>
      <c r="AP1048" s="240"/>
      <c r="AR1048" s="286">
        <f t="shared" si="482"/>
        <v>947.86277724531055</v>
      </c>
      <c r="AS1048" s="286">
        <f t="shared" si="483"/>
        <v>967.36099842533667</v>
      </c>
      <c r="AT1048" s="239">
        <f t="shared" si="484"/>
        <v>6.8542097420365335</v>
      </c>
      <c r="AU1048" s="239">
        <f t="shared" si="485"/>
        <v>6.8745717437040827</v>
      </c>
      <c r="AX1048" s="385"/>
      <c r="AY1048" s="385"/>
      <c r="AZ1048" s="385"/>
      <c r="BA1048" s="265"/>
      <c r="BB1048" s="239"/>
      <c r="BC1048" s="239"/>
      <c r="BD1048" s="240"/>
      <c r="BE1048" s="240"/>
      <c r="BF1048" s="136"/>
      <c r="BG1048" s="136"/>
      <c r="BH1048" s="136"/>
      <c r="BI1048" s="136"/>
    </row>
    <row r="1049" spans="1:61" x14ac:dyDescent="0.2">
      <c r="A1049" s="232" t="s">
        <v>89</v>
      </c>
      <c r="B1049" s="232" t="s">
        <v>260</v>
      </c>
      <c r="C1049" s="445" t="s">
        <v>341</v>
      </c>
      <c r="D1049" s="445" t="s">
        <v>172</v>
      </c>
      <c r="E1049" s="235">
        <v>5.7</v>
      </c>
      <c r="F1049" s="769">
        <v>5.9329999999999998</v>
      </c>
      <c r="G1049" s="769">
        <f t="shared" si="475"/>
        <v>3.441415313225058</v>
      </c>
      <c r="I1049" s="235">
        <v>21.1</v>
      </c>
      <c r="J1049" s="235">
        <v>76</v>
      </c>
      <c r="K1049" s="295">
        <v>2</v>
      </c>
      <c r="L1049" s="295">
        <v>28</v>
      </c>
      <c r="M1049" s="235" t="s">
        <v>93</v>
      </c>
      <c r="N1049" s="235">
        <v>1400</v>
      </c>
      <c r="O1049" s="295">
        <f t="shared" si="487"/>
        <v>1476</v>
      </c>
      <c r="P1049" s="290" t="s">
        <v>157</v>
      </c>
      <c r="Q1049" s="290"/>
      <c r="R1049" s="236">
        <v>3</v>
      </c>
      <c r="S1049" s="285">
        <v>0.76</v>
      </c>
      <c r="T1049" s="388" t="s">
        <v>141</v>
      </c>
      <c r="Y1049" s="292">
        <v>0.77</v>
      </c>
      <c r="Z1049" s="301" t="s">
        <v>141</v>
      </c>
      <c r="AA1049" s="233"/>
      <c r="AB1049" s="232"/>
      <c r="AC1049" s="232"/>
      <c r="AD1049" s="232"/>
      <c r="AE1049" s="136"/>
      <c r="AF1049" s="239">
        <f t="shared" si="468"/>
        <v>7.2442275156033498</v>
      </c>
      <c r="AG1049" s="239">
        <f t="shared" si="469"/>
        <v>7.2970910051604179</v>
      </c>
      <c r="AH1049" s="240"/>
      <c r="AI1049" s="240"/>
      <c r="AK1049" s="265">
        <f t="shared" si="470"/>
        <v>4200</v>
      </c>
      <c r="AL1049" s="286">
        <f t="shared" si="471"/>
        <v>4276</v>
      </c>
      <c r="AM1049" s="239">
        <f t="shared" si="472"/>
        <v>8.3428398042714598</v>
      </c>
      <c r="AN1049" s="239">
        <f t="shared" si="473"/>
        <v>8.3607732721449359</v>
      </c>
      <c r="AO1049" s="240"/>
      <c r="AP1049" s="240"/>
      <c r="AR1049" s="286">
        <f t="shared" si="482"/>
        <v>1754.5425811930463</v>
      </c>
      <c r="AS1049" s="286">
        <f t="shared" si="483"/>
        <v>1765.892870877906</v>
      </c>
      <c r="AT1049" s="239">
        <f t="shared" si="484"/>
        <v>7.4699634644312711</v>
      </c>
      <c r="AU1049" s="239">
        <f t="shared" si="485"/>
        <v>7.4764117173068501</v>
      </c>
      <c r="AX1049" s="385"/>
      <c r="AY1049" s="385"/>
      <c r="AZ1049" s="385"/>
      <c r="BA1049" s="265"/>
      <c r="BB1049" s="239"/>
      <c r="BC1049" s="239"/>
      <c r="BD1049" s="240"/>
      <c r="BE1049" s="240"/>
      <c r="BF1049" s="136"/>
      <c r="BG1049" s="136"/>
      <c r="BH1049" s="136"/>
      <c r="BI1049" s="136"/>
    </row>
    <row r="1050" spans="1:61" x14ac:dyDescent="0.2">
      <c r="A1050" s="232" t="s">
        <v>89</v>
      </c>
      <c r="B1050" s="232" t="s">
        <v>260</v>
      </c>
      <c r="C1050" s="445" t="s">
        <v>341</v>
      </c>
      <c r="D1050" s="445" t="s">
        <v>172</v>
      </c>
      <c r="E1050" s="235">
        <v>6.8</v>
      </c>
      <c r="F1050" s="769">
        <v>1.6659999999999999</v>
      </c>
      <c r="G1050" s="769">
        <f t="shared" si="475"/>
        <v>0.96635730858468671</v>
      </c>
      <c r="H1050" s="233">
        <v>15</v>
      </c>
      <c r="I1050" s="235">
        <v>8.9</v>
      </c>
      <c r="J1050" s="235">
        <v>54</v>
      </c>
      <c r="K1050" s="295">
        <v>2</v>
      </c>
      <c r="L1050" s="295">
        <v>28</v>
      </c>
      <c r="M1050" s="235" t="s">
        <v>93</v>
      </c>
      <c r="N1050" s="235">
        <v>38</v>
      </c>
      <c r="O1050" s="295">
        <f t="shared" si="487"/>
        <v>92</v>
      </c>
      <c r="P1050" s="290" t="s">
        <v>157</v>
      </c>
      <c r="Q1050" s="290"/>
      <c r="R1050" s="236">
        <v>3</v>
      </c>
      <c r="S1050" s="285">
        <v>0.76</v>
      </c>
      <c r="T1050" s="388" t="s">
        <v>141</v>
      </c>
      <c r="Y1050" s="292">
        <v>0.77</v>
      </c>
      <c r="Z1050" s="301" t="s">
        <v>141</v>
      </c>
      <c r="AA1050" s="233"/>
      <c r="AB1050" s="232"/>
      <c r="AC1050" s="232"/>
      <c r="AD1050" s="232"/>
      <c r="AE1050" s="136"/>
      <c r="AF1050" s="239">
        <f t="shared" si="468"/>
        <v>3.6375861597263857</v>
      </c>
      <c r="AG1050" s="239">
        <f t="shared" si="469"/>
        <v>4.5217885770490405</v>
      </c>
      <c r="AH1050" s="240"/>
      <c r="AI1050" s="240"/>
      <c r="AK1050" s="265">
        <f t="shared" si="470"/>
        <v>114</v>
      </c>
      <c r="AL1050" s="286">
        <f t="shared" si="471"/>
        <v>168</v>
      </c>
      <c r="AM1050" s="239">
        <f t="shared" si="472"/>
        <v>4.7361984483944957</v>
      </c>
      <c r="AN1050" s="239">
        <f t="shared" si="473"/>
        <v>5.1239639794032588</v>
      </c>
      <c r="AO1050" s="240"/>
      <c r="AP1050" s="240"/>
      <c r="AR1050" s="286">
        <f t="shared" si="482"/>
        <v>61.747381625495031</v>
      </c>
      <c r="AS1050" s="286">
        <f t="shared" si="483"/>
        <v>90.26496320280647</v>
      </c>
      <c r="AT1050" s="239">
        <f t="shared" si="484"/>
        <v>4.12305157178307</v>
      </c>
      <c r="AU1050" s="239">
        <f t="shared" si="485"/>
        <v>4.5027493807311574</v>
      </c>
      <c r="AX1050" s="385"/>
      <c r="AY1050" s="385"/>
      <c r="AZ1050" s="385"/>
      <c r="BA1050" s="265"/>
      <c r="BB1050" s="239"/>
      <c r="BC1050" s="239"/>
      <c r="BD1050" s="240"/>
      <c r="BE1050" s="240"/>
      <c r="BF1050" s="136"/>
      <c r="BG1050" s="136"/>
      <c r="BH1050" s="136"/>
      <c r="BI1050" s="136"/>
    </row>
    <row r="1051" spans="1:61" x14ac:dyDescent="0.2">
      <c r="A1051" s="232" t="s">
        <v>89</v>
      </c>
      <c r="B1051" s="232" t="s">
        <v>260</v>
      </c>
      <c r="C1051" s="445" t="s">
        <v>341</v>
      </c>
      <c r="D1051" s="445" t="s">
        <v>172</v>
      </c>
      <c r="E1051" s="235">
        <v>7.4</v>
      </c>
      <c r="F1051" s="769">
        <v>2.2000000000000002</v>
      </c>
      <c r="G1051" s="769">
        <f t="shared" si="475"/>
        <v>1.2761020881670535</v>
      </c>
      <c r="H1051" s="233">
        <v>27</v>
      </c>
      <c r="I1051" s="235">
        <v>20</v>
      </c>
      <c r="J1051" s="235">
        <v>51</v>
      </c>
      <c r="K1051" s="295">
        <v>2</v>
      </c>
      <c r="L1051" s="295">
        <v>28</v>
      </c>
      <c r="M1051" s="235" t="s">
        <v>93</v>
      </c>
      <c r="N1051" s="235">
        <v>150</v>
      </c>
      <c r="O1051" s="295">
        <f t="shared" si="487"/>
        <v>201</v>
      </c>
      <c r="P1051" s="290" t="s">
        <v>157</v>
      </c>
      <c r="Q1051" s="290"/>
      <c r="R1051" s="236">
        <v>3</v>
      </c>
      <c r="S1051" s="285">
        <v>0.76</v>
      </c>
      <c r="T1051" s="388" t="s">
        <v>141</v>
      </c>
      <c r="Y1051" s="292">
        <v>0.77</v>
      </c>
      <c r="Z1051" s="301" t="s">
        <v>141</v>
      </c>
      <c r="AA1051" s="233"/>
      <c r="AB1051" s="232"/>
      <c r="AC1051" s="232"/>
      <c r="AD1051" s="232"/>
      <c r="AE1051" s="136"/>
      <c r="AF1051" s="239">
        <f t="shared" si="468"/>
        <v>5.0106352940962555</v>
      </c>
      <c r="AG1051" s="239">
        <f t="shared" si="469"/>
        <v>5.3033049080590757</v>
      </c>
      <c r="AH1051" s="240"/>
      <c r="AI1051" s="240"/>
      <c r="AK1051" s="265">
        <f t="shared" si="470"/>
        <v>450</v>
      </c>
      <c r="AL1051" s="286">
        <f t="shared" si="471"/>
        <v>501</v>
      </c>
      <c r="AM1051" s="239">
        <f t="shared" si="472"/>
        <v>6.1092475827643655</v>
      </c>
      <c r="AN1051" s="239">
        <f t="shared" si="473"/>
        <v>6.2166061010848646</v>
      </c>
      <c r="AO1051" s="240"/>
      <c r="AP1051" s="240"/>
      <c r="AR1051" s="286">
        <f t="shared" si="482"/>
        <v>254.5611547076081</v>
      </c>
      <c r="AS1051" s="286">
        <f t="shared" si="483"/>
        <v>281.29487070265026</v>
      </c>
      <c r="AT1051" s="239">
        <f t="shared" si="484"/>
        <v>5.5395411006713013</v>
      </c>
      <c r="AU1051" s="239">
        <f t="shared" si="485"/>
        <v>5.6394034810695235</v>
      </c>
      <c r="AX1051" s="385"/>
      <c r="AY1051" s="385"/>
      <c r="AZ1051" s="385"/>
      <c r="BA1051" s="265"/>
      <c r="BB1051" s="239"/>
      <c r="BC1051" s="239"/>
      <c r="BD1051" s="240"/>
      <c r="BE1051" s="240"/>
      <c r="BF1051" s="136"/>
      <c r="BG1051" s="136"/>
      <c r="BH1051" s="136"/>
      <c r="BI1051" s="136"/>
    </row>
    <row r="1052" spans="1:61" x14ac:dyDescent="0.2">
      <c r="A1052" s="232" t="s">
        <v>89</v>
      </c>
      <c r="B1052" s="232" t="s">
        <v>260</v>
      </c>
      <c r="C1052" s="445" t="s">
        <v>341</v>
      </c>
      <c r="D1052" s="445" t="s">
        <v>172</v>
      </c>
      <c r="E1052" s="235">
        <v>7.4</v>
      </c>
      <c r="F1052" s="769">
        <v>4.5</v>
      </c>
      <c r="G1052" s="769">
        <f t="shared" si="475"/>
        <v>2.6102088167053363</v>
      </c>
      <c r="H1052" s="233">
        <v>46</v>
      </c>
      <c r="I1052" s="235">
        <v>36.299999999999997</v>
      </c>
      <c r="J1052" s="235">
        <v>51</v>
      </c>
      <c r="K1052" s="295">
        <v>2</v>
      </c>
      <c r="L1052" s="295">
        <v>28</v>
      </c>
      <c r="M1052" s="235" t="s">
        <v>93</v>
      </c>
      <c r="N1052" s="235">
        <v>600</v>
      </c>
      <c r="O1052" s="295">
        <f t="shared" si="487"/>
        <v>651</v>
      </c>
      <c r="P1052" s="290" t="s">
        <v>157</v>
      </c>
      <c r="Q1052" s="290"/>
      <c r="R1052" s="236">
        <v>3</v>
      </c>
      <c r="S1052" s="285">
        <v>0.76</v>
      </c>
      <c r="T1052" s="388" t="s">
        <v>141</v>
      </c>
      <c r="Y1052" s="292">
        <v>0.77</v>
      </c>
      <c r="Z1052" s="301" t="s">
        <v>141</v>
      </c>
      <c r="AA1052" s="233"/>
      <c r="AB1052" s="232"/>
      <c r="AC1052" s="232"/>
      <c r="AD1052" s="232"/>
      <c r="AE1052" s="136"/>
      <c r="AF1052" s="239">
        <f t="shared" si="468"/>
        <v>6.3969296552161463</v>
      </c>
      <c r="AG1052" s="239">
        <f t="shared" si="469"/>
        <v>6.4785096422085688</v>
      </c>
      <c r="AH1052" s="240"/>
      <c r="AI1052" s="240"/>
      <c r="AK1052" s="265">
        <f t="shared" si="470"/>
        <v>1800</v>
      </c>
      <c r="AL1052" s="286">
        <f t="shared" si="471"/>
        <v>1851</v>
      </c>
      <c r="AM1052" s="239">
        <f t="shared" si="472"/>
        <v>7.4955419438842563</v>
      </c>
      <c r="AN1052" s="239">
        <f t="shared" si="473"/>
        <v>7.5234813125734972</v>
      </c>
      <c r="AO1052" s="240"/>
      <c r="AP1052" s="240"/>
      <c r="AR1052" s="286">
        <f t="shared" si="482"/>
        <v>1018.2446188304324</v>
      </c>
      <c r="AS1052" s="286">
        <f t="shared" si="483"/>
        <v>1039.2750612187735</v>
      </c>
      <c r="AT1052" s="239">
        <f t="shared" si="484"/>
        <v>6.9258354617911912</v>
      </c>
      <c r="AU1052" s="239">
        <f t="shared" si="485"/>
        <v>6.9462786925581561</v>
      </c>
      <c r="AX1052" s="385"/>
      <c r="AY1052" s="385"/>
      <c r="AZ1052" s="385"/>
      <c r="BA1052" s="265"/>
      <c r="BB1052" s="239"/>
      <c r="BC1052" s="239"/>
      <c r="BD1052" s="240"/>
      <c r="BE1052" s="240"/>
      <c r="BF1052" s="136"/>
      <c r="BG1052" s="136"/>
      <c r="BH1052" s="136"/>
      <c r="BI1052" s="136"/>
    </row>
    <row r="1053" spans="1:61" x14ac:dyDescent="0.2">
      <c r="A1053" s="232" t="s">
        <v>89</v>
      </c>
      <c r="B1053" s="232" t="s">
        <v>260</v>
      </c>
      <c r="C1053" s="445" t="s">
        <v>341</v>
      </c>
      <c r="D1053" s="445" t="s">
        <v>172</v>
      </c>
      <c r="E1053" s="235">
        <v>7.5</v>
      </c>
      <c r="F1053" s="769">
        <v>2.2000000000000002</v>
      </c>
      <c r="G1053" s="769">
        <f t="shared" si="475"/>
        <v>1.2761020881670535</v>
      </c>
      <c r="H1053" s="233">
        <v>26</v>
      </c>
      <c r="I1053" s="235">
        <v>20.100000000000001</v>
      </c>
      <c r="J1053" s="235">
        <v>80</v>
      </c>
      <c r="K1053" s="295">
        <v>2</v>
      </c>
      <c r="L1053" s="295">
        <v>28</v>
      </c>
      <c r="M1053" s="235" t="s">
        <v>93</v>
      </c>
      <c r="N1053" s="235">
        <v>150</v>
      </c>
      <c r="O1053" s="295">
        <f t="shared" si="487"/>
        <v>230</v>
      </c>
      <c r="P1053" s="290" t="s">
        <v>157</v>
      </c>
      <c r="Q1053" s="290"/>
      <c r="R1053" s="236">
        <v>3</v>
      </c>
      <c r="S1053" s="285">
        <v>0.76</v>
      </c>
      <c r="T1053" s="388" t="s">
        <v>141</v>
      </c>
      <c r="Y1053" s="292">
        <v>0.77</v>
      </c>
      <c r="Z1053" s="301" t="s">
        <v>141</v>
      </c>
      <c r="AA1053" s="233"/>
      <c r="AB1053" s="232"/>
      <c r="AC1053" s="232"/>
      <c r="AD1053" s="232"/>
      <c r="AE1053" s="136"/>
      <c r="AF1053" s="239">
        <f t="shared" si="468"/>
        <v>5.0106352940962555</v>
      </c>
      <c r="AG1053" s="239">
        <f t="shared" si="469"/>
        <v>5.4380793089231956</v>
      </c>
      <c r="AH1053" s="240"/>
      <c r="AI1053" s="240"/>
      <c r="AK1053" s="265">
        <f t="shared" si="470"/>
        <v>450</v>
      </c>
      <c r="AL1053" s="286">
        <f t="shared" si="471"/>
        <v>530</v>
      </c>
      <c r="AM1053" s="239">
        <f t="shared" si="472"/>
        <v>6.1092475827643655</v>
      </c>
      <c r="AN1053" s="239">
        <f t="shared" si="473"/>
        <v>6.2728770065461674</v>
      </c>
      <c r="AO1053" s="240"/>
      <c r="AP1053" s="240"/>
      <c r="AR1053" s="286">
        <f t="shared" si="482"/>
        <v>180.79943793554014</v>
      </c>
      <c r="AS1053" s="286">
        <f t="shared" si="483"/>
        <v>210.40192183732736</v>
      </c>
      <c r="AT1053" s="239">
        <f t="shared" si="484"/>
        <v>5.1973883391896383</v>
      </c>
      <c r="AU1053" s="239">
        <f t="shared" si="485"/>
        <v>5.3490196150296683</v>
      </c>
      <c r="AX1053" s="385"/>
      <c r="AY1053" s="385"/>
      <c r="AZ1053" s="385"/>
      <c r="BA1053" s="265"/>
      <c r="BB1053" s="239"/>
      <c r="BC1053" s="239"/>
      <c r="BD1053" s="240"/>
      <c r="BE1053" s="240"/>
      <c r="BF1053" s="136"/>
      <c r="BG1053" s="136"/>
      <c r="BH1053" s="136"/>
      <c r="BI1053" s="136"/>
    </row>
    <row r="1054" spans="1:61" s="165" customFormat="1" x14ac:dyDescent="0.2">
      <c r="A1054" s="156" t="s">
        <v>89</v>
      </c>
      <c r="B1054" s="156" t="s">
        <v>260</v>
      </c>
      <c r="C1054" s="326" t="s">
        <v>341</v>
      </c>
      <c r="D1054" s="326" t="s">
        <v>172</v>
      </c>
      <c r="E1054" s="231">
        <v>7.5</v>
      </c>
      <c r="F1054" s="334">
        <v>0.66</v>
      </c>
      <c r="G1054" s="334">
        <f t="shared" si="475"/>
        <v>0.38283062645011601</v>
      </c>
      <c r="H1054" s="160">
        <v>25</v>
      </c>
      <c r="I1054" s="231">
        <v>16.899999999999999</v>
      </c>
      <c r="J1054" s="231">
        <v>27</v>
      </c>
      <c r="K1054" s="231">
        <v>2</v>
      </c>
      <c r="L1054" s="231">
        <v>28</v>
      </c>
      <c r="M1054" s="231" t="s">
        <v>93</v>
      </c>
      <c r="N1054" s="231">
        <v>300</v>
      </c>
      <c r="O1054" s="231">
        <f t="shared" si="487"/>
        <v>327</v>
      </c>
      <c r="P1054" s="326" t="s">
        <v>157</v>
      </c>
      <c r="Q1054" s="326"/>
      <c r="R1054" s="163">
        <v>3</v>
      </c>
      <c r="S1054" s="163">
        <v>0.76</v>
      </c>
      <c r="T1054" s="162" t="s">
        <v>141</v>
      </c>
      <c r="U1054" s="163"/>
      <c r="V1054" s="162"/>
      <c r="W1054" s="162"/>
      <c r="X1054" s="162"/>
      <c r="Y1054" s="328">
        <v>0.77</v>
      </c>
      <c r="Z1054" s="314" t="s">
        <v>141</v>
      </c>
      <c r="AA1054" s="160"/>
      <c r="AB1054" s="156"/>
      <c r="AC1054" s="156"/>
      <c r="AD1054" s="156"/>
      <c r="AF1054" s="166">
        <f t="shared" si="468"/>
        <v>5.7037824746562009</v>
      </c>
      <c r="AG1054" s="166">
        <f t="shared" si="469"/>
        <v>5.7899601708972535</v>
      </c>
      <c r="AH1054" s="169"/>
      <c r="AI1054" s="169"/>
      <c r="AK1054" s="168">
        <f t="shared" si="470"/>
        <v>900</v>
      </c>
      <c r="AL1054" s="337">
        <f t="shared" si="471"/>
        <v>927</v>
      </c>
      <c r="AM1054" s="166">
        <f t="shared" si="472"/>
        <v>6.8023947633243109</v>
      </c>
      <c r="AN1054" s="166">
        <f t="shared" si="473"/>
        <v>6.831953565565855</v>
      </c>
      <c r="AO1054" s="169"/>
      <c r="AP1054" s="169"/>
      <c r="AR1054" s="337">
        <f t="shared" si="482"/>
        <v>825.54167276917838</v>
      </c>
      <c r="AS1054" s="337">
        <f t="shared" si="483"/>
        <v>849.34230905131483</v>
      </c>
      <c r="AT1054" s="166">
        <f t="shared" si="484"/>
        <v>6.7160397439384436</v>
      </c>
      <c r="AU1054" s="166">
        <f t="shared" si="485"/>
        <v>6.7444622959249108</v>
      </c>
      <c r="AV1054" s="167"/>
      <c r="AW1054" s="167"/>
      <c r="AX1054" s="168"/>
      <c r="AY1054" s="168"/>
      <c r="AZ1054" s="168"/>
      <c r="BA1054" s="168"/>
      <c r="BB1054" s="166"/>
      <c r="BC1054" s="166"/>
      <c r="BD1054" s="169"/>
      <c r="BE1054" s="169"/>
    </row>
    <row r="1055" spans="1:61" s="165" customFormat="1" x14ac:dyDescent="0.2">
      <c r="A1055" s="156" t="s">
        <v>89</v>
      </c>
      <c r="B1055" s="156" t="s">
        <v>260</v>
      </c>
      <c r="C1055" s="326" t="s">
        <v>341</v>
      </c>
      <c r="D1055" s="326" t="s">
        <v>173</v>
      </c>
      <c r="E1055" s="231">
        <v>7.4</v>
      </c>
      <c r="F1055" s="336"/>
      <c r="G1055" s="334"/>
      <c r="H1055" s="231">
        <v>2</v>
      </c>
      <c r="I1055" s="329"/>
      <c r="J1055" s="754">
        <v>51</v>
      </c>
      <c r="K1055" s="231">
        <v>0</v>
      </c>
      <c r="L1055" s="231">
        <v>84</v>
      </c>
      <c r="M1055" s="160" t="s">
        <v>104</v>
      </c>
      <c r="N1055" s="231">
        <v>67</v>
      </c>
      <c r="O1055" s="231">
        <f t="shared" si="487"/>
        <v>118</v>
      </c>
      <c r="P1055" s="326" t="s">
        <v>174</v>
      </c>
      <c r="Q1055" s="326"/>
      <c r="R1055" s="163">
        <v>3</v>
      </c>
      <c r="S1055" s="163">
        <v>0.76</v>
      </c>
      <c r="T1055" s="162" t="s">
        <v>141</v>
      </c>
      <c r="U1055" s="163"/>
      <c r="V1055" s="162"/>
      <c r="W1055" s="162"/>
      <c r="X1055" s="162"/>
      <c r="Y1055" s="328">
        <v>0.77</v>
      </c>
      <c r="Z1055" s="314" t="s">
        <v>141</v>
      </c>
      <c r="AA1055" s="160"/>
      <c r="AB1055" s="156"/>
      <c r="AC1055" s="156"/>
      <c r="AD1055" s="156"/>
      <c r="AF1055" s="166">
        <f t="shared" si="468"/>
        <v>4.2046926193909657</v>
      </c>
      <c r="AG1055" s="166">
        <f t="shared" si="469"/>
        <v>4.7706846244656651</v>
      </c>
      <c r="AH1055" s="169"/>
      <c r="AI1055" s="169"/>
      <c r="AK1055" s="168">
        <f t="shared" si="470"/>
        <v>201</v>
      </c>
      <c r="AL1055" s="337">
        <f t="shared" si="471"/>
        <v>252</v>
      </c>
      <c r="AM1055" s="166">
        <f t="shared" si="472"/>
        <v>5.3033049080590757</v>
      </c>
      <c r="AN1055" s="166">
        <f t="shared" si="473"/>
        <v>5.5294290875114234</v>
      </c>
      <c r="AO1055" s="169"/>
      <c r="AP1055" s="169"/>
      <c r="AR1055" s="337"/>
      <c r="AS1055" s="337"/>
      <c r="AT1055" s="166"/>
      <c r="AU1055" s="166"/>
      <c r="AV1055" s="167"/>
      <c r="AW1055" s="167"/>
      <c r="AX1055" s="168"/>
      <c r="AY1055" s="168"/>
      <c r="AZ1055" s="168"/>
      <c r="BA1055" s="168"/>
      <c r="BB1055" s="166"/>
      <c r="BC1055" s="166"/>
      <c r="BD1055" s="169"/>
      <c r="BE1055" s="169"/>
    </row>
    <row r="1056" spans="1:61" x14ac:dyDescent="0.2">
      <c r="A1056" s="232" t="s">
        <v>89</v>
      </c>
      <c r="B1056" s="232" t="s">
        <v>260</v>
      </c>
      <c r="C1056" s="445" t="s">
        <v>341</v>
      </c>
      <c r="D1056" s="445" t="s">
        <v>175</v>
      </c>
      <c r="E1056" s="235">
        <v>7.4</v>
      </c>
      <c r="F1056" s="451"/>
      <c r="G1056" s="769"/>
      <c r="H1056" s="235">
        <v>2</v>
      </c>
      <c r="I1056" s="435"/>
      <c r="J1056" s="753">
        <v>51</v>
      </c>
      <c r="K1056" s="295">
        <v>0</v>
      </c>
      <c r="L1056" s="295">
        <v>84</v>
      </c>
      <c r="M1056" s="233" t="s">
        <v>93</v>
      </c>
      <c r="N1056" s="235">
        <v>200</v>
      </c>
      <c r="O1056" s="295">
        <f t="shared" si="487"/>
        <v>251</v>
      </c>
      <c r="P1056" s="290" t="s">
        <v>174</v>
      </c>
      <c r="Q1056" s="290"/>
      <c r="R1056" s="236">
        <v>3</v>
      </c>
      <c r="S1056" s="285">
        <v>0.76</v>
      </c>
      <c r="T1056" s="388" t="s">
        <v>141</v>
      </c>
      <c r="Y1056" s="292">
        <v>0.77</v>
      </c>
      <c r="Z1056" s="301" t="s">
        <v>141</v>
      </c>
      <c r="AA1056" s="233"/>
      <c r="AB1056" s="232"/>
      <c r="AC1056" s="232"/>
      <c r="AD1056" s="232"/>
      <c r="AE1056" s="136"/>
      <c r="AF1056" s="239">
        <f t="shared" si="468"/>
        <v>5.2983173665480363</v>
      </c>
      <c r="AG1056" s="239">
        <f t="shared" si="469"/>
        <v>5.5254529391317835</v>
      </c>
      <c r="AH1056" s="240"/>
      <c r="AI1056" s="240"/>
      <c r="AK1056" s="265">
        <f t="shared" si="470"/>
        <v>600</v>
      </c>
      <c r="AL1056" s="286">
        <f t="shared" si="471"/>
        <v>651</v>
      </c>
      <c r="AM1056" s="239">
        <f t="shared" si="472"/>
        <v>6.3969296552161463</v>
      </c>
      <c r="AN1056" s="239">
        <f t="shared" si="473"/>
        <v>6.4785096422085688</v>
      </c>
      <c r="AO1056" s="240"/>
      <c r="AP1056" s="240"/>
      <c r="AR1056" s="286"/>
      <c r="AS1056" s="286"/>
      <c r="AT1056" s="239"/>
      <c r="AU1056" s="239"/>
      <c r="AX1056" s="385"/>
      <c r="AY1056" s="385"/>
      <c r="AZ1056" s="385"/>
      <c r="BA1056" s="265"/>
      <c r="BB1056" s="239"/>
      <c r="BC1056" s="239"/>
      <c r="BD1056" s="240"/>
      <c r="BE1056" s="240"/>
      <c r="BF1056" s="136"/>
      <c r="BG1056" s="136"/>
      <c r="BH1056" s="136"/>
      <c r="BI1056" s="136"/>
    </row>
    <row r="1057" spans="1:61" s="165" customFormat="1" x14ac:dyDescent="0.2">
      <c r="A1057" s="156" t="s">
        <v>89</v>
      </c>
      <c r="B1057" s="156" t="s">
        <v>260</v>
      </c>
      <c r="C1057" s="326" t="s">
        <v>341</v>
      </c>
      <c r="D1057" s="326" t="s">
        <v>175</v>
      </c>
      <c r="E1057" s="231">
        <v>7.5</v>
      </c>
      <c r="F1057" s="336"/>
      <c r="G1057" s="334"/>
      <c r="H1057" s="231">
        <v>18</v>
      </c>
      <c r="I1057" s="329"/>
      <c r="J1057" s="754">
        <v>51</v>
      </c>
      <c r="K1057" s="231">
        <v>0</v>
      </c>
      <c r="L1057" s="231">
        <v>84</v>
      </c>
      <c r="M1057" s="160" t="s">
        <v>93</v>
      </c>
      <c r="N1057" s="231">
        <v>200</v>
      </c>
      <c r="O1057" s="231">
        <f t="shared" si="487"/>
        <v>251</v>
      </c>
      <c r="P1057" s="326" t="s">
        <v>174</v>
      </c>
      <c r="Q1057" s="326"/>
      <c r="R1057" s="163">
        <v>3</v>
      </c>
      <c r="S1057" s="163">
        <v>0.76</v>
      </c>
      <c r="T1057" s="162" t="s">
        <v>141</v>
      </c>
      <c r="U1057" s="163"/>
      <c r="V1057" s="162"/>
      <c r="W1057" s="162"/>
      <c r="X1057" s="162"/>
      <c r="Y1057" s="328">
        <v>0.77</v>
      </c>
      <c r="Z1057" s="314" t="s">
        <v>141</v>
      </c>
      <c r="AA1057" s="160"/>
      <c r="AB1057" s="156"/>
      <c r="AC1057" s="156"/>
      <c r="AD1057" s="156"/>
      <c r="AF1057" s="166">
        <f t="shared" si="468"/>
        <v>5.2983173665480363</v>
      </c>
      <c r="AG1057" s="166">
        <f t="shared" si="469"/>
        <v>5.5254529391317835</v>
      </c>
      <c r="AH1057" s="169"/>
      <c r="AI1057" s="169"/>
      <c r="AK1057" s="168">
        <f t="shared" si="470"/>
        <v>600</v>
      </c>
      <c r="AL1057" s="337">
        <f t="shared" si="471"/>
        <v>651</v>
      </c>
      <c r="AM1057" s="166">
        <f t="shared" si="472"/>
        <v>6.3969296552161463</v>
      </c>
      <c r="AN1057" s="166">
        <f t="shared" si="473"/>
        <v>6.4785096422085688</v>
      </c>
      <c r="AO1057" s="169"/>
      <c r="AP1057" s="169"/>
      <c r="AR1057" s="337"/>
      <c r="AS1057" s="337"/>
      <c r="AT1057" s="166"/>
      <c r="AU1057" s="166"/>
      <c r="AV1057" s="167"/>
      <c r="AW1057" s="167"/>
      <c r="AX1057" s="168"/>
      <c r="AY1057" s="168"/>
      <c r="AZ1057" s="168"/>
      <c r="BA1057" s="168"/>
      <c r="BB1057" s="166"/>
      <c r="BC1057" s="166"/>
      <c r="BD1057" s="169"/>
      <c r="BE1057" s="169"/>
    </row>
    <row r="1058" spans="1:61" x14ac:dyDescent="0.2">
      <c r="A1058" s="232" t="s">
        <v>89</v>
      </c>
      <c r="B1058" s="232" t="s">
        <v>260</v>
      </c>
      <c r="C1058" s="445" t="s">
        <v>341</v>
      </c>
      <c r="D1058" s="445" t="s">
        <v>176</v>
      </c>
      <c r="E1058" s="235">
        <v>6.2</v>
      </c>
      <c r="F1058" s="769">
        <f>G1058*1.724</f>
        <v>4.7065200000000003</v>
      </c>
      <c r="G1058" s="769">
        <v>2.73</v>
      </c>
      <c r="H1058" s="235">
        <v>29</v>
      </c>
      <c r="I1058" s="410">
        <f t="shared" ref="I1058:I1065" si="488">(30+4.4*E1058)*H1058/100+(-34.66+29.72*E1058)*F1058/100</f>
        <v>23.652342180800002</v>
      </c>
      <c r="J1058" s="753">
        <v>51</v>
      </c>
      <c r="K1058" s="295">
        <v>0</v>
      </c>
      <c r="L1058" s="295" t="s">
        <v>177</v>
      </c>
      <c r="M1058" s="233" t="s">
        <v>178</v>
      </c>
      <c r="N1058" s="235">
        <v>820</v>
      </c>
      <c r="O1058" s="295">
        <f t="shared" si="487"/>
        <v>871</v>
      </c>
      <c r="P1058" s="290" t="s">
        <v>179</v>
      </c>
      <c r="Q1058" s="290"/>
      <c r="R1058" s="236">
        <v>3</v>
      </c>
      <c r="S1058" s="285">
        <v>0.76</v>
      </c>
      <c r="T1058" s="388" t="s">
        <v>141</v>
      </c>
      <c r="Y1058" s="292">
        <v>0.77</v>
      </c>
      <c r="Z1058" s="301" t="s">
        <v>141</v>
      </c>
      <c r="AA1058" s="233"/>
      <c r="AB1058" s="232"/>
      <c r="AC1058" s="232"/>
      <c r="AD1058" s="232"/>
      <c r="AE1058" s="136"/>
      <c r="AF1058" s="239">
        <f t="shared" si="468"/>
        <v>6.7093043402582984</v>
      </c>
      <c r="AG1058" s="239">
        <f t="shared" si="469"/>
        <v>6.7696419768525029</v>
      </c>
      <c r="AH1058" s="240"/>
      <c r="AI1058" s="240"/>
      <c r="AK1058" s="265">
        <f t="shared" si="470"/>
        <v>2460</v>
      </c>
      <c r="AL1058" s="286">
        <f t="shared" si="471"/>
        <v>2511</v>
      </c>
      <c r="AM1058" s="239">
        <f t="shared" si="472"/>
        <v>7.8079166289264084</v>
      </c>
      <c r="AN1058" s="239">
        <f t="shared" si="473"/>
        <v>7.8284363591575854</v>
      </c>
      <c r="AO1058" s="240"/>
      <c r="AP1058" s="240"/>
      <c r="AR1058" s="286"/>
      <c r="AS1058" s="286"/>
      <c r="AT1058" s="239"/>
      <c r="AU1058" s="239"/>
      <c r="AX1058" s="385">
        <f>GEOMEAN(AR1058:AR1065)</f>
        <v>715.59088056774112</v>
      </c>
      <c r="AY1058" s="385">
        <f>GEOMEAN(AS1058:AS1065)</f>
        <v>763.58095937341307</v>
      </c>
      <c r="AZ1058" s="385">
        <f>MIN(AX1058:AX1065)</f>
        <v>715.59088056774112</v>
      </c>
      <c r="BA1058" s="385">
        <f>MIN(AY1058:AY1065)</f>
        <v>763.58095937341307</v>
      </c>
      <c r="BB1058" s="239">
        <f>LN(AZ1058)</f>
        <v>6.5731086077967111</v>
      </c>
      <c r="BC1058" s="239">
        <f>LN(BA1058)</f>
        <v>6.6380191561994408</v>
      </c>
      <c r="BD1058" s="240"/>
      <c r="BE1058" s="240"/>
      <c r="BF1058" s="136"/>
      <c r="BG1058" s="136"/>
      <c r="BH1058" s="136"/>
      <c r="BI1058" s="136"/>
    </row>
    <row r="1059" spans="1:61" x14ac:dyDescent="0.2">
      <c r="A1059" s="232" t="s">
        <v>89</v>
      </c>
      <c r="B1059" s="232" t="s">
        <v>260</v>
      </c>
      <c r="C1059" s="445" t="s">
        <v>341</v>
      </c>
      <c r="D1059" s="445" t="s">
        <v>176</v>
      </c>
      <c r="E1059" s="235">
        <v>7.8</v>
      </c>
      <c r="F1059" s="769">
        <f>G1059*1.724</f>
        <v>5.5857600000000005</v>
      </c>
      <c r="G1059" s="769">
        <v>3.24</v>
      </c>
      <c r="H1059" s="235">
        <v>30</v>
      </c>
      <c r="I1059" s="410">
        <f t="shared" si="488"/>
        <v>30.3086609856</v>
      </c>
      <c r="J1059" s="753">
        <v>51</v>
      </c>
      <c r="K1059" s="295">
        <v>0</v>
      </c>
      <c r="L1059" s="295" t="s">
        <v>177</v>
      </c>
      <c r="M1059" s="233" t="s">
        <v>104</v>
      </c>
      <c r="N1059" s="235">
        <v>140</v>
      </c>
      <c r="O1059" s="295">
        <f t="shared" si="487"/>
        <v>191</v>
      </c>
      <c r="P1059" s="290" t="s">
        <v>179</v>
      </c>
      <c r="Q1059" s="290"/>
      <c r="R1059" s="236">
        <v>3</v>
      </c>
      <c r="S1059" s="285">
        <v>0.76</v>
      </c>
      <c r="T1059" s="388" t="s">
        <v>141</v>
      </c>
      <c r="Y1059" s="292">
        <v>0.77</v>
      </c>
      <c r="Z1059" s="301" t="s">
        <v>141</v>
      </c>
      <c r="AA1059" s="233"/>
      <c r="AB1059" s="232"/>
      <c r="AC1059" s="232"/>
      <c r="AD1059" s="232"/>
      <c r="AE1059" s="136"/>
      <c r="AF1059" s="239">
        <f t="shared" si="468"/>
        <v>4.9416424226093039</v>
      </c>
      <c r="AG1059" s="239">
        <f t="shared" si="469"/>
        <v>5.2522734280466299</v>
      </c>
      <c r="AH1059" s="240"/>
      <c r="AI1059" s="240"/>
      <c r="AK1059" s="265">
        <f t="shared" si="470"/>
        <v>420</v>
      </c>
      <c r="AL1059" s="286">
        <f t="shared" si="471"/>
        <v>471</v>
      </c>
      <c r="AM1059" s="239">
        <f t="shared" si="472"/>
        <v>6.0402547112774139</v>
      </c>
      <c r="AN1059" s="239">
        <f t="shared" si="473"/>
        <v>6.1548580940164177</v>
      </c>
      <c r="AO1059" s="240"/>
      <c r="AP1059" s="240"/>
      <c r="AR1059" s="286"/>
      <c r="AS1059" s="286"/>
      <c r="AT1059" s="239"/>
      <c r="AU1059" s="239"/>
      <c r="AX1059" s="385"/>
      <c r="AY1059" s="385"/>
      <c r="AZ1059" s="385"/>
      <c r="BA1059" s="265"/>
      <c r="BB1059" s="239"/>
      <c r="BC1059" s="239"/>
      <c r="BD1059" s="240"/>
      <c r="BE1059" s="240"/>
      <c r="BF1059" s="136"/>
      <c r="BG1059" s="136"/>
      <c r="BH1059" s="136"/>
      <c r="BI1059" s="136"/>
    </row>
    <row r="1060" spans="1:61" x14ac:dyDescent="0.2">
      <c r="A1060" s="232" t="s">
        <v>89</v>
      </c>
      <c r="B1060" s="232" t="s">
        <v>260</v>
      </c>
      <c r="C1060" s="445" t="s">
        <v>341</v>
      </c>
      <c r="D1060" s="445" t="s">
        <v>176</v>
      </c>
      <c r="E1060" s="235">
        <v>5.8</v>
      </c>
      <c r="F1060" s="769">
        <f>G1060*1.724</f>
        <v>5.0168400000000002</v>
      </c>
      <c r="G1060" s="769">
        <v>2.91</v>
      </c>
      <c r="H1060" s="235">
        <v>26</v>
      </c>
      <c r="I1060" s="410">
        <f t="shared" si="488"/>
        <v>21.344191374399998</v>
      </c>
      <c r="J1060" s="753">
        <v>51</v>
      </c>
      <c r="K1060" s="295">
        <v>0</v>
      </c>
      <c r="L1060" s="295" t="s">
        <v>177</v>
      </c>
      <c r="M1060" s="233" t="s">
        <v>93</v>
      </c>
      <c r="N1060" s="235">
        <v>164</v>
      </c>
      <c r="O1060" s="295">
        <f t="shared" si="487"/>
        <v>215</v>
      </c>
      <c r="P1060" s="290" t="s">
        <v>179</v>
      </c>
      <c r="Q1060" s="290"/>
      <c r="R1060" s="236">
        <v>3</v>
      </c>
      <c r="S1060" s="285">
        <v>0.76</v>
      </c>
      <c r="T1060" s="388" t="s">
        <v>141</v>
      </c>
      <c r="Y1060" s="292">
        <v>0.77</v>
      </c>
      <c r="Z1060" s="301" t="s">
        <v>141</v>
      </c>
      <c r="AA1060" s="233"/>
      <c r="AB1060" s="232"/>
      <c r="AC1060" s="232"/>
      <c r="AD1060" s="232"/>
      <c r="AE1060" s="136"/>
      <c r="AF1060" s="239">
        <f t="shared" si="468"/>
        <v>5.0998664278241987</v>
      </c>
      <c r="AG1060" s="239">
        <f t="shared" si="469"/>
        <v>5.3706380281276624</v>
      </c>
      <c r="AH1060" s="240"/>
      <c r="AI1060" s="240"/>
      <c r="AK1060" s="265">
        <f t="shared" si="470"/>
        <v>492</v>
      </c>
      <c r="AL1060" s="286">
        <f t="shared" si="471"/>
        <v>543</v>
      </c>
      <c r="AM1060" s="239">
        <f t="shared" si="472"/>
        <v>6.1984787164923079</v>
      </c>
      <c r="AN1060" s="239">
        <f t="shared" si="473"/>
        <v>6.2971093199339352</v>
      </c>
      <c r="AO1060" s="240"/>
      <c r="AP1060" s="240"/>
      <c r="AR1060" s="286"/>
      <c r="AS1060" s="286"/>
      <c r="AT1060" s="239"/>
      <c r="AU1060" s="239"/>
      <c r="AX1060" s="385"/>
      <c r="AY1060" s="385"/>
      <c r="AZ1060" s="385"/>
      <c r="BA1060" s="265"/>
      <c r="BB1060" s="239"/>
      <c r="BC1060" s="239"/>
      <c r="BD1060" s="240"/>
      <c r="BE1060" s="240"/>
      <c r="BF1060" s="136"/>
      <c r="BG1060" s="136"/>
      <c r="BH1060" s="136"/>
      <c r="BI1060" s="136"/>
    </row>
    <row r="1061" spans="1:61" x14ac:dyDescent="0.2">
      <c r="A1061" s="232" t="s">
        <v>89</v>
      </c>
      <c r="B1061" s="232" t="s">
        <v>260</v>
      </c>
      <c r="C1061" s="445" t="s">
        <v>341</v>
      </c>
      <c r="D1061" s="445" t="s">
        <v>176</v>
      </c>
      <c r="E1061" s="235">
        <v>7.4</v>
      </c>
      <c r="F1061" s="769">
        <f>G1061*1.724</f>
        <v>9.1716800000000003</v>
      </c>
      <c r="G1061" s="769">
        <v>5.32</v>
      </c>
      <c r="H1061" s="235">
        <v>34</v>
      </c>
      <c r="I1061" s="410">
        <f t="shared" si="488"/>
        <v>38.262588102400002</v>
      </c>
      <c r="J1061" s="753">
        <v>51</v>
      </c>
      <c r="K1061" s="295">
        <v>0</v>
      </c>
      <c r="L1061" s="295" t="s">
        <v>177</v>
      </c>
      <c r="M1061" s="233" t="s">
        <v>180</v>
      </c>
      <c r="N1061" s="235">
        <v>820</v>
      </c>
      <c r="O1061" s="295">
        <f t="shared" si="487"/>
        <v>871</v>
      </c>
      <c r="P1061" s="290" t="s">
        <v>179</v>
      </c>
      <c r="Q1061" s="290"/>
      <c r="R1061" s="236">
        <v>3</v>
      </c>
      <c r="S1061" s="285">
        <v>0.76</v>
      </c>
      <c r="T1061" s="388" t="s">
        <v>141</v>
      </c>
      <c r="Y1061" s="292">
        <v>0.77</v>
      </c>
      <c r="Z1061" s="301" t="s">
        <v>141</v>
      </c>
      <c r="AA1061" s="233"/>
      <c r="AB1061" s="232"/>
      <c r="AC1061" s="232"/>
      <c r="AD1061" s="232"/>
      <c r="AE1061" s="136"/>
      <c r="AF1061" s="239">
        <f t="shared" si="468"/>
        <v>6.7093043402582984</v>
      </c>
      <c r="AG1061" s="239">
        <f t="shared" si="469"/>
        <v>6.7696419768525029</v>
      </c>
      <c r="AH1061" s="240"/>
      <c r="AI1061" s="240"/>
      <c r="AK1061" s="265">
        <f t="shared" si="470"/>
        <v>2460</v>
      </c>
      <c r="AL1061" s="286">
        <f t="shared" si="471"/>
        <v>2511</v>
      </c>
      <c r="AM1061" s="239">
        <f t="shared" si="472"/>
        <v>7.8079166289264084</v>
      </c>
      <c r="AN1061" s="239">
        <f t="shared" si="473"/>
        <v>7.8284363591575854</v>
      </c>
      <c r="AO1061" s="240"/>
      <c r="AP1061" s="240"/>
      <c r="AR1061" s="286"/>
      <c r="AS1061" s="286"/>
      <c r="AT1061" s="239"/>
      <c r="AU1061" s="239"/>
      <c r="AX1061" s="385"/>
      <c r="AY1061" s="385"/>
      <c r="AZ1061" s="385"/>
      <c r="BA1061" s="265"/>
      <c r="BB1061" s="239"/>
      <c r="BC1061" s="239"/>
      <c r="BD1061" s="240"/>
      <c r="BE1061" s="240"/>
      <c r="BF1061" s="136"/>
      <c r="BG1061" s="136"/>
      <c r="BH1061" s="136"/>
      <c r="BI1061" s="136"/>
    </row>
    <row r="1062" spans="1:61" x14ac:dyDescent="0.2">
      <c r="A1062" s="232" t="s">
        <v>89</v>
      </c>
      <c r="B1062" s="232" t="s">
        <v>260</v>
      </c>
      <c r="C1062" s="445" t="s">
        <v>341</v>
      </c>
      <c r="D1062" s="445" t="s">
        <v>176</v>
      </c>
      <c r="E1062" s="235">
        <v>5.0999999999999996</v>
      </c>
      <c r="F1062" s="451">
        <v>5.7</v>
      </c>
      <c r="G1062" s="769">
        <f>F1062/1.724</f>
        <v>3.3062645011600931</v>
      </c>
      <c r="H1062" s="235">
        <v>9</v>
      </c>
      <c r="I1062" s="410">
        <f t="shared" si="488"/>
        <v>11.383583999999999</v>
      </c>
      <c r="J1062" s="235">
        <v>17</v>
      </c>
      <c r="K1062" s="295">
        <v>0</v>
      </c>
      <c r="L1062" s="295">
        <v>42</v>
      </c>
      <c r="M1062" s="235" t="s">
        <v>104</v>
      </c>
      <c r="N1062" s="235">
        <v>728</v>
      </c>
      <c r="O1062" s="295">
        <f t="shared" si="487"/>
        <v>745</v>
      </c>
      <c r="P1062" s="290" t="s">
        <v>181</v>
      </c>
      <c r="Q1062" s="290"/>
      <c r="R1062" s="236">
        <v>3</v>
      </c>
      <c r="S1062" s="285">
        <v>0.76</v>
      </c>
      <c r="T1062" s="388" t="s">
        <v>141</v>
      </c>
      <c r="Y1062" s="292">
        <v>0.77</v>
      </c>
      <c r="Z1062" s="301" t="s">
        <v>141</v>
      </c>
      <c r="AA1062" s="233"/>
      <c r="AB1062" s="232"/>
      <c r="AC1062" s="232"/>
      <c r="AD1062" s="232"/>
      <c r="AE1062" s="136"/>
      <c r="AF1062" s="239">
        <f t="shared" si="468"/>
        <v>6.5903010481966859</v>
      </c>
      <c r="AG1062" s="239">
        <f t="shared" si="469"/>
        <v>6.6133842183795597</v>
      </c>
      <c r="AH1062" s="240"/>
      <c r="AI1062" s="240"/>
      <c r="AK1062" s="265">
        <f t="shared" si="470"/>
        <v>2184</v>
      </c>
      <c r="AL1062" s="286">
        <f t="shared" si="471"/>
        <v>2201</v>
      </c>
      <c r="AM1062" s="239">
        <f t="shared" si="472"/>
        <v>7.6889133368647959</v>
      </c>
      <c r="AN1062" s="239">
        <f t="shared" si="473"/>
        <v>7.6966670815264617</v>
      </c>
      <c r="AO1062" s="240"/>
      <c r="AP1062" s="240"/>
      <c r="AR1062" s="286">
        <f t="shared" ref="AR1062:AR1067" si="489">AK1062*(Zn_bg/$J1062)^$S1062</f>
        <v>2847.3732857611394</v>
      </c>
      <c r="AS1062" s="286">
        <f t="shared" ref="AS1062:AS1067" si="490">AL1062*(Zn_bg/$J1062)^$Y1062</f>
        <v>2879.5690421351351</v>
      </c>
      <c r="AT1062" s="239">
        <f t="shared" ref="AT1062:AU1067" si="491">LN(AR1062)</f>
        <v>7.9541521941594944</v>
      </c>
      <c r="AU1062" s="239">
        <f t="shared" si="491"/>
        <v>7.9653959237855645</v>
      </c>
      <c r="AX1062" s="385"/>
      <c r="AY1062" s="385"/>
      <c r="AZ1062" s="385"/>
      <c r="BA1062" s="265"/>
      <c r="BB1062" s="239"/>
      <c r="BC1062" s="239"/>
      <c r="BD1062" s="240"/>
      <c r="BE1062" s="240"/>
      <c r="BF1062" s="136"/>
      <c r="BG1062" s="136"/>
      <c r="BH1062" s="136"/>
      <c r="BI1062" s="136"/>
    </row>
    <row r="1063" spans="1:61" x14ac:dyDescent="0.2">
      <c r="A1063" s="232" t="s">
        <v>89</v>
      </c>
      <c r="B1063" s="232" t="s">
        <v>260</v>
      </c>
      <c r="C1063" s="445" t="s">
        <v>341</v>
      </c>
      <c r="D1063" s="445" t="s">
        <v>176</v>
      </c>
      <c r="E1063" s="235">
        <v>7.7</v>
      </c>
      <c r="F1063" s="451">
        <v>1.6</v>
      </c>
      <c r="G1063" s="769">
        <f>F1063/1.724</f>
        <v>0.92807424593967525</v>
      </c>
      <c r="H1063" s="235">
        <v>2</v>
      </c>
      <c r="I1063" s="410">
        <f t="shared" si="488"/>
        <v>4.384544</v>
      </c>
      <c r="J1063" s="235">
        <v>14</v>
      </c>
      <c r="K1063" s="295">
        <v>0</v>
      </c>
      <c r="L1063" s="295">
        <v>42</v>
      </c>
      <c r="M1063" s="235" t="s">
        <v>104</v>
      </c>
      <c r="N1063" s="235">
        <v>105</v>
      </c>
      <c r="O1063" s="295">
        <f t="shared" si="487"/>
        <v>119</v>
      </c>
      <c r="P1063" s="290" t="s">
        <v>181</v>
      </c>
      <c r="Q1063" s="290"/>
      <c r="R1063" s="236">
        <v>3</v>
      </c>
      <c r="S1063" s="285">
        <v>0.76</v>
      </c>
      <c r="T1063" s="388" t="s">
        <v>141</v>
      </c>
      <c r="Y1063" s="292">
        <v>0.77</v>
      </c>
      <c r="Z1063" s="301" t="s">
        <v>141</v>
      </c>
      <c r="AA1063" s="233"/>
      <c r="AB1063" s="232"/>
      <c r="AC1063" s="232"/>
      <c r="AD1063" s="232"/>
      <c r="AE1063" s="136"/>
      <c r="AF1063" s="239">
        <f t="shared" si="468"/>
        <v>4.6539603501575231</v>
      </c>
      <c r="AG1063" s="239">
        <f t="shared" si="469"/>
        <v>4.7791234931115296</v>
      </c>
      <c r="AH1063" s="240"/>
      <c r="AI1063" s="240"/>
      <c r="AK1063" s="265">
        <f t="shared" si="470"/>
        <v>315</v>
      </c>
      <c r="AL1063" s="286">
        <f t="shared" si="471"/>
        <v>329</v>
      </c>
      <c r="AM1063" s="239">
        <f t="shared" si="472"/>
        <v>5.7525726388256331</v>
      </c>
      <c r="AN1063" s="239">
        <f t="shared" si="473"/>
        <v>5.7960577507653719</v>
      </c>
      <c r="AO1063" s="240"/>
      <c r="AP1063" s="240"/>
      <c r="AR1063" s="286">
        <f t="shared" si="489"/>
        <v>475.97725386677354</v>
      </c>
      <c r="AS1063" s="286">
        <f t="shared" si="490"/>
        <v>499.83933867850101</v>
      </c>
      <c r="AT1063" s="239">
        <f t="shared" si="491"/>
        <v>6.1653700670954601</v>
      </c>
      <c r="AU1063" s="239">
        <f t="shared" si="491"/>
        <v>6.2142867241440118</v>
      </c>
      <c r="AX1063" s="385"/>
      <c r="AY1063" s="385"/>
      <c r="AZ1063" s="385"/>
      <c r="BA1063" s="265"/>
      <c r="BB1063" s="239"/>
      <c r="BC1063" s="239"/>
      <c r="BD1063" s="240"/>
      <c r="BE1063" s="240"/>
      <c r="BF1063" s="136"/>
      <c r="BG1063" s="136"/>
      <c r="BH1063" s="136"/>
      <c r="BI1063" s="136"/>
    </row>
    <row r="1064" spans="1:61" x14ac:dyDescent="0.2">
      <c r="A1064" s="232" t="s">
        <v>89</v>
      </c>
      <c r="B1064" s="232" t="s">
        <v>260</v>
      </c>
      <c r="C1064" s="445" t="s">
        <v>341</v>
      </c>
      <c r="D1064" s="445" t="s">
        <v>176</v>
      </c>
      <c r="E1064" s="235">
        <v>6.8</v>
      </c>
      <c r="F1064" s="451">
        <v>3.2</v>
      </c>
      <c r="G1064" s="769">
        <f>F1064/1.724</f>
        <v>1.8561484918793505</v>
      </c>
      <c r="H1064" s="235">
        <v>60</v>
      </c>
      <c r="I1064" s="410">
        <f t="shared" si="488"/>
        <v>41.309952000000003</v>
      </c>
      <c r="J1064" s="235">
        <v>226</v>
      </c>
      <c r="K1064" s="295">
        <v>0</v>
      </c>
      <c r="L1064" s="295">
        <v>42</v>
      </c>
      <c r="M1064" s="235" t="s">
        <v>104</v>
      </c>
      <c r="N1064" s="235">
        <v>2353</v>
      </c>
      <c r="O1064" s="295">
        <f t="shared" si="487"/>
        <v>2579</v>
      </c>
      <c r="P1064" s="290" t="s">
        <v>181</v>
      </c>
      <c r="Q1064" s="290"/>
      <c r="R1064" s="236">
        <v>3</v>
      </c>
      <c r="S1064" s="285">
        <v>0.76</v>
      </c>
      <c r="T1064" s="388" t="s">
        <v>141</v>
      </c>
      <c r="Y1064" s="292">
        <v>0.77</v>
      </c>
      <c r="Z1064" s="301" t="s">
        <v>141</v>
      </c>
      <c r="AA1064" s="233"/>
      <c r="AB1064" s="232"/>
      <c r="AC1064" s="232"/>
      <c r="AD1064" s="232"/>
      <c r="AE1064" s="136"/>
      <c r="AF1064" s="239">
        <f t="shared" si="468"/>
        <v>7.7634463887273624</v>
      </c>
      <c r="AG1064" s="239">
        <f t="shared" si="469"/>
        <v>7.8551570058813445</v>
      </c>
      <c r="AH1064" s="240"/>
      <c r="AI1064" s="240"/>
      <c r="AK1064" s="265">
        <f t="shared" si="470"/>
        <v>7059</v>
      </c>
      <c r="AL1064" s="286">
        <f t="shared" si="471"/>
        <v>7285</v>
      </c>
      <c r="AM1064" s="239">
        <f t="shared" si="472"/>
        <v>8.8620586773954724</v>
      </c>
      <c r="AN1064" s="239">
        <f t="shared" si="473"/>
        <v>8.8935727186293043</v>
      </c>
      <c r="AO1064" s="240"/>
      <c r="AP1064" s="240"/>
      <c r="AR1064" s="286">
        <f t="shared" si="489"/>
        <v>1288.1122799330703</v>
      </c>
      <c r="AS1064" s="286">
        <f t="shared" si="490"/>
        <v>1299.9276478126023</v>
      </c>
      <c r="AT1064" s="239">
        <f t="shared" si="491"/>
        <v>7.160933076725958</v>
      </c>
      <c r="AU1064" s="239">
        <f t="shared" si="491"/>
        <v>7.1700638863720343</v>
      </c>
      <c r="AX1064" s="385"/>
      <c r="AY1064" s="385"/>
      <c r="AZ1064" s="385"/>
      <c r="BA1064" s="265"/>
      <c r="BB1064" s="239"/>
      <c r="BC1064" s="239"/>
      <c r="BD1064" s="240"/>
      <c r="BE1064" s="240"/>
      <c r="BF1064" s="136"/>
      <c r="BG1064" s="136"/>
      <c r="BH1064" s="136"/>
      <c r="BI1064" s="136"/>
    </row>
    <row r="1065" spans="1:61" s="165" customFormat="1" x14ac:dyDescent="0.2">
      <c r="A1065" s="156" t="s">
        <v>89</v>
      </c>
      <c r="B1065" s="156" t="s">
        <v>260</v>
      </c>
      <c r="C1065" s="326" t="s">
        <v>341</v>
      </c>
      <c r="D1065" s="326" t="s">
        <v>176</v>
      </c>
      <c r="E1065" s="231">
        <v>7.4</v>
      </c>
      <c r="F1065" s="336">
        <v>2.4</v>
      </c>
      <c r="G1065" s="334">
        <f>F1065/1.724</f>
        <v>1.3921113689095128</v>
      </c>
      <c r="H1065" s="231">
        <v>19</v>
      </c>
      <c r="I1065" s="774">
        <f t="shared" si="488"/>
        <v>16.332832000000003</v>
      </c>
      <c r="J1065" s="231">
        <v>103</v>
      </c>
      <c r="K1065" s="231">
        <v>0</v>
      </c>
      <c r="L1065" s="231">
        <v>42</v>
      </c>
      <c r="M1065" s="231" t="s">
        <v>104</v>
      </c>
      <c r="N1065" s="231">
        <v>151</v>
      </c>
      <c r="O1065" s="231">
        <f t="shared" si="487"/>
        <v>254</v>
      </c>
      <c r="P1065" s="326" t="s">
        <v>181</v>
      </c>
      <c r="Q1065" s="326"/>
      <c r="R1065" s="163">
        <v>3</v>
      </c>
      <c r="S1065" s="163">
        <v>0.76</v>
      </c>
      <c r="T1065" s="162" t="s">
        <v>141</v>
      </c>
      <c r="U1065" s="163"/>
      <c r="V1065" s="162"/>
      <c r="W1065" s="162"/>
      <c r="X1065" s="162"/>
      <c r="Y1065" s="328">
        <v>0.77</v>
      </c>
      <c r="Z1065" s="314" t="s">
        <v>141</v>
      </c>
      <c r="AA1065" s="160"/>
      <c r="AB1065" s="156"/>
      <c r="AC1065" s="156"/>
      <c r="AD1065" s="156"/>
      <c r="AF1065" s="166">
        <f t="shared" ref="AF1065:AF1086" si="492">LN(N1065)</f>
        <v>5.0172798368149243</v>
      </c>
      <c r="AG1065" s="166">
        <f t="shared" ref="AG1065:AG1086" si="493">LN(O1065)</f>
        <v>5.5373342670185366</v>
      </c>
      <c r="AH1065" s="169"/>
      <c r="AI1065" s="169"/>
      <c r="AK1065" s="168">
        <f t="shared" ref="AK1065:AK1086" si="494">N1065*R1065</f>
        <v>453</v>
      </c>
      <c r="AL1065" s="337">
        <f t="shared" ref="AL1065:AL1086" si="495">AK1065+J1065</f>
        <v>556</v>
      </c>
      <c r="AM1065" s="166">
        <f t="shared" ref="AM1065:AM1086" si="496">LN(AK1065)</f>
        <v>6.1158921254830343</v>
      </c>
      <c r="AN1065" s="166">
        <f t="shared" ref="AN1065:AN1086" si="497">LN(AL1065)</f>
        <v>6.3207682942505823</v>
      </c>
      <c r="AO1065" s="169"/>
      <c r="AP1065" s="169"/>
      <c r="AR1065" s="337">
        <f t="shared" si="489"/>
        <v>150.20170536184133</v>
      </c>
      <c r="AS1065" s="337">
        <f t="shared" si="490"/>
        <v>181.69511507825027</v>
      </c>
      <c r="AT1065" s="166">
        <f t="shared" si="491"/>
        <v>5.0119790932059338</v>
      </c>
      <c r="AU1065" s="166">
        <f t="shared" si="491"/>
        <v>5.2023300904961518</v>
      </c>
      <c r="AV1065" s="167"/>
      <c r="AW1065" s="167"/>
      <c r="AX1065" s="168"/>
      <c r="AY1065" s="168"/>
      <c r="AZ1065" s="168"/>
      <c r="BA1065" s="168"/>
      <c r="BB1065" s="166"/>
      <c r="BC1065" s="166"/>
      <c r="BD1065" s="169"/>
      <c r="BE1065" s="169"/>
    </row>
    <row r="1066" spans="1:61" x14ac:dyDescent="0.2">
      <c r="A1066" s="232" t="s">
        <v>89</v>
      </c>
      <c r="B1066" s="232" t="s">
        <v>260</v>
      </c>
      <c r="C1066" s="445" t="s">
        <v>341</v>
      </c>
      <c r="D1066" s="445" t="s">
        <v>86</v>
      </c>
      <c r="E1066" s="235">
        <v>6.9</v>
      </c>
      <c r="F1066" s="769">
        <f>G1066*1.724</f>
        <v>3.08596</v>
      </c>
      <c r="G1066" s="769">
        <v>1.79</v>
      </c>
      <c r="H1066" s="235"/>
      <c r="I1066" s="435"/>
      <c r="J1066" s="235">
        <v>15</v>
      </c>
      <c r="K1066" s="295">
        <v>0</v>
      </c>
      <c r="L1066" s="295">
        <v>90</v>
      </c>
      <c r="M1066" s="235" t="s">
        <v>104</v>
      </c>
      <c r="N1066" s="235">
        <v>76</v>
      </c>
      <c r="O1066" s="295">
        <f t="shared" si="487"/>
        <v>91</v>
      </c>
      <c r="P1066" s="290" t="s">
        <v>182</v>
      </c>
      <c r="Q1066" s="290"/>
      <c r="R1066" s="236">
        <v>3</v>
      </c>
      <c r="S1066" s="285">
        <v>0.76</v>
      </c>
      <c r="T1066" s="388" t="s">
        <v>141</v>
      </c>
      <c r="Y1066" s="292">
        <v>0.77</v>
      </c>
      <c r="Z1066" s="301" t="s">
        <v>141</v>
      </c>
      <c r="AA1066" s="233"/>
      <c r="AB1066" s="232"/>
      <c r="AC1066" s="232"/>
      <c r="AD1066" s="232"/>
      <c r="AE1066" s="136"/>
      <c r="AF1066" s="239">
        <f t="shared" si="492"/>
        <v>4.3307333402863311</v>
      </c>
      <c r="AG1066" s="239">
        <f t="shared" si="493"/>
        <v>4.5108595065168497</v>
      </c>
      <c r="AH1066" s="240"/>
      <c r="AI1066" s="240"/>
      <c r="AK1066" s="265">
        <f t="shared" si="494"/>
        <v>228</v>
      </c>
      <c r="AL1066" s="286">
        <f t="shared" si="495"/>
        <v>243</v>
      </c>
      <c r="AM1066" s="239">
        <f t="shared" si="496"/>
        <v>5.4293456289544411</v>
      </c>
      <c r="AN1066" s="239">
        <f t="shared" si="497"/>
        <v>5.4930614433405482</v>
      </c>
      <c r="AO1066" s="240"/>
      <c r="AP1066" s="240"/>
      <c r="AR1066" s="286">
        <f t="shared" si="489"/>
        <v>326.91770576399597</v>
      </c>
      <c r="AS1066" s="286">
        <f t="shared" si="490"/>
        <v>350.08147239780277</v>
      </c>
      <c r="AT1066" s="239">
        <f t="shared" si="491"/>
        <v>5.7897084748941845</v>
      </c>
      <c r="AU1066" s="239">
        <f t="shared" si="491"/>
        <v>5.8581659056742357</v>
      </c>
      <c r="AX1066" s="385">
        <f>GEOMEAN(AR1066:AR1069)</f>
        <v>1064.7732498572511</v>
      </c>
      <c r="AY1066" s="385">
        <f>GEOMEAN(AS1066:AS1069)</f>
        <v>1110.8927964787886</v>
      </c>
      <c r="AZ1066" s="385">
        <f>MIN(AX1066:AX1069)</f>
        <v>1064.7732498572511</v>
      </c>
      <c r="BA1066" s="385">
        <f>MIN(AY1066:AY1069)</f>
        <v>1110.8927964787886</v>
      </c>
      <c r="BB1066" s="239">
        <f>LN(AZ1066)</f>
        <v>6.9705171445426171</v>
      </c>
      <c r="BC1066" s="239">
        <f>LN(BA1066)</f>
        <v>7.0129192921655266</v>
      </c>
      <c r="BD1066" s="240"/>
      <c r="BE1066" s="240"/>
      <c r="BF1066" s="136"/>
      <c r="BG1066" s="136"/>
      <c r="BH1066" s="136"/>
      <c r="BI1066" s="136"/>
    </row>
    <row r="1067" spans="1:61" x14ac:dyDescent="0.2">
      <c r="A1067" s="232" t="s">
        <v>89</v>
      </c>
      <c r="B1067" s="232" t="s">
        <v>260</v>
      </c>
      <c r="C1067" s="445" t="s">
        <v>341</v>
      </c>
      <c r="D1067" s="445" t="s">
        <v>86</v>
      </c>
      <c r="E1067" s="235">
        <v>7.1</v>
      </c>
      <c r="F1067" s="769">
        <f>G1067*1.724</f>
        <v>1.8964000000000001</v>
      </c>
      <c r="G1067" s="769">
        <v>1.1000000000000001</v>
      </c>
      <c r="H1067" s="235"/>
      <c r="I1067" s="435"/>
      <c r="J1067" s="235">
        <v>8</v>
      </c>
      <c r="K1067" s="295">
        <v>0</v>
      </c>
      <c r="L1067" s="295">
        <v>90</v>
      </c>
      <c r="M1067" s="235" t="s">
        <v>93</v>
      </c>
      <c r="N1067" s="235">
        <v>500</v>
      </c>
      <c r="O1067" s="295">
        <f t="shared" si="487"/>
        <v>508</v>
      </c>
      <c r="P1067" s="290" t="s">
        <v>182</v>
      </c>
      <c r="Q1067" s="290"/>
      <c r="R1067" s="236">
        <v>3</v>
      </c>
      <c r="S1067" s="285">
        <v>0.76</v>
      </c>
      <c r="T1067" s="388" t="s">
        <v>141</v>
      </c>
      <c r="Y1067" s="292">
        <v>0.77</v>
      </c>
      <c r="Z1067" s="301" t="s">
        <v>141</v>
      </c>
      <c r="AA1067" s="233"/>
      <c r="AB1067" s="232"/>
      <c r="AC1067" s="232"/>
      <c r="AD1067" s="232"/>
      <c r="AE1067" s="136"/>
      <c r="AF1067" s="239">
        <f t="shared" si="492"/>
        <v>6.2146080984221914</v>
      </c>
      <c r="AG1067" s="239">
        <f t="shared" si="493"/>
        <v>6.230481447578482</v>
      </c>
      <c r="AH1067" s="240"/>
      <c r="AI1067" s="240"/>
      <c r="AK1067" s="265">
        <f t="shared" si="494"/>
        <v>1500</v>
      </c>
      <c r="AL1067" s="286">
        <f t="shared" si="495"/>
        <v>1508</v>
      </c>
      <c r="AM1067" s="239">
        <f t="shared" si="496"/>
        <v>7.3132203870903014</v>
      </c>
      <c r="AN1067" s="239">
        <f t="shared" si="497"/>
        <v>7.3185395485679017</v>
      </c>
      <c r="AO1067" s="240"/>
      <c r="AP1067" s="240"/>
      <c r="AR1067" s="286">
        <f t="shared" si="489"/>
        <v>3467.973907874014</v>
      </c>
      <c r="AS1067" s="286">
        <f t="shared" si="490"/>
        <v>3525.1302984299514</v>
      </c>
      <c r="AT1067" s="239">
        <f t="shared" si="491"/>
        <v>8.1513258141910487</v>
      </c>
      <c r="AU1067" s="239">
        <f t="shared" si="491"/>
        <v>8.1676726786568175</v>
      </c>
      <c r="AX1067" s="385"/>
      <c r="AY1067" s="385"/>
      <c r="AZ1067" s="385"/>
      <c r="BA1067" s="265"/>
      <c r="BB1067" s="239"/>
      <c r="BC1067" s="239"/>
      <c r="BD1067" s="240"/>
      <c r="BE1067" s="240"/>
      <c r="BF1067" s="136"/>
      <c r="BG1067" s="136"/>
      <c r="BH1067" s="136"/>
      <c r="BI1067" s="136"/>
    </row>
    <row r="1068" spans="1:61" x14ac:dyDescent="0.2">
      <c r="A1068" s="232" t="s">
        <v>89</v>
      </c>
      <c r="B1068" s="232" t="s">
        <v>260</v>
      </c>
      <c r="C1068" s="445" t="s">
        <v>341</v>
      </c>
      <c r="D1068" s="445" t="s">
        <v>86</v>
      </c>
      <c r="E1068" s="235"/>
      <c r="F1068" s="769">
        <f>G1068*1.724</f>
        <v>2.2412000000000001</v>
      </c>
      <c r="G1068" s="769">
        <v>1.3</v>
      </c>
      <c r="H1068" s="235"/>
      <c r="I1068" s="435"/>
      <c r="J1068" s="753">
        <v>51</v>
      </c>
      <c r="K1068" s="295">
        <v>0</v>
      </c>
      <c r="L1068" s="295">
        <v>1</v>
      </c>
      <c r="M1068" s="233" t="s">
        <v>104</v>
      </c>
      <c r="N1068" s="235">
        <v>145</v>
      </c>
      <c r="O1068" s="295">
        <f t="shared" si="487"/>
        <v>196</v>
      </c>
      <c r="P1068" s="290" t="s">
        <v>183</v>
      </c>
      <c r="Q1068" s="290"/>
      <c r="R1068" s="236">
        <v>3</v>
      </c>
      <c r="S1068" s="285">
        <v>0.76</v>
      </c>
      <c r="T1068" s="388" t="s">
        <v>141</v>
      </c>
      <c r="Y1068" s="292">
        <v>0.77</v>
      </c>
      <c r="Z1068" s="301" t="s">
        <v>141</v>
      </c>
      <c r="AA1068" s="233"/>
      <c r="AB1068" s="232"/>
      <c r="AC1068" s="232"/>
      <c r="AD1068" s="232"/>
      <c r="AE1068" s="136"/>
      <c r="AF1068" s="239">
        <f t="shared" si="492"/>
        <v>4.9767337424205742</v>
      </c>
      <c r="AG1068" s="239">
        <f t="shared" si="493"/>
        <v>5.2781146592305168</v>
      </c>
      <c r="AH1068" s="240"/>
      <c r="AI1068" s="240"/>
      <c r="AK1068" s="265">
        <f t="shared" si="494"/>
        <v>435</v>
      </c>
      <c r="AL1068" s="286">
        <f t="shared" si="495"/>
        <v>486</v>
      </c>
      <c r="AM1068" s="239">
        <f t="shared" si="496"/>
        <v>6.0753460310886842</v>
      </c>
      <c r="AN1068" s="239">
        <f t="shared" si="497"/>
        <v>6.1862086239004936</v>
      </c>
      <c r="AO1068" s="240"/>
      <c r="AP1068" s="240"/>
      <c r="AR1068" s="286"/>
      <c r="AS1068" s="286"/>
      <c r="AT1068" s="239"/>
      <c r="AU1068" s="239"/>
      <c r="AX1068" s="385"/>
      <c r="AY1068" s="385"/>
      <c r="AZ1068" s="385"/>
      <c r="BA1068" s="265"/>
      <c r="BB1068" s="239"/>
      <c r="BC1068" s="239"/>
      <c r="BD1068" s="240"/>
      <c r="BE1068" s="240"/>
      <c r="BF1068" s="136"/>
      <c r="BG1068" s="136"/>
      <c r="BH1068" s="136"/>
      <c r="BI1068" s="136"/>
    </row>
    <row r="1069" spans="1:61" s="165" customFormat="1" x14ac:dyDescent="0.2">
      <c r="A1069" s="156" t="s">
        <v>89</v>
      </c>
      <c r="B1069" s="156" t="s">
        <v>260</v>
      </c>
      <c r="C1069" s="326" t="s">
        <v>341</v>
      </c>
      <c r="D1069" s="326" t="s">
        <v>86</v>
      </c>
      <c r="E1069" s="231"/>
      <c r="F1069" s="334">
        <f>1+G1069*1.724</f>
        <v>3.2412000000000001</v>
      </c>
      <c r="G1069" s="334">
        <v>1.3</v>
      </c>
      <c r="H1069" s="231"/>
      <c r="I1069" s="329"/>
      <c r="J1069" s="754">
        <v>51</v>
      </c>
      <c r="K1069" s="231">
        <v>0</v>
      </c>
      <c r="L1069" s="231">
        <v>1</v>
      </c>
      <c r="M1069" s="160" t="s">
        <v>104</v>
      </c>
      <c r="N1069" s="231">
        <v>48</v>
      </c>
      <c r="O1069" s="231">
        <f t="shared" si="487"/>
        <v>99</v>
      </c>
      <c r="P1069" s="326" t="s">
        <v>183</v>
      </c>
      <c r="Q1069" s="326"/>
      <c r="R1069" s="163">
        <v>3</v>
      </c>
      <c r="S1069" s="163">
        <v>0.76</v>
      </c>
      <c r="T1069" s="162" t="s">
        <v>141</v>
      </c>
      <c r="U1069" s="163"/>
      <c r="V1069" s="162"/>
      <c r="W1069" s="162"/>
      <c r="X1069" s="162"/>
      <c r="Y1069" s="328">
        <v>0.77</v>
      </c>
      <c r="Z1069" s="314" t="s">
        <v>141</v>
      </c>
      <c r="AA1069" s="160"/>
      <c r="AB1069" s="156"/>
      <c r="AC1069" s="156"/>
      <c r="AD1069" s="156"/>
      <c r="AF1069" s="166">
        <f t="shared" si="492"/>
        <v>3.8712010109078911</v>
      </c>
      <c r="AG1069" s="166">
        <f t="shared" si="493"/>
        <v>4.5951198501345898</v>
      </c>
      <c r="AH1069" s="169"/>
      <c r="AI1069" s="169"/>
      <c r="AK1069" s="168">
        <f t="shared" si="494"/>
        <v>144</v>
      </c>
      <c r="AL1069" s="337">
        <f t="shared" si="495"/>
        <v>195</v>
      </c>
      <c r="AM1069" s="166">
        <f t="shared" si="496"/>
        <v>4.9698132995760007</v>
      </c>
      <c r="AN1069" s="166">
        <f t="shared" si="497"/>
        <v>5.2729995585637468</v>
      </c>
      <c r="AO1069" s="169"/>
      <c r="AP1069" s="169"/>
      <c r="AR1069" s="337"/>
      <c r="AS1069" s="337"/>
      <c r="AT1069" s="166"/>
      <c r="AU1069" s="166"/>
      <c r="AV1069" s="167"/>
      <c r="AW1069" s="167"/>
      <c r="AX1069" s="168"/>
      <c r="AY1069" s="168"/>
      <c r="AZ1069" s="168"/>
      <c r="BA1069" s="168"/>
      <c r="BB1069" s="166"/>
      <c r="BC1069" s="166"/>
      <c r="BD1069" s="169"/>
      <c r="BE1069" s="169"/>
    </row>
    <row r="1070" spans="1:61" x14ac:dyDescent="0.2">
      <c r="A1070" s="232" t="s">
        <v>89</v>
      </c>
      <c r="B1070" s="232" t="s">
        <v>260</v>
      </c>
      <c r="C1070" s="445" t="s">
        <v>341</v>
      </c>
      <c r="D1070" s="445" t="s">
        <v>85</v>
      </c>
      <c r="E1070" s="235">
        <v>5.0999999999999996</v>
      </c>
      <c r="F1070" s="451">
        <v>6</v>
      </c>
      <c r="G1070" s="769">
        <f>F1070/1.724</f>
        <v>3.4802784222737819</v>
      </c>
      <c r="H1070" s="235">
        <v>9</v>
      </c>
      <c r="I1070" s="410">
        <f>(30+4.4*E1070)*H1070/100+(-34.66+29.72*E1070)*F1070/100</f>
        <v>11.734319999999999</v>
      </c>
      <c r="J1070" s="235">
        <v>17</v>
      </c>
      <c r="K1070" s="295">
        <v>0</v>
      </c>
      <c r="L1070" s="295">
        <v>42</v>
      </c>
      <c r="M1070" s="235" t="s">
        <v>104</v>
      </c>
      <c r="N1070" s="235">
        <v>1341</v>
      </c>
      <c r="O1070" s="295">
        <f t="shared" si="487"/>
        <v>1358</v>
      </c>
      <c r="P1070" s="290" t="s">
        <v>184</v>
      </c>
      <c r="Q1070" s="290"/>
      <c r="R1070" s="236">
        <v>3</v>
      </c>
      <c r="S1070" s="285">
        <v>0.76</v>
      </c>
      <c r="T1070" s="388" t="s">
        <v>141</v>
      </c>
      <c r="Y1070" s="292">
        <v>0.77</v>
      </c>
      <c r="Z1070" s="301" t="s">
        <v>141</v>
      </c>
      <c r="AA1070" s="233"/>
      <c r="AB1070" s="232"/>
      <c r="AC1070" s="232"/>
      <c r="AD1070" s="232"/>
      <c r="AE1070" s="136"/>
      <c r="AF1070" s="239">
        <f t="shared" si="492"/>
        <v>7.2011708832816783</v>
      </c>
      <c r="AG1070" s="239">
        <f t="shared" si="493"/>
        <v>7.2137683081186417</v>
      </c>
      <c r="AH1070" s="240"/>
      <c r="AI1070" s="240"/>
      <c r="AK1070" s="265">
        <f t="shared" si="494"/>
        <v>4023</v>
      </c>
      <c r="AL1070" s="286">
        <f t="shared" si="495"/>
        <v>4040</v>
      </c>
      <c r="AM1070" s="239">
        <f t="shared" si="496"/>
        <v>8.2997831719497874</v>
      </c>
      <c r="AN1070" s="239">
        <f t="shared" si="497"/>
        <v>8.3039999709551964</v>
      </c>
      <c r="AO1070" s="240"/>
      <c r="AP1070" s="240"/>
      <c r="AR1070" s="286">
        <f>AK1070*(Zn_bg/$J1070)^$S1070</f>
        <v>5244.9554618210004</v>
      </c>
      <c r="AS1070" s="286">
        <f>AL1070*(Zn_bg/$J1070)^$Y1070</f>
        <v>5285.5333622107892</v>
      </c>
      <c r="AT1070" s="239">
        <f t="shared" ref="AT1070:AU1072" si="498">LN(AR1070)</f>
        <v>8.5650220292444867</v>
      </c>
      <c r="AU1070" s="239">
        <f t="shared" si="498"/>
        <v>8.5727288132142991</v>
      </c>
      <c r="AX1070" s="385">
        <f>GEOMEAN(AR1070:AR1075)</f>
        <v>1062.2578011041351</v>
      </c>
      <c r="AY1070" s="385">
        <f>GEOMEAN(AS1070:AS1075)</f>
        <v>1201.5438677656359</v>
      </c>
      <c r="AZ1070" s="385">
        <f>MIN(AX1070:AX1075)</f>
        <v>1062.2578011041351</v>
      </c>
      <c r="BA1070" s="385">
        <f>MIN(AY1070:AY1075)</f>
        <v>1201.5438677656359</v>
      </c>
      <c r="BB1070" s="239">
        <f>LN(AZ1070)</f>
        <v>6.9681519229115976</v>
      </c>
      <c r="BC1070" s="239">
        <f>LN(BA1070)</f>
        <v>7.091362565342842</v>
      </c>
      <c r="BD1070" s="240"/>
      <c r="BE1070" s="240"/>
      <c r="BF1070" s="136"/>
      <c r="BG1070" s="136"/>
      <c r="BH1070" s="136"/>
      <c r="BI1070" s="136"/>
    </row>
    <row r="1071" spans="1:61" x14ac:dyDescent="0.2">
      <c r="A1071" s="232" t="s">
        <v>89</v>
      </c>
      <c r="B1071" s="232" t="s">
        <v>260</v>
      </c>
      <c r="C1071" s="445" t="s">
        <v>341</v>
      </c>
      <c r="D1071" s="445" t="s">
        <v>85</v>
      </c>
      <c r="E1071" s="235">
        <v>6.8</v>
      </c>
      <c r="F1071" s="451">
        <v>3</v>
      </c>
      <c r="G1071" s="769">
        <f>F1071/1.724</f>
        <v>1.740139211136891</v>
      </c>
      <c r="H1071" s="235">
        <v>60</v>
      </c>
      <c r="I1071" s="410">
        <f>(30+4.4*E1071)*H1071/100+(-34.66+29.72*E1071)*F1071/100</f>
        <v>40.975080000000005</v>
      </c>
      <c r="J1071" s="235">
        <v>226</v>
      </c>
      <c r="K1071" s="295">
        <v>0</v>
      </c>
      <c r="L1071" s="295">
        <v>42</v>
      </c>
      <c r="M1071" s="235" t="s">
        <v>104</v>
      </c>
      <c r="N1071" s="235">
        <v>160</v>
      </c>
      <c r="O1071" s="295">
        <f t="shared" si="487"/>
        <v>386</v>
      </c>
      <c r="P1071" s="290" t="s">
        <v>184</v>
      </c>
      <c r="Q1071" s="290"/>
      <c r="R1071" s="236">
        <v>3</v>
      </c>
      <c r="S1071" s="285">
        <v>0.76</v>
      </c>
      <c r="T1071" s="388" t="s">
        <v>141</v>
      </c>
      <c r="Y1071" s="292">
        <v>0.77</v>
      </c>
      <c r="Z1071" s="301" t="s">
        <v>141</v>
      </c>
      <c r="AA1071" s="233"/>
      <c r="AB1071" s="232"/>
      <c r="AC1071" s="232"/>
      <c r="AD1071" s="232"/>
      <c r="AE1071" s="136"/>
      <c r="AF1071" s="239">
        <f t="shared" si="492"/>
        <v>5.0751738152338266</v>
      </c>
      <c r="AG1071" s="239">
        <f t="shared" si="493"/>
        <v>5.955837369464831</v>
      </c>
      <c r="AH1071" s="240"/>
      <c r="AI1071" s="240"/>
      <c r="AK1071" s="265">
        <f t="shared" si="494"/>
        <v>480</v>
      </c>
      <c r="AL1071" s="286">
        <f t="shared" si="495"/>
        <v>706</v>
      </c>
      <c r="AM1071" s="239">
        <f t="shared" si="496"/>
        <v>6.1737861039019366</v>
      </c>
      <c r="AN1071" s="239">
        <f t="shared" si="497"/>
        <v>6.5596152374932419</v>
      </c>
      <c r="AO1071" s="240"/>
      <c r="AP1071" s="240"/>
      <c r="AR1071" s="286">
        <f>AK1071*(Zn_bg/$J1071)^$S1071</f>
        <v>87.589445299316296</v>
      </c>
      <c r="AS1071" s="286">
        <f>AL1071*(Zn_bg/$J1071)^$Y1071</f>
        <v>125.9778887241863</v>
      </c>
      <c r="AT1071" s="239">
        <f t="shared" si="498"/>
        <v>4.4726605032324223</v>
      </c>
      <c r="AU1071" s="239">
        <f t="shared" si="498"/>
        <v>4.836106405235971</v>
      </c>
      <c r="AX1071" s="385"/>
      <c r="AY1071" s="385"/>
      <c r="AZ1071" s="385"/>
      <c r="BA1071" s="265"/>
      <c r="BB1071" s="239"/>
      <c r="BC1071" s="239"/>
      <c r="BD1071" s="240"/>
      <c r="BE1071" s="240"/>
      <c r="BF1071" s="136"/>
      <c r="BG1071" s="136"/>
      <c r="BH1071" s="136"/>
      <c r="BI1071" s="136"/>
    </row>
    <row r="1072" spans="1:61" x14ac:dyDescent="0.2">
      <c r="A1072" s="232" t="s">
        <v>89</v>
      </c>
      <c r="B1072" s="232" t="s">
        <v>260</v>
      </c>
      <c r="C1072" s="445" t="s">
        <v>341</v>
      </c>
      <c r="D1072" s="445" t="s">
        <v>85</v>
      </c>
      <c r="E1072" s="235">
        <v>7.4</v>
      </c>
      <c r="F1072" s="451">
        <v>2</v>
      </c>
      <c r="G1072" s="769">
        <f>F1072/1.724</f>
        <v>1.160092807424594</v>
      </c>
      <c r="H1072" s="235">
        <v>19</v>
      </c>
      <c r="I1072" s="410">
        <f>(30+4.4*E1072)*H1072/100+(-34.66+29.72*E1072)*F1072/100</f>
        <v>15.591760000000003</v>
      </c>
      <c r="J1072" s="235">
        <v>103</v>
      </c>
      <c r="K1072" s="295">
        <v>0</v>
      </c>
      <c r="L1072" s="295">
        <v>42</v>
      </c>
      <c r="M1072" s="235" t="s">
        <v>104</v>
      </c>
      <c r="N1072" s="235">
        <v>2623</v>
      </c>
      <c r="O1072" s="295">
        <f t="shared" si="487"/>
        <v>2726</v>
      </c>
      <c r="P1072" s="290" t="s">
        <v>184</v>
      </c>
      <c r="Q1072" s="290"/>
      <c r="R1072" s="236">
        <v>3</v>
      </c>
      <c r="S1072" s="285">
        <v>0.76</v>
      </c>
      <c r="T1072" s="388" t="s">
        <v>141</v>
      </c>
      <c r="Y1072" s="292">
        <v>0.77</v>
      </c>
      <c r="Z1072" s="301" t="s">
        <v>141</v>
      </c>
      <c r="AA1072" s="233"/>
      <c r="AB1072" s="232"/>
      <c r="AC1072" s="232"/>
      <c r="AD1072" s="232"/>
      <c r="AE1072" s="136"/>
      <c r="AF1072" s="239">
        <f t="shared" si="492"/>
        <v>7.8720739798668733</v>
      </c>
      <c r="AG1072" s="239">
        <f t="shared" si="493"/>
        <v>7.9105906122564775</v>
      </c>
      <c r="AH1072" s="240"/>
      <c r="AI1072" s="240"/>
      <c r="AK1072" s="265">
        <f t="shared" si="494"/>
        <v>7869</v>
      </c>
      <c r="AL1072" s="286">
        <f t="shared" si="495"/>
        <v>7972</v>
      </c>
      <c r="AM1072" s="239">
        <f t="shared" si="496"/>
        <v>8.9706862685349833</v>
      </c>
      <c r="AN1072" s="239">
        <f t="shared" si="497"/>
        <v>8.9836906813326856</v>
      </c>
      <c r="AO1072" s="240"/>
      <c r="AP1072" s="240"/>
      <c r="AR1072" s="286">
        <f>AK1072*(Zn_bg/$J1072)^$S1072</f>
        <v>2609.1329348616546</v>
      </c>
      <c r="AS1072" s="286">
        <f>AL1072*(Zn_bg/$J1072)^$Y1072</f>
        <v>2605.1680888557753</v>
      </c>
      <c r="AT1072" s="239">
        <f t="shared" si="498"/>
        <v>7.8667732362578837</v>
      </c>
      <c r="AU1072" s="239">
        <f t="shared" si="498"/>
        <v>7.8652524775782551</v>
      </c>
      <c r="AX1072" s="385"/>
      <c r="AY1072" s="385"/>
      <c r="AZ1072" s="385"/>
      <c r="BA1072" s="265"/>
      <c r="BB1072" s="239"/>
      <c r="BC1072" s="239"/>
      <c r="BD1072" s="240"/>
      <c r="BE1072" s="240"/>
      <c r="BF1072" s="136"/>
      <c r="BG1072" s="136"/>
      <c r="BH1072" s="136"/>
      <c r="BI1072" s="136"/>
    </row>
    <row r="1073" spans="1:61" x14ac:dyDescent="0.2">
      <c r="A1073" s="232" t="s">
        <v>89</v>
      </c>
      <c r="B1073" s="232" t="s">
        <v>260</v>
      </c>
      <c r="C1073" s="445" t="s">
        <v>341</v>
      </c>
      <c r="D1073" s="445" t="s">
        <v>381</v>
      </c>
      <c r="E1073" s="235">
        <v>5.8</v>
      </c>
      <c r="F1073" s="769">
        <f>G1073*1.724</f>
        <v>4.4479199999999999</v>
      </c>
      <c r="G1073" s="769">
        <v>2.58</v>
      </c>
      <c r="H1073" s="235">
        <v>23</v>
      </c>
      <c r="I1073" s="410">
        <f>(30+4.4*E1073)*H1073/100+(-34.66+29.72*E1073)*F1073/100</f>
        <v>18.895097507199999</v>
      </c>
      <c r="J1073" s="753">
        <v>51</v>
      </c>
      <c r="K1073" s="295">
        <v>0</v>
      </c>
      <c r="L1073" s="295" t="s">
        <v>177</v>
      </c>
      <c r="M1073" s="233" t="s">
        <v>93</v>
      </c>
      <c r="N1073" s="235">
        <v>164</v>
      </c>
      <c r="O1073" s="295">
        <f t="shared" si="487"/>
        <v>215</v>
      </c>
      <c r="P1073" s="290" t="s">
        <v>185</v>
      </c>
      <c r="Q1073" s="290"/>
      <c r="R1073" s="236">
        <v>3</v>
      </c>
      <c r="S1073" s="285">
        <v>0.76</v>
      </c>
      <c r="T1073" s="388" t="s">
        <v>141</v>
      </c>
      <c r="Y1073" s="292">
        <v>0.77</v>
      </c>
      <c r="Z1073" s="301" t="s">
        <v>141</v>
      </c>
      <c r="AA1073" s="233"/>
      <c r="AB1073" s="232"/>
      <c r="AC1073" s="232"/>
      <c r="AD1073" s="232"/>
      <c r="AE1073" s="136"/>
      <c r="AF1073" s="239">
        <f t="shared" si="492"/>
        <v>5.0998664278241987</v>
      </c>
      <c r="AG1073" s="239">
        <f t="shared" si="493"/>
        <v>5.3706380281276624</v>
      </c>
      <c r="AH1073" s="240"/>
      <c r="AI1073" s="240"/>
      <c r="AK1073" s="265">
        <f t="shared" si="494"/>
        <v>492</v>
      </c>
      <c r="AL1073" s="286">
        <f t="shared" si="495"/>
        <v>543</v>
      </c>
      <c r="AM1073" s="239">
        <f t="shared" si="496"/>
        <v>6.1984787164923079</v>
      </c>
      <c r="AN1073" s="239">
        <f t="shared" si="497"/>
        <v>6.2971093199339352</v>
      </c>
      <c r="AO1073" s="240"/>
      <c r="AP1073" s="240"/>
      <c r="AR1073" s="286"/>
      <c r="AS1073" s="286"/>
      <c r="AT1073" s="239"/>
      <c r="AU1073" s="239"/>
      <c r="AX1073" s="385"/>
      <c r="AY1073" s="385"/>
      <c r="AZ1073" s="385"/>
      <c r="BA1073" s="265"/>
      <c r="BB1073" s="239"/>
      <c r="BC1073" s="239"/>
      <c r="BD1073" s="240"/>
      <c r="BE1073" s="240"/>
      <c r="BF1073" s="136"/>
      <c r="BG1073" s="136"/>
      <c r="BH1073" s="136"/>
      <c r="BI1073" s="136"/>
    </row>
    <row r="1074" spans="1:61" x14ac:dyDescent="0.2">
      <c r="A1074" s="232" t="s">
        <v>89</v>
      </c>
      <c r="B1074" s="232" t="s">
        <v>260</v>
      </c>
      <c r="C1074" s="445" t="s">
        <v>341</v>
      </c>
      <c r="D1074" s="445" t="s">
        <v>382</v>
      </c>
      <c r="E1074" s="235">
        <v>7.4</v>
      </c>
      <c r="F1074" s="769">
        <f>G1074*1.724</f>
        <v>9.3957999999999995</v>
      </c>
      <c r="G1074" s="769">
        <v>5.45</v>
      </c>
      <c r="H1074" s="235">
        <v>34</v>
      </c>
      <c r="I1074" s="410">
        <f>(30+4.4*E1074)*H1074/100+(-34.66+29.72*E1074)*F1074/100</f>
        <v>38.677810743999999</v>
      </c>
      <c r="J1074" s="753">
        <v>51</v>
      </c>
      <c r="K1074" s="295">
        <v>0</v>
      </c>
      <c r="L1074" s="295" t="s">
        <v>177</v>
      </c>
      <c r="M1074" s="233" t="s">
        <v>93</v>
      </c>
      <c r="N1074" s="235">
        <v>164</v>
      </c>
      <c r="O1074" s="295">
        <f t="shared" si="487"/>
        <v>215</v>
      </c>
      <c r="P1074" s="290" t="s">
        <v>185</v>
      </c>
      <c r="Q1074" s="290"/>
      <c r="R1074" s="236">
        <v>3</v>
      </c>
      <c r="S1074" s="285">
        <v>0.76</v>
      </c>
      <c r="T1074" s="388" t="s">
        <v>141</v>
      </c>
      <c r="Y1074" s="292">
        <v>0.77</v>
      </c>
      <c r="Z1074" s="301" t="s">
        <v>141</v>
      </c>
      <c r="AA1074" s="233"/>
      <c r="AB1074" s="232"/>
      <c r="AC1074" s="232"/>
      <c r="AD1074" s="232"/>
      <c r="AE1074" s="136"/>
      <c r="AF1074" s="239">
        <f t="shared" si="492"/>
        <v>5.0998664278241987</v>
      </c>
      <c r="AG1074" s="239">
        <f t="shared" si="493"/>
        <v>5.3706380281276624</v>
      </c>
      <c r="AH1074" s="240"/>
      <c r="AI1074" s="240"/>
      <c r="AK1074" s="265">
        <f t="shared" si="494"/>
        <v>492</v>
      </c>
      <c r="AL1074" s="286">
        <f t="shared" si="495"/>
        <v>543</v>
      </c>
      <c r="AM1074" s="239">
        <f t="shared" si="496"/>
        <v>6.1984787164923079</v>
      </c>
      <c r="AN1074" s="239">
        <f t="shared" si="497"/>
        <v>6.2971093199339352</v>
      </c>
      <c r="AO1074" s="240"/>
      <c r="AP1074" s="240"/>
      <c r="AR1074" s="286"/>
      <c r="AS1074" s="286"/>
      <c r="AT1074" s="239"/>
      <c r="AU1074" s="239"/>
      <c r="AX1074" s="385"/>
      <c r="AY1074" s="385"/>
      <c r="AZ1074" s="385"/>
      <c r="BA1074" s="265"/>
      <c r="BB1074" s="239"/>
      <c r="BC1074" s="239"/>
      <c r="BD1074" s="240"/>
      <c r="BE1074" s="240"/>
      <c r="BF1074" s="136"/>
      <c r="BG1074" s="136"/>
      <c r="BH1074" s="136"/>
      <c r="BI1074" s="136"/>
    </row>
    <row r="1075" spans="1:61" s="165" customFormat="1" x14ac:dyDescent="0.2">
      <c r="A1075" s="156" t="s">
        <v>89</v>
      </c>
      <c r="B1075" s="156" t="s">
        <v>260</v>
      </c>
      <c r="C1075" s="326" t="s">
        <v>341</v>
      </c>
      <c r="D1075" s="326" t="s">
        <v>85</v>
      </c>
      <c r="E1075" s="231">
        <v>4.7</v>
      </c>
      <c r="F1075" s="334"/>
      <c r="G1075" s="334"/>
      <c r="H1075" s="231"/>
      <c r="I1075" s="329"/>
      <c r="J1075" s="754">
        <v>51</v>
      </c>
      <c r="K1075" s="231">
        <v>0</v>
      </c>
      <c r="L1075" s="231" t="s">
        <v>186</v>
      </c>
      <c r="M1075" s="160" t="s">
        <v>104</v>
      </c>
      <c r="N1075" s="231">
        <v>508</v>
      </c>
      <c r="O1075" s="231">
        <f t="shared" si="487"/>
        <v>559</v>
      </c>
      <c r="P1075" s="326" t="s">
        <v>187</v>
      </c>
      <c r="Q1075" s="326"/>
      <c r="R1075" s="163">
        <v>3</v>
      </c>
      <c r="S1075" s="163">
        <v>0.76</v>
      </c>
      <c r="T1075" s="162" t="s">
        <v>141</v>
      </c>
      <c r="U1075" s="163"/>
      <c r="V1075" s="162"/>
      <c r="W1075" s="162"/>
      <c r="X1075" s="162"/>
      <c r="Y1075" s="328">
        <v>0.77</v>
      </c>
      <c r="Z1075" s="314" t="s">
        <v>141</v>
      </c>
      <c r="AA1075" s="160"/>
      <c r="AB1075" s="156"/>
      <c r="AC1075" s="156"/>
      <c r="AD1075" s="156"/>
      <c r="AF1075" s="166">
        <f t="shared" si="492"/>
        <v>6.230481447578482</v>
      </c>
      <c r="AG1075" s="166">
        <f t="shared" si="493"/>
        <v>6.3261494731550991</v>
      </c>
      <c r="AH1075" s="169"/>
      <c r="AI1075" s="169"/>
      <c r="AK1075" s="168">
        <f t="shared" si="494"/>
        <v>1524</v>
      </c>
      <c r="AL1075" s="337">
        <f t="shared" si="495"/>
        <v>1575</v>
      </c>
      <c r="AM1075" s="166">
        <f t="shared" si="496"/>
        <v>7.329093736246592</v>
      </c>
      <c r="AN1075" s="166">
        <f t="shared" si="497"/>
        <v>7.3620105512597336</v>
      </c>
      <c r="AO1075" s="169"/>
      <c r="AP1075" s="169"/>
      <c r="AR1075" s="337"/>
      <c r="AS1075" s="337"/>
      <c r="AT1075" s="166"/>
      <c r="AU1075" s="166"/>
      <c r="AV1075" s="167"/>
      <c r="AW1075" s="167"/>
      <c r="AX1075" s="168"/>
      <c r="AY1075" s="168"/>
      <c r="AZ1075" s="168"/>
      <c r="BA1075" s="168"/>
      <c r="BB1075" s="166"/>
      <c r="BC1075" s="166"/>
      <c r="BD1075" s="169"/>
      <c r="BE1075" s="169"/>
    </row>
    <row r="1076" spans="1:61" s="165" customFormat="1" x14ac:dyDescent="0.2">
      <c r="A1076" s="156" t="s">
        <v>89</v>
      </c>
      <c r="B1076" s="156" t="s">
        <v>260</v>
      </c>
      <c r="C1076" s="326" t="s">
        <v>341</v>
      </c>
      <c r="D1076" s="326" t="s">
        <v>188</v>
      </c>
      <c r="E1076" s="231">
        <v>4.7</v>
      </c>
      <c r="F1076" s="336"/>
      <c r="G1076" s="334"/>
      <c r="H1076" s="231"/>
      <c r="I1076" s="329"/>
      <c r="J1076" s="754">
        <v>51</v>
      </c>
      <c r="K1076" s="231">
        <v>0</v>
      </c>
      <c r="L1076" s="231" t="s">
        <v>186</v>
      </c>
      <c r="M1076" s="160" t="s">
        <v>93</v>
      </c>
      <c r="N1076" s="231">
        <v>590</v>
      </c>
      <c r="O1076" s="231">
        <f t="shared" si="487"/>
        <v>641</v>
      </c>
      <c r="P1076" s="326" t="s">
        <v>187</v>
      </c>
      <c r="Q1076" s="326"/>
      <c r="R1076" s="163">
        <v>3</v>
      </c>
      <c r="S1076" s="163">
        <v>0.76</v>
      </c>
      <c r="T1076" s="162" t="s">
        <v>141</v>
      </c>
      <c r="U1076" s="163"/>
      <c r="V1076" s="162"/>
      <c r="W1076" s="162"/>
      <c r="X1076" s="162"/>
      <c r="Y1076" s="328">
        <v>0.77</v>
      </c>
      <c r="Z1076" s="314" t="s">
        <v>141</v>
      </c>
      <c r="AA1076" s="160"/>
      <c r="AB1076" s="156"/>
      <c r="AC1076" s="156"/>
      <c r="AD1076" s="156"/>
      <c r="AF1076" s="166">
        <f t="shared" si="492"/>
        <v>6.3801225368997647</v>
      </c>
      <c r="AG1076" s="166">
        <f t="shared" si="493"/>
        <v>6.4630294569206699</v>
      </c>
      <c r="AH1076" s="169"/>
      <c r="AI1076" s="169"/>
      <c r="AK1076" s="168">
        <f t="shared" si="494"/>
        <v>1770</v>
      </c>
      <c r="AL1076" s="337">
        <f t="shared" si="495"/>
        <v>1821</v>
      </c>
      <c r="AM1076" s="166">
        <f t="shared" si="496"/>
        <v>7.4787348255678747</v>
      </c>
      <c r="AN1076" s="166">
        <f t="shared" si="497"/>
        <v>7.5071410797276084</v>
      </c>
      <c r="AO1076" s="169"/>
      <c r="AP1076" s="169"/>
      <c r="AR1076" s="337"/>
      <c r="AS1076" s="337"/>
      <c r="AT1076" s="166"/>
      <c r="AU1076" s="166"/>
      <c r="AV1076" s="167"/>
      <c r="AW1076" s="167"/>
      <c r="AX1076" s="168"/>
      <c r="AY1076" s="168"/>
      <c r="AZ1076" s="168"/>
      <c r="BA1076" s="168"/>
      <c r="BB1076" s="166"/>
      <c r="BC1076" s="166"/>
      <c r="BD1076" s="169"/>
      <c r="BE1076" s="169"/>
    </row>
    <row r="1077" spans="1:61" x14ac:dyDescent="0.2">
      <c r="A1077" s="232" t="s">
        <v>89</v>
      </c>
      <c r="B1077" s="232" t="s">
        <v>260</v>
      </c>
      <c r="C1077" s="445" t="s">
        <v>341</v>
      </c>
      <c r="D1077" s="445" t="s">
        <v>189</v>
      </c>
      <c r="E1077" s="235">
        <v>4.5999999999999996</v>
      </c>
      <c r="F1077" s="451">
        <v>3.4</v>
      </c>
      <c r="G1077" s="769">
        <f t="shared" ref="G1077:G1083" si="499">F1077/1.724</f>
        <v>1.9721577726218098</v>
      </c>
      <c r="H1077" s="235">
        <v>24</v>
      </c>
      <c r="I1077" s="410">
        <f t="shared" ref="I1077:I1086" si="500">(30+4.4*E1077)*H1077/100+(-34.66+29.72*E1077)*F1077/100</f>
        <v>15.527367999999997</v>
      </c>
      <c r="J1077" s="753">
        <v>51</v>
      </c>
      <c r="K1077" s="295">
        <v>0</v>
      </c>
      <c r="L1077" s="295" t="s">
        <v>177</v>
      </c>
      <c r="M1077" s="233" t="s">
        <v>93</v>
      </c>
      <c r="N1077" s="235">
        <v>1640</v>
      </c>
      <c r="O1077" s="295">
        <f t="shared" si="487"/>
        <v>1691</v>
      </c>
      <c r="P1077" s="290" t="s">
        <v>190</v>
      </c>
      <c r="Q1077" s="290"/>
      <c r="R1077" s="236">
        <v>3</v>
      </c>
      <c r="S1077" s="285">
        <v>0.76</v>
      </c>
      <c r="T1077" s="388" t="s">
        <v>141</v>
      </c>
      <c r="Y1077" s="292">
        <v>0.77</v>
      </c>
      <c r="Z1077" s="301" t="s">
        <v>141</v>
      </c>
      <c r="AA1077" s="233"/>
      <c r="AB1077" s="232"/>
      <c r="AC1077" s="232"/>
      <c r="AD1077" s="232"/>
      <c r="AE1077" s="136"/>
      <c r="AF1077" s="239">
        <f t="shared" si="492"/>
        <v>7.4024515208182438</v>
      </c>
      <c r="AG1077" s="239">
        <f t="shared" si="493"/>
        <v>7.4330753488985799</v>
      </c>
      <c r="AH1077" s="240"/>
      <c r="AI1077" s="240"/>
      <c r="AK1077" s="265">
        <f t="shared" si="494"/>
        <v>4920</v>
      </c>
      <c r="AL1077" s="286">
        <f t="shared" si="495"/>
        <v>4971</v>
      </c>
      <c r="AM1077" s="239">
        <f t="shared" si="496"/>
        <v>8.5010638094863538</v>
      </c>
      <c r="AN1077" s="239">
        <f t="shared" si="497"/>
        <v>8.5113763060946734</v>
      </c>
      <c r="AO1077" s="240"/>
      <c r="AP1077" s="240"/>
      <c r="AR1077" s="286"/>
      <c r="AS1077" s="286"/>
      <c r="AT1077" s="239"/>
      <c r="AU1077" s="239"/>
      <c r="AX1077" s="385"/>
      <c r="AY1077" s="385"/>
      <c r="AZ1077" s="385"/>
      <c r="BA1077" s="265"/>
      <c r="BB1077" s="239"/>
      <c r="BC1077" s="239"/>
      <c r="BD1077" s="240"/>
      <c r="BE1077" s="240"/>
      <c r="BF1077" s="136"/>
      <c r="BG1077" s="136"/>
      <c r="BH1077" s="136"/>
      <c r="BI1077" s="136"/>
    </row>
    <row r="1078" spans="1:61" x14ac:dyDescent="0.2">
      <c r="A1078" s="232" t="s">
        <v>89</v>
      </c>
      <c r="B1078" s="232" t="s">
        <v>260</v>
      </c>
      <c r="C1078" s="445" t="s">
        <v>341</v>
      </c>
      <c r="D1078" s="445" t="s">
        <v>189</v>
      </c>
      <c r="E1078" s="235">
        <v>6.2</v>
      </c>
      <c r="F1078" s="451">
        <v>5</v>
      </c>
      <c r="G1078" s="769">
        <f t="shared" si="499"/>
        <v>2.9002320185614852</v>
      </c>
      <c r="H1078" s="235">
        <v>29</v>
      </c>
      <c r="I1078" s="410">
        <f t="shared" si="500"/>
        <v>24.0914</v>
      </c>
      <c r="J1078" s="753">
        <v>51</v>
      </c>
      <c r="K1078" s="295">
        <v>0</v>
      </c>
      <c r="L1078" s="295" t="s">
        <v>177</v>
      </c>
      <c r="M1078" s="233" t="s">
        <v>93</v>
      </c>
      <c r="N1078" s="235">
        <v>1640</v>
      </c>
      <c r="O1078" s="295">
        <f t="shared" si="487"/>
        <v>1691</v>
      </c>
      <c r="P1078" s="290" t="s">
        <v>190</v>
      </c>
      <c r="Q1078" s="290"/>
      <c r="R1078" s="236">
        <v>3</v>
      </c>
      <c r="S1078" s="285">
        <v>0.76</v>
      </c>
      <c r="T1078" s="388" t="s">
        <v>141</v>
      </c>
      <c r="Y1078" s="292">
        <v>0.77</v>
      </c>
      <c r="Z1078" s="301" t="s">
        <v>141</v>
      </c>
      <c r="AA1078" s="233"/>
      <c r="AB1078" s="232"/>
      <c r="AC1078" s="232"/>
      <c r="AD1078" s="232"/>
      <c r="AE1078" s="136"/>
      <c r="AF1078" s="239">
        <f t="shared" si="492"/>
        <v>7.4024515208182438</v>
      </c>
      <c r="AG1078" s="239">
        <f t="shared" si="493"/>
        <v>7.4330753488985799</v>
      </c>
      <c r="AH1078" s="240"/>
      <c r="AI1078" s="240"/>
      <c r="AK1078" s="265">
        <f t="shared" si="494"/>
        <v>4920</v>
      </c>
      <c r="AL1078" s="286">
        <f t="shared" si="495"/>
        <v>4971</v>
      </c>
      <c r="AM1078" s="239">
        <f t="shared" si="496"/>
        <v>8.5010638094863538</v>
      </c>
      <c r="AN1078" s="239">
        <f t="shared" si="497"/>
        <v>8.5113763060946734</v>
      </c>
      <c r="AO1078" s="240"/>
      <c r="AP1078" s="240"/>
      <c r="AR1078" s="286"/>
      <c r="AS1078" s="286"/>
      <c r="AT1078" s="239"/>
      <c r="AU1078" s="239"/>
      <c r="AX1078" s="385"/>
      <c r="AY1078" s="385"/>
      <c r="AZ1078" s="385"/>
      <c r="BA1078" s="265"/>
      <c r="BB1078" s="239"/>
      <c r="BC1078" s="239"/>
      <c r="BD1078" s="240"/>
      <c r="BE1078" s="240"/>
      <c r="BF1078" s="136"/>
      <c r="BG1078" s="136"/>
      <c r="BH1078" s="136"/>
      <c r="BI1078" s="136"/>
    </row>
    <row r="1079" spans="1:61" s="165" customFormat="1" x14ac:dyDescent="0.2">
      <c r="A1079" s="156" t="s">
        <v>89</v>
      </c>
      <c r="B1079" s="156" t="s">
        <v>260</v>
      </c>
      <c r="C1079" s="326" t="s">
        <v>341</v>
      </c>
      <c r="D1079" s="326" t="s">
        <v>189</v>
      </c>
      <c r="E1079" s="231">
        <v>7.4</v>
      </c>
      <c r="F1079" s="336">
        <v>9</v>
      </c>
      <c r="G1079" s="334">
        <f t="shared" si="499"/>
        <v>5.2204176334106727</v>
      </c>
      <c r="H1079" s="231">
        <v>34</v>
      </c>
      <c r="I1079" s="774">
        <f t="shared" si="500"/>
        <v>37.944519999999997</v>
      </c>
      <c r="J1079" s="754">
        <v>51</v>
      </c>
      <c r="K1079" s="231">
        <v>0</v>
      </c>
      <c r="L1079" s="231" t="s">
        <v>177</v>
      </c>
      <c r="M1079" s="160" t="s">
        <v>93</v>
      </c>
      <c r="N1079" s="231">
        <v>1640</v>
      </c>
      <c r="O1079" s="231">
        <f t="shared" si="487"/>
        <v>1691</v>
      </c>
      <c r="P1079" s="326" t="s">
        <v>190</v>
      </c>
      <c r="Q1079" s="326"/>
      <c r="R1079" s="163">
        <v>3</v>
      </c>
      <c r="S1079" s="163">
        <v>0.76</v>
      </c>
      <c r="T1079" s="162" t="s">
        <v>141</v>
      </c>
      <c r="U1079" s="163"/>
      <c r="V1079" s="162"/>
      <c r="W1079" s="162"/>
      <c r="X1079" s="162"/>
      <c r="Y1079" s="328">
        <v>0.77</v>
      </c>
      <c r="Z1079" s="314" t="s">
        <v>141</v>
      </c>
      <c r="AA1079" s="160"/>
      <c r="AB1079" s="156"/>
      <c r="AC1079" s="156"/>
      <c r="AD1079" s="156"/>
      <c r="AF1079" s="166">
        <f t="shared" si="492"/>
        <v>7.4024515208182438</v>
      </c>
      <c r="AG1079" s="166">
        <f t="shared" si="493"/>
        <v>7.4330753488985799</v>
      </c>
      <c r="AH1079" s="169"/>
      <c r="AI1079" s="169"/>
      <c r="AK1079" s="168">
        <f t="shared" si="494"/>
        <v>4920</v>
      </c>
      <c r="AL1079" s="337">
        <f t="shared" si="495"/>
        <v>4971</v>
      </c>
      <c r="AM1079" s="166">
        <f t="shared" si="496"/>
        <v>8.5010638094863538</v>
      </c>
      <c r="AN1079" s="166">
        <f t="shared" si="497"/>
        <v>8.5113763060946734</v>
      </c>
      <c r="AO1079" s="169"/>
      <c r="AP1079" s="169"/>
      <c r="AR1079" s="337"/>
      <c r="AS1079" s="337"/>
      <c r="AT1079" s="166"/>
      <c r="AU1079" s="166"/>
      <c r="AV1079" s="167"/>
      <c r="AW1079" s="167"/>
      <c r="AX1079" s="168"/>
      <c r="AY1079" s="168"/>
      <c r="AZ1079" s="168"/>
      <c r="BA1079" s="168"/>
      <c r="BB1079" s="166"/>
      <c r="BC1079" s="166"/>
      <c r="BD1079" s="169"/>
      <c r="BE1079" s="169"/>
    </row>
    <row r="1080" spans="1:61" x14ac:dyDescent="0.2">
      <c r="A1080" s="232" t="s">
        <v>89</v>
      </c>
      <c r="B1080" s="232" t="s">
        <v>260</v>
      </c>
      <c r="C1080" s="445" t="s">
        <v>341</v>
      </c>
      <c r="D1080" s="445" t="s">
        <v>84</v>
      </c>
      <c r="E1080" s="235">
        <v>5.0999999999999996</v>
      </c>
      <c r="F1080" s="451">
        <v>6</v>
      </c>
      <c r="G1080" s="769">
        <f t="shared" si="499"/>
        <v>3.4802784222737819</v>
      </c>
      <c r="H1080" s="235">
        <v>9</v>
      </c>
      <c r="I1080" s="410">
        <f t="shared" si="500"/>
        <v>11.734319999999999</v>
      </c>
      <c r="J1080" s="235">
        <v>17</v>
      </c>
      <c r="K1080" s="295">
        <v>0</v>
      </c>
      <c r="L1080" s="295">
        <v>42</v>
      </c>
      <c r="M1080" s="235" t="s">
        <v>104</v>
      </c>
      <c r="N1080" s="235">
        <v>30</v>
      </c>
      <c r="O1080" s="295">
        <f t="shared" si="487"/>
        <v>47</v>
      </c>
      <c r="P1080" s="290" t="s">
        <v>191</v>
      </c>
      <c r="Q1080" s="290"/>
      <c r="R1080" s="236">
        <v>3</v>
      </c>
      <c r="S1080" s="285">
        <v>0.76</v>
      </c>
      <c r="T1080" s="388" t="s">
        <v>141</v>
      </c>
      <c r="Y1080" s="292">
        <v>0.77</v>
      </c>
      <c r="Z1080" s="301" t="s">
        <v>141</v>
      </c>
      <c r="AA1080" s="233"/>
      <c r="AB1080" s="232"/>
      <c r="AC1080" s="232"/>
      <c r="AD1080" s="232"/>
      <c r="AE1080" s="136"/>
      <c r="AF1080" s="239">
        <f t="shared" si="492"/>
        <v>3.4011973816621555</v>
      </c>
      <c r="AG1080" s="239">
        <f t="shared" si="493"/>
        <v>3.8501476017100584</v>
      </c>
      <c r="AH1080" s="240"/>
      <c r="AI1080" s="240"/>
      <c r="AK1080" s="265">
        <f t="shared" si="494"/>
        <v>90</v>
      </c>
      <c r="AL1080" s="286">
        <f t="shared" si="495"/>
        <v>107</v>
      </c>
      <c r="AM1080" s="239">
        <f t="shared" si="496"/>
        <v>4.499809670330265</v>
      </c>
      <c r="AN1080" s="239">
        <f t="shared" si="497"/>
        <v>4.6728288344619058</v>
      </c>
      <c r="AO1080" s="240"/>
      <c r="AP1080" s="240"/>
      <c r="AR1080" s="286">
        <f>AK1080*(Zn_bg/$J1080)^$S1080</f>
        <v>117.33681122642058</v>
      </c>
      <c r="AS1080" s="286">
        <f>AL1080*(Zn_bg/$J1080)^$Y1080</f>
        <v>139.98813607835504</v>
      </c>
      <c r="AT1080" s="239">
        <f t="shared" ref="AT1080:AU1083" si="501">LN(AR1080)</f>
        <v>4.7650485276249643</v>
      </c>
      <c r="AU1080" s="239">
        <f t="shared" si="501"/>
        <v>4.9415576767210085</v>
      </c>
      <c r="AX1080" s="385">
        <f>GEOMEAN(AR1080:AR1086)</f>
        <v>129.33304551287728</v>
      </c>
      <c r="AY1080" s="385">
        <f>GEOMEAN(AS1080:AS1086)</f>
        <v>171.30051938385557</v>
      </c>
      <c r="AZ1080" s="385">
        <f>MIN(AX1080:AX1086)</f>
        <v>129.33304551287728</v>
      </c>
      <c r="BA1080" s="385">
        <f>MIN(AY1080:AY1086)</f>
        <v>171.30051938385557</v>
      </c>
      <c r="BB1080" s="239">
        <f>LN(AZ1080)</f>
        <v>4.8623908255367905</v>
      </c>
      <c r="BC1080" s="239">
        <f>LN(BA1080)</f>
        <v>5.143419437338645</v>
      </c>
      <c r="BD1080" s="240"/>
      <c r="BE1080" s="240"/>
      <c r="BF1080" s="136"/>
      <c r="BG1080" s="136"/>
      <c r="BH1080" s="136"/>
      <c r="BI1080" s="136"/>
    </row>
    <row r="1081" spans="1:61" x14ac:dyDescent="0.2">
      <c r="A1081" s="232" t="s">
        <v>89</v>
      </c>
      <c r="B1081" s="232" t="s">
        <v>260</v>
      </c>
      <c r="C1081" s="445" t="s">
        <v>341</v>
      </c>
      <c r="D1081" s="445" t="s">
        <v>84</v>
      </c>
      <c r="E1081" s="235">
        <v>7.7</v>
      </c>
      <c r="F1081" s="451">
        <v>2</v>
      </c>
      <c r="G1081" s="769">
        <f t="shared" si="499"/>
        <v>1.160092807424594</v>
      </c>
      <c r="H1081" s="235">
        <v>2</v>
      </c>
      <c r="I1081" s="410">
        <f t="shared" si="500"/>
        <v>5.1612799999999996</v>
      </c>
      <c r="J1081" s="235">
        <v>14</v>
      </c>
      <c r="K1081" s="295">
        <v>0</v>
      </c>
      <c r="L1081" s="295">
        <v>42</v>
      </c>
      <c r="M1081" s="235" t="s">
        <v>104</v>
      </c>
      <c r="N1081" s="235">
        <v>70</v>
      </c>
      <c r="O1081" s="295">
        <f t="shared" si="487"/>
        <v>84</v>
      </c>
      <c r="P1081" s="290" t="s">
        <v>191</v>
      </c>
      <c r="Q1081" s="290"/>
      <c r="R1081" s="236">
        <v>3</v>
      </c>
      <c r="S1081" s="285">
        <v>0.76</v>
      </c>
      <c r="T1081" s="388" t="s">
        <v>141</v>
      </c>
      <c r="Y1081" s="292">
        <v>0.77</v>
      </c>
      <c r="Z1081" s="301" t="s">
        <v>141</v>
      </c>
      <c r="AA1081" s="233"/>
      <c r="AB1081" s="232"/>
      <c r="AC1081" s="232"/>
      <c r="AD1081" s="232"/>
      <c r="AE1081" s="136"/>
      <c r="AF1081" s="239">
        <f t="shared" si="492"/>
        <v>4.2484952420493594</v>
      </c>
      <c r="AG1081" s="239">
        <f t="shared" si="493"/>
        <v>4.4308167988433134</v>
      </c>
      <c r="AH1081" s="240"/>
      <c r="AI1081" s="240"/>
      <c r="AK1081" s="265">
        <f t="shared" si="494"/>
        <v>210</v>
      </c>
      <c r="AL1081" s="286">
        <f t="shared" si="495"/>
        <v>224</v>
      </c>
      <c r="AM1081" s="239">
        <f t="shared" si="496"/>
        <v>5.3471075307174685</v>
      </c>
      <c r="AN1081" s="239">
        <f t="shared" si="497"/>
        <v>5.4116460518550396</v>
      </c>
      <c r="AO1081" s="240"/>
      <c r="AP1081" s="240"/>
      <c r="AR1081" s="286">
        <f>AK1081*(Zn_bg/$J1081)^$S1081</f>
        <v>317.31816924451567</v>
      </c>
      <c r="AS1081" s="286">
        <f>AL1081*(Zn_bg/$J1081)^$Y1081</f>
        <v>340.31614548323472</v>
      </c>
      <c r="AT1081" s="239">
        <f t="shared" si="501"/>
        <v>5.7599049589872955</v>
      </c>
      <c r="AU1081" s="239">
        <f t="shared" si="501"/>
        <v>5.8298750252336795</v>
      </c>
      <c r="AX1081" s="385"/>
      <c r="AY1081" s="385"/>
      <c r="AZ1081" s="385"/>
      <c r="BA1081" s="265"/>
      <c r="BB1081" s="239"/>
      <c r="BC1081" s="239"/>
      <c r="BD1081" s="240"/>
      <c r="BE1081" s="240"/>
      <c r="BF1081" s="136"/>
      <c r="BG1081" s="136"/>
      <c r="BH1081" s="136"/>
      <c r="BI1081" s="136"/>
    </row>
    <row r="1082" spans="1:61" x14ac:dyDescent="0.2">
      <c r="A1082" s="232" t="s">
        <v>89</v>
      </c>
      <c r="B1082" s="232" t="s">
        <v>260</v>
      </c>
      <c r="C1082" s="445" t="s">
        <v>341</v>
      </c>
      <c r="D1082" s="445" t="s">
        <v>84</v>
      </c>
      <c r="E1082" s="235">
        <v>6.8</v>
      </c>
      <c r="F1082" s="451">
        <v>3</v>
      </c>
      <c r="G1082" s="769">
        <f t="shared" si="499"/>
        <v>1.740139211136891</v>
      </c>
      <c r="H1082" s="235">
        <v>60</v>
      </c>
      <c r="I1082" s="410">
        <f t="shared" si="500"/>
        <v>40.975080000000005</v>
      </c>
      <c r="J1082" s="235">
        <v>226</v>
      </c>
      <c r="K1082" s="295">
        <v>0</v>
      </c>
      <c r="L1082" s="295">
        <v>42</v>
      </c>
      <c r="M1082" s="235" t="s">
        <v>104</v>
      </c>
      <c r="N1082" s="235">
        <v>460</v>
      </c>
      <c r="O1082" s="295">
        <f t="shared" si="487"/>
        <v>686</v>
      </c>
      <c r="P1082" s="290" t="s">
        <v>191</v>
      </c>
      <c r="Q1082" s="290"/>
      <c r="R1082" s="236">
        <v>3</v>
      </c>
      <c r="S1082" s="285">
        <v>0.76</v>
      </c>
      <c r="T1082" s="388" t="s">
        <v>141</v>
      </c>
      <c r="Y1082" s="292">
        <v>0.77</v>
      </c>
      <c r="Z1082" s="301" t="s">
        <v>141</v>
      </c>
      <c r="AA1082" s="233"/>
      <c r="AB1082" s="232"/>
      <c r="AC1082" s="232"/>
      <c r="AD1082" s="232"/>
      <c r="AE1082" s="136"/>
      <c r="AF1082" s="239">
        <f t="shared" si="492"/>
        <v>6.131226489483141</v>
      </c>
      <c r="AG1082" s="239">
        <f t="shared" si="493"/>
        <v>6.5308776277258849</v>
      </c>
      <c r="AH1082" s="240"/>
      <c r="AI1082" s="240"/>
      <c r="AK1082" s="265">
        <f t="shared" si="494"/>
        <v>1380</v>
      </c>
      <c r="AL1082" s="286">
        <f t="shared" si="495"/>
        <v>1606</v>
      </c>
      <c r="AM1082" s="239">
        <f t="shared" si="496"/>
        <v>7.2298387781512501</v>
      </c>
      <c r="AN1082" s="239">
        <f t="shared" si="497"/>
        <v>7.381501894506707</v>
      </c>
      <c r="AO1082" s="240"/>
      <c r="AP1082" s="240"/>
      <c r="AR1082" s="286">
        <f>AK1082*(Zn_bg/$J1082)^$S1082</f>
        <v>251.81965523553436</v>
      </c>
      <c r="AS1082" s="286">
        <f>AL1082*(Zn_bg/$J1082)^$Y1082</f>
        <v>286.57293100714332</v>
      </c>
      <c r="AT1082" s="239">
        <f t="shared" si="501"/>
        <v>5.5287131774817366</v>
      </c>
      <c r="AU1082" s="239">
        <f t="shared" si="501"/>
        <v>5.6579930622494361</v>
      </c>
      <c r="AX1082" s="385"/>
      <c r="AY1082" s="385"/>
      <c r="AZ1082" s="385"/>
      <c r="BA1082" s="265"/>
      <c r="BB1082" s="239"/>
      <c r="BC1082" s="239"/>
      <c r="BD1082" s="240"/>
      <c r="BE1082" s="240"/>
      <c r="BF1082" s="136"/>
      <c r="BG1082" s="136"/>
      <c r="BH1082" s="136"/>
      <c r="BI1082" s="136"/>
    </row>
    <row r="1083" spans="1:61" x14ac:dyDescent="0.2">
      <c r="A1083" s="232" t="s">
        <v>89</v>
      </c>
      <c r="B1083" s="232" t="s">
        <v>260</v>
      </c>
      <c r="C1083" s="445" t="s">
        <v>341</v>
      </c>
      <c r="D1083" s="445" t="s">
        <v>84</v>
      </c>
      <c r="E1083" s="235">
        <v>7.4</v>
      </c>
      <c r="F1083" s="451">
        <v>2</v>
      </c>
      <c r="G1083" s="769">
        <f t="shared" si="499"/>
        <v>1.160092807424594</v>
      </c>
      <c r="H1083" s="235">
        <v>19</v>
      </c>
      <c r="I1083" s="410">
        <f t="shared" si="500"/>
        <v>15.591760000000003</v>
      </c>
      <c r="J1083" s="235">
        <v>103</v>
      </c>
      <c r="K1083" s="295">
        <v>0</v>
      </c>
      <c r="L1083" s="295">
        <v>42</v>
      </c>
      <c r="M1083" s="235" t="s">
        <v>104</v>
      </c>
      <c r="N1083" s="235">
        <v>30</v>
      </c>
      <c r="O1083" s="295">
        <f t="shared" si="487"/>
        <v>133</v>
      </c>
      <c r="P1083" s="290" t="s">
        <v>191</v>
      </c>
      <c r="Q1083" s="290"/>
      <c r="R1083" s="236">
        <v>3</v>
      </c>
      <c r="S1083" s="285">
        <v>0.76</v>
      </c>
      <c r="T1083" s="388" t="s">
        <v>141</v>
      </c>
      <c r="Y1083" s="292">
        <v>0.77</v>
      </c>
      <c r="Z1083" s="301" t="s">
        <v>141</v>
      </c>
      <c r="AA1083" s="233"/>
      <c r="AB1083" s="232"/>
      <c r="AC1083" s="232"/>
      <c r="AD1083" s="232"/>
      <c r="AE1083" s="136"/>
      <c r="AF1083" s="239">
        <f t="shared" si="492"/>
        <v>3.4011973816621555</v>
      </c>
      <c r="AG1083" s="239">
        <f t="shared" si="493"/>
        <v>4.8903491282217537</v>
      </c>
      <c r="AH1083" s="240"/>
      <c r="AI1083" s="240"/>
      <c r="AK1083" s="265">
        <f t="shared" si="494"/>
        <v>90</v>
      </c>
      <c r="AL1083" s="286">
        <f t="shared" si="495"/>
        <v>193</v>
      </c>
      <c r="AM1083" s="239">
        <f t="shared" si="496"/>
        <v>4.499809670330265</v>
      </c>
      <c r="AN1083" s="239">
        <f t="shared" si="497"/>
        <v>5.2626901889048856</v>
      </c>
      <c r="AO1083" s="240"/>
      <c r="AP1083" s="240"/>
      <c r="AR1083" s="286">
        <f>AK1083*(Zn_bg/$J1083)^$S1083</f>
        <v>29.841398416259871</v>
      </c>
      <c r="AS1083" s="286">
        <f>AL1083*(Zn_bg/$J1083)^$Y1083</f>
        <v>63.070426636874643</v>
      </c>
      <c r="AT1083" s="239">
        <f t="shared" si="501"/>
        <v>3.395896638053165</v>
      </c>
      <c r="AU1083" s="239">
        <f t="shared" si="501"/>
        <v>4.1442519851504551</v>
      </c>
      <c r="AX1083" s="385"/>
      <c r="AY1083" s="385"/>
      <c r="AZ1083" s="385"/>
      <c r="BA1083" s="265"/>
      <c r="BB1083" s="239"/>
      <c r="BC1083" s="239"/>
      <c r="BD1083" s="240"/>
      <c r="BE1083" s="240"/>
      <c r="BF1083" s="136"/>
      <c r="BG1083" s="136"/>
      <c r="BH1083" s="136"/>
      <c r="BI1083" s="136"/>
    </row>
    <row r="1084" spans="1:61" x14ac:dyDescent="0.2">
      <c r="A1084" s="232" t="s">
        <v>89</v>
      </c>
      <c r="B1084" s="232" t="s">
        <v>260</v>
      </c>
      <c r="C1084" s="445" t="s">
        <v>341</v>
      </c>
      <c r="D1084" s="445" t="s">
        <v>84</v>
      </c>
      <c r="E1084" s="235">
        <v>7.4</v>
      </c>
      <c r="F1084" s="769">
        <f>G1084*1.724</f>
        <v>9.3957999999999995</v>
      </c>
      <c r="G1084" s="769">
        <v>5.45</v>
      </c>
      <c r="H1084" s="235">
        <v>34</v>
      </c>
      <c r="I1084" s="410">
        <f t="shared" si="500"/>
        <v>38.677810743999999</v>
      </c>
      <c r="J1084" s="753">
        <v>51</v>
      </c>
      <c r="K1084" s="295">
        <v>0</v>
      </c>
      <c r="L1084" s="295" t="s">
        <v>177</v>
      </c>
      <c r="M1084" s="233" t="s">
        <v>104</v>
      </c>
      <c r="N1084" s="235">
        <v>64</v>
      </c>
      <c r="O1084" s="295">
        <f t="shared" si="487"/>
        <v>115</v>
      </c>
      <c r="P1084" s="290" t="s">
        <v>192</v>
      </c>
      <c r="Q1084" s="290"/>
      <c r="R1084" s="236">
        <v>3</v>
      </c>
      <c r="S1084" s="285">
        <v>0.76</v>
      </c>
      <c r="T1084" s="388" t="s">
        <v>141</v>
      </c>
      <c r="Y1084" s="292">
        <v>0.77</v>
      </c>
      <c r="Z1084" s="301" t="s">
        <v>141</v>
      </c>
      <c r="AA1084" s="233"/>
      <c r="AB1084" s="232"/>
      <c r="AC1084" s="232"/>
      <c r="AD1084" s="232"/>
      <c r="AE1084" s="136"/>
      <c r="AF1084" s="239">
        <f t="shared" si="492"/>
        <v>4.1588830833596715</v>
      </c>
      <c r="AG1084" s="239">
        <f t="shared" si="493"/>
        <v>4.7449321283632502</v>
      </c>
      <c r="AH1084" s="240"/>
      <c r="AI1084" s="240"/>
      <c r="AK1084" s="265">
        <f t="shared" si="494"/>
        <v>192</v>
      </c>
      <c r="AL1084" s="286">
        <f t="shared" si="495"/>
        <v>243</v>
      </c>
      <c r="AM1084" s="239">
        <f t="shared" si="496"/>
        <v>5.2574953720277815</v>
      </c>
      <c r="AN1084" s="239">
        <f t="shared" si="497"/>
        <v>5.4930614433405482</v>
      </c>
      <c r="AO1084" s="240"/>
      <c r="AP1084" s="240"/>
      <c r="AR1084" s="286"/>
      <c r="AS1084" s="286"/>
      <c r="AT1084" s="239"/>
      <c r="AU1084" s="239"/>
      <c r="AX1084" s="385"/>
      <c r="AY1084" s="385"/>
      <c r="AZ1084" s="385"/>
      <c r="BA1084" s="265"/>
      <c r="BB1084" s="239"/>
      <c r="BC1084" s="239"/>
      <c r="BD1084" s="240"/>
      <c r="BE1084" s="240"/>
      <c r="BF1084" s="136"/>
      <c r="BG1084" s="136"/>
      <c r="BH1084" s="136"/>
      <c r="BI1084" s="136"/>
    </row>
    <row r="1085" spans="1:61" x14ac:dyDescent="0.2">
      <c r="A1085" s="232" t="s">
        <v>89</v>
      </c>
      <c r="B1085" s="232" t="s">
        <v>260</v>
      </c>
      <c r="C1085" s="445" t="s">
        <v>341</v>
      </c>
      <c r="D1085" s="445" t="s">
        <v>84</v>
      </c>
      <c r="E1085" s="235">
        <v>7.8</v>
      </c>
      <c r="F1085" s="769">
        <f>G1085*1.724</f>
        <v>6.4477600000000006</v>
      </c>
      <c r="G1085" s="769">
        <v>3.74</v>
      </c>
      <c r="H1085" s="235">
        <v>30</v>
      </c>
      <c r="I1085" s="410">
        <f t="shared" si="500"/>
        <v>32.0081457056</v>
      </c>
      <c r="J1085" s="753">
        <v>51</v>
      </c>
      <c r="K1085" s="295">
        <v>0</v>
      </c>
      <c r="L1085" s="295" t="s">
        <v>177</v>
      </c>
      <c r="M1085" s="233" t="s">
        <v>104</v>
      </c>
      <c r="N1085" s="235">
        <v>52</v>
      </c>
      <c r="O1085" s="295">
        <f t="shared" si="487"/>
        <v>103</v>
      </c>
      <c r="P1085" s="290" t="s">
        <v>192</v>
      </c>
      <c r="Q1085" s="290"/>
      <c r="R1085" s="236">
        <v>3</v>
      </c>
      <c r="S1085" s="285">
        <v>0.76</v>
      </c>
      <c r="T1085" s="388" t="s">
        <v>141</v>
      </c>
      <c r="Y1085" s="292">
        <v>0.77</v>
      </c>
      <c r="Z1085" s="301" t="s">
        <v>141</v>
      </c>
      <c r="AA1085" s="233"/>
      <c r="AB1085" s="232"/>
      <c r="AC1085" s="232"/>
      <c r="AD1085" s="232"/>
      <c r="AE1085" s="136"/>
      <c r="AF1085" s="239">
        <f t="shared" si="492"/>
        <v>3.9512437185814275</v>
      </c>
      <c r="AG1085" s="239">
        <f t="shared" si="493"/>
        <v>4.6347289882296359</v>
      </c>
      <c r="AH1085" s="240"/>
      <c r="AI1085" s="240"/>
      <c r="AK1085" s="265">
        <f t="shared" si="494"/>
        <v>156</v>
      </c>
      <c r="AL1085" s="286">
        <f t="shared" si="495"/>
        <v>207</v>
      </c>
      <c r="AM1085" s="239">
        <f t="shared" si="496"/>
        <v>5.0498560072495371</v>
      </c>
      <c r="AN1085" s="239">
        <f t="shared" si="497"/>
        <v>5.3327187932653688</v>
      </c>
      <c r="AO1085" s="240"/>
      <c r="AP1085" s="240"/>
      <c r="AR1085" s="286"/>
      <c r="AS1085" s="286"/>
      <c r="AT1085" s="239"/>
      <c r="AU1085" s="239"/>
      <c r="AX1085" s="385"/>
      <c r="AY1085" s="385"/>
      <c r="AZ1085" s="385"/>
      <c r="BA1085" s="265"/>
      <c r="BB1085" s="239"/>
      <c r="BC1085" s="239"/>
      <c r="BD1085" s="240"/>
      <c r="BE1085" s="240"/>
      <c r="BF1085" s="136"/>
      <c r="BG1085" s="136"/>
      <c r="BH1085" s="136"/>
      <c r="BI1085" s="136"/>
    </row>
    <row r="1086" spans="1:61" s="255" customFormat="1" ht="13.5" thickBot="1" x14ac:dyDescent="0.25">
      <c r="A1086" s="254" t="s">
        <v>89</v>
      </c>
      <c r="B1086" s="254" t="s">
        <v>260</v>
      </c>
      <c r="C1086" s="776" t="s">
        <v>341</v>
      </c>
      <c r="D1086" s="776" t="s">
        <v>84</v>
      </c>
      <c r="E1086" s="258">
        <v>5.8</v>
      </c>
      <c r="F1086" s="777">
        <f>G1086*1.724</f>
        <v>4.4479199999999999</v>
      </c>
      <c r="G1086" s="777">
        <v>2.58</v>
      </c>
      <c r="H1086" s="258">
        <v>23</v>
      </c>
      <c r="I1086" s="778">
        <f t="shared" si="500"/>
        <v>18.895097507199999</v>
      </c>
      <c r="J1086" s="779">
        <v>51</v>
      </c>
      <c r="K1086" s="258">
        <v>0</v>
      </c>
      <c r="L1086" s="258" t="s">
        <v>177</v>
      </c>
      <c r="M1086" s="256" t="s">
        <v>102</v>
      </c>
      <c r="N1086" s="258">
        <v>109</v>
      </c>
      <c r="O1086" s="258">
        <f t="shared" si="487"/>
        <v>160</v>
      </c>
      <c r="P1086" s="776" t="s">
        <v>192</v>
      </c>
      <c r="Q1086" s="776"/>
      <c r="R1086" s="259">
        <v>3</v>
      </c>
      <c r="S1086" s="259">
        <v>0.76</v>
      </c>
      <c r="T1086" s="260" t="s">
        <v>141</v>
      </c>
      <c r="U1086" s="259"/>
      <c r="V1086" s="260"/>
      <c r="W1086" s="260"/>
      <c r="X1086" s="260"/>
      <c r="Y1086" s="497">
        <v>0.77</v>
      </c>
      <c r="Z1086" s="498" t="s">
        <v>141</v>
      </c>
      <c r="AA1086" s="256"/>
      <c r="AB1086" s="254"/>
      <c r="AC1086" s="254"/>
      <c r="AD1086" s="254"/>
      <c r="AF1086" s="257">
        <f t="shared" si="492"/>
        <v>4.6913478822291435</v>
      </c>
      <c r="AG1086" s="257">
        <f t="shared" si="493"/>
        <v>5.0751738152338266</v>
      </c>
      <c r="AH1086" s="262"/>
      <c r="AI1086" s="262"/>
      <c r="AK1086" s="378">
        <f t="shared" si="494"/>
        <v>327</v>
      </c>
      <c r="AL1086" s="780">
        <f t="shared" si="495"/>
        <v>378</v>
      </c>
      <c r="AM1086" s="257">
        <f t="shared" si="496"/>
        <v>5.7899601708972535</v>
      </c>
      <c r="AN1086" s="257">
        <f t="shared" si="497"/>
        <v>5.934894195619588</v>
      </c>
      <c r="AO1086" s="262"/>
      <c r="AP1086" s="262"/>
      <c r="AR1086" s="780"/>
      <c r="AS1086" s="780"/>
      <c r="AT1086" s="257"/>
      <c r="AU1086" s="257"/>
      <c r="AV1086" s="263"/>
      <c r="AW1086" s="263"/>
      <c r="AX1086" s="378"/>
      <c r="AY1086" s="378"/>
      <c r="AZ1086" s="378"/>
      <c r="BA1086" s="378"/>
      <c r="BB1086" s="257"/>
      <c r="BC1086" s="257"/>
      <c r="BD1086" s="262"/>
      <c r="BE1086" s="262"/>
    </row>
    <row r="1087" spans="1:61" x14ac:dyDescent="0.2">
      <c r="C1087" s="445"/>
      <c r="D1087" s="445"/>
      <c r="E1087" s="235"/>
      <c r="F1087" s="769"/>
      <c r="G1087" s="769"/>
      <c r="I1087" s="235"/>
      <c r="J1087" s="235"/>
      <c r="K1087" s="295"/>
      <c r="L1087" s="295"/>
      <c r="M1087" s="235"/>
      <c r="N1087" s="235"/>
      <c r="O1087" s="295"/>
      <c r="P1087" s="295"/>
      <c r="Q1087" s="295"/>
      <c r="R1087" s="236"/>
      <c r="S1087" s="285"/>
      <c r="T1087" s="388"/>
      <c r="Y1087" s="292"/>
      <c r="Z1087" s="301"/>
      <c r="AA1087" s="233"/>
      <c r="AB1087" s="232"/>
      <c r="AC1087" s="232"/>
      <c r="AD1087" s="232"/>
      <c r="AE1087" s="136"/>
      <c r="AF1087" s="239"/>
      <c r="AG1087" s="239"/>
      <c r="AH1087" s="240"/>
      <c r="AI1087" s="240"/>
      <c r="AK1087" s="265"/>
      <c r="AL1087" s="286"/>
      <c r="AN1087" s="286"/>
      <c r="AO1087" s="781"/>
      <c r="AP1087" s="781"/>
      <c r="AQ1087" s="286"/>
      <c r="AR1087" s="385"/>
      <c r="AS1087" s="385"/>
      <c r="AT1087" s="287"/>
      <c r="AU1087" s="287"/>
      <c r="AX1087" s="136"/>
      <c r="AY1087" s="136"/>
      <c r="AZ1087" s="239"/>
      <c r="BA1087" s="239"/>
      <c r="BC1087" s="234"/>
      <c r="BD1087" s="242"/>
      <c r="BE1087" s="242"/>
      <c r="BF1087" s="136"/>
      <c r="BG1087" s="136"/>
      <c r="BH1087" s="136"/>
      <c r="BI1087" s="136"/>
    </row>
  </sheetData>
  <sheetProtection algorithmName="SHA-512" hashValue="WQBtLYu8ER5Cwe9ctxnhR6lSOqsagnkwjOWfiRa92LYJMTatqN27a5ehBbkN+Cncw1Bz8jFMw+G7ZWedaaAEOw==" saltValue="LP05XPAd0KwESCmg2ujmZg==" spinCount="100000" sheet="1" objects="1" scenarios="1" selectLockedCells="1" selectUnlockedCells="1"/>
  <mergeCells count="5">
    <mergeCell ref="R14:AD14"/>
    <mergeCell ref="A14:P14"/>
    <mergeCell ref="AF14:AI14"/>
    <mergeCell ref="AK14:AP14"/>
    <mergeCell ref="AR14:BJ14"/>
  </mergeCells>
  <conditionalFormatting sqref="R836:T836 R838:T841 R837:S837 R852:T852">
    <cfRule type="cellIs" dxfId="11" priority="23" operator="notEqual">
      <formula>#REF!</formula>
    </cfRule>
  </conditionalFormatting>
  <conditionalFormatting sqref="S842 S843:T846">
    <cfRule type="cellIs" dxfId="10" priority="22" operator="notEqual">
      <formula>#REF!</formula>
    </cfRule>
  </conditionalFormatting>
  <conditionalFormatting sqref="R847:T851">
    <cfRule type="cellIs" dxfId="9" priority="21" operator="notEqual">
      <formula>#REF!</formula>
    </cfRule>
  </conditionalFormatting>
  <conditionalFormatting sqref="S861 S862:T865">
    <cfRule type="cellIs" dxfId="8" priority="20" operator="notEqual">
      <formula>#REF!</formula>
    </cfRule>
  </conditionalFormatting>
  <conditionalFormatting sqref="S866 S867:T870">
    <cfRule type="cellIs" dxfId="7" priority="18" operator="notEqual">
      <formula>#REF!</formula>
    </cfRule>
  </conditionalFormatting>
  <conditionalFormatting sqref="S853 S854:T856">
    <cfRule type="cellIs" dxfId="6" priority="17" operator="notEqual">
      <formula>#REF!</formula>
    </cfRule>
  </conditionalFormatting>
  <conditionalFormatting sqref="S857 S858:T860">
    <cfRule type="cellIs" dxfId="5" priority="16" operator="notEqual">
      <formula>#REF!</formula>
    </cfRule>
  </conditionalFormatting>
  <conditionalFormatting sqref="R842:R846">
    <cfRule type="cellIs" dxfId="4" priority="14" operator="notEqual">
      <formula>#REF!</formula>
    </cfRule>
  </conditionalFormatting>
  <conditionalFormatting sqref="R853:R856">
    <cfRule type="cellIs" dxfId="3" priority="12" operator="notEqual">
      <formula>#REF!</formula>
    </cfRule>
  </conditionalFormatting>
  <conditionalFormatting sqref="R857:R860">
    <cfRule type="cellIs" dxfId="2" priority="11" operator="notEqual">
      <formula>#REF!</formula>
    </cfRule>
  </conditionalFormatting>
  <conditionalFormatting sqref="R861:R865">
    <cfRule type="cellIs" dxfId="1" priority="10" operator="notEqual">
      <formula>#REF!</formula>
    </cfRule>
  </conditionalFormatting>
  <conditionalFormatting sqref="R866:R870">
    <cfRule type="cellIs" dxfId="0" priority="8" operator="notEqual">
      <formula>#REF!</formula>
    </cfRule>
  </conditionalFormatting>
  <pageMargins left="0.75" right="0.75" top="1" bottom="1" header="0.5" footer="0.5"/>
  <pageSetup paperSize="9" orientation="portrait"/>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Intro</vt:lpstr>
      <vt:lpstr>Supporting Info</vt:lpstr>
      <vt:lpstr>Toxicity data + calculations</vt:lpstr>
      <vt:lpstr>clay</vt:lpstr>
      <vt:lpstr>eCEC</vt:lpstr>
      <vt:lpstr>OC</vt:lpstr>
      <vt:lpstr>OM</vt:lpstr>
      <vt:lpstr>pH</vt:lpstr>
      <vt:lpstr>V_bg</vt:lpstr>
      <vt:lpstr>Zn_bg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 Oorts</dc:creator>
  <cp:lastModifiedBy>Ian Martin</cp:lastModifiedBy>
  <dcterms:created xsi:type="dcterms:W3CDTF">2017-01-24T14:09:07Z</dcterms:created>
  <dcterms:modified xsi:type="dcterms:W3CDTF">2017-04-06T14:57:40Z</dcterms:modified>
</cp:coreProperties>
</file>