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dds.ntnl\Shared\Brite\Data and Intelligence\Data\$ Waste Data 2016\Tables\England\"/>
    </mc:Choice>
  </mc:AlternateContent>
  <bookViews>
    <workbookView xWindow="-15" yWindow="-15" windowWidth="12015" windowHeight="9735" tabRatio="851" firstSheet="8" activeTab="10"/>
  </bookViews>
  <sheets>
    <sheet name="Summary" sheetId="13" r:id="rId1"/>
    <sheet name="Landfill Inputs" sheetId="10" r:id="rId2"/>
    <sheet name="Landfill Input Trends" sheetId="14" r:id="rId3"/>
    <sheet name="Landfill Capacity" sheetId="4" r:id="rId4"/>
    <sheet name="D1" sheetId="7" state="hidden" r:id="rId5"/>
    <sheet name="Landfill Capacity Trends" sheetId="15" r:id="rId6"/>
    <sheet name="Transfer Treatment &amp; MRS Inputs" sheetId="2" r:id="rId7"/>
    <sheet name="D2" sheetId="8" state="hidden" r:id="rId8"/>
    <sheet name="Transfer Treatment &amp; MRS Trends" sheetId="16" r:id="rId9"/>
    <sheet name="Incineration Input &amp; Capacity" sheetId="11" r:id="rId10"/>
    <sheet name="Operational Incinerators" sheetId="26" r:id="rId11"/>
    <sheet name="Non-Operational Incinerators" sheetId="28" r:id="rId12"/>
    <sheet name="Pre-Operational Incinerators" sheetId="27" r:id="rId13"/>
    <sheet name="Land Disposal" sheetId="5" r:id="rId14"/>
    <sheet name="Use of Waste" sheetId="12" r:id="rId15"/>
    <sheet name="D3" sheetId="9" state="hidden" r:id="rId16"/>
    <sheet name="Haz Waste Managed &amp; Deposits" sheetId="17" r:id="rId17"/>
    <sheet name="Haz Waste Deposits by Fate" sheetId="18" r:id="rId18"/>
    <sheet name="Haz Waste Trends" sheetId="19" r:id="rId19"/>
    <sheet name="Haz Waste Movements" sheetId="24" r:id="rId20"/>
    <sheet name="No. of operational sites" sheetId="25" r:id="rId21"/>
  </sheets>
  <definedNames>
    <definedName name="__PPC_ALL_Data" localSheetId="12">#REF!</definedName>
    <definedName name="__PPC_ALL_Data">#REF!</definedName>
    <definedName name="_xlnm._FilterDatabase" localSheetId="11" hidden="1">'Non-Operational Incinerators'!$B$5:$V$21</definedName>
    <definedName name="_xlnm._FilterDatabase" localSheetId="10" hidden="1">'Operational Incinerators'!$B$5:$W$87</definedName>
    <definedName name="_xlnm._FilterDatabase" localSheetId="12" hidden="1">'Pre-Operational Incinerators'!$B$5:$K$56</definedName>
    <definedName name="_xlnm.Print_Area" localSheetId="3">'Landfill Capacity'!$B$2:$L$17</definedName>
    <definedName name="_xlnm.Print_Area" localSheetId="1">'Landfill Inputs'!$B$2:$L$19</definedName>
    <definedName name="_xlnm.Print_Area" localSheetId="10">'Operational Incinerators'!$A$1:$W$88</definedName>
    <definedName name="_xlnm.Print_Area" localSheetId="12">'Pre-Operational Incinerators'!$A$1:$K$57</definedName>
    <definedName name="_xlnm.Print_Titles" localSheetId="10">'Operational Incinerators'!$2:$4</definedName>
    <definedName name="qtmp_SASHER" localSheetId="17">'Haz Waste Deposits by Fate'!$B$4:$L$14</definedName>
  </definedNames>
  <calcPr calcId="152511"/>
</workbook>
</file>

<file path=xl/calcChain.xml><?xml version="1.0" encoding="utf-8"?>
<calcChain xmlns="http://schemas.openxmlformats.org/spreadsheetml/2006/main">
  <c r="L7" i="10" l="1"/>
  <c r="J56" i="27" l="1"/>
  <c r="U21" i="28"/>
  <c r="T21" i="28"/>
  <c r="S21" i="28"/>
  <c r="R21" i="28"/>
  <c r="Q21" i="28"/>
  <c r="P21" i="28"/>
  <c r="O21" i="28"/>
  <c r="N21" i="28"/>
  <c r="M21" i="28"/>
  <c r="L21" i="28"/>
  <c r="K21" i="28"/>
  <c r="J21" i="28"/>
  <c r="V87" i="26"/>
  <c r="U87" i="26"/>
  <c r="T87" i="26"/>
  <c r="S87" i="26"/>
  <c r="R87" i="26"/>
  <c r="Q87" i="26"/>
  <c r="P87" i="26"/>
  <c r="O87" i="26"/>
  <c r="N87" i="26"/>
  <c r="M87" i="26"/>
  <c r="L87" i="26"/>
  <c r="K87" i="26"/>
  <c r="N248" i="14" l="1"/>
  <c r="L9" i="4" l="1"/>
  <c r="L12" i="4"/>
  <c r="L34" i="24" l="1"/>
  <c r="K32" i="24"/>
  <c r="L32" i="24"/>
  <c r="H13" i="10" l="1"/>
  <c r="H235" i="14" l="1"/>
  <c r="E248" i="14"/>
  <c r="F248" i="14"/>
  <c r="C36" i="24" l="1"/>
  <c r="C34" i="24" l="1"/>
  <c r="L30" i="24"/>
  <c r="S194" i="19"/>
  <c r="S168" i="19"/>
  <c r="S142" i="19"/>
  <c r="S116" i="19"/>
  <c r="S90" i="19"/>
  <c r="S70" i="19"/>
  <c r="S54" i="19"/>
  <c r="S40" i="19"/>
  <c r="M5" i="17"/>
  <c r="K10" i="12"/>
  <c r="E10" i="12"/>
  <c r="F10" i="12"/>
  <c r="G10" i="12"/>
  <c r="H10" i="12"/>
  <c r="I10" i="12"/>
  <c r="J10" i="12"/>
  <c r="D10" i="12"/>
  <c r="C10" i="12"/>
  <c r="D9" i="5"/>
  <c r="E9" i="5"/>
  <c r="F9" i="5"/>
  <c r="H9" i="5"/>
  <c r="I9" i="5"/>
  <c r="K9" i="5"/>
  <c r="L8" i="5"/>
  <c r="M211" i="16" l="1"/>
  <c r="L211" i="16"/>
  <c r="K211" i="16"/>
  <c r="J211" i="16"/>
  <c r="I211" i="16"/>
  <c r="H211" i="16"/>
  <c r="G211" i="16"/>
  <c r="F211" i="16"/>
  <c r="E211" i="16"/>
  <c r="N210" i="16"/>
  <c r="N209" i="16"/>
  <c r="M208" i="16"/>
  <c r="L208" i="16"/>
  <c r="K208" i="16"/>
  <c r="J208" i="16"/>
  <c r="I208" i="16"/>
  <c r="H208" i="16"/>
  <c r="G208" i="16"/>
  <c r="F208" i="16"/>
  <c r="E208" i="16"/>
  <c r="N207" i="16"/>
  <c r="N206" i="16"/>
  <c r="N205" i="16"/>
  <c r="N204" i="16"/>
  <c r="N203" i="16"/>
  <c r="N202" i="16"/>
  <c r="M201" i="16"/>
  <c r="L201" i="16"/>
  <c r="K201" i="16"/>
  <c r="J201" i="16"/>
  <c r="I201" i="16"/>
  <c r="H201" i="16"/>
  <c r="G201" i="16"/>
  <c r="F201" i="16"/>
  <c r="E201" i="16"/>
  <c r="N200" i="16"/>
  <c r="N199" i="16"/>
  <c r="N208" i="16" l="1"/>
  <c r="H212" i="16"/>
  <c r="N211" i="16"/>
  <c r="G212" i="16"/>
  <c r="K212" i="16"/>
  <c r="E212" i="16"/>
  <c r="L212" i="16"/>
  <c r="N201" i="16"/>
  <c r="M212" i="16"/>
  <c r="J212" i="16"/>
  <c r="I212" i="16"/>
  <c r="F212" i="16"/>
  <c r="N212" i="16" l="1"/>
  <c r="L66" i="15"/>
  <c r="K66" i="15"/>
  <c r="J66" i="15"/>
  <c r="I66" i="15"/>
  <c r="H66" i="15"/>
  <c r="G66" i="15"/>
  <c r="F66" i="15"/>
  <c r="E66" i="15"/>
  <c r="D66" i="15"/>
  <c r="M65" i="15"/>
  <c r="M64" i="15"/>
  <c r="M63" i="15"/>
  <c r="M66" i="15" l="1"/>
  <c r="N250" i="14" l="1"/>
  <c r="F252" i="14"/>
  <c r="G252" i="14"/>
  <c r="H252" i="14"/>
  <c r="I252" i="14"/>
  <c r="J252" i="14"/>
  <c r="J261" i="14" s="1"/>
  <c r="K252" i="14"/>
  <c r="L252" i="14"/>
  <c r="M252" i="14"/>
  <c r="E252" i="14"/>
  <c r="J248" i="14"/>
  <c r="M248" i="14"/>
  <c r="F256" i="14"/>
  <c r="G256" i="14"/>
  <c r="H256" i="14"/>
  <c r="I256" i="14"/>
  <c r="J256" i="14"/>
  <c r="K256" i="14"/>
  <c r="L256" i="14"/>
  <c r="E256" i="14"/>
  <c r="M260" i="14" l="1"/>
  <c r="L260" i="14"/>
  <c r="K260" i="14"/>
  <c r="J260" i="14"/>
  <c r="I260" i="14"/>
  <c r="H260" i="14"/>
  <c r="G260" i="14"/>
  <c r="F260" i="14"/>
  <c r="E260" i="14"/>
  <c r="E261" i="14" s="1"/>
  <c r="N259" i="14"/>
  <c r="N258" i="14"/>
  <c r="N257" i="14"/>
  <c r="N253" i="14"/>
  <c r="N251" i="14"/>
  <c r="N249" i="14"/>
  <c r="N252" i="14" l="1"/>
  <c r="N261" i="14" s="1"/>
  <c r="N260" i="14"/>
  <c r="E243" i="14"/>
  <c r="F243" i="14"/>
  <c r="G243" i="14"/>
  <c r="Q54" i="19" l="1"/>
  <c r="C35" i="24" l="1"/>
  <c r="R90" i="19"/>
  <c r="R70" i="19"/>
  <c r="J19" i="2" l="1"/>
  <c r="N230" i="14" l="1"/>
  <c r="N229" i="14"/>
  <c r="N228" i="14"/>
  <c r="E28" i="25" l="1"/>
  <c r="F28" i="25"/>
  <c r="G28" i="25"/>
  <c r="H28" i="25"/>
  <c r="I28" i="25"/>
  <c r="J28" i="25"/>
  <c r="K28" i="25"/>
  <c r="L28" i="25"/>
  <c r="M20" i="25" l="1"/>
  <c r="M19" i="25"/>
  <c r="M10" i="25" l="1"/>
  <c r="C28" i="24" l="1"/>
  <c r="R194" i="19"/>
  <c r="R168" i="19"/>
  <c r="R142" i="19"/>
  <c r="R116" i="19"/>
  <c r="D40" i="19"/>
  <c r="R54" i="19" l="1"/>
  <c r="R40" i="19"/>
  <c r="M7" i="18"/>
  <c r="O25" i="17"/>
  <c r="C33" i="11" l="1"/>
  <c r="D33" i="11"/>
  <c r="E33" i="11"/>
  <c r="F33" i="11"/>
  <c r="G33" i="11"/>
  <c r="H33" i="11"/>
  <c r="I33" i="11"/>
  <c r="J33" i="11"/>
  <c r="K33" i="11"/>
  <c r="C14" i="11"/>
  <c r="D14" i="11"/>
  <c r="E14" i="11"/>
  <c r="F14" i="11"/>
  <c r="G14" i="11"/>
  <c r="H14" i="11"/>
  <c r="I14" i="11"/>
  <c r="J14" i="11"/>
  <c r="K14" i="11"/>
  <c r="M197" i="16" l="1"/>
  <c r="L197" i="16"/>
  <c r="K197" i="16"/>
  <c r="J197" i="16"/>
  <c r="I197" i="16"/>
  <c r="H197" i="16"/>
  <c r="G197" i="16"/>
  <c r="F197" i="16"/>
  <c r="E197" i="16"/>
  <c r="N196" i="16"/>
  <c r="N195" i="16"/>
  <c r="N197" i="16" s="1"/>
  <c r="M194" i="16"/>
  <c r="L194" i="16"/>
  <c r="K194" i="16"/>
  <c r="J194" i="16"/>
  <c r="I194" i="16"/>
  <c r="H194" i="16"/>
  <c r="G194" i="16"/>
  <c r="F194" i="16"/>
  <c r="E194" i="16"/>
  <c r="E198" i="16" s="1"/>
  <c r="N193" i="16"/>
  <c r="N192" i="16"/>
  <c r="N191" i="16"/>
  <c r="N190" i="16"/>
  <c r="N189" i="16"/>
  <c r="N188" i="16"/>
  <c r="M187" i="16"/>
  <c r="L187" i="16"/>
  <c r="K187" i="16"/>
  <c r="J187" i="16"/>
  <c r="I187" i="16"/>
  <c r="H187" i="16"/>
  <c r="G187" i="16"/>
  <c r="F187" i="16"/>
  <c r="E187" i="16"/>
  <c r="N186" i="16"/>
  <c r="N185" i="16"/>
  <c r="N187" i="16" s="1"/>
  <c r="D19" i="2"/>
  <c r="L62" i="15"/>
  <c r="K62" i="15"/>
  <c r="J62" i="15"/>
  <c r="I62" i="15"/>
  <c r="H62" i="15"/>
  <c r="G62" i="15"/>
  <c r="F62" i="15"/>
  <c r="E62" i="15"/>
  <c r="D62" i="15"/>
  <c r="M61" i="15"/>
  <c r="M60" i="15"/>
  <c r="M59" i="15"/>
  <c r="L7" i="4"/>
  <c r="D13" i="4"/>
  <c r="E13" i="4"/>
  <c r="F13" i="4"/>
  <c r="G13" i="4"/>
  <c r="H13" i="4"/>
  <c r="I13" i="4"/>
  <c r="J13" i="4"/>
  <c r="K13" i="4"/>
  <c r="C13" i="4"/>
  <c r="N194" i="16" l="1"/>
  <c r="F198" i="16"/>
  <c r="J198" i="16"/>
  <c r="I198" i="16"/>
  <c r="M198" i="16"/>
  <c r="H198" i="16"/>
  <c r="L198" i="16"/>
  <c r="N198" i="16"/>
  <c r="G198" i="16"/>
  <c r="K198" i="16"/>
  <c r="M62" i="15"/>
  <c r="N237" i="14" l="1"/>
  <c r="M243" i="14"/>
  <c r="L243" i="14"/>
  <c r="K243" i="14"/>
  <c r="J243" i="14"/>
  <c r="I243" i="14"/>
  <c r="H243" i="14"/>
  <c r="N242" i="14"/>
  <c r="N241" i="14"/>
  <c r="N240" i="14"/>
  <c r="M239" i="14"/>
  <c r="L239" i="14"/>
  <c r="K239" i="14"/>
  <c r="J239" i="14"/>
  <c r="I239" i="14"/>
  <c r="H239" i="14"/>
  <c r="G239" i="14"/>
  <c r="F239" i="14"/>
  <c r="E239" i="14"/>
  <c r="E244" i="14" s="1"/>
  <c r="N238" i="14"/>
  <c r="N236" i="14"/>
  <c r="M235" i="14"/>
  <c r="L235" i="14"/>
  <c r="K235" i="14"/>
  <c r="J235" i="14"/>
  <c r="I235" i="14"/>
  <c r="G235" i="14"/>
  <c r="F235" i="14"/>
  <c r="E235" i="14"/>
  <c r="N234" i="14"/>
  <c r="N233" i="14"/>
  <c r="N232" i="14"/>
  <c r="M231" i="14"/>
  <c r="L231" i="14"/>
  <c r="K231" i="14"/>
  <c r="J231" i="14"/>
  <c r="I231" i="14"/>
  <c r="H231" i="14"/>
  <c r="G231" i="14"/>
  <c r="F231" i="14"/>
  <c r="E231" i="14"/>
  <c r="D13" i="10"/>
  <c r="E13" i="10"/>
  <c r="F13" i="10"/>
  <c r="G13" i="10"/>
  <c r="I13" i="10"/>
  <c r="J13" i="10"/>
  <c r="K13" i="10"/>
  <c r="C13" i="10"/>
  <c r="F244" i="14" l="1"/>
  <c r="G244" i="14"/>
  <c r="N243" i="14"/>
  <c r="M244" i="14"/>
  <c r="L244" i="14"/>
  <c r="K244" i="14"/>
  <c r="J244" i="14"/>
  <c r="I244" i="14"/>
  <c r="H244" i="14"/>
  <c r="N231" i="14"/>
  <c r="N235" i="14"/>
  <c r="N239" i="14"/>
  <c r="N244" i="14" l="1"/>
  <c r="L29" i="25" l="1"/>
  <c r="K29" i="25"/>
  <c r="J29" i="25"/>
  <c r="I29" i="25"/>
  <c r="H29" i="25"/>
  <c r="G29" i="25"/>
  <c r="F29" i="25"/>
  <c r="E29" i="25"/>
  <c r="D29" i="25"/>
  <c r="D28" i="25"/>
  <c r="M26" i="25"/>
  <c r="M25" i="25"/>
  <c r="M23" i="25"/>
  <c r="M22" i="25"/>
  <c r="M17" i="25"/>
  <c r="M16" i="25"/>
  <c r="M14" i="25"/>
  <c r="M13" i="25"/>
  <c r="M11" i="25"/>
  <c r="M8" i="25"/>
  <c r="M7" i="25"/>
  <c r="M29" i="25" l="1"/>
  <c r="M28" i="25"/>
  <c r="K28" i="24" l="1"/>
  <c r="J28" i="24"/>
  <c r="I28" i="24"/>
  <c r="H28" i="24"/>
  <c r="G28" i="24"/>
  <c r="F28" i="24"/>
  <c r="E28" i="24"/>
  <c r="D28" i="24"/>
  <c r="L27" i="24"/>
  <c r="L26" i="24"/>
  <c r="L25" i="24"/>
  <c r="K23" i="24"/>
  <c r="J23" i="24"/>
  <c r="J32" i="24" s="1"/>
  <c r="I23" i="24"/>
  <c r="H23" i="24"/>
  <c r="G23" i="24"/>
  <c r="F23" i="24"/>
  <c r="E23" i="24"/>
  <c r="D23" i="24"/>
  <c r="C23" i="24"/>
  <c r="K35" i="24"/>
  <c r="J35" i="24" s="1"/>
  <c r="I35" i="24" s="1"/>
  <c r="H35" i="24" s="1"/>
  <c r="D35" i="24"/>
  <c r="Q194" i="19"/>
  <c r="P194" i="19"/>
  <c r="O194" i="19"/>
  <c r="N194" i="19"/>
  <c r="M194" i="19"/>
  <c r="L194" i="19"/>
  <c r="K194" i="19"/>
  <c r="J194" i="19"/>
  <c r="I194" i="19"/>
  <c r="H194" i="19"/>
  <c r="G194" i="19"/>
  <c r="F194" i="19"/>
  <c r="E194" i="19"/>
  <c r="D194" i="19"/>
  <c r="Q168" i="19"/>
  <c r="P168" i="19"/>
  <c r="O168" i="19"/>
  <c r="N168" i="19"/>
  <c r="M168" i="19"/>
  <c r="L168" i="19"/>
  <c r="K168" i="19"/>
  <c r="J168" i="19"/>
  <c r="I168" i="19"/>
  <c r="H168" i="19"/>
  <c r="G168" i="19"/>
  <c r="F168" i="19"/>
  <c r="E168" i="19"/>
  <c r="D168" i="19"/>
  <c r="Q142" i="19"/>
  <c r="P142" i="19"/>
  <c r="O142" i="19"/>
  <c r="N142" i="19"/>
  <c r="M142" i="19"/>
  <c r="L142" i="19"/>
  <c r="K142" i="19"/>
  <c r="J142" i="19"/>
  <c r="I142" i="19"/>
  <c r="H142" i="19"/>
  <c r="G142" i="19"/>
  <c r="F142" i="19"/>
  <c r="E142" i="19"/>
  <c r="D142" i="19"/>
  <c r="Q116" i="19"/>
  <c r="P116" i="19"/>
  <c r="O116" i="19"/>
  <c r="N116" i="19"/>
  <c r="M116" i="19"/>
  <c r="L116" i="19"/>
  <c r="K116" i="19"/>
  <c r="J116" i="19"/>
  <c r="I116" i="19"/>
  <c r="H116" i="19"/>
  <c r="G116" i="19"/>
  <c r="F116" i="19"/>
  <c r="E116" i="19"/>
  <c r="D116" i="19"/>
  <c r="Q90" i="19"/>
  <c r="P90" i="19"/>
  <c r="O90" i="19"/>
  <c r="N90" i="19"/>
  <c r="M90" i="19"/>
  <c r="L90" i="19"/>
  <c r="K90" i="19"/>
  <c r="J90" i="19"/>
  <c r="I90" i="19"/>
  <c r="H90" i="19"/>
  <c r="G90" i="19"/>
  <c r="F90" i="19"/>
  <c r="E90" i="19"/>
  <c r="D90" i="19"/>
  <c r="Q70" i="19"/>
  <c r="P70" i="19"/>
  <c r="O70" i="19"/>
  <c r="N70" i="19"/>
  <c r="M70" i="19"/>
  <c r="L70" i="19"/>
  <c r="K70" i="19"/>
  <c r="J70" i="19"/>
  <c r="I70" i="19"/>
  <c r="H70" i="19"/>
  <c r="G70" i="19"/>
  <c r="F70" i="19"/>
  <c r="E70" i="19"/>
  <c r="D70" i="19"/>
  <c r="P54" i="19"/>
  <c r="O54" i="19"/>
  <c r="N54" i="19"/>
  <c r="M54" i="19"/>
  <c r="L54" i="19"/>
  <c r="K54" i="19"/>
  <c r="J54" i="19"/>
  <c r="I54" i="19"/>
  <c r="H54" i="19"/>
  <c r="G54" i="19"/>
  <c r="F54" i="19"/>
  <c r="E54" i="19"/>
  <c r="D54" i="19"/>
  <c r="Q40" i="19"/>
  <c r="P40" i="19"/>
  <c r="O40" i="19"/>
  <c r="N40" i="19"/>
  <c r="M40" i="19"/>
  <c r="L40" i="19"/>
  <c r="K40" i="19"/>
  <c r="J40" i="19"/>
  <c r="I40" i="19"/>
  <c r="H40" i="19"/>
  <c r="G40" i="19"/>
  <c r="F40" i="19"/>
  <c r="E40" i="19"/>
  <c r="K15" i="18"/>
  <c r="J15" i="18"/>
  <c r="I15" i="18"/>
  <c r="H15" i="18"/>
  <c r="G15" i="18"/>
  <c r="F15" i="18"/>
  <c r="E15" i="18"/>
  <c r="D15" i="18"/>
  <c r="C15" i="18"/>
  <c r="M14" i="18"/>
  <c r="M13" i="18"/>
  <c r="M12" i="18"/>
  <c r="M11" i="18"/>
  <c r="M10" i="18"/>
  <c r="M9" i="18"/>
  <c r="M8" i="18"/>
  <c r="M6" i="18"/>
  <c r="M5" i="18"/>
  <c r="L55" i="17"/>
  <c r="K55" i="17"/>
  <c r="J55" i="17"/>
  <c r="I55" i="17"/>
  <c r="H55" i="17"/>
  <c r="G55" i="17"/>
  <c r="F55" i="17"/>
  <c r="E55" i="17"/>
  <c r="D55" i="17"/>
  <c r="M54" i="17"/>
  <c r="M53" i="17"/>
  <c r="M52" i="17"/>
  <c r="M51" i="17"/>
  <c r="M50" i="17"/>
  <c r="M49" i="17"/>
  <c r="M48" i="17"/>
  <c r="M47" i="17"/>
  <c r="M46" i="17"/>
  <c r="M45" i="17"/>
  <c r="M44" i="17"/>
  <c r="M43" i="17"/>
  <c r="M42" i="17"/>
  <c r="M41" i="17"/>
  <c r="O41" i="17" s="1"/>
  <c r="M40" i="17"/>
  <c r="M39" i="17"/>
  <c r="M38" i="17"/>
  <c r="M37" i="17"/>
  <c r="O36" i="17" s="1"/>
  <c r="M36" i="17"/>
  <c r="M35" i="17"/>
  <c r="R25" i="17"/>
  <c r="Q25" i="17"/>
  <c r="P25" i="17"/>
  <c r="L25" i="17"/>
  <c r="K25" i="17"/>
  <c r="J25" i="17"/>
  <c r="I25" i="17"/>
  <c r="H25" i="17"/>
  <c r="G25" i="17"/>
  <c r="F25" i="17"/>
  <c r="E25" i="17"/>
  <c r="D25" i="17"/>
  <c r="M24" i="17"/>
  <c r="M23" i="17"/>
  <c r="M22" i="17"/>
  <c r="S22" i="17" s="1"/>
  <c r="M21" i="17"/>
  <c r="M20" i="17"/>
  <c r="M19" i="17"/>
  <c r="M18" i="17"/>
  <c r="S18" i="17" s="1"/>
  <c r="M17" i="17"/>
  <c r="M16" i="17"/>
  <c r="M15" i="17"/>
  <c r="M14" i="17"/>
  <c r="M13" i="17"/>
  <c r="M12" i="17"/>
  <c r="M11" i="17"/>
  <c r="M10" i="17"/>
  <c r="M9" i="17"/>
  <c r="M8" i="17"/>
  <c r="S8" i="17" s="1"/>
  <c r="M7" i="17"/>
  <c r="M6" i="17"/>
  <c r="S6" i="17" s="1"/>
  <c r="L9" i="12"/>
  <c r="L8" i="12"/>
  <c r="L7" i="12"/>
  <c r="K18" i="5"/>
  <c r="J18" i="5"/>
  <c r="I18" i="5"/>
  <c r="H18" i="5"/>
  <c r="G18" i="5"/>
  <c r="F18" i="5"/>
  <c r="E18" i="5"/>
  <c r="D18" i="5"/>
  <c r="C18" i="5"/>
  <c r="L17" i="5"/>
  <c r="L7" i="5"/>
  <c r="L32" i="11"/>
  <c r="L31" i="11"/>
  <c r="L30" i="11"/>
  <c r="L29" i="11"/>
  <c r="L28" i="11"/>
  <c r="L27" i="11"/>
  <c r="L26" i="11"/>
  <c r="L13" i="11"/>
  <c r="L12" i="11"/>
  <c r="L11" i="11"/>
  <c r="L10" i="11"/>
  <c r="L9" i="11"/>
  <c r="L8" i="11"/>
  <c r="L7" i="11"/>
  <c r="L10" i="12" l="1"/>
  <c r="O44" i="17"/>
  <c r="S23" i="17"/>
  <c r="S5" i="17"/>
  <c r="M25" i="17"/>
  <c r="S20" i="17"/>
  <c r="L14" i="11"/>
  <c r="M15" i="18"/>
  <c r="O38" i="17"/>
  <c r="O49" i="17"/>
  <c r="O53" i="17"/>
  <c r="O42" i="17"/>
  <c r="O46" i="17"/>
  <c r="O51" i="17"/>
  <c r="S13" i="17"/>
  <c r="S9" i="17"/>
  <c r="S11" i="17"/>
  <c r="S15" i="17"/>
  <c r="L23" i="24"/>
  <c r="L35" i="24" s="1"/>
  <c r="F32" i="24"/>
  <c r="S12" i="17"/>
  <c r="S16" i="17"/>
  <c r="S19" i="17"/>
  <c r="O37" i="17"/>
  <c r="O40" i="17"/>
  <c r="O43" i="17"/>
  <c r="O47" i="17"/>
  <c r="O50" i="17"/>
  <c r="O54" i="17"/>
  <c r="C32" i="24"/>
  <c r="G34" i="24"/>
  <c r="F34" i="24" s="1"/>
  <c r="F36" i="24" s="1"/>
  <c r="K34" i="24"/>
  <c r="J34" i="24" s="1"/>
  <c r="M55" i="17"/>
  <c r="G35" i="24"/>
  <c r="F35" i="24" s="1"/>
  <c r="E35" i="24" s="1"/>
  <c r="D32" i="24"/>
  <c r="H34" i="24"/>
  <c r="S7" i="17"/>
  <c r="S10" i="17"/>
  <c r="S14" i="17"/>
  <c r="S17" i="17"/>
  <c r="S21" i="17"/>
  <c r="S24" i="17"/>
  <c r="O35" i="17"/>
  <c r="O39" i="17"/>
  <c r="O45" i="17"/>
  <c r="O48" i="17"/>
  <c r="O52" i="17"/>
  <c r="E32" i="24"/>
  <c r="I32" i="24"/>
  <c r="D34" i="24"/>
  <c r="L18" i="5"/>
  <c r="L9" i="5"/>
  <c r="L28" i="24"/>
  <c r="E34" i="24"/>
  <c r="E36" i="24" s="1"/>
  <c r="D36" i="24" s="1"/>
  <c r="I34" i="24"/>
  <c r="I36" i="24" s="1"/>
  <c r="H32" i="24"/>
  <c r="G32" i="24"/>
  <c r="L33" i="11"/>
  <c r="M183" i="16"/>
  <c r="L183" i="16"/>
  <c r="K183" i="16"/>
  <c r="J183" i="16"/>
  <c r="I183" i="16"/>
  <c r="H183" i="16"/>
  <c r="G183" i="16"/>
  <c r="F183" i="16"/>
  <c r="E183" i="16"/>
  <c r="N182" i="16"/>
  <c r="N181" i="16"/>
  <c r="M180" i="16"/>
  <c r="L180" i="16"/>
  <c r="K180" i="16"/>
  <c r="J180" i="16"/>
  <c r="I180" i="16"/>
  <c r="H180" i="16"/>
  <c r="G180" i="16"/>
  <c r="F180" i="16"/>
  <c r="E180" i="16"/>
  <c r="N179" i="16"/>
  <c r="N178" i="16"/>
  <c r="N177" i="16"/>
  <c r="N176" i="16"/>
  <c r="N175" i="16"/>
  <c r="N174" i="16"/>
  <c r="H36" i="24" l="1"/>
  <c r="L36" i="24"/>
  <c r="S25" i="17"/>
  <c r="G36" i="24"/>
  <c r="K36" i="24"/>
  <c r="J36" i="24" s="1"/>
  <c r="O55" i="17"/>
  <c r="N180" i="16"/>
  <c r="M173" i="16"/>
  <c r="M184" i="16" s="1"/>
  <c r="L173" i="16"/>
  <c r="L184" i="16" s="1"/>
  <c r="K173" i="16"/>
  <c r="K184" i="16" s="1"/>
  <c r="J173" i="16"/>
  <c r="J184" i="16" s="1"/>
  <c r="I173" i="16"/>
  <c r="I184" i="16" s="1"/>
  <c r="H173" i="16"/>
  <c r="H184" i="16" s="1"/>
  <c r="G173" i="16"/>
  <c r="G184" i="16" s="1"/>
  <c r="F173" i="16"/>
  <c r="F184" i="16" s="1"/>
  <c r="E173" i="16"/>
  <c r="E184" i="16" s="1"/>
  <c r="N183" i="16" s="1"/>
  <c r="N172" i="16"/>
  <c r="N171" i="16"/>
  <c r="M169" i="16"/>
  <c r="M170" i="16" s="1"/>
  <c r="L169" i="16"/>
  <c r="L170" i="16" s="1"/>
  <c r="K169" i="16"/>
  <c r="K170" i="16" s="1"/>
  <c r="J169" i="16"/>
  <c r="J170" i="16" s="1"/>
  <c r="I170" i="16" s="1"/>
  <c r="I169" i="16"/>
  <c r="H169" i="16"/>
  <c r="G169" i="16"/>
  <c r="G170" i="16" s="1"/>
  <c r="F169" i="16"/>
  <c r="E169" i="16"/>
  <c r="E170" i="16" s="1"/>
  <c r="N169" i="16" s="1"/>
  <c r="N168" i="16"/>
  <c r="N167" i="16"/>
  <c r="M166" i="16"/>
  <c r="L166" i="16"/>
  <c r="K166" i="16"/>
  <c r="J166" i="16"/>
  <c r="I166" i="16"/>
  <c r="H166" i="16"/>
  <c r="G166" i="16"/>
  <c r="F166" i="16"/>
  <c r="E166" i="16"/>
  <c r="N165" i="16"/>
  <c r="N164" i="16"/>
  <c r="N163" i="16"/>
  <c r="N162" i="16"/>
  <c r="N161" i="16"/>
  <c r="N160" i="16"/>
  <c r="M159" i="16"/>
  <c r="L159" i="16"/>
  <c r="K159" i="16"/>
  <c r="J159" i="16"/>
  <c r="I159" i="16"/>
  <c r="H159" i="16"/>
  <c r="H170" i="16" s="1"/>
  <c r="G159" i="16"/>
  <c r="F159" i="16"/>
  <c r="F170" i="16" s="1"/>
  <c r="E159" i="16"/>
  <c r="N158" i="16"/>
  <c r="N157" i="16"/>
  <c r="M155" i="16"/>
  <c r="M156" i="16" s="1"/>
  <c r="L155" i="16"/>
  <c r="K155" i="16"/>
  <c r="J155" i="16"/>
  <c r="I155" i="16"/>
  <c r="I156" i="16" s="1"/>
  <c r="H155" i="16"/>
  <c r="G155" i="16"/>
  <c r="F155" i="16"/>
  <c r="E155" i="16"/>
  <c r="E156" i="16" s="1"/>
  <c r="N155" i="16" s="1"/>
  <c r="N154" i="16"/>
  <c r="N153" i="16"/>
  <c r="M152" i="16"/>
  <c r="L152" i="16"/>
  <c r="L156" i="16" s="1"/>
  <c r="K156" i="16" s="1"/>
  <c r="J156" i="16" s="1"/>
  <c r="K152" i="16"/>
  <c r="J152" i="16"/>
  <c r="I152" i="16"/>
  <c r="H152" i="16"/>
  <c r="H156" i="16" s="1"/>
  <c r="G156" i="16" s="1"/>
  <c r="F156" i="16" s="1"/>
  <c r="G152" i="16"/>
  <c r="F152" i="16"/>
  <c r="E152" i="16"/>
  <c r="N151" i="16"/>
  <c r="N150" i="16"/>
  <c r="N149" i="16"/>
  <c r="N148" i="16"/>
  <c r="N147" i="16"/>
  <c r="N146" i="16"/>
  <c r="M145" i="16"/>
  <c r="L145" i="16"/>
  <c r="K145" i="16"/>
  <c r="J145" i="16"/>
  <c r="I145" i="16"/>
  <c r="H145" i="16"/>
  <c r="G145" i="16"/>
  <c r="F145" i="16"/>
  <c r="E145" i="16"/>
  <c r="N144" i="16"/>
  <c r="N143" i="16"/>
  <c r="M141" i="16"/>
  <c r="L141" i="16"/>
  <c r="K141" i="16"/>
  <c r="K142" i="16" s="1"/>
  <c r="J141" i="16"/>
  <c r="J142" i="16" s="1"/>
  <c r="I142" i="16" s="1"/>
  <c r="H142" i="16" s="1"/>
  <c r="I141" i="16"/>
  <c r="H141" i="16"/>
  <c r="G141" i="16"/>
  <c r="G142" i="16" s="1"/>
  <c r="F141" i="16"/>
  <c r="F142" i="16" s="1"/>
  <c r="E142" i="16" s="1"/>
  <c r="N141" i="16" s="1"/>
  <c r="E141" i="16"/>
  <c r="N140" i="16"/>
  <c r="N139" i="16"/>
  <c r="M138" i="16"/>
  <c r="L138" i="16"/>
  <c r="K138" i="16"/>
  <c r="J138" i="16"/>
  <c r="I138" i="16"/>
  <c r="H138" i="16"/>
  <c r="G138" i="16"/>
  <c r="F138" i="16"/>
  <c r="E138" i="16"/>
  <c r="N137" i="16"/>
  <c r="N136" i="16"/>
  <c r="N135" i="16"/>
  <c r="N134" i="16"/>
  <c r="N133" i="16"/>
  <c r="N132" i="16"/>
  <c r="M131" i="16"/>
  <c r="L131" i="16"/>
  <c r="K131" i="16"/>
  <c r="J131" i="16"/>
  <c r="I131" i="16"/>
  <c r="H131" i="16"/>
  <c r="G131" i="16"/>
  <c r="F131" i="16"/>
  <c r="E131" i="16"/>
  <c r="N130" i="16"/>
  <c r="N129" i="16"/>
  <c r="M127" i="16"/>
  <c r="L127" i="16"/>
  <c r="L128" i="16" s="1"/>
  <c r="K128" i="16" s="1"/>
  <c r="J128" i="16" s="1"/>
  <c r="K127" i="16"/>
  <c r="J127" i="16"/>
  <c r="I127" i="16"/>
  <c r="H127" i="16"/>
  <c r="H128" i="16" s="1"/>
  <c r="G128" i="16" s="1"/>
  <c r="F128" i="16" s="1"/>
  <c r="G127" i="16"/>
  <c r="F127" i="16"/>
  <c r="E127" i="16"/>
  <c r="N126" i="16"/>
  <c r="N125" i="16"/>
  <c r="M124" i="16"/>
  <c r="M128" i="16" s="1"/>
  <c r="L124" i="16"/>
  <c r="K124" i="16"/>
  <c r="J124" i="16"/>
  <c r="I124" i="16"/>
  <c r="I128" i="16" s="1"/>
  <c r="H124" i="16"/>
  <c r="G124" i="16"/>
  <c r="F124" i="16"/>
  <c r="E124" i="16"/>
  <c r="E128" i="16" s="1"/>
  <c r="N127" i="16" s="1"/>
  <c r="N123" i="16"/>
  <c r="N122" i="16"/>
  <c r="N121" i="16"/>
  <c r="N120" i="16"/>
  <c r="N119" i="16"/>
  <c r="N118" i="16"/>
  <c r="M117" i="16"/>
  <c r="L117" i="16"/>
  <c r="K117" i="16"/>
  <c r="J117" i="16"/>
  <c r="I117" i="16"/>
  <c r="H117" i="16"/>
  <c r="G117" i="16"/>
  <c r="F117" i="16"/>
  <c r="E117" i="16"/>
  <c r="N116" i="16"/>
  <c r="N115" i="16"/>
  <c r="M113" i="16"/>
  <c r="L113" i="16"/>
  <c r="K113" i="16"/>
  <c r="K114" i="16" s="1"/>
  <c r="J113" i="16"/>
  <c r="J114" i="16" s="1"/>
  <c r="I114" i="16" s="1"/>
  <c r="H114" i="16" s="1"/>
  <c r="I113" i="16"/>
  <c r="H113" i="16"/>
  <c r="G113" i="16"/>
  <c r="G114" i="16" s="1"/>
  <c r="F113" i="16"/>
  <c r="F114" i="16" s="1"/>
  <c r="E114" i="16" s="1"/>
  <c r="N113" i="16" s="1"/>
  <c r="E113" i="16"/>
  <c r="N112" i="16"/>
  <c r="N111" i="16"/>
  <c r="M110" i="16"/>
  <c r="L110" i="16"/>
  <c r="K110" i="16"/>
  <c r="J110" i="16"/>
  <c r="I110" i="16"/>
  <c r="H110" i="16"/>
  <c r="G110" i="16"/>
  <c r="F110" i="16"/>
  <c r="E110" i="16"/>
  <c r="N109" i="16"/>
  <c r="N108" i="16"/>
  <c r="N107" i="16"/>
  <c r="N106" i="16"/>
  <c r="N105" i="16"/>
  <c r="N104" i="16"/>
  <c r="M103" i="16"/>
  <c r="L103" i="16"/>
  <c r="K103" i="16"/>
  <c r="J103" i="16"/>
  <c r="I103" i="16"/>
  <c r="H103" i="16"/>
  <c r="G103" i="16"/>
  <c r="F103" i="16"/>
  <c r="E103" i="16"/>
  <c r="N102" i="16"/>
  <c r="N101" i="16"/>
  <c r="M99" i="16"/>
  <c r="M100" i="16" s="1"/>
  <c r="L99" i="16"/>
  <c r="K99" i="16"/>
  <c r="J99" i="16"/>
  <c r="I99" i="16"/>
  <c r="I100" i="16" s="1"/>
  <c r="H99" i="16"/>
  <c r="G99" i="16"/>
  <c r="F99" i="16"/>
  <c r="E99" i="16"/>
  <c r="E100" i="16" s="1"/>
  <c r="N99" i="16" s="1"/>
  <c r="N98" i="16"/>
  <c r="N97" i="16"/>
  <c r="M96" i="16"/>
  <c r="L96" i="16"/>
  <c r="L100" i="16" s="1"/>
  <c r="K100" i="16" s="1"/>
  <c r="J100" i="16" s="1"/>
  <c r="K96" i="16"/>
  <c r="J96" i="16"/>
  <c r="I96" i="16"/>
  <c r="H96" i="16"/>
  <c r="H100" i="16" s="1"/>
  <c r="G100" i="16" s="1"/>
  <c r="F100" i="16" s="1"/>
  <c r="G96" i="16"/>
  <c r="F96" i="16"/>
  <c r="E96" i="16"/>
  <c r="N95" i="16"/>
  <c r="N94" i="16"/>
  <c r="N93" i="16"/>
  <c r="N92" i="16"/>
  <c r="N91" i="16"/>
  <c r="N90" i="16"/>
  <c r="M89" i="16"/>
  <c r="L89" i="16"/>
  <c r="K89" i="16"/>
  <c r="J89" i="16"/>
  <c r="I89" i="16"/>
  <c r="H89" i="16"/>
  <c r="G89" i="16"/>
  <c r="F89" i="16"/>
  <c r="E89" i="16"/>
  <c r="N88" i="16"/>
  <c r="N87" i="16"/>
  <c r="M85" i="16"/>
  <c r="K85" i="16"/>
  <c r="K86" i="16" s="1"/>
  <c r="J86" i="16" s="1"/>
  <c r="I86" i="16" s="1"/>
  <c r="H86" i="16" s="1"/>
  <c r="J85" i="16"/>
  <c r="I85" i="16"/>
  <c r="H85" i="16"/>
  <c r="G85" i="16"/>
  <c r="G86" i="16" s="1"/>
  <c r="F86" i="16" s="1"/>
  <c r="E86" i="16" s="1"/>
  <c r="F85" i="16"/>
  <c r="E85" i="16"/>
  <c r="N84" i="16"/>
  <c r="L83" i="16"/>
  <c r="M82" i="16"/>
  <c r="L82" i="16"/>
  <c r="K82" i="16"/>
  <c r="J82" i="16"/>
  <c r="I82" i="16"/>
  <c r="H82" i="16"/>
  <c r="G82" i="16"/>
  <c r="F82" i="16"/>
  <c r="E82" i="16"/>
  <c r="N81" i="16"/>
  <c r="N80" i="16"/>
  <c r="N79" i="16"/>
  <c r="N78" i="16"/>
  <c r="N77" i="16"/>
  <c r="N76" i="16"/>
  <c r="M75" i="16"/>
  <c r="K75" i="16"/>
  <c r="J75" i="16"/>
  <c r="I75" i="16"/>
  <c r="H75" i="16"/>
  <c r="G75" i="16"/>
  <c r="F75" i="16"/>
  <c r="E75" i="16"/>
  <c r="N74" i="16"/>
  <c r="N73" i="16" s="1"/>
  <c r="J73" i="16"/>
  <c r="M71" i="16"/>
  <c r="L71" i="16"/>
  <c r="K71" i="16"/>
  <c r="J71" i="16"/>
  <c r="I71" i="16"/>
  <c r="H71" i="16"/>
  <c r="G71" i="16"/>
  <c r="F71" i="16"/>
  <c r="E71" i="16"/>
  <c r="N70" i="16"/>
  <c r="N69" i="16"/>
  <c r="M68" i="16"/>
  <c r="M72" i="16" s="1"/>
  <c r="L72" i="16" s="1"/>
  <c r="K72" i="16" s="1"/>
  <c r="L68" i="16"/>
  <c r="K68" i="16"/>
  <c r="J68" i="16"/>
  <c r="I68" i="16"/>
  <c r="I72" i="16" s="1"/>
  <c r="H72" i="16" s="1"/>
  <c r="G72" i="16" s="1"/>
  <c r="H68" i="16"/>
  <c r="G68" i="16"/>
  <c r="F68" i="16"/>
  <c r="E68" i="16"/>
  <c r="E72" i="16" s="1"/>
  <c r="N71" i="16" s="1"/>
  <c r="N67" i="16"/>
  <c r="N66" i="16"/>
  <c r="N65" i="16"/>
  <c r="N64" i="16"/>
  <c r="N63" i="16"/>
  <c r="N62" i="16"/>
  <c r="M61" i="16"/>
  <c r="L61" i="16"/>
  <c r="K61" i="16"/>
  <c r="J61" i="16"/>
  <c r="J72" i="16" s="1"/>
  <c r="I61" i="16"/>
  <c r="H61" i="16"/>
  <c r="G61" i="16"/>
  <c r="F61" i="16"/>
  <c r="F72" i="16" s="1"/>
  <c r="E61" i="16"/>
  <c r="N60" i="16"/>
  <c r="N59" i="16"/>
  <c r="L58" i="16"/>
  <c r="H58" i="16"/>
  <c r="M57" i="16"/>
  <c r="L57" i="16"/>
  <c r="K57" i="16"/>
  <c r="J57" i="16"/>
  <c r="I57" i="16"/>
  <c r="H57" i="16"/>
  <c r="G57" i="16"/>
  <c r="F57" i="16"/>
  <c r="E57" i="16"/>
  <c r="N56" i="16"/>
  <c r="N57" i="16" s="1"/>
  <c r="N55" i="16"/>
  <c r="M54" i="16"/>
  <c r="L54" i="16"/>
  <c r="K54" i="16"/>
  <c r="J54" i="16"/>
  <c r="I54" i="16"/>
  <c r="H54" i="16"/>
  <c r="G54" i="16"/>
  <c r="F54" i="16"/>
  <c r="E54" i="16"/>
  <c r="N53" i="16"/>
  <c r="N52" i="16"/>
  <c r="N51" i="16"/>
  <c r="N50" i="16"/>
  <c r="N49" i="16"/>
  <c r="N48" i="16"/>
  <c r="M47" i="16"/>
  <c r="L47" i="16"/>
  <c r="K47" i="16"/>
  <c r="K58" i="16" s="1"/>
  <c r="J58" i="16" s="1"/>
  <c r="I58" i="16" s="1"/>
  <c r="J47" i="16"/>
  <c r="I47" i="16"/>
  <c r="H47" i="16"/>
  <c r="G47" i="16"/>
  <c r="G58" i="16" s="1"/>
  <c r="F58" i="16" s="1"/>
  <c r="E58" i="16" s="1"/>
  <c r="F47" i="16"/>
  <c r="E47" i="16"/>
  <c r="N46" i="16"/>
  <c r="N45" i="16"/>
  <c r="N44" i="16" s="1"/>
  <c r="N43" i="16"/>
  <c r="M43" i="16"/>
  <c r="L43" i="16"/>
  <c r="K43" i="16"/>
  <c r="J43" i="16"/>
  <c r="I43" i="16"/>
  <c r="H43" i="16"/>
  <c r="G43" i="16"/>
  <c r="F43" i="16"/>
  <c r="E43" i="16"/>
  <c r="N40" i="16"/>
  <c r="M40" i="16"/>
  <c r="L40" i="16"/>
  <c r="K40" i="16"/>
  <c r="J40" i="16"/>
  <c r="I40" i="16"/>
  <c r="H40" i="16"/>
  <c r="G40" i="16"/>
  <c r="F40" i="16"/>
  <c r="E40" i="16"/>
  <c r="N33" i="16"/>
  <c r="M33" i="16"/>
  <c r="L33" i="16"/>
  <c r="K33" i="16"/>
  <c r="J33" i="16"/>
  <c r="I33" i="16"/>
  <c r="H33" i="16"/>
  <c r="G33" i="16"/>
  <c r="F33" i="16"/>
  <c r="E33" i="16"/>
  <c r="N30" i="16" s="1"/>
  <c r="N29" i="16"/>
  <c r="M29" i="16"/>
  <c r="L29" i="16"/>
  <c r="K29" i="16"/>
  <c r="J29" i="16"/>
  <c r="I29" i="16"/>
  <c r="H29" i="16"/>
  <c r="G29" i="16"/>
  <c r="F29" i="16"/>
  <c r="E29" i="16"/>
  <c r="N27" i="16"/>
  <c r="M27" i="16"/>
  <c r="L27" i="16"/>
  <c r="K27" i="16"/>
  <c r="J27" i="16"/>
  <c r="I27" i="16"/>
  <c r="H27" i="16"/>
  <c r="G27" i="16"/>
  <c r="F27" i="16"/>
  <c r="E27" i="16"/>
  <c r="N21" i="16"/>
  <c r="M21" i="16"/>
  <c r="L21" i="16"/>
  <c r="K21" i="16"/>
  <c r="J21" i="16"/>
  <c r="I21" i="16"/>
  <c r="H21" i="16"/>
  <c r="G21" i="16"/>
  <c r="F21" i="16"/>
  <c r="E21" i="16"/>
  <c r="N18" i="16" s="1"/>
  <c r="N17" i="16"/>
  <c r="M17" i="16"/>
  <c r="L17" i="16"/>
  <c r="K17" i="16"/>
  <c r="J17" i="16"/>
  <c r="I17" i="16"/>
  <c r="H17" i="16"/>
  <c r="G17" i="16"/>
  <c r="F17" i="16"/>
  <c r="E17" i="16"/>
  <c r="N15" i="16"/>
  <c r="M15" i="16"/>
  <c r="L15" i="16"/>
  <c r="K15" i="16"/>
  <c r="J15" i="16"/>
  <c r="I15" i="16"/>
  <c r="H15" i="16"/>
  <c r="G15" i="16"/>
  <c r="F15" i="16"/>
  <c r="E15" i="16"/>
  <c r="N9" i="16"/>
  <c r="M9" i="16"/>
  <c r="L9" i="16"/>
  <c r="K9" i="16"/>
  <c r="J9" i="16"/>
  <c r="I9" i="16"/>
  <c r="H9" i="16"/>
  <c r="G9" i="16"/>
  <c r="F9" i="16"/>
  <c r="E9" i="16"/>
  <c r="L22" i="2"/>
  <c r="K22" i="2"/>
  <c r="J22" i="2"/>
  <c r="I22" i="2"/>
  <c r="H22" i="2"/>
  <c r="G22" i="2"/>
  <c r="F22" i="2"/>
  <c r="E22" i="2"/>
  <c r="D22" i="2"/>
  <c r="M21" i="2"/>
  <c r="M20" i="2"/>
  <c r="M22" i="2" l="1"/>
  <c r="M18" i="16"/>
  <c r="L18" i="16" s="1"/>
  <c r="K18" i="16" s="1"/>
  <c r="J18" i="16" s="1"/>
  <c r="I18" i="16" s="1"/>
  <c r="H18" i="16" s="1"/>
  <c r="G18" i="16" s="1"/>
  <c r="F18" i="16" s="1"/>
  <c r="E18" i="16" s="1"/>
  <c r="M44" i="16"/>
  <c r="L44" i="16" s="1"/>
  <c r="K44" i="16" s="1"/>
  <c r="J44" i="16" s="1"/>
  <c r="I44" i="16" s="1"/>
  <c r="H44" i="16" s="1"/>
  <c r="G44" i="16" s="1"/>
  <c r="F44" i="16" s="1"/>
  <c r="E44" i="16" s="1"/>
  <c r="N117" i="16"/>
  <c r="N152" i="16"/>
  <c r="N156" i="16" s="1"/>
  <c r="N159" i="16"/>
  <c r="N68" i="16"/>
  <c r="N110" i="16"/>
  <c r="N114" i="16" s="1"/>
  <c r="M114" i="16" s="1"/>
  <c r="L114" i="16" s="1"/>
  <c r="N145" i="16"/>
  <c r="M30" i="16"/>
  <c r="L30" i="16" s="1"/>
  <c r="K30" i="16" s="1"/>
  <c r="J30" i="16" s="1"/>
  <c r="I30" i="16" s="1"/>
  <c r="H30" i="16" s="1"/>
  <c r="G30" i="16" s="1"/>
  <c r="F30" i="16" s="1"/>
  <c r="E30" i="16" s="1"/>
  <c r="N61" i="16"/>
  <c r="N72" i="16" s="1"/>
  <c r="N82" i="16"/>
  <c r="N96" i="16"/>
  <c r="N103" i="16"/>
  <c r="N138" i="16"/>
  <c r="N142" i="16" s="1"/>
  <c r="M142" i="16" s="1"/>
  <c r="L142" i="16" s="1"/>
  <c r="N47" i="16"/>
  <c r="N54" i="16"/>
  <c r="N58" i="16"/>
  <c r="M58" i="16" s="1"/>
  <c r="N75" i="16"/>
  <c r="N83" i="16"/>
  <c r="N85" i="16" s="1"/>
  <c r="N86" i="16" s="1"/>
  <c r="M86" i="16" s="1"/>
  <c r="L86" i="16" s="1"/>
  <c r="L85" i="16"/>
  <c r="N89" i="16"/>
  <c r="N100" i="16" s="1"/>
  <c r="N124" i="16"/>
  <c r="N128" i="16" s="1"/>
  <c r="N131" i="16"/>
  <c r="N166" i="16"/>
  <c r="N170" i="16"/>
  <c r="N173" i="16"/>
  <c r="N184" i="16" s="1"/>
  <c r="L19" i="2"/>
  <c r="K19" i="2"/>
  <c r="I19" i="2"/>
  <c r="H19" i="2"/>
  <c r="G19" i="2"/>
  <c r="F19" i="2"/>
  <c r="E19" i="2"/>
  <c r="M18" i="2"/>
  <c r="M17" i="2"/>
  <c r="M16" i="2"/>
  <c r="M15" i="2"/>
  <c r="M14" i="2"/>
  <c r="M13" i="2"/>
  <c r="L12" i="2"/>
  <c r="K12" i="2"/>
  <c r="J12" i="2"/>
  <c r="I12" i="2"/>
  <c r="H12" i="2"/>
  <c r="G12" i="2"/>
  <c r="F12" i="2"/>
  <c r="E12" i="2"/>
  <c r="D12" i="2"/>
  <c r="M11" i="2"/>
  <c r="M10" i="2"/>
  <c r="M9" i="2"/>
  <c r="M8" i="2"/>
  <c r="M7" i="2"/>
  <c r="L58" i="15"/>
  <c r="K58" i="15"/>
  <c r="J58" i="15"/>
  <c r="I58" i="15"/>
  <c r="H58" i="15"/>
  <c r="G58" i="15"/>
  <c r="F58" i="15"/>
  <c r="E58" i="15"/>
  <c r="D58" i="15"/>
  <c r="M57" i="15"/>
  <c r="M56" i="15"/>
  <c r="M55" i="15"/>
  <c r="L54" i="15"/>
  <c r="K54" i="15"/>
  <c r="J54" i="15"/>
  <c r="I54" i="15"/>
  <c r="H54" i="15"/>
  <c r="G54" i="15"/>
  <c r="F54" i="15"/>
  <c r="E54" i="15"/>
  <c r="D54" i="15"/>
  <c r="M53" i="15"/>
  <c r="M52" i="15"/>
  <c r="M51" i="15"/>
  <c r="L50" i="15"/>
  <c r="K50" i="15"/>
  <c r="J50" i="15"/>
  <c r="I50" i="15"/>
  <c r="H50" i="15"/>
  <c r="G50" i="15"/>
  <c r="F50" i="15"/>
  <c r="E50" i="15"/>
  <c r="D50" i="15"/>
  <c r="M49" i="15"/>
  <c r="M48" i="15"/>
  <c r="M47" i="15"/>
  <c r="L46" i="15"/>
  <c r="K46" i="15"/>
  <c r="J46" i="15"/>
  <c r="I46" i="15"/>
  <c r="H46" i="15"/>
  <c r="G46" i="15"/>
  <c r="F46" i="15"/>
  <c r="E46" i="15"/>
  <c r="D46" i="15"/>
  <c r="M45" i="15"/>
  <c r="M44" i="15"/>
  <c r="M43" i="15"/>
  <c r="L42" i="15"/>
  <c r="K42" i="15"/>
  <c r="J42" i="15"/>
  <c r="I42" i="15"/>
  <c r="H42" i="15"/>
  <c r="G42" i="15"/>
  <c r="F42" i="15"/>
  <c r="E42" i="15"/>
  <c r="D42" i="15"/>
  <c r="M41" i="15"/>
  <c r="M40" i="15"/>
  <c r="M39" i="15"/>
  <c r="L38" i="15"/>
  <c r="K38" i="15"/>
  <c r="J38" i="15"/>
  <c r="I38" i="15"/>
  <c r="H38" i="15"/>
  <c r="G38" i="15"/>
  <c r="F38" i="15"/>
  <c r="E38" i="15"/>
  <c r="D38" i="15"/>
  <c r="M37" i="15"/>
  <c r="M36" i="15"/>
  <c r="M35" i="15"/>
  <c r="L34" i="15"/>
  <c r="K34" i="15"/>
  <c r="J34" i="15"/>
  <c r="I34" i="15"/>
  <c r="H34" i="15"/>
  <c r="G34" i="15"/>
  <c r="F34" i="15"/>
  <c r="E34" i="15"/>
  <c r="D34" i="15"/>
  <c r="M33" i="15"/>
  <c r="M32" i="15"/>
  <c r="M31" i="15"/>
  <c r="K30" i="15"/>
  <c r="J30" i="15"/>
  <c r="F30" i="15"/>
  <c r="D30" i="15"/>
  <c r="M29" i="15"/>
  <c r="L28" i="15"/>
  <c r="K28" i="15"/>
  <c r="I28" i="15"/>
  <c r="I30" i="15" s="1"/>
  <c r="H28" i="15"/>
  <c r="H30" i="15" s="1"/>
  <c r="G30" i="15" s="1"/>
  <c r="G28" i="15"/>
  <c r="F28" i="15"/>
  <c r="E28" i="15"/>
  <c r="E30" i="15" s="1"/>
  <c r="M27" i="15"/>
  <c r="K26" i="15"/>
  <c r="J26" i="15"/>
  <c r="I26" i="15"/>
  <c r="H26" i="15"/>
  <c r="F26" i="15"/>
  <c r="E26" i="15" s="1"/>
  <c r="D26" i="15"/>
  <c r="M25" i="15"/>
  <c r="L24" i="15"/>
  <c r="I24" i="15"/>
  <c r="G24" i="15"/>
  <c r="E24" i="15"/>
  <c r="M24" i="15" s="1"/>
  <c r="M23" i="15"/>
  <c r="L21" i="15"/>
  <c r="K21" i="15"/>
  <c r="I21" i="15"/>
  <c r="H21" i="15"/>
  <c r="G21" i="15"/>
  <c r="F21" i="15"/>
  <c r="E21" i="15"/>
  <c r="D21" i="15"/>
  <c r="L20" i="15"/>
  <c r="K20" i="15"/>
  <c r="J20" i="15"/>
  <c r="I20" i="15"/>
  <c r="H20" i="15"/>
  <c r="G20" i="15"/>
  <c r="F20" i="15"/>
  <c r="E20" i="15"/>
  <c r="D20" i="15"/>
  <c r="L19" i="15"/>
  <c r="K19" i="15"/>
  <c r="K22" i="15" s="1"/>
  <c r="J22" i="15" s="1"/>
  <c r="I22" i="15" s="1"/>
  <c r="H22" i="15" s="1"/>
  <c r="J19" i="15"/>
  <c r="I19" i="15"/>
  <c r="H19" i="15"/>
  <c r="G19" i="15"/>
  <c r="G22" i="15" s="1"/>
  <c r="F22" i="15" s="1"/>
  <c r="E22" i="15" s="1"/>
  <c r="D22" i="15" s="1"/>
  <c r="M21" i="15" s="1"/>
  <c r="F19" i="15"/>
  <c r="E19" i="15"/>
  <c r="M19" i="15" s="1"/>
  <c r="D19" i="15"/>
  <c r="L18" i="15"/>
  <c r="K18" i="15"/>
  <c r="J18" i="15"/>
  <c r="I18" i="15"/>
  <c r="H18" i="15"/>
  <c r="G18" i="15"/>
  <c r="F18" i="15"/>
  <c r="E18" i="15"/>
  <c r="D18" i="15"/>
  <c r="M17" i="15"/>
  <c r="M16" i="15"/>
  <c r="M15" i="15"/>
  <c r="L14" i="15"/>
  <c r="K14" i="15"/>
  <c r="J14" i="15"/>
  <c r="I14" i="15"/>
  <c r="H14" i="15"/>
  <c r="G14" i="15"/>
  <c r="F14" i="15"/>
  <c r="E14" i="15"/>
  <c r="D14" i="15"/>
  <c r="M13" i="15"/>
  <c r="M12" i="15"/>
  <c r="M11" i="15"/>
  <c r="L10" i="15"/>
  <c r="K10" i="15"/>
  <c r="J10" i="15"/>
  <c r="I10" i="15"/>
  <c r="H10" i="15"/>
  <c r="F10" i="15"/>
  <c r="E10" i="15"/>
  <c r="D10" i="15"/>
  <c r="M9" i="15"/>
  <c r="M8" i="15"/>
  <c r="M7" i="15"/>
  <c r="L11" i="4"/>
  <c r="L10" i="4"/>
  <c r="L8" i="4"/>
  <c r="M12" i="2" l="1"/>
  <c r="M19" i="2"/>
  <c r="L13" i="4"/>
  <c r="G26" i="15"/>
  <c r="M26" i="15"/>
  <c r="L26" i="15" s="1"/>
  <c r="M28" i="15"/>
  <c r="M30" i="15" s="1"/>
  <c r="L30" i="15" s="1"/>
  <c r="M34" i="15"/>
  <c r="M38" i="15"/>
  <c r="M42" i="15"/>
  <c r="M46" i="15"/>
  <c r="M50" i="15"/>
  <c r="M54" i="15"/>
  <c r="M20" i="15"/>
  <c r="M22" i="15" s="1"/>
  <c r="L22" i="15" s="1"/>
  <c r="M58" i="15"/>
  <c r="M10" i="15"/>
  <c r="M14" i="15"/>
  <c r="M18" i="15"/>
  <c r="M226" i="14"/>
  <c r="L226" i="14"/>
  <c r="K226" i="14"/>
  <c r="J226" i="14"/>
  <c r="I226" i="14"/>
  <c r="H226" i="14"/>
  <c r="G226" i="14"/>
  <c r="F226" i="14"/>
  <c r="E226" i="14"/>
  <c r="N225" i="14"/>
  <c r="N224" i="14"/>
  <c r="N223" i="14"/>
  <c r="M222" i="14"/>
  <c r="L222" i="14"/>
  <c r="K222" i="14"/>
  <c r="J222" i="14"/>
  <c r="I222" i="14"/>
  <c r="H222" i="14"/>
  <c r="G222" i="14"/>
  <c r="F222" i="14"/>
  <c r="E222" i="14"/>
  <c r="N221" i="14"/>
  <c r="N220" i="14"/>
  <c r="N219" i="14"/>
  <c r="M218" i="14"/>
  <c r="L218" i="14"/>
  <c r="K218" i="14"/>
  <c r="J218" i="14"/>
  <c r="I218" i="14"/>
  <c r="H218" i="14"/>
  <c r="G218" i="14"/>
  <c r="F218" i="14"/>
  <c r="E218" i="14"/>
  <c r="N217" i="14"/>
  <c r="N216" i="14"/>
  <c r="N215" i="14"/>
  <c r="M214" i="14"/>
  <c r="L214" i="14"/>
  <c r="L227" i="14" s="1"/>
  <c r="K214" i="14"/>
  <c r="K227" i="14" s="1"/>
  <c r="J214" i="14"/>
  <c r="J227" i="14" s="1"/>
  <c r="I214" i="14"/>
  <c r="H214" i="14"/>
  <c r="G214" i="14"/>
  <c r="G227" i="14" s="1"/>
  <c r="F214" i="14"/>
  <c r="F227" i="14" s="1"/>
  <c r="E214" i="14"/>
  <c r="N213" i="14"/>
  <c r="N212" i="14"/>
  <c r="N211" i="14"/>
  <c r="M209" i="14"/>
  <c r="L209" i="14"/>
  <c r="K209" i="14"/>
  <c r="J209" i="14"/>
  <c r="I209" i="14"/>
  <c r="H209" i="14"/>
  <c r="G209" i="14"/>
  <c r="F209" i="14"/>
  <c r="E209" i="14"/>
  <c r="N208" i="14"/>
  <c r="N207" i="14"/>
  <c r="N206" i="14"/>
  <c r="M205" i="14"/>
  <c r="L205" i="14"/>
  <c r="K205" i="14"/>
  <c r="J205" i="14"/>
  <c r="I205" i="14"/>
  <c r="H205" i="14"/>
  <c r="G205" i="14"/>
  <c r="F205" i="14"/>
  <c r="E205" i="14"/>
  <c r="N204" i="14"/>
  <c r="N203" i="14"/>
  <c r="N202" i="14"/>
  <c r="M201" i="14"/>
  <c r="L201" i="14"/>
  <c r="K201" i="14"/>
  <c r="J201" i="14"/>
  <c r="I201" i="14"/>
  <c r="H201" i="14"/>
  <c r="G201" i="14"/>
  <c r="F201" i="14"/>
  <c r="E201" i="14"/>
  <c r="N200" i="14"/>
  <c r="N199" i="14"/>
  <c r="N198" i="14"/>
  <c r="M197" i="14"/>
  <c r="L197" i="14"/>
  <c r="K197" i="14"/>
  <c r="J197" i="14"/>
  <c r="I197" i="14"/>
  <c r="H197" i="14"/>
  <c r="G197" i="14"/>
  <c r="F197" i="14"/>
  <c r="E197" i="14"/>
  <c r="N196" i="14"/>
  <c r="N195" i="14"/>
  <c r="N194" i="14"/>
  <c r="M192" i="14"/>
  <c r="L192" i="14"/>
  <c r="K192" i="14"/>
  <c r="J192" i="14"/>
  <c r="I192" i="14"/>
  <c r="H192" i="14"/>
  <c r="G192" i="14"/>
  <c r="F192" i="14"/>
  <c r="E192" i="14"/>
  <c r="N191" i="14"/>
  <c r="N190" i="14"/>
  <c r="N189" i="14"/>
  <c r="M188" i="14"/>
  <c r="L188" i="14"/>
  <c r="K188" i="14"/>
  <c r="J188" i="14"/>
  <c r="I188" i="14"/>
  <c r="H188" i="14"/>
  <c r="G188" i="14"/>
  <c r="F188" i="14"/>
  <c r="E188" i="14"/>
  <c r="N187" i="14"/>
  <c r="N186" i="14"/>
  <c r="N185" i="14"/>
  <c r="M184" i="14"/>
  <c r="L184" i="14"/>
  <c r="K184" i="14"/>
  <c r="J184" i="14"/>
  <c r="I184" i="14"/>
  <c r="H184" i="14"/>
  <c r="G184" i="14"/>
  <c r="F184" i="14"/>
  <c r="E184" i="14"/>
  <c r="N183" i="14"/>
  <c r="N182" i="14"/>
  <c r="N181" i="14"/>
  <c r="M180" i="14"/>
  <c r="L180" i="14"/>
  <c r="K180" i="14"/>
  <c r="J180" i="14"/>
  <c r="I180" i="14"/>
  <c r="H180" i="14"/>
  <c r="G180" i="14"/>
  <c r="F180" i="14"/>
  <c r="E180" i="14"/>
  <c r="N179" i="14"/>
  <c r="N178" i="14"/>
  <c r="N177" i="14"/>
  <c r="M175" i="14"/>
  <c r="L175" i="14"/>
  <c r="K175" i="14"/>
  <c r="J175" i="14"/>
  <c r="I175" i="14"/>
  <c r="H175" i="14"/>
  <c r="G175" i="14"/>
  <c r="F175" i="14"/>
  <c r="E175" i="14"/>
  <c r="N174" i="14"/>
  <c r="N173" i="14"/>
  <c r="N172" i="14"/>
  <c r="M171" i="14"/>
  <c r="L171" i="14"/>
  <c r="K171" i="14"/>
  <c r="J171" i="14"/>
  <c r="I171" i="14"/>
  <c r="H171" i="14"/>
  <c r="G171" i="14"/>
  <c r="F171" i="14"/>
  <c r="E171" i="14"/>
  <c r="N170" i="14"/>
  <c r="N169" i="14"/>
  <c r="N168" i="14"/>
  <c r="M167" i="14"/>
  <c r="L167" i="14"/>
  <c r="K167" i="14"/>
  <c r="J167" i="14"/>
  <c r="I167" i="14"/>
  <c r="H167" i="14"/>
  <c r="G167" i="14"/>
  <c r="F167" i="14"/>
  <c r="E167" i="14"/>
  <c r="N166" i="14"/>
  <c r="N165" i="14"/>
  <c r="N164" i="14"/>
  <c r="M163" i="14"/>
  <c r="L163" i="14"/>
  <c r="K163" i="14"/>
  <c r="J163" i="14"/>
  <c r="I163" i="14"/>
  <c r="H163" i="14"/>
  <c r="G163" i="14"/>
  <c r="F163" i="14"/>
  <c r="E163" i="14"/>
  <c r="N162" i="14"/>
  <c r="N161" i="14"/>
  <c r="N160" i="14"/>
  <c r="M158" i="14"/>
  <c r="L158" i="14"/>
  <c r="K158" i="14"/>
  <c r="J158" i="14"/>
  <c r="I158" i="14"/>
  <c r="H158" i="14"/>
  <c r="G158" i="14"/>
  <c r="F158" i="14"/>
  <c r="E158" i="14"/>
  <c r="N157" i="14"/>
  <c r="N156" i="14"/>
  <c r="N155" i="14"/>
  <c r="M154" i="14"/>
  <c r="L154" i="14"/>
  <c r="K154" i="14"/>
  <c r="J154" i="14"/>
  <c r="I154" i="14"/>
  <c r="H154" i="14"/>
  <c r="G154" i="14"/>
  <c r="F154" i="14"/>
  <c r="E154" i="14"/>
  <c r="N153" i="14"/>
  <c r="N152" i="14"/>
  <c r="N151" i="14"/>
  <c r="M150" i="14"/>
  <c r="L150" i="14"/>
  <c r="K150" i="14"/>
  <c r="J150" i="14"/>
  <c r="I150" i="14"/>
  <c r="H150" i="14"/>
  <c r="G150" i="14"/>
  <c r="F150" i="14"/>
  <c r="E150" i="14"/>
  <c r="N149" i="14"/>
  <c r="N148" i="14"/>
  <c r="N147" i="14"/>
  <c r="M146" i="14"/>
  <c r="L146" i="14"/>
  <c r="K146" i="14"/>
  <c r="J146" i="14"/>
  <c r="I146" i="14"/>
  <c r="H146" i="14"/>
  <c r="G146" i="14"/>
  <c r="F146" i="14"/>
  <c r="E146" i="14"/>
  <c r="N145" i="14"/>
  <c r="N144" i="14"/>
  <c r="N143" i="14"/>
  <c r="M141" i="14"/>
  <c r="L141" i="14"/>
  <c r="K141" i="14"/>
  <c r="J141" i="14"/>
  <c r="I141" i="14"/>
  <c r="H141" i="14"/>
  <c r="G141" i="14"/>
  <c r="F141" i="14"/>
  <c r="E141" i="14"/>
  <c r="N140" i="14"/>
  <c r="N139" i="14"/>
  <c r="N138" i="14"/>
  <c r="M137" i="14"/>
  <c r="L137" i="14"/>
  <c r="K137" i="14"/>
  <c r="J137" i="14"/>
  <c r="I137" i="14"/>
  <c r="H137" i="14"/>
  <c r="G137" i="14"/>
  <c r="F137" i="14"/>
  <c r="E137" i="14"/>
  <c r="N136" i="14"/>
  <c r="N135" i="14"/>
  <c r="N134" i="14"/>
  <c r="M133" i="14"/>
  <c r="L133" i="14"/>
  <c r="K133" i="14"/>
  <c r="J133" i="14"/>
  <c r="I133" i="14"/>
  <c r="H133" i="14"/>
  <c r="G133" i="14"/>
  <c r="F133" i="14"/>
  <c r="E133" i="14"/>
  <c r="N132" i="14"/>
  <c r="N131" i="14"/>
  <c r="N130" i="14"/>
  <c r="M129" i="14"/>
  <c r="L129" i="14"/>
  <c r="K129" i="14"/>
  <c r="J129" i="14"/>
  <c r="I129" i="14"/>
  <c r="H129" i="14"/>
  <c r="G129" i="14"/>
  <c r="F129" i="14"/>
  <c r="E129" i="14"/>
  <c r="N128" i="14"/>
  <c r="N127" i="14"/>
  <c r="N126" i="14"/>
  <c r="M124" i="14"/>
  <c r="L124" i="14"/>
  <c r="K124" i="14"/>
  <c r="J124" i="14"/>
  <c r="I124" i="14"/>
  <c r="H124" i="14"/>
  <c r="G124" i="14"/>
  <c r="F124" i="14"/>
  <c r="E124" i="14"/>
  <c r="N123" i="14"/>
  <c r="N122" i="14"/>
  <c r="N121" i="14"/>
  <c r="M120" i="14"/>
  <c r="L120" i="14"/>
  <c r="K120" i="14"/>
  <c r="J120" i="14"/>
  <c r="I120" i="14"/>
  <c r="H120" i="14"/>
  <c r="G120" i="14"/>
  <c r="F120" i="14"/>
  <c r="E120" i="14"/>
  <c r="N119" i="14"/>
  <c r="N118" i="14"/>
  <c r="N117" i="14"/>
  <c r="M116" i="14"/>
  <c r="L116" i="14"/>
  <c r="K116" i="14"/>
  <c r="J116" i="14"/>
  <c r="I116" i="14"/>
  <c r="H116" i="14"/>
  <c r="G116" i="14"/>
  <c r="F116" i="14"/>
  <c r="E116" i="14"/>
  <c r="N115" i="14"/>
  <c r="N114" i="14"/>
  <c r="N113" i="14"/>
  <c r="M112" i="14"/>
  <c r="L112" i="14"/>
  <c r="K112" i="14"/>
  <c r="J112" i="14"/>
  <c r="I112" i="14"/>
  <c r="H112" i="14"/>
  <c r="G112" i="14"/>
  <c r="F112" i="14"/>
  <c r="E112" i="14"/>
  <c r="N111" i="14"/>
  <c r="N110" i="14"/>
  <c r="N109" i="14"/>
  <c r="M107" i="14"/>
  <c r="L107" i="14"/>
  <c r="K107" i="14"/>
  <c r="J107" i="14"/>
  <c r="I107" i="14"/>
  <c r="H107" i="14"/>
  <c r="G107" i="14"/>
  <c r="F107" i="14"/>
  <c r="E107" i="14"/>
  <c r="N106" i="14"/>
  <c r="N105" i="14"/>
  <c r="N104" i="14"/>
  <c r="M103" i="14"/>
  <c r="L103" i="14"/>
  <c r="K103" i="14"/>
  <c r="J103" i="14"/>
  <c r="I103" i="14"/>
  <c r="H103" i="14"/>
  <c r="G103" i="14"/>
  <c r="F103" i="14"/>
  <c r="E103" i="14"/>
  <c r="N102" i="14"/>
  <c r="N101" i="14"/>
  <c r="N100" i="14"/>
  <c r="M99" i="14"/>
  <c r="L99" i="14"/>
  <c r="K99" i="14"/>
  <c r="J99" i="14"/>
  <c r="I99" i="14"/>
  <c r="H99" i="14"/>
  <c r="G99" i="14"/>
  <c r="F99" i="14"/>
  <c r="E99" i="14"/>
  <c r="N98" i="14"/>
  <c r="N97" i="14"/>
  <c r="N96" i="14"/>
  <c r="M95" i="14"/>
  <c r="L95" i="14"/>
  <c r="K95" i="14"/>
  <c r="J95" i="14"/>
  <c r="I95" i="14"/>
  <c r="H95" i="14"/>
  <c r="G95" i="14"/>
  <c r="F95" i="14"/>
  <c r="E95" i="14"/>
  <c r="N94" i="14"/>
  <c r="N93" i="14"/>
  <c r="N92" i="14"/>
  <c r="M90" i="14"/>
  <c r="L90" i="14"/>
  <c r="K90" i="14"/>
  <c r="J90" i="14"/>
  <c r="I90" i="14"/>
  <c r="H90" i="14"/>
  <c r="G90" i="14"/>
  <c r="F90" i="14"/>
  <c r="E90" i="14"/>
  <c r="N89" i="14"/>
  <c r="N88" i="14"/>
  <c r="N87" i="14"/>
  <c r="M86" i="14"/>
  <c r="L86" i="14"/>
  <c r="K86" i="14"/>
  <c r="J86" i="14"/>
  <c r="I86" i="14"/>
  <c r="H86" i="14"/>
  <c r="G86" i="14"/>
  <c r="F86" i="14"/>
  <c r="E86" i="14"/>
  <c r="N85" i="14"/>
  <c r="N84" i="14"/>
  <c r="N83" i="14"/>
  <c r="M82" i="14"/>
  <c r="L82" i="14"/>
  <c r="K82" i="14"/>
  <c r="J82" i="14"/>
  <c r="I82" i="14"/>
  <c r="H82" i="14"/>
  <c r="G82" i="14"/>
  <c r="F82" i="14"/>
  <c r="E82" i="14"/>
  <c r="N81" i="14"/>
  <c r="N80" i="14"/>
  <c r="N79" i="14"/>
  <c r="M78" i="14"/>
  <c r="M91" i="14" s="1"/>
  <c r="L78" i="14"/>
  <c r="K78" i="14"/>
  <c r="J78" i="14"/>
  <c r="I78" i="14"/>
  <c r="I91" i="14" s="1"/>
  <c r="H78" i="14"/>
  <c r="G78" i="14"/>
  <c r="F78" i="14"/>
  <c r="E78" i="14"/>
  <c r="E91" i="14" s="1"/>
  <c r="N77" i="14"/>
  <c r="N76" i="14"/>
  <c r="N75" i="14"/>
  <c r="H91" i="14" l="1"/>
  <c r="L91" i="14"/>
  <c r="G91" i="14"/>
  <c r="K91" i="14"/>
  <c r="N78" i="14"/>
  <c r="N82" i="14"/>
  <c r="N86" i="14"/>
  <c r="N90" i="14"/>
  <c r="N95" i="14"/>
  <c r="N99" i="14"/>
  <c r="N103" i="14"/>
  <c r="N107" i="14"/>
  <c r="N116" i="14"/>
  <c r="N120" i="14"/>
  <c r="N124" i="14"/>
  <c r="N129" i="14"/>
  <c r="N133" i="14"/>
  <c r="N137" i="14"/>
  <c r="N141" i="14"/>
  <c r="N150" i="14"/>
  <c r="N154" i="14"/>
  <c r="N158" i="14"/>
  <c r="N167" i="14"/>
  <c r="N171" i="14"/>
  <c r="N175" i="14"/>
  <c r="N184" i="14"/>
  <c r="N188" i="14"/>
  <c r="N192" i="14"/>
  <c r="N197" i="14"/>
  <c r="N201" i="14"/>
  <c r="N205" i="14"/>
  <c r="N209" i="14"/>
  <c r="I108" i="14"/>
  <c r="I125" i="14"/>
  <c r="E142" i="14"/>
  <c r="M142" i="14"/>
  <c r="I159" i="14"/>
  <c r="I176" i="14"/>
  <c r="E193" i="14"/>
  <c r="M193" i="14"/>
  <c r="I210" i="14"/>
  <c r="J91" i="14"/>
  <c r="F108" i="14"/>
  <c r="F125" i="14"/>
  <c r="J125" i="14"/>
  <c r="J142" i="14"/>
  <c r="J159" i="14"/>
  <c r="F176" i="14"/>
  <c r="F193" i="14"/>
  <c r="J210" i="14"/>
  <c r="G108" i="14"/>
  <c r="K108" i="14"/>
  <c r="G125" i="14"/>
  <c r="K125" i="14"/>
  <c r="G142" i="14"/>
  <c r="K142" i="14"/>
  <c r="G159" i="14"/>
  <c r="K159" i="14"/>
  <c r="G176" i="14"/>
  <c r="K176" i="14"/>
  <c r="G193" i="14"/>
  <c r="K193" i="14"/>
  <c r="G210" i="14"/>
  <c r="K210" i="14"/>
  <c r="E108" i="14"/>
  <c r="M108" i="14"/>
  <c r="E125" i="14"/>
  <c r="M125" i="14"/>
  <c r="I142" i="14"/>
  <c r="E159" i="14"/>
  <c r="M159" i="14"/>
  <c r="E176" i="14"/>
  <c r="M176" i="14"/>
  <c r="I193" i="14"/>
  <c r="E210" i="14"/>
  <c r="M210" i="14"/>
  <c r="F91" i="14"/>
  <c r="J108" i="14"/>
  <c r="F142" i="14"/>
  <c r="F159" i="14"/>
  <c r="J176" i="14"/>
  <c r="J193" i="14"/>
  <c r="F210" i="14"/>
  <c r="H108" i="14"/>
  <c r="L108" i="14"/>
  <c r="H125" i="14"/>
  <c r="L125" i="14"/>
  <c r="H142" i="14"/>
  <c r="L142" i="14"/>
  <c r="H159" i="14"/>
  <c r="L159" i="14"/>
  <c r="H176" i="14"/>
  <c r="L176" i="14"/>
  <c r="H193" i="14"/>
  <c r="L193" i="14"/>
  <c r="H210" i="14"/>
  <c r="L210" i="14"/>
  <c r="N146" i="14"/>
  <c r="N112" i="14"/>
  <c r="N163" i="14"/>
  <c r="M227" i="14"/>
  <c r="N180" i="14"/>
  <c r="H227" i="14"/>
  <c r="N226" i="14"/>
  <c r="E227" i="14"/>
  <c r="N222" i="14"/>
  <c r="I227" i="14"/>
  <c r="N218" i="14"/>
  <c r="N214" i="14"/>
  <c r="K73" i="14"/>
  <c r="G72" i="14"/>
  <c r="F72" i="14"/>
  <c r="E72" i="14"/>
  <c r="M71" i="14"/>
  <c r="L71" i="14"/>
  <c r="J71" i="14"/>
  <c r="I71" i="14"/>
  <c r="H71" i="14"/>
  <c r="G71" i="14"/>
  <c r="F71" i="14"/>
  <c r="E71" i="14"/>
  <c r="M70" i="14"/>
  <c r="L70" i="14"/>
  <c r="J70" i="14"/>
  <c r="J73" i="14" s="1"/>
  <c r="I70" i="14"/>
  <c r="I73" i="14" s="1"/>
  <c r="H70" i="14"/>
  <c r="G70" i="14"/>
  <c r="F70" i="14"/>
  <c r="F73" i="14" s="1"/>
  <c r="E70" i="14"/>
  <c r="E73" i="14" s="1"/>
  <c r="M68" i="14"/>
  <c r="J68" i="14"/>
  <c r="M67" i="14"/>
  <c r="L67" i="14"/>
  <c r="I67" i="14"/>
  <c r="H67" i="14"/>
  <c r="F67" i="14"/>
  <c r="E67" i="14"/>
  <c r="M66" i="14"/>
  <c r="L66" i="14"/>
  <c r="K66" i="14"/>
  <c r="J66" i="14"/>
  <c r="I66" i="14"/>
  <c r="H66" i="14"/>
  <c r="H69" i="14" s="1"/>
  <c r="G66" i="14"/>
  <c r="F66" i="14"/>
  <c r="E66" i="14"/>
  <c r="N210" i="14" l="1"/>
  <c r="N108" i="14"/>
  <c r="N91" i="14"/>
  <c r="N193" i="14"/>
  <c r="N142" i="14"/>
  <c r="M69" i="14"/>
  <c r="N176" i="14"/>
  <c r="H73" i="14"/>
  <c r="N159" i="14"/>
  <c r="N125" i="14"/>
  <c r="N66" i="14"/>
  <c r="N67" i="14"/>
  <c r="G73" i="14"/>
  <c r="N71" i="14"/>
  <c r="N72" i="14"/>
  <c r="G69" i="14"/>
  <c r="F69" i="14" s="1"/>
  <c r="E69" i="14" s="1"/>
  <c r="L69" i="14"/>
  <c r="K69" i="14" s="1"/>
  <c r="J69" i="14" s="1"/>
  <c r="N68" i="14"/>
  <c r="I69" i="14"/>
  <c r="N70" i="14"/>
  <c r="N227" i="14"/>
  <c r="M64" i="14"/>
  <c r="L64" i="14"/>
  <c r="K64" i="14"/>
  <c r="J64" i="14"/>
  <c r="I64" i="14"/>
  <c r="H64" i="14"/>
  <c r="G64" i="14"/>
  <c r="F64" i="14"/>
  <c r="E64" i="14"/>
  <c r="M63" i="14"/>
  <c r="L63" i="14"/>
  <c r="K63" i="14"/>
  <c r="J63" i="14"/>
  <c r="I63" i="14"/>
  <c r="H63" i="14"/>
  <c r="G63" i="14"/>
  <c r="F63" i="14"/>
  <c r="E63" i="14"/>
  <c r="M62" i="14"/>
  <c r="L62" i="14"/>
  <c r="K62" i="14"/>
  <c r="J62" i="14"/>
  <c r="I62" i="14"/>
  <c r="H62" i="14"/>
  <c r="G62" i="14"/>
  <c r="F62" i="14"/>
  <c r="E62" i="14"/>
  <c r="J61" i="14"/>
  <c r="I61" i="14"/>
  <c r="M60" i="14"/>
  <c r="L60" i="14"/>
  <c r="H60" i="14"/>
  <c r="G60" i="14"/>
  <c r="F60" i="14"/>
  <c r="E60" i="14"/>
  <c r="H59" i="14"/>
  <c r="F59" i="14"/>
  <c r="M58" i="14"/>
  <c r="M61" i="14" s="1"/>
  <c r="L58" i="14"/>
  <c r="K58" i="14"/>
  <c r="K61" i="14" s="1"/>
  <c r="H58" i="14"/>
  <c r="G58" i="14"/>
  <c r="F58" i="14"/>
  <c r="M56" i="14"/>
  <c r="L56" i="14"/>
  <c r="K56" i="14"/>
  <c r="J56" i="14"/>
  <c r="I56" i="14"/>
  <c r="H56" i="14"/>
  <c r="G56" i="14"/>
  <c r="F56" i="14"/>
  <c r="E56" i="14"/>
  <c r="N55" i="14"/>
  <c r="N54" i="14"/>
  <c r="N53" i="14"/>
  <c r="M52" i="14"/>
  <c r="L52" i="14"/>
  <c r="K52" i="14"/>
  <c r="J52" i="14"/>
  <c r="I52" i="14"/>
  <c r="H52" i="14"/>
  <c r="G52" i="14"/>
  <c r="F52" i="14"/>
  <c r="E52" i="14"/>
  <c r="N51" i="14"/>
  <c r="N50" i="14"/>
  <c r="N49" i="14"/>
  <c r="M48" i="14"/>
  <c r="L48" i="14"/>
  <c r="K48" i="14"/>
  <c r="J48" i="14"/>
  <c r="I48" i="14"/>
  <c r="H48" i="14"/>
  <c r="G48" i="14"/>
  <c r="F48" i="14"/>
  <c r="E48" i="14"/>
  <c r="N47" i="14"/>
  <c r="N46" i="14"/>
  <c r="N45" i="14"/>
  <c r="M44" i="14"/>
  <c r="L44" i="14"/>
  <c r="K44" i="14"/>
  <c r="K57" i="14" s="1"/>
  <c r="J44" i="14"/>
  <c r="J57" i="14" s="1"/>
  <c r="I44" i="14"/>
  <c r="H44" i="14"/>
  <c r="G44" i="14"/>
  <c r="G57" i="14" s="1"/>
  <c r="F44" i="14"/>
  <c r="F57" i="14" s="1"/>
  <c r="E44" i="14"/>
  <c r="N43" i="14"/>
  <c r="N42" i="14"/>
  <c r="N41" i="14"/>
  <c r="M39" i="14"/>
  <c r="L39" i="14"/>
  <c r="K39" i="14"/>
  <c r="J39" i="14"/>
  <c r="I39" i="14"/>
  <c r="H39" i="14"/>
  <c r="G39" i="14"/>
  <c r="F39" i="14"/>
  <c r="E39" i="14"/>
  <c r="N38" i="14"/>
  <c r="N37" i="14"/>
  <c r="N36" i="14"/>
  <c r="M35" i="14"/>
  <c r="L35" i="14"/>
  <c r="K35" i="14"/>
  <c r="J35" i="14"/>
  <c r="I35" i="14"/>
  <c r="H35" i="14"/>
  <c r="G35" i="14"/>
  <c r="F35" i="14"/>
  <c r="E35" i="14"/>
  <c r="N34" i="14"/>
  <c r="N33" i="14"/>
  <c r="N32" i="14"/>
  <c r="M31" i="14"/>
  <c r="L31" i="14"/>
  <c r="K31" i="14"/>
  <c r="J31" i="14"/>
  <c r="I31" i="14"/>
  <c r="H31" i="14"/>
  <c r="G31" i="14"/>
  <c r="F31" i="14"/>
  <c r="E31" i="14"/>
  <c r="N30" i="14"/>
  <c r="N29" i="14"/>
  <c r="N28" i="14"/>
  <c r="M27" i="14"/>
  <c r="L27" i="14"/>
  <c r="L40" i="14" s="1"/>
  <c r="K27" i="14"/>
  <c r="J27" i="14"/>
  <c r="I27" i="14"/>
  <c r="H27" i="14"/>
  <c r="H40" i="14" s="1"/>
  <c r="G27" i="14"/>
  <c r="F27" i="14"/>
  <c r="E27" i="14"/>
  <c r="N26" i="14"/>
  <c r="N25" i="14"/>
  <c r="N24" i="14"/>
  <c r="M22" i="14"/>
  <c r="L22" i="14"/>
  <c r="K22" i="14"/>
  <c r="J22" i="14"/>
  <c r="I22" i="14"/>
  <c r="H22" i="14"/>
  <c r="G22" i="14"/>
  <c r="F22" i="14"/>
  <c r="E22" i="14"/>
  <c r="N21" i="14"/>
  <c r="N20" i="14"/>
  <c r="N19" i="14"/>
  <c r="M18" i="14"/>
  <c r="L18" i="14"/>
  <c r="K18" i="14"/>
  <c r="J18" i="14"/>
  <c r="I18" i="14"/>
  <c r="H18" i="14"/>
  <c r="G18" i="14"/>
  <c r="F18" i="14"/>
  <c r="E18" i="14"/>
  <c r="N17" i="14"/>
  <c r="N16" i="14"/>
  <c r="N15" i="14"/>
  <c r="M14" i="14"/>
  <c r="L14" i="14"/>
  <c r="K14" i="14"/>
  <c r="J14" i="14"/>
  <c r="I14" i="14"/>
  <c r="H14" i="14"/>
  <c r="G14" i="14"/>
  <c r="F14" i="14"/>
  <c r="E14" i="14"/>
  <c r="N13" i="14"/>
  <c r="N12" i="14"/>
  <c r="N11" i="14"/>
  <c r="M10" i="14"/>
  <c r="L10" i="14"/>
  <c r="K10" i="14"/>
  <c r="K23" i="14" s="1"/>
  <c r="J10" i="14"/>
  <c r="J23" i="14" s="1"/>
  <c r="I10" i="14"/>
  <c r="H10" i="14"/>
  <c r="G10" i="14"/>
  <c r="G23" i="14" s="1"/>
  <c r="F10" i="14"/>
  <c r="F23" i="14" s="1"/>
  <c r="E10" i="14"/>
  <c r="N9" i="14"/>
  <c r="N8" i="14"/>
  <c r="N7" i="14"/>
  <c r="L12" i="10"/>
  <c r="L11" i="10"/>
  <c r="L10" i="10"/>
  <c r="L9" i="10"/>
  <c r="L8" i="10"/>
  <c r="L13" i="10" l="1"/>
  <c r="N69" i="14"/>
  <c r="F65" i="14"/>
  <c r="J65" i="14"/>
  <c r="N18" i="14"/>
  <c r="N22" i="14"/>
  <c r="N27" i="14"/>
  <c r="N31" i="14"/>
  <c r="N35" i="14"/>
  <c r="N39" i="14"/>
  <c r="N48" i="14"/>
  <c r="N52" i="14"/>
  <c r="N56" i="14"/>
  <c r="N14" i="14"/>
  <c r="N73" i="14"/>
  <c r="M73" i="14" s="1"/>
  <c r="L73" i="14" s="1"/>
  <c r="E23" i="14"/>
  <c r="I23" i="14"/>
  <c r="H23" i="14" s="1"/>
  <c r="E57" i="14"/>
  <c r="I57" i="14"/>
  <c r="H57" i="14" s="1"/>
  <c r="N59" i="14"/>
  <c r="N62" i="14"/>
  <c r="N63" i="14"/>
  <c r="G40" i="14"/>
  <c r="F40" i="14" s="1"/>
  <c r="K40" i="14"/>
  <c r="J40" i="14" s="1"/>
  <c r="G65" i="14"/>
  <c r="K65" i="14"/>
  <c r="N64" i="14"/>
  <c r="E40" i="14"/>
  <c r="I40" i="14"/>
  <c r="M40" i="14"/>
  <c r="N60" i="14"/>
  <c r="E65" i="14"/>
  <c r="N44" i="14"/>
  <c r="F61" i="14"/>
  <c r="E61" i="14" s="1"/>
  <c r="G61" i="14"/>
  <c r="I65" i="14"/>
  <c r="H65" i="14" s="1"/>
  <c r="N10" i="14"/>
  <c r="N58" i="14"/>
  <c r="H61" i="14"/>
  <c r="L61" i="14"/>
  <c r="N40" i="14" l="1"/>
  <c r="N23" i="14"/>
  <c r="M23" i="14" s="1"/>
  <c r="L23" i="14" s="1"/>
  <c r="N57" i="14"/>
  <c r="M57" i="14" s="1"/>
  <c r="L57" i="14" s="1"/>
  <c r="G74" i="14"/>
  <c r="F74" i="14"/>
  <c r="E74" i="14" s="1"/>
  <c r="H74" i="14"/>
  <c r="N65" i="14"/>
  <c r="M65" i="14" s="1"/>
  <c r="L65" i="14" s="1"/>
  <c r="L74" i="14" s="1"/>
  <c r="K74" i="14" s="1"/>
  <c r="J74" i="14" s="1"/>
  <c r="N61" i="14"/>
  <c r="I74" i="14"/>
  <c r="N74" i="14" l="1"/>
  <c r="M74" i="14" s="1"/>
  <c r="F261" i="14"/>
  <c r="G248" i="14"/>
  <c r="G261" i="14" s="1"/>
  <c r="H248" i="14"/>
  <c r="H261" i="14" s="1"/>
  <c r="I248" i="14"/>
  <c r="I261" i="14" s="1"/>
  <c r="N245" i="14"/>
  <c r="K248" i="14"/>
  <c r="K261" i="14" s="1"/>
  <c r="N247" i="14"/>
  <c r="L248" i="14"/>
  <c r="L261" i="14" s="1"/>
  <c r="N246" i="14"/>
  <c r="N254" i="14" l="1"/>
  <c r="N255" i="14"/>
  <c r="M256" i="14"/>
  <c r="M261" i="14" s="1"/>
  <c r="N256" i="14" l="1"/>
</calcChain>
</file>

<file path=xl/connections.xml><?xml version="1.0" encoding="utf-8"?>
<connections xmlns="http://schemas.openxmlformats.org/spreadsheetml/2006/main">
  <connection id="1" name="Connection2" type="1" refreshedVersion="2" background="1" saveData="1">
    <dbPr connection="DSN=MS Access 97 Database;DBQ=C:\Documents and Settings\SASHER\My Documents\2010\Haz\HazWasteReports.mdb;DefaultDir=C:\DOCUMENTS AND SETTINGS\SASHER\MY DOCUMENTS\2010\HAZ\;DriverId=281;FIL=MS Access;MaxBufferSize=2048;PageTimeout=5;" command="SELECT tzdata.* FROM `C:\DOCUMENTS AND SETTINGS\SASHER\MY DOCUMENTS\2010\HAZ\HazWasteReports`.tzdata tzdata"/>
  </connection>
</connections>
</file>

<file path=xl/sharedStrings.xml><?xml version="1.0" encoding="utf-8"?>
<sst xmlns="http://schemas.openxmlformats.org/spreadsheetml/2006/main" count="3361" uniqueCount="1060">
  <si>
    <t>Material recovery</t>
  </si>
  <si>
    <t>Physical</t>
  </si>
  <si>
    <t>Physico-chemical</t>
  </si>
  <si>
    <t>Chemical</t>
  </si>
  <si>
    <t>Composting</t>
  </si>
  <si>
    <t>Biological</t>
  </si>
  <si>
    <t>Treatment Total</t>
  </si>
  <si>
    <t>HlC</t>
  </si>
  <si>
    <t>Clinical</t>
  </si>
  <si>
    <t>Non-biodegradable</t>
  </si>
  <si>
    <t>Civic amenity site</t>
  </si>
  <si>
    <t>Transfer Total</t>
  </si>
  <si>
    <t>Site Type</t>
  </si>
  <si>
    <t>Inert</t>
  </si>
  <si>
    <t>Borehole</t>
  </si>
  <si>
    <t>Lagoon</t>
  </si>
  <si>
    <t>All figures are provided in 000s tonnes</t>
  </si>
  <si>
    <t>Vehicle dismantler</t>
  </si>
  <si>
    <t>Incineration Type</t>
  </si>
  <si>
    <t>Sewage Sludge</t>
  </si>
  <si>
    <t xml:space="preserve">Hazardous </t>
  </si>
  <si>
    <t xml:space="preserve">Clinical </t>
  </si>
  <si>
    <t>Landfill Type</t>
  </si>
  <si>
    <t>All figures provided in 000s tonnes</t>
  </si>
  <si>
    <t>Hazardous Merchant</t>
  </si>
  <si>
    <t>Hazardous Restricted</t>
  </si>
  <si>
    <t>Non Hazardous with SNRHW cell</t>
  </si>
  <si>
    <t>Non Hazardous</t>
  </si>
  <si>
    <t>Non Hazardous Restricted</t>
  </si>
  <si>
    <t>From 16 July 2004, hazardous landfills have only been able to accept wastes classified as hazardous under the Hazardous Waste Directive.</t>
  </si>
  <si>
    <t>All figures are provided in 000s cubic metres</t>
  </si>
  <si>
    <t>Table Notes:</t>
  </si>
  <si>
    <t>Hazardous waste</t>
  </si>
  <si>
    <t>Total</t>
  </si>
  <si>
    <t>Metal recycling site</t>
  </si>
  <si>
    <t>Co-Incineration of Hazardous Waste</t>
  </si>
  <si>
    <t>Co-Incineration of Non Hazardous Waste</t>
  </si>
  <si>
    <t>Non Hazardous with SNRHW cell*</t>
  </si>
  <si>
    <t>Data since 2005 has been reclassified into categories used under the PPC permitting of landfills and because of the ban on the co-disposal of waste in landfills in July 2004.</t>
  </si>
  <si>
    <t>Some non-hazardous sites can accept some Stable Non Reactive Hazardous Wastes (SNRHW) into a dedicated cell, but this is usually a small part of the overall capacity of the site.</t>
  </si>
  <si>
    <t>ReportRowTitle</t>
  </si>
  <si>
    <t>SortAll</t>
  </si>
  <si>
    <t>LA</t>
  </si>
  <si>
    <t>201</t>
  </si>
  <si>
    <t>202</t>
  </si>
  <si>
    <t>203</t>
  </si>
  <si>
    <t>204</t>
  </si>
  <si>
    <t>205</t>
  </si>
  <si>
    <t>301</t>
  </si>
  <si>
    <t>302</t>
  </si>
  <si>
    <t>303</t>
  </si>
  <si>
    <t>304</t>
  </si>
  <si>
    <t>306</t>
  </si>
  <si>
    <t>401</t>
  </si>
  <si>
    <t>402</t>
  </si>
  <si>
    <t>403</t>
  </si>
  <si>
    <t>Derbyshire</t>
  </si>
  <si>
    <t>Leicestershire</t>
  </si>
  <si>
    <t>Lincolnshire</t>
  </si>
  <si>
    <t>Northamptonshire</t>
  </si>
  <si>
    <t>Nottinghamshire</t>
  </si>
  <si>
    <t>101</t>
  </si>
  <si>
    <t>102</t>
  </si>
  <si>
    <t>103</t>
  </si>
  <si>
    <t>104</t>
  </si>
  <si>
    <t>105</t>
  </si>
  <si>
    <t>106</t>
  </si>
  <si>
    <t>East Midlands</t>
  </si>
  <si>
    <t>501</t>
  </si>
  <si>
    <t>502</t>
  </si>
  <si>
    <t>*Some non-hazardous sites can accept some Stable Non Reactive Hazardous Wastes (SNRHW) into a dedicated cell, but this is usually a small part of the overall capacity of the site.</t>
  </si>
  <si>
    <t>Animal By-Product</t>
  </si>
  <si>
    <t>Animal Carcasses</t>
  </si>
  <si>
    <t>Deposit in landfill for recovery</t>
  </si>
  <si>
    <t>Both activities require an environmental permit under the Environmental Permitting Regulations.</t>
  </si>
  <si>
    <t>This datatable is for operational incineration facilities that accepted waste from off-site sources.  It does not include facilities that burned waste from their own in-house processes or were non or pre-operational.</t>
  </si>
  <si>
    <t>Municipal and/or Industrial &amp; Commercial</t>
  </si>
  <si>
    <t>Vehicle depollution</t>
  </si>
  <si>
    <t xml:space="preserve"> </t>
  </si>
  <si>
    <t>Use of waste in construction</t>
  </si>
  <si>
    <t>Use of waste in reclamation</t>
  </si>
  <si>
    <t>Note: These activities are for use of waste permitted under Standard Rules Permits for waste operations.</t>
  </si>
  <si>
    <t xml:space="preserve">Landfill </t>
  </si>
  <si>
    <t>Category</t>
  </si>
  <si>
    <t>Incineration</t>
  </si>
  <si>
    <t>Land disposal</t>
  </si>
  <si>
    <t>Use of waste</t>
  </si>
  <si>
    <t>Year</t>
  </si>
  <si>
    <t>1998/99</t>
  </si>
  <si>
    <t>Non-Inert</t>
  </si>
  <si>
    <t>Restricted User</t>
  </si>
  <si>
    <t>2000/01</t>
  </si>
  <si>
    <t>Landfill site classifications were changed in 2005. The categories above include:</t>
  </si>
  <si>
    <t>Inert - Inert landfill only</t>
  </si>
  <si>
    <t>Non -Inert:  Non hazardous landfill sites, non-hazardous landfill sites with a Stable Non Reactive Hazardous Waste Cell(SNHRW), merchant hazardous landfill sites</t>
  </si>
  <si>
    <t>Restricted User:  Non-hazardous and hazardous restricted landfill sites</t>
  </si>
  <si>
    <t>2000/1</t>
  </si>
  <si>
    <t>Transfer</t>
  </si>
  <si>
    <t>Civic amenity</t>
  </si>
  <si>
    <t>Treatment</t>
  </si>
  <si>
    <t>MRS</t>
  </si>
  <si>
    <t>Metal recycling</t>
  </si>
  <si>
    <t>MRS Total</t>
  </si>
  <si>
    <t>2000/1 Total</t>
  </si>
  <si>
    <t>2002/3</t>
  </si>
  <si>
    <t>2002/3 Total</t>
  </si>
  <si>
    <t>2004/5</t>
  </si>
  <si>
    <t>2004/5 Total</t>
  </si>
  <si>
    <t>2005 Total</t>
  </si>
  <si>
    <t>2006 Total</t>
  </si>
  <si>
    <t>2007 Total</t>
  </si>
  <si>
    <t>2008 Total</t>
  </si>
  <si>
    <t>2009 Total</t>
  </si>
  <si>
    <t>2010 Total</t>
  </si>
  <si>
    <t>2011 Total</t>
  </si>
  <si>
    <t>2012 Total</t>
  </si>
  <si>
    <t>2013 Total</t>
  </si>
  <si>
    <t>Region</t>
  </si>
  <si>
    <t>ENGLAND</t>
  </si>
  <si>
    <t>North East</t>
  </si>
  <si>
    <t>North West</t>
  </si>
  <si>
    <t>Yorks &amp; Humber</t>
  </si>
  <si>
    <t>West Midlands</t>
  </si>
  <si>
    <t>East of England</t>
  </si>
  <si>
    <t>London</t>
  </si>
  <si>
    <t>South East</t>
  </si>
  <si>
    <t xml:space="preserve">South West </t>
  </si>
  <si>
    <t>Waste type</t>
  </si>
  <si>
    <t>Yorkshire &amp; the Humber</t>
  </si>
  <si>
    <t>South West</t>
  </si>
  <si>
    <t>Co disposal</t>
  </si>
  <si>
    <t>Inert/C&amp;D</t>
  </si>
  <si>
    <t>HIC</t>
  </si>
  <si>
    <t>Hazardous</t>
  </si>
  <si>
    <t>Co disposal Total</t>
  </si>
  <si>
    <t>Non-inert</t>
  </si>
  <si>
    <t>Non-inert Total</t>
  </si>
  <si>
    <t>Inert only</t>
  </si>
  <si>
    <t>Inert only Total</t>
  </si>
  <si>
    <t>Restricted-user</t>
  </si>
  <si>
    <t>Restricted-user Total</t>
  </si>
  <si>
    <t>Hazardous Total</t>
  </si>
  <si>
    <t>Data from 2004 onwards has been reclassified into categories used under the PPC permitting of landfills and because of the ban on the co-disposal of waste in landfill in July 2004.</t>
  </si>
  <si>
    <t>The Hazardous category refers to merchant hazardous landfills only.</t>
  </si>
  <si>
    <t>The Restricted User category includes restricted non hazardous and hazardous landfills.</t>
  </si>
  <si>
    <t>The Non-inert category includes both non-hazardous landfills with and without SNRHW cells.</t>
  </si>
  <si>
    <t>Note: In 2009 the figure for West Midlands was under-reported by 168,866 tonnes due to an error.</t>
  </si>
  <si>
    <t>England</t>
  </si>
  <si>
    <t>1998/99 Total</t>
  </si>
  <si>
    <t>2000/01 Total</t>
  </si>
  <si>
    <t>2004 Total</t>
  </si>
  <si>
    <t>Hazardous Waste</t>
  </si>
  <si>
    <t>Metal Recycling Sector</t>
  </si>
  <si>
    <t>Animal By-Products</t>
  </si>
  <si>
    <t>Co-Incineration of hazardous waste</t>
  </si>
  <si>
    <t>Co-Incineration of non hazardous waste</t>
  </si>
  <si>
    <t>Municipal and/or Industrial &amp; Commercial*</t>
  </si>
  <si>
    <t xml:space="preserve">Total </t>
  </si>
  <si>
    <t>Original Permit Number</t>
  </si>
  <si>
    <t>Date Permitted</t>
  </si>
  <si>
    <t>Operator Name</t>
  </si>
  <si>
    <t>Site Address</t>
  </si>
  <si>
    <t>Type</t>
  </si>
  <si>
    <t>Permitted Capacity (tonnage)</t>
  </si>
  <si>
    <t>Tonnage Incinerated in 2006</t>
  </si>
  <si>
    <t>Tonnage Incinerated in 2007</t>
  </si>
  <si>
    <t>Tonnage Incinerated in 2008</t>
  </si>
  <si>
    <t>Tonnage Incinerated in 2009</t>
  </si>
  <si>
    <t>Tonnage Incinerated in 2010</t>
  </si>
  <si>
    <t>Tonnage Incinerated in 2011</t>
  </si>
  <si>
    <t>Tonnage Incinerated in 2012</t>
  </si>
  <si>
    <t>Tonnage Incinerated in 2013</t>
  </si>
  <si>
    <t>NP3338SZ</t>
  </si>
  <si>
    <t>Ancillary Components Ltd</t>
  </si>
  <si>
    <t>Rushden</t>
  </si>
  <si>
    <t>Bedfordshire</t>
  </si>
  <si>
    <t>PP3235LP</t>
  </si>
  <si>
    <t>EPR Thetford Ltd</t>
  </si>
  <si>
    <t>Thetford Power Station</t>
  </si>
  <si>
    <t>Norfolk</t>
  </si>
  <si>
    <t>CP3230BE</t>
  </si>
  <si>
    <t xml:space="preserve">Widnes </t>
  </si>
  <si>
    <t>Cheshire</t>
  </si>
  <si>
    <t>UP3232SX</t>
  </si>
  <si>
    <t>Glanford Power Station,Eighth Avenue,Flixborough Industrial Estate,Flixborough,SCUNTHORPE,South Humberside DN15 8SD</t>
  </si>
  <si>
    <t>Former Humberside</t>
  </si>
  <si>
    <t>BP3635LA</t>
  </si>
  <si>
    <t>EPR Eye Ltd</t>
  </si>
  <si>
    <t>Eye Power Station</t>
  </si>
  <si>
    <t>Suffolk</t>
  </si>
  <si>
    <t>SRCL Ltd</t>
  </si>
  <si>
    <t>EP3530XY</t>
  </si>
  <si>
    <t>Ipswich EFW Facility</t>
  </si>
  <si>
    <t>WP3935SM</t>
  </si>
  <si>
    <t>Cambridge University Hospital NHS Foundation Trust</t>
  </si>
  <si>
    <t>Incinerator, Addenbrooke's Hospital, Cambridge</t>
  </si>
  <si>
    <t>Cambridgeshire</t>
  </si>
  <si>
    <t>LP3037UU</t>
  </si>
  <si>
    <t>Hillingdon Hospital Clinical Waste Incinerator, London</t>
  </si>
  <si>
    <t>West London</t>
  </si>
  <si>
    <t>YP3033BE</t>
  </si>
  <si>
    <t>London Waste Ltd</t>
  </si>
  <si>
    <t>Edmonton EFW, Edmonton</t>
  </si>
  <si>
    <t>North London</t>
  </si>
  <si>
    <t>Clinical Waste Incinerator, Bolton</t>
  </si>
  <si>
    <t>Greater Manchester</t>
  </si>
  <si>
    <t>Sita Healthcare Limited</t>
  </si>
  <si>
    <t>ZP3230XC</t>
  </si>
  <si>
    <t>Clinical Waste Incinerator, Oldham</t>
  </si>
  <si>
    <t>AP3039SD</t>
  </si>
  <si>
    <t>DEFRA</t>
  </si>
  <si>
    <t>Veterinary Laboratories Agency, Surrey</t>
  </si>
  <si>
    <t>Surrey</t>
  </si>
  <si>
    <t>BT2866IG</t>
  </si>
  <si>
    <t>Grundon Waste Management Ltd</t>
  </si>
  <si>
    <t>Colnbrook Incinerator, Slough</t>
  </si>
  <si>
    <t>LAKESIDE ROAD,  COLNBROOK,SLOUGH,SLOUGH, SL3 0EG</t>
  </si>
  <si>
    <t>Berkshire</t>
  </si>
  <si>
    <t>HP3230XA</t>
  </si>
  <si>
    <t>Ashford Clinical Waste Incinerator, Ashford, Kent</t>
  </si>
  <si>
    <t>Kent</t>
  </si>
  <si>
    <t>JP3133XP</t>
  </si>
  <si>
    <t>Sidcup EFW Facility, Queen Mary's Hospital, Sidcup</t>
  </si>
  <si>
    <t>PP3530XX</t>
  </si>
  <si>
    <t>Bouremouth EFW facility,Royal Bournemouth Hospital, Bournemouth</t>
  </si>
  <si>
    <t>Royal Bournemouth Hospital,Bournemouth,Dorset BH7 7DW</t>
  </si>
  <si>
    <t>Dorset</t>
  </si>
  <si>
    <t>West of England Unitaries</t>
  </si>
  <si>
    <t>Derriford Hospital, Derriford</t>
  </si>
  <si>
    <t>Devon</t>
  </si>
  <si>
    <t>YP3934SM</t>
  </si>
  <si>
    <t>Peake (GB) Ltd</t>
  </si>
  <si>
    <t>Pengover, Cornwall</t>
  </si>
  <si>
    <t>Cornwall</t>
  </si>
  <si>
    <t>VP3136ZD</t>
  </si>
  <si>
    <t>Alexandra Hospital, Redditch</t>
  </si>
  <si>
    <t>Worcestershire</t>
  </si>
  <si>
    <t>CP3930XL</t>
  </si>
  <si>
    <t>Knostrop Treatment Works, Leeds</t>
  </si>
  <si>
    <t>West Yorkshire</t>
  </si>
  <si>
    <t>BL3269IH</t>
  </si>
  <si>
    <t>Steetley Dolomite Limited</t>
  </si>
  <si>
    <t>Whitwell Works, Worksop</t>
  </si>
  <si>
    <t>WHITWELL WORKS,SOUTHFIELD LANE,WHITWELL,WORKSOP,WORKSOP,NOTTINGHAMSHIRE S80 3LJ</t>
  </si>
  <si>
    <t>BM0486IT</t>
  </si>
  <si>
    <t xml:space="preserve">Castle Cement Limited </t>
  </si>
  <si>
    <t>Ketton Works, Stamford</t>
  </si>
  <si>
    <t>BM0699ID</t>
  </si>
  <si>
    <t>Durham</t>
  </si>
  <si>
    <t>21, 211</t>
  </si>
  <si>
    <t>BL7272IB</t>
  </si>
  <si>
    <t>Ribblesdale Works</t>
  </si>
  <si>
    <t>Lancashire</t>
  </si>
  <si>
    <t>BL1029IP</t>
  </si>
  <si>
    <t>Cemex UK Cement Ltd</t>
  </si>
  <si>
    <t>South Ferriby Cement Plant, Barton On Humber</t>
  </si>
  <si>
    <t>Lafarge Cement UK</t>
  </si>
  <si>
    <t>Hope Derbyshire</t>
  </si>
  <si>
    <t>HOPE WORKS                    ,                              ,HOPE,SHEFFIELD,SHEFFIELD, S30 2RP</t>
  </si>
  <si>
    <t>Tunstead Quarry</t>
  </si>
  <si>
    <t>-</t>
  </si>
  <si>
    <t>BP3736HA</t>
  </si>
  <si>
    <t>Dalkia Bio Energy Ltd</t>
  </si>
  <si>
    <t>Chilton Biomass Plant</t>
  </si>
  <si>
    <t>Chilton BioMass Plant,Chilton Way,Chilton Industrial Estate,Chilton,FERRYHILL,County Durham DL17 0SD</t>
  </si>
  <si>
    <t>Co-incineration of non hazardous waste</t>
  </si>
  <si>
    <t>CP3031SX</t>
  </si>
  <si>
    <t>Slough Heat and Power Ltd</t>
  </si>
  <si>
    <t>Slough</t>
  </si>
  <si>
    <t>No data for 2006</t>
  </si>
  <si>
    <t>BJ9509IC</t>
  </si>
  <si>
    <t>Cauldon Cement Works</t>
  </si>
  <si>
    <t>CAULDON WORKS,YELSWAY LANE,CAULDON,STOKE-ON-TRENT,STOKE-ON-TRENT,STAFFORDSHIRE ST10 3EQ</t>
  </si>
  <si>
    <t>Staffordshire</t>
  </si>
  <si>
    <t>BL7248IH</t>
  </si>
  <si>
    <t>Rugby, Warwickshire</t>
  </si>
  <si>
    <t>Warwickshire</t>
  </si>
  <si>
    <t>GP3734GA</t>
  </si>
  <si>
    <t>Sandsfield Heat &amp; Power</t>
  </si>
  <si>
    <t>Sansfield Co-Incinerator, East Riding of Yorkshire</t>
  </si>
  <si>
    <t>BL7302ID</t>
  </si>
  <si>
    <t>Tradebe Solvent Recycling Ltd</t>
  </si>
  <si>
    <t>Morecambe</t>
  </si>
  <si>
    <t>BS5193IE</t>
  </si>
  <si>
    <t>Veolia ES Cleanaway (UK) Limited</t>
  </si>
  <si>
    <t>Ellesmere Port, Wirral</t>
  </si>
  <si>
    <t>FP3935KL</t>
  </si>
  <si>
    <t>Tradebe Fawley Limited</t>
  </si>
  <si>
    <t>Fawley High Temperature Incinerator,Hythe, Southampton</t>
  </si>
  <si>
    <t>CHARLESTON ROAD,HARDLEY,HYTHE,SOUTHAMPTON,SOUTHAMPTON, SO45 3ZA</t>
  </si>
  <si>
    <t>Hampshire</t>
  </si>
  <si>
    <t>GP3437PL</t>
  </si>
  <si>
    <t>Rye</t>
  </si>
  <si>
    <t>UP3034CN</t>
  </si>
  <si>
    <t>Augean Plc</t>
  </si>
  <si>
    <t>East Kent Waste Recovery Facility, Sandwich</t>
  </si>
  <si>
    <t>Avonmouth Drum Incinerator, Avonmouth, Bristol</t>
  </si>
  <si>
    <t>Avonmouth Drum Incinerator Plant,Avonmouth Way West,Avonmouth,Bristol,Bristol, BS11 9HD</t>
  </si>
  <si>
    <t>BJ9878IQ</t>
  </si>
  <si>
    <t xml:space="preserve">JBR Recovery Limited </t>
  </si>
  <si>
    <t>West Bromwich Silver Refinery</t>
  </si>
  <si>
    <t>West Midlands Met Districts</t>
  </si>
  <si>
    <t>No specified limit</t>
  </si>
  <si>
    <t>BS4316IV</t>
  </si>
  <si>
    <t>Robinson Brothers</t>
  </si>
  <si>
    <t>West Bromwich</t>
  </si>
  <si>
    <t>EP3034SN</t>
  </si>
  <si>
    <t>WasteNotts (Reclamation) Ltd</t>
  </si>
  <si>
    <t>Eastcroft EFW Plant, Nottingham</t>
  </si>
  <si>
    <t>NP3738SY</t>
  </si>
  <si>
    <t>South East London Combined Heat and Power Limited</t>
  </si>
  <si>
    <t>Lewisham</t>
  </si>
  <si>
    <t>South East London</t>
  </si>
  <si>
    <t>Edmonton</t>
  </si>
  <si>
    <t>BK0825IU</t>
  </si>
  <si>
    <t>Riverside Resource Recovery Limited</t>
  </si>
  <si>
    <t>Belvedere</t>
  </si>
  <si>
    <t>VP3034SG</t>
  </si>
  <si>
    <t>SITA Tees Valley Limited</t>
  </si>
  <si>
    <t>Billingham EFW Plant, Teesside</t>
  </si>
  <si>
    <t>Tees Valley Unitary Authorities</t>
  </si>
  <si>
    <t>BS3042IM</t>
  </si>
  <si>
    <t>Viridor Waste (Greater Manchester) Ltd</t>
  </si>
  <si>
    <t>Bolton Thermal Recovery Facility</t>
  </si>
  <si>
    <t>BJ7093IY</t>
  </si>
  <si>
    <t>Veolia ES Hampshire Ltd</t>
  </si>
  <si>
    <t>Marchwood, Southampton</t>
  </si>
  <si>
    <t>BJ7107IJ</t>
  </si>
  <si>
    <t>Integra South East Energy Recovery Facility, Portsmouth</t>
  </si>
  <si>
    <t>BJ7786IV</t>
  </si>
  <si>
    <t>Integra North East Energy Recovery Facility, Basingstoke</t>
  </si>
  <si>
    <t>BR4551IC</t>
  </si>
  <si>
    <t>Kent Enviropower Ltd</t>
  </si>
  <si>
    <t>Waste Recycling Facility, Allington Quarry, Maidstone</t>
  </si>
  <si>
    <t>BT7116IW</t>
  </si>
  <si>
    <t xml:space="preserve">Lakeside Energy From Waste Limited </t>
  </si>
  <si>
    <t>Isle of Wight Energy from Waste</t>
  </si>
  <si>
    <t>Isle of Wight</t>
  </si>
  <si>
    <t>N/A</t>
  </si>
  <si>
    <t>BV8067IL</t>
  </si>
  <si>
    <t>Veolia ES South Downs Ltd</t>
  </si>
  <si>
    <t>Newhaven</t>
  </si>
  <si>
    <t>East Sussex</t>
  </si>
  <si>
    <t>XP3030XX</t>
  </si>
  <si>
    <t>Enviropower Limited</t>
  </si>
  <si>
    <t>Lancing Combustion Plant</t>
  </si>
  <si>
    <t>West Sussex</t>
  </si>
  <si>
    <t>AP3435SD</t>
  </si>
  <si>
    <t>MES Environmental Limited</t>
  </si>
  <si>
    <t>Dudley, West Midlands</t>
  </si>
  <si>
    <t>AP3835SM</t>
  </si>
  <si>
    <t>Wolverhampton</t>
  </si>
  <si>
    <t>NP3739PD</t>
  </si>
  <si>
    <t>The Coventry &amp; Solihull Waste Disposal Company Ltd</t>
  </si>
  <si>
    <t xml:space="preserve">Coventry </t>
  </si>
  <si>
    <t>QP3234SX</t>
  </si>
  <si>
    <t xml:space="preserve">Stoke </t>
  </si>
  <si>
    <t>WP3239SJ</t>
  </si>
  <si>
    <t>Veolia ES Birmingham Ltd</t>
  </si>
  <si>
    <t>Tyseley EFW Plant, Birmingham</t>
  </si>
  <si>
    <t>BJ6178IX</t>
  </si>
  <si>
    <t>SITA (Kirklees) Limited</t>
  </si>
  <si>
    <t>Kirklees EFW, Huddersfield</t>
  </si>
  <si>
    <t>BM4082IY</t>
  </si>
  <si>
    <t>Veolia ES Sheffield Limited</t>
  </si>
  <si>
    <t>Sheffield Energy Recovery Facility, Sheffield</t>
  </si>
  <si>
    <t>South Yorkshire</t>
  </si>
  <si>
    <t>BT4249IB</t>
  </si>
  <si>
    <t>Newlincs Development Ltd</t>
  </si>
  <si>
    <t>Grimsby</t>
  </si>
  <si>
    <t>FP3739FS</t>
  </si>
  <si>
    <t>FCC Linconshire Ltd</t>
  </si>
  <si>
    <t>Linconshire EfW Facility</t>
  </si>
  <si>
    <t>Lincolnshire EfW Facility,Paving Way, off Whisby Road,North Hykeham,Lincoln,Lincoln,Lincolnshire LN6 3QZ</t>
  </si>
  <si>
    <t>HP3431HK</t>
  </si>
  <si>
    <t>Veolia ES Staffordshire Limited</t>
  </si>
  <si>
    <t>JP3535CE</t>
  </si>
  <si>
    <t>Avonmouth Energy Facility</t>
  </si>
  <si>
    <t>UP3737PQ</t>
  </si>
  <si>
    <t>Thames Water Utilities Ltd</t>
  </si>
  <si>
    <t>Crossness Sludge Powered Generator, London</t>
  </si>
  <si>
    <t>ZP3833BK</t>
  </si>
  <si>
    <t>Beckton Sludge Powered Generator, London</t>
  </si>
  <si>
    <t>East London</t>
  </si>
  <si>
    <t>BS5541IN</t>
  </si>
  <si>
    <t>Mersey Valley Processing Centre, Widnes</t>
  </si>
  <si>
    <t>Merseyside</t>
  </si>
  <si>
    <t>VP3139PV</t>
  </si>
  <si>
    <t>Yorkshire Water Services Limited</t>
  </si>
  <si>
    <t>VP3639PS</t>
  </si>
  <si>
    <t>Calder Valley Sewage Sludge Incinerator, Brighouse</t>
  </si>
  <si>
    <t>VP3739PM</t>
  </si>
  <si>
    <t>Sheffield</t>
  </si>
  <si>
    <t>ZP3739PK</t>
  </si>
  <si>
    <t>Esholt Sewage Sludge Incinerator, Bradford</t>
  </si>
  <si>
    <t>Non operational since end 2012</t>
  </si>
  <si>
    <t>TOTAL</t>
  </si>
  <si>
    <t>Permitted Capacity (tonnes)</t>
  </si>
  <si>
    <t>FP3435KW</t>
  </si>
  <si>
    <t>Hythe, Southampton</t>
  </si>
  <si>
    <t>Mothballed</t>
  </si>
  <si>
    <t>MP3930BE</t>
  </si>
  <si>
    <t>Vetspeed Ltd</t>
  </si>
  <si>
    <t>WID plant still not operational</t>
  </si>
  <si>
    <t>BK0973IK</t>
  </si>
  <si>
    <t>Cambridge</t>
  </si>
  <si>
    <t xml:space="preserve">BK9571IU </t>
  </si>
  <si>
    <t>Lhoist UK</t>
  </si>
  <si>
    <t>Hindlow Quarry</t>
  </si>
  <si>
    <t>Wiltshire</t>
  </si>
  <si>
    <t>FP3138SB</t>
  </si>
  <si>
    <t>Severn Trent plc</t>
  </si>
  <si>
    <t>Coleshill, Warwickshire</t>
  </si>
  <si>
    <t>WP3838SK</t>
  </si>
  <si>
    <t>Severn Trent Water Ltd</t>
  </si>
  <si>
    <t>Roundhill, Stourbridge</t>
  </si>
  <si>
    <t>BP3836GR</t>
  </si>
  <si>
    <t>Peterborough City Council</t>
  </si>
  <si>
    <t>Peterborough CC EFW Plant</t>
  </si>
  <si>
    <t>Permitted October 2010, not yet built</t>
  </si>
  <si>
    <t>Plymouth Timber Resource Recovery Plant</t>
  </si>
  <si>
    <t>CP3233FB</t>
  </si>
  <si>
    <t>Verus Energy Oak Limited</t>
  </si>
  <si>
    <t>Kelvin Energy</t>
  </si>
  <si>
    <t>DP3236HH</t>
  </si>
  <si>
    <t>SITA UK Ltd</t>
  </si>
  <si>
    <t>Avonmouth Resource Park</t>
  </si>
  <si>
    <t>North Yorkshire</t>
  </si>
  <si>
    <t>Runcorn EFW Facility</t>
  </si>
  <si>
    <t>FP3134GU</t>
  </si>
  <si>
    <t>Viridor Limited</t>
  </si>
  <si>
    <t>Ardley EFW Plant</t>
  </si>
  <si>
    <t>Oxfordshire</t>
  </si>
  <si>
    <t>GP3433GH</t>
  </si>
  <si>
    <t>Cornwall EFW Recovery Centre</t>
  </si>
  <si>
    <t>GP3834HY</t>
  </si>
  <si>
    <t>Viridor Waste Management Ltd</t>
  </si>
  <si>
    <t>Severn Road Resource Recovery Centre</t>
  </si>
  <si>
    <t>HP3937FM</t>
  </si>
  <si>
    <t>Avonmouth End of Life Plastics Facility</t>
  </si>
  <si>
    <t>JP3237KY</t>
  </si>
  <si>
    <t>Thames Gateway Power Ltd</t>
  </si>
  <si>
    <t>Dagenham</t>
  </si>
  <si>
    <t>JP3331HK</t>
  </si>
  <si>
    <t>Air Products PLC</t>
  </si>
  <si>
    <t>Tees Valley Renewable Energy Facility</t>
  </si>
  <si>
    <t>Wales</t>
  </si>
  <si>
    <t>MP3537SN</t>
  </si>
  <si>
    <t>Novera Ventures Ltd</t>
  </si>
  <si>
    <t>Exeter Efw</t>
  </si>
  <si>
    <t>PP3833KG</t>
  </si>
  <si>
    <t>Enfield Biomass limited</t>
  </si>
  <si>
    <t>Enfield Biomass Facility</t>
  </si>
  <si>
    <t>QP3932KK</t>
  </si>
  <si>
    <t>BRITE Partnership</t>
  </si>
  <si>
    <t>Templeborough Biomass Energy Development</t>
  </si>
  <si>
    <t>SP3234HY</t>
  </si>
  <si>
    <t>Peel Energy Limited</t>
  </si>
  <si>
    <t>Barton Renewable Energy Plant</t>
  </si>
  <si>
    <t>SP3239FU</t>
  </si>
  <si>
    <t>Ferrybridge MFE Limited</t>
  </si>
  <si>
    <t>Ferrybridge Multifuel Plant</t>
  </si>
  <si>
    <t>SP3431KJ</t>
  </si>
  <si>
    <t>E O N Energy from Waste Ltd</t>
  </si>
  <si>
    <t>Kemsley Sustainable Energy Plant</t>
  </si>
  <si>
    <t>TP3036KB</t>
  </si>
  <si>
    <t>Biffa Waste Services Ltd</t>
  </si>
  <si>
    <t>Newhurst Energy Recovery Facility</t>
  </si>
  <si>
    <t>TP3135LS</t>
  </si>
  <si>
    <t>Peel Environmental Ince Ltd</t>
  </si>
  <si>
    <t>Ince RDF Plant</t>
  </si>
  <si>
    <t>UP3734HT</t>
  </si>
  <si>
    <t>Waste Recycling Limited</t>
  </si>
  <si>
    <t>Greatmoor EfW</t>
  </si>
  <si>
    <t>Buckinghamshire</t>
  </si>
  <si>
    <t>VP3997NK</t>
  </si>
  <si>
    <t>Sita Surrey Limited</t>
  </si>
  <si>
    <t>Charlton Lane Eco Park</t>
  </si>
  <si>
    <t>Permitted in 2012. Not yet operational</t>
  </si>
  <si>
    <t>WP3133KP</t>
  </si>
  <si>
    <t>United Utilities Waste Operations Ltd</t>
  </si>
  <si>
    <t>Sinfin Integrated Waste Treatment Centre</t>
  </si>
  <si>
    <t>WP3438HZ</t>
  </si>
  <si>
    <t>WP3833FT</t>
  </si>
  <si>
    <t>MVV Environment Devonport Ltd</t>
  </si>
  <si>
    <t xml:space="preserve">Devonport EfW CHP Facility </t>
  </si>
  <si>
    <t>XP3239GF</t>
  </si>
  <si>
    <t>Veolia ES Shropshire Ltd</t>
  </si>
  <si>
    <t>Battlefield EWW</t>
  </si>
  <si>
    <t>XP3935TX</t>
  </si>
  <si>
    <t>Severn Waste Services Limited</t>
  </si>
  <si>
    <t>Mercia EnviRecover</t>
  </si>
  <si>
    <t>ZP3339FN</t>
  </si>
  <si>
    <t>Knowsley Energy Recovery Limited</t>
  </si>
  <si>
    <t>Knowsley Energy from Waste Facility</t>
  </si>
  <si>
    <t>ZP3937KL</t>
  </si>
  <si>
    <t>Severnside Energy Recovery Centre</t>
  </si>
  <si>
    <t>UP3937ZZ</t>
  </si>
  <si>
    <t>AmeyCespa Limited</t>
  </si>
  <si>
    <t>Milton Keynes Waste Recovery Park</t>
  </si>
  <si>
    <t>Permitted 2013</t>
  </si>
  <si>
    <t>Widnes Biomass Facility</t>
  </si>
  <si>
    <t>Biomass / Waste wood</t>
  </si>
  <si>
    <t>GP3334CX</t>
  </si>
  <si>
    <t>Veolia ES Leeds Ltd</t>
  </si>
  <si>
    <t>Leeds RERF</t>
  </si>
  <si>
    <t>CP3535CK</t>
  </si>
  <si>
    <t>Urbaser Environmental Limited</t>
  </si>
  <si>
    <t>Javelin Park ERF</t>
  </si>
  <si>
    <t>Gloucestershire</t>
  </si>
  <si>
    <t>MP3637FL</t>
  </si>
  <si>
    <t>Veolia ES Hertfordshire Limited</t>
  </si>
  <si>
    <t>New Barnfield Energy from Waste Plant</t>
  </si>
  <si>
    <t>Hertfordshire</t>
  </si>
  <si>
    <t>TP3836CT</t>
  </si>
  <si>
    <t xml:space="preserve">Viridor Waste Management Ltd </t>
  </si>
  <si>
    <t>Beddington Energy Recovery Facility</t>
  </si>
  <si>
    <t>South London</t>
  </si>
  <si>
    <t>NP3034CG</t>
  </si>
  <si>
    <t>Allerton Waste Recovery Park</t>
  </si>
  <si>
    <t>Lostock Sustainable Energy Plant</t>
  </si>
  <si>
    <t>GP3636UH</t>
  </si>
  <si>
    <t>Warwick Energy (Bentinck) Ltd</t>
  </si>
  <si>
    <t>Bentinck Generating Site</t>
  </si>
  <si>
    <t>FP3739VA</t>
  </si>
  <si>
    <t>Clean Electricity Generation Ltd</t>
  </si>
  <si>
    <t>Derby Alternative Energy Plant</t>
  </si>
  <si>
    <t>Waste wood</t>
  </si>
  <si>
    <t>Use of waste to manufacture timber</t>
  </si>
  <si>
    <t>EWC Chapter</t>
  </si>
  <si>
    <t>EWC Chapter Description</t>
  </si>
  <si>
    <t xml:space="preserve"> East Midlands</t>
  </si>
  <si>
    <t xml:space="preserve"> East of England</t>
  </si>
  <si>
    <t xml:space="preserve"> North East</t>
  </si>
  <si>
    <t>Yorkshire and the Humber</t>
  </si>
  <si>
    <t>Scotland</t>
  </si>
  <si>
    <t>Northern Ireland</t>
  </si>
  <si>
    <t>Unspecified</t>
  </si>
  <si>
    <t>UK</t>
  </si>
  <si>
    <t>01</t>
  </si>
  <si>
    <t>Mining and Minerals</t>
  </si>
  <si>
    <t>02</t>
  </si>
  <si>
    <t>Agricultural and Food Production</t>
  </si>
  <si>
    <t>03</t>
  </si>
  <si>
    <t>Wood and Paper Production</t>
  </si>
  <si>
    <t>04</t>
  </si>
  <si>
    <t>Leather and Textile Production</t>
  </si>
  <si>
    <t>05</t>
  </si>
  <si>
    <t>Petrol, Gas and Coal Refining/Treatment</t>
  </si>
  <si>
    <t>06</t>
  </si>
  <si>
    <t>Inorganic Chemical Processes</t>
  </si>
  <si>
    <t>07</t>
  </si>
  <si>
    <t>Organic Chemical Processes</t>
  </si>
  <si>
    <t>08</t>
  </si>
  <si>
    <t>MFSU Paints, Varnish, Adhesive and Inks</t>
  </si>
  <si>
    <t>09</t>
  </si>
  <si>
    <t>Photographic Industry</t>
  </si>
  <si>
    <t>10</t>
  </si>
  <si>
    <t>Thermal Process Waste (inorganic)</t>
  </si>
  <si>
    <t>11</t>
  </si>
  <si>
    <t>Metal Treatment and Coating Processes</t>
  </si>
  <si>
    <t>12</t>
  </si>
  <si>
    <t>Shaping/Treatment of Metals and Plastics</t>
  </si>
  <si>
    <t>13</t>
  </si>
  <si>
    <t>Oil and Oil/Water Mixtures</t>
  </si>
  <si>
    <t>14</t>
  </si>
  <si>
    <t>Solvents</t>
  </si>
  <si>
    <t>15</t>
  </si>
  <si>
    <t>Packaging, Cloths, Filter Materials</t>
  </si>
  <si>
    <t>16</t>
  </si>
  <si>
    <t>Not Otherwise Specified</t>
  </si>
  <si>
    <t>17</t>
  </si>
  <si>
    <t>C&amp;D Waste and Asbestos</t>
  </si>
  <si>
    <t>18</t>
  </si>
  <si>
    <t>Healthcare</t>
  </si>
  <si>
    <t>19</t>
  </si>
  <si>
    <t>Waste/Water Treatment and Water Industry</t>
  </si>
  <si>
    <t>20</t>
  </si>
  <si>
    <t>Municipal and Similar Commercial Wastes</t>
  </si>
  <si>
    <t>Notes:</t>
  </si>
  <si>
    <t>This double counting should be taken into account when using this data.  EWC Chapter 16 contains a mix of coded wastes including wastes from end-of-life vehicles, waste electrical and electronic equipment, batteries, spent catalysts and aqueous solutions</t>
  </si>
  <si>
    <t xml:space="preserve">The Environment Agency is required to monitor registered hazardous waste movements.  The data published here is a summary of these movements.  The same waste may be moved between multiple facilities and each separate movement is recorded.  </t>
  </si>
  <si>
    <t xml:space="preserve">England </t>
  </si>
  <si>
    <t xml:space="preserve">The Environment Agency is required to monitor registered hazardous waste movements.  The data published here is a summary of these movements.  The same waste may be moved between </t>
  </si>
  <si>
    <t>multiple facilities and each separate movement is recorded.  This double counting should be taken into account when using this data.</t>
  </si>
  <si>
    <t>EWC Chapter 16 contains a mix of coded wastes including wastes from end-of-life vehicles, waste electrical and electronic equipment, batteries, spent catalysts and aqueous solutions</t>
  </si>
  <si>
    <t>Waste Fate</t>
  </si>
  <si>
    <t>Incineration with energy recovery</t>
  </si>
  <si>
    <t>Incineration without energy recovery</t>
  </si>
  <si>
    <t>Landfill</t>
  </si>
  <si>
    <t>Long term storage</t>
  </si>
  <si>
    <t>Other Fate</t>
  </si>
  <si>
    <t>Recovery</t>
  </si>
  <si>
    <t>Rejected</t>
  </si>
  <si>
    <t>Transfer (D)</t>
  </si>
  <si>
    <t>Transfer (R)</t>
  </si>
  <si>
    <t>Transfer (D) means transfer before disposal, Transfer (R) means transfer before recovery.</t>
  </si>
  <si>
    <t>In previous years Recovery was called Recycling/reuse.</t>
  </si>
  <si>
    <t>In previous years the Landfill category included deep injection, land treatment and surface impoundment.  These are now included in Other Fate.</t>
  </si>
  <si>
    <t>This double counting should be taken into account when using this data.</t>
  </si>
  <si>
    <t xml:space="preserve">2005 data is unreliable and has not been included in the above tables; a new hazardous waste management system and database was introduced in mid-2005 to coincide with the introduction of the new Hazardous Waste Regulations, </t>
  </si>
  <si>
    <t xml:space="preserve">classification and data collection changes introduced some inconsistency and some data was lost as new systems took a little time to become fully operational. </t>
  </si>
  <si>
    <t>Hazardous waste trends - landfill disposal by EWC Chapter (tonnes)</t>
  </si>
  <si>
    <t>Not Otherwise Specified*</t>
  </si>
  <si>
    <t>Unclassified</t>
  </si>
  <si>
    <t>Hazardous waste trends - incineration by EWC Chapter (tonnes)</t>
  </si>
  <si>
    <t>Hazardous waste trends - recovery by EWC Chapter (tonnes)</t>
  </si>
  <si>
    <t>Recycling/recovery</t>
  </si>
  <si>
    <t>Hazardous waste trends - treatment by EWC Chapter (tonnes)</t>
  </si>
  <si>
    <t>Hazardous waste management trends by EWC Chapter (England only)</t>
  </si>
  <si>
    <t>Photographic Industry+B57</t>
  </si>
  <si>
    <t>Waste Treatment/ Water Treatment and Water Industry</t>
  </si>
  <si>
    <t>99</t>
  </si>
  <si>
    <t>Hazardous waste deposit trends by disposal and recovery option (tonnes)</t>
  </si>
  <si>
    <t xml:space="preserve">Disposal or recovery option </t>
  </si>
  <si>
    <t>Hazardous waste deposit trends by former planning region (tonnes)</t>
  </si>
  <si>
    <t>Former Planning Region</t>
  </si>
  <si>
    <t>Not reported</t>
  </si>
  <si>
    <t>Hazardous waste management trends by arising former planning region (tonnes)</t>
  </si>
  <si>
    <t>N Ireland</t>
  </si>
  <si>
    <t>Isle of Man</t>
  </si>
  <si>
    <t>Channel Islands</t>
  </si>
  <si>
    <t>* South East Municipal category includes a facility that burns refuse derived fuel.</t>
  </si>
  <si>
    <t>Data on non and pre-operational facilities is included in a separate tab in this worksheet.</t>
  </si>
  <si>
    <t xml:space="preserve">In April 2013 the regulatory responsibilities of the Environment Agency covering England and Wales were split.  The Environment Agency covers England and Natural Resources Wales (NRW) covers Wales.  </t>
  </si>
  <si>
    <t>The Environment Agency is required to monitor registered hazardous waste movements.  The data published here is a summary of these movements.  The same waste may be moved between multiple facilities and each separate movement is recorded.</t>
  </si>
  <si>
    <t>Deposited in:</t>
  </si>
  <si>
    <t>Total  managed in England</t>
  </si>
  <si>
    <t>Arising from:</t>
  </si>
  <si>
    <t>Unspecified arisings</t>
  </si>
  <si>
    <t>Total regional deposit</t>
  </si>
  <si>
    <t>Total deposits in England</t>
  </si>
  <si>
    <t>Total arisings in England</t>
  </si>
  <si>
    <t>Net regional tonnage (Deposits-Arisings)</t>
  </si>
  <si>
    <t>Explanation and assumptions:</t>
  </si>
  <si>
    <t>Regions with positive net tonnages are importers of hazardous waste</t>
  </si>
  <si>
    <t>Regions with negative net tonnages are exporters of hazardous waste</t>
  </si>
  <si>
    <t>Records with unspecified arising and/or deposit locations are not included in the net regional tonnage calculation but are detailed for completeness.</t>
  </si>
  <si>
    <t>Movements include inter-regional deposits.</t>
  </si>
  <si>
    <t xml:space="preserve">Total deposits from England </t>
  </si>
  <si>
    <t xml:space="preserve">Deposits with origin outside England </t>
  </si>
  <si>
    <t>Number of operational sites</t>
  </si>
  <si>
    <t>Use of Waste</t>
  </si>
  <si>
    <t>Land Disposal</t>
  </si>
  <si>
    <t>Site type</t>
  </si>
  <si>
    <r>
      <rPr>
        <b/>
        <sz val="10"/>
        <rFont val="Calibri"/>
        <family val="2"/>
        <scheme val="minor"/>
      </rPr>
      <t>Use of waste</t>
    </r>
    <r>
      <rPr>
        <sz val="10"/>
        <rFont val="Calibri"/>
        <family val="2"/>
        <scheme val="minor"/>
      </rPr>
      <t>: These include standard rules permits for the use of waste in construction, reclamation and manufacture of timber.</t>
    </r>
  </si>
  <si>
    <t>Metal Recovery</t>
  </si>
  <si>
    <t>Click to go to specific tab</t>
  </si>
  <si>
    <t>2014 Total</t>
  </si>
  <si>
    <t>This table does not include other waste operations such as mobile plants, closed /closing landfills, pet crematorium/pet cemeteries, mining waste operations and gas engines. This data can be supplied on request.</t>
  </si>
  <si>
    <r>
      <rPr>
        <b/>
        <sz val="10"/>
        <rFont val="Calibri"/>
        <family val="2"/>
        <scheme val="minor"/>
      </rPr>
      <t>Incineration</t>
    </r>
    <r>
      <rPr>
        <sz val="10"/>
        <rFont val="Calibri"/>
        <family val="2"/>
        <scheme val="minor"/>
      </rPr>
      <t>: Waste incineration facilities that receive waste from off-site sources. Incineration of in-house process waste is not included. Number of sites with an environmental permit included those that were non or</t>
    </r>
  </si>
  <si>
    <t>This list only includes incineration facilities that accept waste from off-site sources.  It does not include facilities that burn waste from their own in-house processes.</t>
  </si>
  <si>
    <t>EA Area</t>
  </si>
  <si>
    <t>Tonnage Incinerated in 2014</t>
  </si>
  <si>
    <t>Comment</t>
  </si>
  <si>
    <t>United Utilities Water Ltd</t>
  </si>
  <si>
    <t>Staffordshire Energy Recovery Facility</t>
  </si>
  <si>
    <t>LP3131TA</t>
  </si>
  <si>
    <t>E.ON Climate and Renewables UK Biomass Limited</t>
  </si>
  <si>
    <t>Blackburn Meadows Renewable Energy Plant</t>
  </si>
  <si>
    <t>Blackburn Meadows, Alsing Road, Sheffield, S9 1HX</t>
  </si>
  <si>
    <t>Yorkshire</t>
  </si>
  <si>
    <t>Derbyshire Nottinghamshire and Leicestershire</t>
  </si>
  <si>
    <t>SITA Suffolk Ltd</t>
  </si>
  <si>
    <t>SITA Suffolk EfW Plant</t>
  </si>
  <si>
    <t>SITA Suffolk EFW Facility, Lodge lane, Great Blakenham, Ipswich, Suffolk IP6 0JE</t>
  </si>
  <si>
    <t>Essex Norfolk and Suffolk</t>
  </si>
  <si>
    <t>Wessex</t>
  </si>
  <si>
    <t>ZP3730XJ</t>
  </si>
  <si>
    <t>Greater Manchester Merseyside and Cheshire</t>
  </si>
  <si>
    <t>HP3538CR</t>
  </si>
  <si>
    <t>Cyclerval (UK) Ltd</t>
  </si>
  <si>
    <t>Devon and Cornwall</t>
  </si>
  <si>
    <t>West Thames</t>
  </si>
  <si>
    <t>Solent and South Downs</t>
  </si>
  <si>
    <t>Cambridgeshire and Bedfordshire</t>
  </si>
  <si>
    <t>Staffordshire Warwickshire and West Midlands</t>
  </si>
  <si>
    <t>Shropshire Herefordshire Worcestershire and Gloucestershire</t>
  </si>
  <si>
    <t>Kent and South London</t>
  </si>
  <si>
    <t>Cumbria and Lancashire</t>
  </si>
  <si>
    <t>Lincolnshire and Northamptonshire</t>
  </si>
  <si>
    <t>Avonmouth Resource Park,Merebank Road,Kings Weston Lane,Avonmouth,BRISTOL,Avon BS11 9FG</t>
  </si>
  <si>
    <t>XP3436WB</t>
  </si>
  <si>
    <t>Wilton 11</t>
  </si>
  <si>
    <t>Northumberland Durham and Tees</t>
  </si>
  <si>
    <t>Wilton 11 ,Wilton International,Middlesborough,Redcar &amp; Cleveland TS90 8WS</t>
  </si>
  <si>
    <t>Hertfordshire and North London</t>
  </si>
  <si>
    <t>Permitted September 2014. Operator has gone into administration.</t>
  </si>
  <si>
    <t>Ferrybridge 'C' Power Station,Stranglands Lane,PO Box 39,Ferrybridge,Knottingley,West Yorkshire WF11 8SQ</t>
  </si>
  <si>
    <t xml:space="preserve">Land To the north of Seabank Power Station,Servern Road (A403),Severnside,Bristol,Bristol,Avon </t>
  </si>
  <si>
    <t>Site under construction</t>
  </si>
  <si>
    <t>CP3936CA</t>
  </si>
  <si>
    <t>UYE (UK) Limited</t>
  </si>
  <si>
    <t>Holbrook Community Renewable Energy Centre</t>
  </si>
  <si>
    <t>Holbrook Community Renewable Energy Centre, Rother Valley Way, Holbrook, Sheffield, South Yorkshire, S20 3RW,</t>
  </si>
  <si>
    <t>DP3132EY</t>
  </si>
  <si>
    <t>Dahlman Renewable Technology B.V</t>
  </si>
  <si>
    <t>Grimsby Renewable Power Facility</t>
  </si>
  <si>
    <t>North East Lincolnshire</t>
  </si>
  <si>
    <t>Grimsby Renewable Power Facility, Moody Lane, NE Lincolnshire, DN31 2SW,</t>
  </si>
  <si>
    <t>GP3739VR</t>
  </si>
  <si>
    <t>Innovative Environmental Solutions (UK) Ltd</t>
  </si>
  <si>
    <t>EMR Site</t>
  </si>
  <si>
    <t>Union Road, Oldbury, West Midlands, B69 3EL,</t>
  </si>
  <si>
    <t>NP3338CY</t>
  </si>
  <si>
    <t>Navitas Environmental Limited</t>
  </si>
  <si>
    <t>Navitas Renewable Energy Park</t>
  </si>
  <si>
    <t>Navitas Renewable Energy Plant, Appspond Lane, ST. ALBANS, Hertfordshire, AL2 3NL,</t>
  </si>
  <si>
    <t>Waste wood and Biomass</t>
  </si>
  <si>
    <t>RP3130EG</t>
  </si>
  <si>
    <t>Gaia Heat (Coeus) Limited</t>
  </si>
  <si>
    <t>Immingham Biomass Boilers</t>
  </si>
  <si>
    <t>Immingham Biomass Boilers, West Riverside, IMMINGHAM, South Humberside, DN40 2QU,</t>
  </si>
  <si>
    <t>Pre-chipped waste wood and biomass</t>
  </si>
  <si>
    <t>RP3236CR</t>
  </si>
  <si>
    <t>Helius Energy Gamma Limited</t>
  </si>
  <si>
    <t>Avonmouth Biomass Power Station</t>
  </si>
  <si>
    <t>Avonmouth Docks, Bristol Port, Avonmouth, Bristol, Avon,</t>
  </si>
  <si>
    <t>Non hazardous waste wood</t>
  </si>
  <si>
    <t>VP3130EF</t>
  </si>
  <si>
    <t>SRCL Limited</t>
  </si>
  <si>
    <t>Avonmouth Clinical Waste Incinerator</t>
  </si>
  <si>
    <t>Avonmouth Clinical Waste Incinerator, Holesmouth Road, Bristol, Avon, BS11 9BP,</t>
  </si>
  <si>
    <t>XP3336NN</t>
  </si>
  <si>
    <t>Air Products Renewable Energy Limited</t>
  </si>
  <si>
    <t>Tees Valley 2 Renewable Energy Facility</t>
  </si>
  <si>
    <t>Reclamation Pond, Huntsman Drive, Stockton on Tees</t>
  </si>
  <si>
    <t>In April 2013 the regulatory responsibilities of the Environment Agency covering England and Wales were split.  The Environment Agency covers England and Natural Resources Wales (NRW) covers Wales.</t>
  </si>
  <si>
    <t>2015 Total</t>
  </si>
  <si>
    <t>GP3236AX</t>
  </si>
  <si>
    <t>Plymouth Hospitals NHS Trust</t>
  </si>
  <si>
    <t>Secanim</t>
  </si>
  <si>
    <t>QP3337AD</t>
  </si>
  <si>
    <t>Amey LG Ltd</t>
  </si>
  <si>
    <t>Avonmouth Bio Power Energy Ltd</t>
  </si>
  <si>
    <t>342, Edinburgh Avenue, Trading Estate, Slough, Berkshire SL4 6BP</t>
  </si>
  <si>
    <t>RP3638CG</t>
  </si>
  <si>
    <t>Viridor</t>
  </si>
  <si>
    <t>Tonnage Incinerated in 2015</t>
  </si>
  <si>
    <t>Addenbrookes Hospital, Hills Road, CAMBRIDGE, Cambridgeshire CB2 2QQ</t>
  </si>
  <si>
    <t>Anglian</t>
  </si>
  <si>
    <t>Permitted August 2011. Pre-construction</t>
  </si>
  <si>
    <t>LP3239NX</t>
  </si>
  <si>
    <t>Bulwell Energy Limited</t>
  </si>
  <si>
    <t xml:space="preserve">Bulwell Energy Recovery Facility </t>
  </si>
  <si>
    <t>XP3134AW</t>
  </si>
  <si>
    <t>Dartmouth Bio Power Limited</t>
  </si>
  <si>
    <t>Permitted in 2012. Wood waste and SRF</t>
  </si>
  <si>
    <t>JP3132RY</t>
  </si>
  <si>
    <t>Mersey Bioenergy Ltd</t>
  </si>
  <si>
    <t>WP3934AK</t>
  </si>
  <si>
    <t>Lostock Sustainable Energy Plant Limited</t>
  </si>
  <si>
    <t>YP3137VY</t>
  </si>
  <si>
    <t>4Evergreen Technologies Limited</t>
  </si>
  <si>
    <t>Kemsley Park EfW</t>
  </si>
  <si>
    <t>Construction not started</t>
  </si>
  <si>
    <t>UP3332EA</t>
  </si>
  <si>
    <t>Graphite Resources (DEP) Limited</t>
  </si>
  <si>
    <t>Derwenthaugh Ecoparc</t>
  </si>
  <si>
    <t>Tyne &amp; Wear</t>
  </si>
  <si>
    <t>Midlands</t>
  </si>
  <si>
    <t>NP3638ZS</t>
  </si>
  <si>
    <t>Viridor Peterborough Ltd</t>
  </si>
  <si>
    <t>Viridor Peterborough Energy</t>
  </si>
  <si>
    <t>Peterborough</t>
  </si>
  <si>
    <t>Fourth Drove, Fengate, Peterborough, PE15UR</t>
  </si>
  <si>
    <t>Data between 2000 and 2012 shows deposits in England and Wales. 2013, 2014, and 2015 show deposits in England only.</t>
  </si>
  <si>
    <t>Plant closed on 30 October 2015. It will be refurbished - date for commissioning as yet unknown but likely to be 2018.</t>
  </si>
  <si>
    <t>Former Planning Sub-Region</t>
  </si>
  <si>
    <t>Site Name</t>
  </si>
  <si>
    <t>Shropshire</t>
  </si>
  <si>
    <t>HP3238ZC</t>
  </si>
  <si>
    <t>MWH Thermal Ltd</t>
  </si>
  <si>
    <t>Birmingham Biopower</t>
  </si>
  <si>
    <t>Fordrough, Yardley, Birmingham, B25 8DW</t>
  </si>
  <si>
    <r>
      <rPr>
        <b/>
        <sz val="10"/>
        <rFont val="Calibri"/>
        <family val="2"/>
        <scheme val="minor"/>
      </rPr>
      <t>Landfil</t>
    </r>
    <r>
      <rPr>
        <sz val="10"/>
        <rFont val="Calibri"/>
        <family val="2"/>
        <scheme val="minor"/>
      </rPr>
      <t xml:space="preserve">l: Data represents operational landfill sites either with an environmental permit meeting the requirements of the Landfill Directive.All landfills not meeting the stringent requirements of the Landfill Directive had to close as soon possible or by July 2009 at the latest. </t>
    </r>
    <r>
      <rPr>
        <sz val="10"/>
        <color rgb="FFFF0000"/>
        <rFont val="Calibri"/>
        <family val="2"/>
        <scheme val="minor"/>
      </rPr>
      <t>It does not include landfills that are closed/closing with former waste management licences.</t>
    </r>
  </si>
  <si>
    <t>Transfer, Treatment and MRS</t>
  </si>
  <si>
    <t>Waste Management Information 2016</t>
  </si>
  <si>
    <t>Landfill inputs 2016</t>
  </si>
  <si>
    <t>Landfill input trends from 2000 to 2016</t>
  </si>
  <si>
    <t>Landfill capacity 2016</t>
  </si>
  <si>
    <t>Landfill capacity trends from 2000 to 2016</t>
  </si>
  <si>
    <t>Transfer, treatment and MRS inputs 2016</t>
  </si>
  <si>
    <t>Transfer, treatment and MRS input trends from 2000 to 2016</t>
  </si>
  <si>
    <t>Incineration inputs and capacity 2016</t>
  </si>
  <si>
    <t>Operational incineration facilities at end 2016</t>
  </si>
  <si>
    <t>Non-operational incineration facilities at end 2016</t>
  </si>
  <si>
    <t>Pre-operational incineration facilities at end 2016</t>
  </si>
  <si>
    <t>Land disposal inputs 2016</t>
  </si>
  <si>
    <t>Use of waste inputs 2016</t>
  </si>
  <si>
    <t>Hazardous waste management and deposits 2016</t>
  </si>
  <si>
    <t>Hazardous waste deposits by fate 2016</t>
  </si>
  <si>
    <t>Hazardous waste: trends data from 2000 to 2016</t>
  </si>
  <si>
    <t>Hazardous waste movements 2016</t>
  </si>
  <si>
    <t>Number of operational sites at end 2016</t>
  </si>
  <si>
    <t>England: Landfill inputs 2016</t>
  </si>
  <si>
    <t>England: Waste deposit trends: Landfill deposits by site type, waste type and sub-region from 2000/1 to 2016</t>
  </si>
  <si>
    <t>2016 Total</t>
  </si>
  <si>
    <t>England: Landfill capacity 2016</t>
  </si>
  <si>
    <t>Data for 2016 is classified into Landfill Directive categories.</t>
  </si>
  <si>
    <t>2016 landfill capacity data was obtained from environmental monitoring reports required by permits or directly from the operator.</t>
  </si>
  <si>
    <t>England: Landfill capacity trends from 1998/99 to 2016</t>
  </si>
  <si>
    <t>England: Transfer, treatment and metal recycling site inputs 2016</t>
  </si>
  <si>
    <t>England: Waste deposit trends: Transfer and treatment deposits by site type, waste type and sub-region from 2000/1 to 2016</t>
  </si>
  <si>
    <t>England: Incineration capacity 2016</t>
  </si>
  <si>
    <t>England: Incineration throughput 2016</t>
  </si>
  <si>
    <t>Incineration facilities that accepted waste in England during 2016: permitted capacity and tonnage incinerated</t>
  </si>
  <si>
    <t>Tonnage Incinerated in 2016</t>
  </si>
  <si>
    <t>EPR Glanford Ltd</t>
  </si>
  <si>
    <t>Glanford Power Station, Flixborough</t>
  </si>
  <si>
    <t>XP3532DP</t>
  </si>
  <si>
    <t>Tarmac Cement and Lime Ltd</t>
  </si>
  <si>
    <t>BP3731VJ</t>
  </si>
  <si>
    <t>Hope Construction Materials Limited</t>
  </si>
  <si>
    <t>Rugby Works,Lawford Road,Rugby,Warwickshire CV21 2RY</t>
  </si>
  <si>
    <t>KP3937DU</t>
  </si>
  <si>
    <t>Packcare Ltd</t>
  </si>
  <si>
    <t>TP3536CL</t>
  </si>
  <si>
    <t>MVV Environment Ridham Limited</t>
  </si>
  <si>
    <t>Ridham Biomass Power Plant</t>
  </si>
  <si>
    <t xml:space="preserve">Ridham Dock, Ridham, ME9 8SR
</t>
  </si>
  <si>
    <t>Suez Ltd</t>
  </si>
  <si>
    <t>Battlefield EWF,Vanguard Way,SHREWSBURY,Shropshire SY1 3TG</t>
  </si>
  <si>
    <t>Waste to Energy Plant,Crown Street,Wolverhampton,West Midlands WV1 1QB</t>
  </si>
  <si>
    <t>CSWDC Limited,Bar Road,COVENTRY,West Midlands CV3 4AN</t>
  </si>
  <si>
    <t>Substiute fuel usage has reduced due to instability within the kilns and extended downtime</t>
  </si>
  <si>
    <t>Wood waste only</t>
  </si>
  <si>
    <t>Maintenance improvements has resulted in more operational hours and greater throughput</t>
  </si>
  <si>
    <t>Capacity of incinerator is dependant upon net calorific value of waste (NCV)</t>
  </si>
  <si>
    <t xml:space="preserve">Newly operational in 2016 </t>
  </si>
  <si>
    <t>Operational since January 2016</t>
  </si>
  <si>
    <t>Site ceased operation in June 2016 pending redevelopment</t>
  </si>
  <si>
    <t>Operational May 2016</t>
  </si>
  <si>
    <t>Commissioning not complete until July 2016</t>
  </si>
  <si>
    <t>Former permit number is BK9539IW operated by Lafarge Cement UK</t>
  </si>
  <si>
    <t>Started operation in 2015</t>
  </si>
  <si>
    <t>Less waste was burnt in 2016 than in previous years as the kiln bypass was unavailable and so more coal was burnt instead</t>
  </si>
  <si>
    <t>Site became operational in June 2016</t>
  </si>
  <si>
    <t>Variation in determination to raise permitted capacity to 550,000 tonnes</t>
  </si>
  <si>
    <t>Commissioned in 2016 and normal processing achieved during Q4 2016</t>
  </si>
  <si>
    <t>Fibropower Limited,Oaksmere Business Park,Eye,Suffolk IP23 7DH</t>
  </si>
  <si>
    <t>Derriford Hospital,Derriford Road,PLYMOUTH,Devon PL6 8DH</t>
  </si>
  <si>
    <t>Edmonton EfW,Advent Way,LONDON, N18 3AG</t>
  </si>
  <si>
    <t>The Incinerator, Alexandra Hospital,Woodrow Drive,REDDITCH,Worcestershire B98 7UB</t>
  </si>
  <si>
    <t>East Kent Waste Recovery Facility,Ramsgate Road,Sandwich,Kent CT13 9ND</t>
  </si>
  <si>
    <t>PHOENIX STREET,WEST BROMWICH,WEST BROMWICH,WEST MIDLANDS B70 0AH</t>
  </si>
  <si>
    <t>NORMAN ROAD,BELVEDERE,BELVEDERE,KENT DA17 6JY</t>
  </si>
  <si>
    <t>Teesside energy from Waste Plant,Haverton Hill Road,BILLINGHAM,Cleveland TS23 1PY</t>
  </si>
  <si>
    <t>Former Britannia Zinc Works,Kings Weston Lane,Avonmouth,Avon BS11 8AZ</t>
  </si>
  <si>
    <t>Greatmoor EfW,Edgcott,AYLESBURY,Buckinghamshire HP18 0QN</t>
  </si>
  <si>
    <t>Crossness Sewage Treatment Works,Belvedere Road,London, SE2 9AQ</t>
  </si>
  <si>
    <t>Thetford Power Station,Mundford Road,Two Mile Bottom,THETFORD,Norfolk IP24 1LX</t>
  </si>
  <si>
    <t>Granox Limited,Desoto Road,West Bank Dock Estate,Widnes,Cheshire WA8 0PB</t>
  </si>
  <si>
    <t>Goosey Lodge,Wymington Lane,Wymington,Rushden,Northamptonshire LN10 9LU</t>
  </si>
  <si>
    <t>Peake GB Ltd,Stoneybridge Park,Pengover,LISKEARD,Cornwall PL14 3NQ</t>
  </si>
  <si>
    <t>Ipswich Waste to Energy Facility,Woodbridge Road East,Ipswich,Suffolk IP4 5PG</t>
  </si>
  <si>
    <t>Royal Bolton Hospital,Minerva Road,Farnworth,Bolton,Lancashire BL4 0JR</t>
  </si>
  <si>
    <t>Royal Oldham Hospital ,Rochdale Road,Oldham,Lancashire OL1 2JH</t>
  </si>
  <si>
    <t>The Incinerator,Pield Heath Road,Hillingdon Hospital,Uxbridge,Middlesex UB8 3NN</t>
  </si>
  <si>
    <t>William Harvey Hospital,Kennington Road,Willesborough,ASHFORD,Kent TN24 0LZ</t>
  </si>
  <si>
    <t>Queen Mary's Hospital,Sidcup,Kent DA14 6LT</t>
  </si>
  <si>
    <t>Weybridge Clinical Incinerator,Central Veterinary Laboratorie,New Haw,Addlestone,Surrey KT15 3NB</t>
  </si>
  <si>
    <t>Knostrop Treatment Works,Knowsthorpe Lane,Leeds,West Yorkshire LS9 0PJ</t>
  </si>
  <si>
    <t>RIBBLESDALE WORKS,WEST BRADFORD ROAD,CLITHEROE,CLITHEROE,LANCASHIRE BB7 4QF</t>
  </si>
  <si>
    <t>KETTON WORKS,KETTON,STAMFORD,STAMFORD,LINCOLNSHIRE PE9 3SX</t>
  </si>
  <si>
    <t>SOUTH FERRIBY WORKS ,SOUTH FERRIBY,BARTON-UPON-HUMBER,BARTON-UPON-HUMBER, DN18 6JL</t>
  </si>
  <si>
    <t>TUNSTEAD QUARRY,WORMHILL,BUXTON,BUXTON,DERBYSHIRE SK17 8TG</t>
  </si>
  <si>
    <t>BRIDGES ROAD,ELLESMERE PORT,SOUTH WIRRAL,SOUTH WIRRAL,MERSEYSIDE CH65 4EQ</t>
  </si>
  <si>
    <t>ARGENTOR HOUSE,OLDBURY ROAD,WEST BROMWICH,WEST BROMWICH,WEST MIDLANDS B70 9BS</t>
  </si>
  <si>
    <t>Nottingham Waste Incinerator,Cattle Market Road,Nottinghamshire NG2 3JH</t>
  </si>
  <si>
    <t>Exeter Transfer Station,Grace Road South,Marsh Barton Trading Estate,EXETER,Devon EX2 8QE</t>
  </si>
  <si>
    <t>Devonport EFW CHP Site,Land at North Yard,Her Majesty's Naval Base Devonport,Plymouth,Devon PL5 1BU</t>
  </si>
  <si>
    <t>BOLTON INCINERATOR,RAIKES LANE,BOLTON,BOLTON, BL3 1RP</t>
  </si>
  <si>
    <t>Runcorn Enegy From Waste Facility,Picow Farm Road,Weston Point,Runcorn,Cheshire WA7</t>
  </si>
  <si>
    <t>The Kennels Site,Landmann Way,Lewisham,LONDON, SE14 5RS</t>
  </si>
  <si>
    <t>ALLINGTON QUARRY,LAVERSTOKE ROAD,MAIDSTONE,MAIDSTONE,KENT ME16 0LY</t>
  </si>
  <si>
    <t>SOUTH MARSH ROAD,STALLINGBOROUGH,GRIMSBY,GRIMSBY,NORTH LINCS DN41 8BZ</t>
  </si>
  <si>
    <t>Newhaven Energy Recovery Facility,North Quay,Newhaven,East Sussex BN9 0HE</t>
  </si>
  <si>
    <t>Integra South West Energy Recovery Facility,Oceanic Way,Marchwood Industrial Park,Marchwood,Hampshire SO40 4BD</t>
  </si>
  <si>
    <t>QUARTREMAINE ROAD,COPNOR,PORTSMOUTH,PORTSMOUTH, PO3 5QH</t>
  </si>
  <si>
    <t>Unit 2,Chartwell Road,Churchill Industrial Estate,Lancing,West Sussex BN15 8TU</t>
  </si>
  <si>
    <t>MES Environmental Ltd,Lister Road,Dudley,Dudley,DY2 8JT DY2 8JT</t>
  </si>
  <si>
    <t>Stoke EfW Facility,Campbell Road,Sideway,Stoke-on-Trent,Staffordshire ST4 4DX</t>
  </si>
  <si>
    <t>The Dell,Enterprise Drive,Four Ashes,WOLVERHAMPTON,West Midlands WV10 7DF</t>
  </si>
  <si>
    <t>Tyseley Waste Disposal Ltd,James Road,Tyseley,Birmingham,West Midlands B11 2BA</t>
  </si>
  <si>
    <t>READING ROAD                  ,CHINEHAM,BASINGSTOKE,BASINGSTOKE,HAMPSHIRE RG24 0LL</t>
  </si>
  <si>
    <t>Ardley Landfill,Ardley Fields Farm,Ardley,BICESTER,Oxfordshire OX27 7PH</t>
  </si>
  <si>
    <t>Sita Kirklees Ltd,Vine Street,Hillhouse,HUDDERSFIELD,West Yorkshire HD1 6BZ</t>
  </si>
  <si>
    <t>Former Wholesale Market Site,Newmarket Approach,Cross Green,LEEDS,West Yorkshire LS9 0RJ</t>
  </si>
  <si>
    <t>SHEFFIELD ENERGY RECOVERY FACILITY,Bernard Road,Sheffield,Sheffield,SouthYorkshire S4 7YX</t>
  </si>
  <si>
    <t>BENNETTS LANE,SHELL GREEN,WIDNES,WIDNES,CHESHIRE WA8 0WB</t>
  </si>
  <si>
    <t>Beckton Sewerage Treatment Wor,Jenkins Lane,Barking,Essex IG11 0AD</t>
  </si>
  <si>
    <t>Incineration facilities that were non-operational in England during 2016: permitted capacity</t>
  </si>
  <si>
    <t>No RFO burned in 2016</t>
  </si>
  <si>
    <t>Has not operated since 2013</t>
  </si>
  <si>
    <t>Not operational in 2016 due to failed boiler drum. Restarting March 2017.</t>
  </si>
  <si>
    <t xml:space="preserve">Not operational in 2016 due to flooding in December 2015. </t>
  </si>
  <si>
    <t xml:space="preserve">Site was mothballed in November 2015
</t>
  </si>
  <si>
    <t>No waste incinerated since 2013</t>
  </si>
  <si>
    <t>GP3432WP</t>
  </si>
  <si>
    <t>MWH Treatment Ltd</t>
  </si>
  <si>
    <t>Pebble Hall Timber Resource Recovery Plant</t>
  </si>
  <si>
    <t>QP3936AX</t>
  </si>
  <si>
    <t>Equitix ESI CHP (Nottingham) Limited</t>
  </si>
  <si>
    <t>Biomass Power Plant, Widmerpool</t>
  </si>
  <si>
    <t xml:space="preserve">Permitted April 2014 </t>
  </si>
  <si>
    <t>KP3936ZB</t>
  </si>
  <si>
    <t>Tilbury Green Power Ltd</t>
  </si>
  <si>
    <t>Former  Cargill Sweetners Facility</t>
  </si>
  <si>
    <t>Tilbury Dock,Essex,RM18 7PU</t>
  </si>
  <si>
    <t>Essex</t>
  </si>
  <si>
    <t>Wood/RDF</t>
  </si>
  <si>
    <t>Pre-commissioning stage</t>
  </si>
  <si>
    <t>UP3038WA</t>
  </si>
  <si>
    <t>Hoddesdon Energy Ltd</t>
  </si>
  <si>
    <t xml:space="preserve">Hoddesdon EfW Plant </t>
  </si>
  <si>
    <t>Permitted April 2016 due to start commissioning mid 2017</t>
  </si>
  <si>
    <t>Building work commenced August 2016</t>
  </si>
  <si>
    <t>MP3333WX</t>
  </si>
  <si>
    <t>Port Clarence Energy Ltd</t>
  </si>
  <si>
    <t>Teesside Renewable Energy Plant</t>
  </si>
  <si>
    <t>Land at Clarence Works off Port Clarence Rd., Port Clarence, Stockton-on-Tees</t>
  </si>
  <si>
    <t>Waste Wood</t>
  </si>
  <si>
    <t>Construction commenced in 2016</t>
  </si>
  <si>
    <t>YP3039EX</t>
  </si>
  <si>
    <t>CoGen Limited</t>
  </si>
  <si>
    <t>Hooton Park Sustainable Energy Facility</t>
  </si>
  <si>
    <t>Hooton Park Sustainable Energy Facility,North Road, Hooton Park,Eastham, Merseyside, CH651AJ</t>
  </si>
  <si>
    <t>North west</t>
  </si>
  <si>
    <t>Greater Manchester, Merseyside and Cheshire</t>
  </si>
  <si>
    <t>SRF</t>
  </si>
  <si>
    <t>RP3939WF</t>
  </si>
  <si>
    <t>MWH Treatment Limited</t>
  </si>
  <si>
    <t>Ince Bio Power</t>
  </si>
  <si>
    <t>Plot 9, Ince Recovery Park, Elton, Cheshire, CH2 4LB</t>
  </si>
  <si>
    <t>LP3034RD</t>
  </si>
  <si>
    <t xml:space="preserve">Kent Renewable Energy Partnership Limited </t>
  </si>
  <si>
    <t xml:space="preserve">Biomass CHP Plant </t>
  </si>
  <si>
    <t>Site became operational in December 2016</t>
  </si>
  <si>
    <t>AP3832WS</t>
  </si>
  <si>
    <t>BH Energy Gap (Walsall) Limited</t>
  </si>
  <si>
    <t>Land off Fryers Road</t>
  </si>
  <si>
    <t>Permitted September 2016.</t>
  </si>
  <si>
    <t>CP3034CD</t>
  </si>
  <si>
    <t>Energy 10 Huntingdon Limited</t>
  </si>
  <si>
    <t>Huntingdon WTE</t>
  </si>
  <si>
    <t xml:space="preserve">Woodhatch Farm, Thrapston Road, Ellington, 
PE28 0AE
</t>
  </si>
  <si>
    <t>Commisioning</t>
  </si>
  <si>
    <t>UP3031VL</t>
  </si>
  <si>
    <t>Energy 10 Greenwich Ltd</t>
  </si>
  <si>
    <t>Morden Wharf Pyrolysis Facility</t>
  </si>
  <si>
    <t>Morden Wharf, Tunnel Avenue, Greenwich, SE10 0PA</t>
  </si>
  <si>
    <t>JP3334RM</t>
  </si>
  <si>
    <t>Go green Fuels Limited</t>
  </si>
  <si>
    <t xml:space="preserve">South Marston Demonstration Facility </t>
  </si>
  <si>
    <t xml:space="preserve">Units A3 and A4 Marston Gate, Stirling Road, Swindon, SN3 4DE
</t>
  </si>
  <si>
    <t>Under Construction</t>
  </si>
  <si>
    <t>Incineration facilities that were pre-operational in England during 2016: permitted capacity</t>
  </si>
  <si>
    <t>Permitted April 2015, in pre-construction</t>
  </si>
  <si>
    <t>In construction during 2016. Commissioning starting 2017</t>
  </si>
  <si>
    <t>Permitted  January 2009.
No waste burned</t>
  </si>
  <si>
    <t>Commissioning halted in 2012. Not burnt any waste yet</t>
  </si>
  <si>
    <t>John Brooke (Sawmills) Ltd,Fosse Way,Widmerpool,Nottingham,Nottingham,Nottinghamshire NG12 5PS</t>
  </si>
  <si>
    <t>Permitted August 2016. Waste wood. Commissioning presently. No waste burned in 2016</t>
  </si>
  <si>
    <t>Permitted May 2016. Waste wood. Still in commissioning phase</t>
  </si>
  <si>
    <t>Permitted July 2010, ommissioning early 2018</t>
  </si>
  <si>
    <t>Permitted September 2014. Operator has gone into administration</t>
  </si>
  <si>
    <t>Permitted in 2012. Co-incineration of wood waste</t>
  </si>
  <si>
    <t xml:space="preserve">Plant mothballed </t>
  </si>
  <si>
    <t xml:space="preserve">Plant construction halted and operator not planning to complete </t>
  </si>
  <si>
    <t>Permitted September 2015. Plant not yet built</t>
  </si>
  <si>
    <t>Not built yet. Permitted to burn Refuse Derived Fuel (RDF)</t>
  </si>
  <si>
    <t>Permitted in 2012. Not built</t>
  </si>
  <si>
    <t>Permitted 2013. In process of construction.
Being commissioned January-April 2017, expected to operate commercialy in 2017</t>
  </si>
  <si>
    <t>Permitted December 2015 but not yet built</t>
  </si>
  <si>
    <t>Permitted February 2017 but not yet built.</t>
  </si>
  <si>
    <t>Permit surrendered</t>
  </si>
  <si>
    <t>Permitted July 2011. Construction commenced 2017 and hot commissioning planned to commence December 2018</t>
  </si>
  <si>
    <t>Permitted July 2013. Construction commenced in 2016. Commissioning planned for end 2017</t>
  </si>
  <si>
    <t>Permitted October 2015. Construction not started</t>
  </si>
  <si>
    <t>Permitted June 2016. Waste wood. Construction commenced and commissioning planned for February 2018</t>
  </si>
  <si>
    <t>Not yet operational. No start date yet</t>
  </si>
  <si>
    <t>Site not built yet. No timescales for construction</t>
  </si>
  <si>
    <t>Site not built yet. Construction likely 2017-18</t>
  </si>
  <si>
    <t>Site commissioning through 2016. Site now operational 1 March 2017</t>
  </si>
  <si>
    <t>SRF and Sanitary waste. Plant not built yet</t>
  </si>
  <si>
    <t>Currently being commissioned and is not operational as yet</t>
  </si>
  <si>
    <t>Construction commenced end of 2015. Waste wood</t>
  </si>
  <si>
    <t>Milton Keynes Waste Recovery Park,Dickens Road,Old Wolverton,Milton Keynes, MK12 5QF</t>
  </si>
  <si>
    <t>Newhurst Quarry,Shepshed,Loughborough,LOUGHBOROUGH,Leicestershire LE12 9BU</t>
  </si>
  <si>
    <t>Bentinck Generating Site,Mill Lane,Kirkby in Ashfield,Nottinghamshire NG17 9LG</t>
  </si>
  <si>
    <t>London Sustainable Industries Park,Choats Road,DAGENHAM,DAGENHAM,Essex RM9 6LF</t>
  </si>
  <si>
    <t>Ford Motor Company Complex,Frog Island,Rainham,East London RM9 6QD</t>
  </si>
  <si>
    <t>Gasification Plant,Gibbs Road,Enfield,London, N18 3PU</t>
  </si>
  <si>
    <t>Tees Valley Renewable Energy Facility,Huntsman Drive,Port Clarence,MIDDLESBROUGH,Cleveland TS2 1TT</t>
  </si>
  <si>
    <t>Land/premises,Derwenthaugh Road,Blaydon,Gateshead,Tyne and Wear NE16 3BJ</t>
  </si>
  <si>
    <t xml:space="preserve">Land Adjacent to the Manchester Ship Canal/Barton Bridge,Off Trafford Way,Trafford,Manchester,Lancs </t>
  </si>
  <si>
    <t>Ince RRP Refuse Derived Fuel Plant,Kemira Road,Elton,CHESTER,Cheshire CH2 4NR</t>
  </si>
  <si>
    <t>Knowsley EfW Facility,Penrhyn Road,Knowsley Business Park,PRESCOT,Merseyside L34 9HY</t>
  </si>
  <si>
    <t>Charlton Lane Eco Park,Charlton Lane,Sunbury,Surrey TW17 8QA</t>
  </si>
  <si>
    <t>Plymouth Timber Resource Recovery Plant,Units 21-29, 1 Belliver Way,Roborough,Plymouth, PL6 7BW</t>
  </si>
  <si>
    <t>Severn Road Resource Recovery Centre ,Severn Road,Chittening,BRISTOL,Avon BS11 0YU</t>
  </si>
  <si>
    <t>Site off Oak Drive,Hartlebury Trading Estate,Hartlebury,KIDDERMINSTER,Worcestershire DY10 4JB</t>
  </si>
  <si>
    <t>Kelvin Energys,Giffords Way,Off Kelvin Way,WEST BROMWICH,West Midlands B70 7JR</t>
  </si>
  <si>
    <t>,Land off Fryers Road,Fryers Road,Bloxwich,WALSALL,West Midlands WS3 2XN</t>
  </si>
  <si>
    <t xml:space="preserve">Firth Rixson Site,Sheffield Road,Templeborough,Rotherham,South Yorkshire </t>
  </si>
  <si>
    <t xml:space="preserve">Discovery Park ,off Ramsgate Road,Sandwich,Sandwich,Kent </t>
  </si>
  <si>
    <t>Sinfin Integrated Waste Treatment Facility,Sinfin Lane,DERBY,Derbyshire DE24 9GF</t>
  </si>
  <si>
    <t>Unit 1 Victory Road Business Park,Victory Road,DERBY,Derbyshire DE24 8EJ</t>
  </si>
  <si>
    <t>Former Allotments,Blenheim Lane,Nottingham,Nottinghamshire NG6 8UR</t>
  </si>
  <si>
    <t>Peterborough City Council Energy From Waste Facility,Froth Drove,Peterborough, PE1 5XG</t>
  </si>
  <si>
    <t>,Hoddesdon Energy,Rattys Lane,HODDESDON,Hertfordshire EN11 0RF</t>
  </si>
  <si>
    <t>Javelin Park,Haresfield,Gloucestershire GL2 7NQ</t>
  </si>
  <si>
    <t>Allerton Park Quarry,KNARESBOROUGH,North Yorkshire HG5 0SD</t>
  </si>
  <si>
    <t>3MG Multi Modal Gateway/Stobart Park,Mathieson Road,WIDNES,Cheshire WA8 0PE</t>
  </si>
  <si>
    <t>Lostock Substainable Energy Plant ,Lostock Graham,NORTHWICH,Cheshire CW9 7NU</t>
  </si>
  <si>
    <t>New Barnfield,Travellers Lane,HATFIELD,Hertfordshire AL10 8XG</t>
  </si>
  <si>
    <t>Kemsley Sustainable Energy Plant,Kemsley,SITTINGBOURNE,Kent ME10 2TD</t>
  </si>
  <si>
    <t>Beddington Farmlands,Beddington Lane,Croydon,Surrey CR0 4TD</t>
  </si>
  <si>
    <t>Kemsley Park,Sittingbourne,Kent, ME10 2fe</t>
  </si>
  <si>
    <t>Cornwall Energy Recovery Centre,St Dennis,Cornwall  PL268DY</t>
  </si>
  <si>
    <t>Pebble Hall Farm,Theddingworth,Lutterworth,Leicestershire LE17 6NJ</t>
  </si>
  <si>
    <t>England: Borehole and lagoon inputs 2016</t>
  </si>
  <si>
    <t>England: Deposit in landfill for recovery inputs 2016</t>
  </si>
  <si>
    <t xml:space="preserve">Note: This activity is the deposit of waste in land for benefit and recovery purposes. Landfilling is the deposit in land for the purposes of final disposal.  </t>
  </si>
  <si>
    <t>England: Use of waste inputs 2016</t>
  </si>
  <si>
    <t>England: Hazardous waste managed by EWC chapter and former planning region 2016 (tonnes)</t>
  </si>
  <si>
    <t>England: Hazardous waste deposited by EWC chapter and fomer planning region 2016 (tonnes)</t>
  </si>
  <si>
    <t>England: Hazardous waste deposits by disposal and recovery option and former planning region 2016 (tonnes)</t>
  </si>
  <si>
    <t>England: Hazardous waste trends 2016 (tonnes)</t>
  </si>
  <si>
    <t>England: Hazardous waste movements 2016 (tonnes)</t>
  </si>
  <si>
    <t>2016 data covers England only.</t>
  </si>
  <si>
    <t>England: Permitted waste facilities in 2016</t>
  </si>
  <si>
    <t>Number of sites with an environmental permit at end 2016</t>
  </si>
  <si>
    <t>Number of sites that accepted waste in 2016</t>
  </si>
  <si>
    <t>The number of sites that accepted waste in 2016 represents those who submitted waste returns.</t>
  </si>
  <si>
    <r>
      <rPr>
        <b/>
        <sz val="10"/>
        <rFont val="Calibri"/>
        <family val="2"/>
        <scheme val="minor"/>
      </rPr>
      <t>Land Disposal</t>
    </r>
    <r>
      <rPr>
        <sz val="10"/>
        <rFont val="Calibri"/>
        <family val="2"/>
        <scheme val="minor"/>
      </rPr>
      <t>: These included boreholes, lagoons and sites for the deposit in landfill for recovery that were waste operations at end 2016.</t>
    </r>
  </si>
  <si>
    <t>pre-operational at end of 2016.</t>
  </si>
  <si>
    <r>
      <rPr>
        <b/>
        <sz val="10"/>
        <rFont val="Calibri"/>
        <family val="2"/>
        <scheme val="minor"/>
      </rPr>
      <t>Treatment</t>
    </r>
    <r>
      <rPr>
        <sz val="10"/>
        <rFont val="Calibri"/>
        <family val="2"/>
        <scheme val="minor"/>
      </rPr>
      <t>: These include sites that had an environmental permit for a waste operation or an installation at end 2016.</t>
    </r>
  </si>
  <si>
    <t>Hindlow Works, Sterndale Moor, Buxton, Derbyshire SK17 9QD</t>
  </si>
  <si>
    <t>Vetspeed Ltd, A505 Main Road, Thirplow Heath, Royston, Hertfordshire SG8 7RR</t>
  </si>
  <si>
    <t>BARRINGTON WORKS, BARRINGTON, CAMBRIDGE, CAMBRIDGE, CB2 5RG</t>
  </si>
  <si>
    <t>THRISLINGTON WORKS, WEST CORNFORTH, FERRYHILL, FERRYHILL, COUNTY DURHAM DL17 9EY</t>
  </si>
  <si>
    <t>MIDDLETON ROAD, MORECAMBE, MORECAMBE, LANCASHIRE LA3 3JW</t>
  </si>
  <si>
    <t>CHARLESTON ROAD, HARDLEY, HYTHE, SOUTHAMPTON, SOUTHAMPTON, SO45 3ZA</t>
  </si>
  <si>
    <t>Lime Kiln Works, Rye Harbour Road, RYE, East Sussex TN31 7TE</t>
  </si>
  <si>
    <t>Isle of Wight Energy from Waste, Forest Road, Newport, Isle of Wight PO30 5YS</t>
  </si>
  <si>
    <t>Roundhill Sewage Treatment Works, Gibbett Lane, Kinver, STOURBRIDGE, West Midlands DY7 6PX</t>
  </si>
  <si>
    <t>Coleshill Sludge Disposal Plant, Lichfield Road, Water Orton, BIRMINGHAM, West Midlands B46 1NX</t>
  </si>
  <si>
    <t>Sandsfield,Catwick Lane, Brandesburton, DRIFFIELD, North Humberside YO25 8SB</t>
  </si>
  <si>
    <t>Blackburn Meadows, Alsing Road, SHEFFIELD, South Yorkshire S9 1HF</t>
  </si>
  <si>
    <t>Ainsbury House, Esholt Waste Water Treatment W, Idle, BRADFORD, West Yorkshire BD10 0TW</t>
  </si>
  <si>
    <t>Knostrop Treatment Works, Knowsthorpe Lane, Cross Green, LEEDS, West Yorkshire LS9 0PJ</t>
  </si>
  <si>
    <t>Calder Valley Incinerator, Brighouse Sewage Treatment Wor, Cooper Bridge Road, MIRFIELD, West Yorkshire WF14 0BS</t>
  </si>
  <si>
    <t>LIT 10671</t>
  </si>
  <si>
    <t xml:space="preserve">The above data do not include waste received by closed landfills for restoration purposes. </t>
  </si>
  <si>
    <t>ZP3438CF</t>
  </si>
  <si>
    <t>Fine Environmental Services</t>
  </si>
  <si>
    <t>Fine Environmental Services Seal Sands facility</t>
  </si>
  <si>
    <t>Fine Environmental Services Seal Sands, Seal Sands Rd, Middlesbroughg TS21UB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</si>
</sst>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_-;\-* #,##0_-;_-* &quot;-&quot;??_-;_-@_-"/>
    <numFmt numFmtId="165" formatCode="#,##0_ ;\-#,##0\ "/>
    <numFmt numFmtId="166" formatCode="dd/mm/yyyy;@"/>
    <numFmt numFmtId="167" formatCode="_(* #,##0.00_);_(* \(#,##0.00\);_(* &quot;-&quot;??_);_(@_)"/>
    <numFmt numFmtId="168" formatCode="_(* #,##0_);_(* \(#,##0\);_(* &quot;-&quot;??_);_(@_)"/>
    <numFmt numFmtId="169" formatCode="#,##0.000000"/>
    <numFmt numFmtId="170" formatCode="_-* #,##0.000000_-;\-* #,##0.000000_-;_-* &quot;-&quot;??????_-;_-@_-"/>
  </numFmts>
  <fonts count="67" x14ac:knownFonts="1">
    <font>
      <sz val="10"/>
      <name val="Arial"/>
    </font>
    <font>
      <sz val="10"/>
      <name val="Arial"/>
      <family val="2"/>
    </font>
    <font>
      <sz val="8"/>
      <name val="Arial"/>
      <family val="2"/>
    </font>
    <font>
      <sz val="8"/>
      <color indexed="8"/>
      <name val="Arial"/>
      <family val="2"/>
    </font>
    <font>
      <sz val="10"/>
      <color indexed="8"/>
      <name val="Arial"/>
      <family val="2"/>
    </font>
    <font>
      <sz val="20"/>
      <name val="Calibri"/>
      <family val="2"/>
      <scheme val="minor"/>
    </font>
    <font>
      <u/>
      <sz val="10"/>
      <color theme="10"/>
      <name val="Arial"/>
      <family val="2"/>
    </font>
    <font>
      <sz val="10"/>
      <name val="Calibri"/>
      <family val="2"/>
      <scheme val="minor"/>
    </font>
    <font>
      <b/>
      <sz val="12"/>
      <name val="Calibri"/>
      <family val="2"/>
      <scheme val="minor"/>
    </font>
    <font>
      <b/>
      <sz val="10"/>
      <name val="Calibri"/>
      <family val="2"/>
      <scheme val="minor"/>
    </font>
    <font>
      <sz val="14"/>
      <color indexed="10"/>
      <name val="Calibri"/>
      <family val="2"/>
      <scheme val="minor"/>
    </font>
    <font>
      <b/>
      <sz val="10"/>
      <color indexed="9"/>
      <name val="Calibri"/>
      <family val="2"/>
      <scheme val="minor"/>
    </font>
    <font>
      <sz val="8"/>
      <name val="Calibri"/>
      <family val="2"/>
      <scheme val="minor"/>
    </font>
    <font>
      <b/>
      <sz val="14"/>
      <name val="Calibri"/>
      <family val="2"/>
      <scheme val="minor"/>
    </font>
    <font>
      <sz val="14"/>
      <name val="Calibri"/>
      <family val="2"/>
      <scheme val="minor"/>
    </font>
    <font>
      <b/>
      <u/>
      <sz val="10"/>
      <name val="Calibri"/>
      <family val="2"/>
      <scheme val="minor"/>
    </font>
    <font>
      <sz val="10"/>
      <color theme="1"/>
      <name val="Calibri"/>
      <family val="2"/>
      <scheme val="minor"/>
    </font>
    <font>
      <sz val="14"/>
      <color indexed="10"/>
      <name val="Arial"/>
      <family val="2"/>
    </font>
    <font>
      <b/>
      <sz val="10"/>
      <name val="Arial"/>
      <family val="2"/>
    </font>
    <font>
      <sz val="10"/>
      <name val="Arial"/>
      <family val="2"/>
    </font>
    <font>
      <b/>
      <sz val="12"/>
      <name val="Arial"/>
      <family val="2"/>
    </font>
    <font>
      <sz val="12"/>
      <name val="Arial"/>
      <family val="2"/>
    </font>
    <font>
      <b/>
      <sz val="14"/>
      <color indexed="8"/>
      <name val="Calibri"/>
      <family val="2"/>
      <scheme val="minor"/>
    </font>
    <font>
      <sz val="14"/>
      <color indexed="8"/>
      <name val="Calibri"/>
      <family val="2"/>
      <scheme val="minor"/>
    </font>
    <font>
      <sz val="10"/>
      <color indexed="8"/>
      <name val="Calibri"/>
      <family val="2"/>
      <scheme val="minor"/>
    </font>
    <font>
      <sz val="12"/>
      <name val="Arial"/>
      <family val="2"/>
    </font>
    <font>
      <sz val="14"/>
      <name val="Arial"/>
      <family val="2"/>
    </font>
    <font>
      <sz val="9"/>
      <name val="Arial"/>
      <family val="2"/>
    </font>
    <font>
      <sz val="10"/>
      <color indexed="8"/>
      <name val="MS Sans Serif"/>
      <family val="2"/>
    </font>
    <font>
      <sz val="10"/>
      <name val="Wingdings"/>
      <charset val="2"/>
    </font>
    <font>
      <b/>
      <sz val="10"/>
      <color theme="0"/>
      <name val="Calibri"/>
      <family val="2"/>
      <scheme val="minor"/>
    </font>
    <font>
      <b/>
      <sz val="9"/>
      <name val="Calibri"/>
      <family val="2"/>
      <scheme val="minor"/>
    </font>
    <font>
      <sz val="9"/>
      <name val="Calibri"/>
      <family val="2"/>
      <scheme val="minor"/>
    </font>
    <font>
      <b/>
      <sz val="9"/>
      <color indexed="9"/>
      <name val="Calibri"/>
      <family val="2"/>
      <scheme val="minor"/>
    </font>
    <font>
      <b/>
      <sz val="9"/>
      <color theme="0"/>
      <name val="Calibri"/>
      <family val="2"/>
      <scheme val="minor"/>
    </font>
    <font>
      <sz val="9"/>
      <color indexed="8"/>
      <name val="Calibri"/>
      <family val="2"/>
      <scheme val="minor"/>
    </font>
    <font>
      <sz val="8"/>
      <color indexed="8"/>
      <name val="Calibri"/>
      <family val="2"/>
      <scheme val="minor"/>
    </font>
    <font>
      <b/>
      <sz val="10"/>
      <color rgb="FFFF0000"/>
      <name val="Calibri"/>
      <family val="2"/>
      <scheme val="minor"/>
    </font>
    <font>
      <sz val="12"/>
      <name val="Calibri"/>
      <family val="2"/>
      <scheme val="minor"/>
    </font>
    <font>
      <sz val="12"/>
      <color indexed="8"/>
      <name val="Calibri"/>
      <family val="2"/>
      <scheme val="minor"/>
    </font>
    <font>
      <b/>
      <sz val="9"/>
      <color indexed="8"/>
      <name val="Calibri"/>
      <family val="2"/>
      <scheme val="minor"/>
    </font>
    <font>
      <b/>
      <sz val="12"/>
      <color indexed="8"/>
      <name val="Calibri"/>
      <family val="2"/>
      <scheme val="minor"/>
    </font>
    <font>
      <b/>
      <sz val="10"/>
      <color indexed="8"/>
      <name val="Calibri"/>
      <family val="2"/>
      <scheme val="minor"/>
    </font>
    <font>
      <sz val="10"/>
      <color theme="0"/>
      <name val="Calibri"/>
      <family val="2"/>
      <scheme val="minor"/>
    </font>
    <font>
      <b/>
      <sz val="9"/>
      <color indexed="10"/>
      <name val="Calibri"/>
      <family val="2"/>
      <scheme val="minor"/>
    </font>
    <font>
      <b/>
      <i/>
      <sz val="9"/>
      <color indexed="8"/>
      <name val="Calibri"/>
      <family val="2"/>
      <scheme val="minor"/>
    </font>
    <font>
      <b/>
      <sz val="10"/>
      <color rgb="FFFFFF00"/>
      <name val="Calibri"/>
      <family val="2"/>
      <scheme val="minor"/>
    </font>
    <font>
      <b/>
      <sz val="10"/>
      <color indexed="10"/>
      <name val="Calibri"/>
      <family val="2"/>
      <scheme val="minor"/>
    </font>
    <font>
      <sz val="10"/>
      <color indexed="9"/>
      <name val="Calibri"/>
      <family val="2"/>
      <scheme val="minor"/>
    </font>
    <font>
      <b/>
      <sz val="20"/>
      <color theme="0"/>
      <name val="Calibri"/>
      <family val="2"/>
      <scheme val="minor"/>
    </font>
    <font>
      <sz val="10"/>
      <color theme="1"/>
      <name val="Calibri"/>
      <family val="2"/>
    </font>
    <font>
      <b/>
      <sz val="10"/>
      <color theme="1"/>
      <name val="Calibri"/>
      <family val="2"/>
    </font>
    <font>
      <sz val="9"/>
      <color theme="1"/>
      <name val="Calibri"/>
      <family val="2"/>
      <scheme val="minor"/>
    </font>
    <font>
      <sz val="11"/>
      <color indexed="8"/>
      <name val="Calibri"/>
      <family val="2"/>
      <scheme val="minor"/>
    </font>
    <font>
      <b/>
      <sz val="8"/>
      <color indexed="8"/>
      <name val="Calibri"/>
      <family val="2"/>
      <scheme val="minor"/>
    </font>
    <font>
      <b/>
      <sz val="8"/>
      <name val="Calibri"/>
      <family val="2"/>
      <scheme val="minor"/>
    </font>
    <font>
      <b/>
      <sz val="8"/>
      <color rgb="FFFF0000"/>
      <name val="Calibri"/>
      <family val="2"/>
      <scheme val="minor"/>
    </font>
    <font>
      <sz val="10"/>
      <color rgb="FF000000"/>
      <name val="Calibri"/>
      <family val="2"/>
      <scheme val="minor"/>
    </font>
    <font>
      <sz val="10"/>
      <color rgb="FFFF0000"/>
      <name val="Calibri"/>
      <family val="2"/>
      <scheme val="minor"/>
    </font>
    <font>
      <sz val="20"/>
      <color theme="3"/>
      <name val="Calibri"/>
      <family val="2"/>
      <scheme val="minor"/>
    </font>
    <font>
      <sz val="10"/>
      <color theme="3"/>
      <name val="Calibri"/>
      <family val="2"/>
      <scheme val="minor"/>
    </font>
    <font>
      <u/>
      <sz val="20"/>
      <color theme="3"/>
      <name val="Calibri"/>
      <family val="2"/>
      <scheme val="minor"/>
    </font>
    <font>
      <sz val="10"/>
      <color theme="3"/>
      <name val="Arial"/>
      <family val="2"/>
    </font>
    <font>
      <b/>
      <sz val="20"/>
      <color theme="3"/>
      <name val="Calibri"/>
      <family val="2"/>
      <scheme val="minor"/>
    </font>
    <font>
      <sz val="11"/>
      <color indexed="8"/>
      <name val="Calibri"/>
      <family val="2"/>
    </font>
    <font>
      <sz val="10"/>
      <name val="Calibri"/>
      <family val="2"/>
    </font>
    <font>
      <b/>
      <sz val="12"/>
      <color theme="1"/>
      <name val="Arial"/>
      <family val="2"/>
    </font>
  </fonts>
  <fills count="16">
    <fill>
      <patternFill patternType="none"/>
    </fill>
    <fill>
      <patternFill patternType="gray125"/>
    </fill>
    <fill>
      <patternFill patternType="solid">
        <fgColor indexed="9"/>
        <bgColor indexed="9"/>
      </patternFill>
    </fill>
    <fill>
      <patternFill patternType="solid">
        <fgColor indexed="22"/>
        <bgColor indexed="0"/>
      </patternFill>
    </fill>
    <fill>
      <patternFill patternType="solid">
        <fgColor theme="8" tint="0.59999389629810485"/>
        <bgColor indexed="64"/>
      </patternFill>
    </fill>
    <fill>
      <patternFill patternType="solid">
        <fgColor theme="8" tint="-0.249977111117893"/>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theme="4" tint="0.79998168889431442"/>
      </patternFill>
    </fill>
    <fill>
      <patternFill patternType="solid">
        <fgColor theme="8" tint="-0.249977111117893"/>
        <bgColor indexed="9"/>
      </patternFill>
    </fill>
    <fill>
      <patternFill patternType="solid">
        <fgColor theme="0"/>
        <bgColor indexed="64"/>
      </patternFill>
    </fill>
    <fill>
      <patternFill patternType="solid">
        <fgColor theme="8" tint="-0.249977111117893"/>
        <bgColor indexed="8"/>
      </patternFill>
    </fill>
    <fill>
      <patternFill patternType="solid">
        <fgColor theme="0"/>
        <bgColor indexed="9"/>
      </patternFill>
    </fill>
    <fill>
      <patternFill patternType="solid">
        <fgColor theme="3"/>
        <bgColor indexed="64"/>
      </patternFill>
    </fill>
    <fill>
      <patternFill patternType="solid">
        <fgColor theme="0"/>
        <bgColor indexed="0"/>
      </patternFill>
    </fill>
  </fills>
  <borders count="7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9"/>
      </bottom>
      <diagonal/>
    </border>
    <border>
      <left style="thin">
        <color indexed="64"/>
      </left>
      <right/>
      <top style="thin">
        <color indexed="64"/>
      </top>
      <bottom/>
      <diagonal/>
    </border>
    <border>
      <left style="thin">
        <color indexed="64"/>
      </left>
      <right/>
      <top style="thin">
        <color indexed="9"/>
      </top>
      <bottom/>
      <diagonal/>
    </border>
    <border>
      <left style="thin">
        <color indexed="64"/>
      </left>
      <right/>
      <top/>
      <bottom style="thin">
        <color indexed="9"/>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9"/>
      </top>
      <bottom style="thin">
        <color indexed="9"/>
      </bottom>
      <diagonal/>
    </border>
    <border>
      <left/>
      <right style="thin">
        <color indexed="64"/>
      </right>
      <top/>
      <bottom/>
      <diagonal/>
    </border>
    <border>
      <left style="thin">
        <color indexed="64"/>
      </left>
      <right style="thin">
        <color indexed="9"/>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right style="thin">
        <color indexed="64"/>
      </right>
      <top style="thin">
        <color indexed="64"/>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right style="thin">
        <color indexed="9"/>
      </right>
      <top style="thin">
        <color indexed="9"/>
      </top>
      <bottom style="thin">
        <color indexed="64"/>
      </bottom>
      <diagonal/>
    </border>
    <border>
      <left/>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style="thin">
        <color indexed="9"/>
      </bottom>
      <diagonal/>
    </border>
    <border>
      <left/>
      <right/>
      <top style="thin">
        <color indexed="9"/>
      </top>
      <bottom/>
      <diagonal/>
    </border>
    <border>
      <left/>
      <right/>
      <top style="thin">
        <color theme="4" tint="0.39997558519241921"/>
      </top>
      <bottom/>
      <diagonal/>
    </border>
    <border>
      <left style="thin">
        <color indexed="64"/>
      </left>
      <right style="thin">
        <color indexed="9"/>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8"/>
      </left>
      <right/>
      <top/>
      <bottom style="thin">
        <color indexed="9"/>
      </bottom>
      <diagonal/>
    </border>
    <border>
      <left style="thin">
        <color indexed="64"/>
      </left>
      <right style="thin">
        <color indexed="9"/>
      </right>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indexed="64"/>
      </left>
      <right style="thin">
        <color indexed="9"/>
      </right>
      <top/>
      <bottom/>
      <diagonal/>
    </border>
    <border>
      <left/>
      <right style="thin">
        <color indexed="9"/>
      </right>
      <top/>
      <bottom/>
      <diagonal/>
    </border>
    <border>
      <left style="thin">
        <color indexed="9"/>
      </left>
      <right/>
      <top/>
      <bottom/>
      <diagonal/>
    </border>
    <border>
      <left/>
      <right style="thin">
        <color indexed="9"/>
      </right>
      <top style="thin">
        <color indexed="64"/>
      </top>
      <bottom style="thin">
        <color theme="0"/>
      </bottom>
      <diagonal/>
    </border>
    <border>
      <left/>
      <right/>
      <top style="thin">
        <color indexed="64"/>
      </top>
      <bottom style="thin">
        <color theme="0"/>
      </bottom>
      <diagonal/>
    </border>
    <border>
      <left style="thin">
        <color indexed="9"/>
      </left>
      <right/>
      <top style="thin">
        <color indexed="64"/>
      </top>
      <bottom style="thin">
        <color theme="0"/>
      </bottom>
      <diagonal/>
    </border>
    <border>
      <left/>
      <right/>
      <top/>
      <bottom style="thin">
        <color theme="0"/>
      </bottom>
      <diagonal/>
    </border>
    <border>
      <left style="thin">
        <color indexed="9"/>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9"/>
      </left>
      <right style="thin">
        <color indexed="64"/>
      </right>
      <top style="thin">
        <color indexed="9"/>
      </top>
      <bottom/>
      <diagonal/>
    </border>
    <border>
      <left style="thin">
        <color indexed="31"/>
      </left>
      <right/>
      <top style="thin">
        <color indexed="31"/>
      </top>
      <bottom/>
      <diagonal/>
    </border>
    <border>
      <left/>
      <right/>
      <top style="thin">
        <color indexed="65"/>
      </top>
      <bottom/>
      <diagonal/>
    </border>
  </borders>
  <cellStyleXfs count="27">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xf numFmtId="0" fontId="4" fillId="0" borderId="0"/>
    <xf numFmtId="0" fontId="4" fillId="0" borderId="0"/>
    <xf numFmtId="0" fontId="1" fillId="0" borderId="0"/>
    <xf numFmtId="0" fontId="6" fillId="0" borderId="0" applyNumberFormat="0" applyFill="0" applyBorder="0" applyAlignment="0" applyProtection="0">
      <alignment vertical="top"/>
      <protection locked="0"/>
    </xf>
    <xf numFmtId="0" fontId="19" fillId="0" borderId="0"/>
    <xf numFmtId="0" fontId="19" fillId="0" borderId="0"/>
    <xf numFmtId="0" fontId="1" fillId="0" borderId="0"/>
    <xf numFmtId="0" fontId="21" fillId="0" borderId="0"/>
    <xf numFmtId="43" fontId="25" fillId="0" borderId="0" applyFont="0" applyFill="0" applyBorder="0" applyAlignment="0" applyProtection="0"/>
    <xf numFmtId="0" fontId="25" fillId="0" borderId="0"/>
    <xf numFmtId="0" fontId="4" fillId="0" borderId="0"/>
    <xf numFmtId="0" fontId="26" fillId="0" borderId="0" applyNumberFormat="0" applyFont="0" applyFill="0" applyBorder="0" applyAlignment="0">
      <alignment vertical="center"/>
      <protection hidden="1"/>
    </xf>
    <xf numFmtId="0" fontId="28" fillId="0" borderId="0"/>
    <xf numFmtId="0" fontId="4" fillId="0" borderId="0"/>
    <xf numFmtId="3" fontId="4" fillId="0" borderId="0" applyFont="0" applyFill="0" applyBorder="0" applyAlignment="0" applyProtection="0"/>
    <xf numFmtId="0" fontId="27" fillId="0" borderId="0"/>
    <xf numFmtId="167" fontId="4" fillId="0" borderId="0" applyFont="0" applyFill="0" applyBorder="0" applyAlignment="0" applyProtection="0"/>
    <xf numFmtId="0" fontId="28" fillId="0" borderId="0"/>
    <xf numFmtId="0" fontId="2" fillId="0" borderId="0"/>
    <xf numFmtId="0" fontId="27" fillId="0" borderId="0"/>
    <xf numFmtId="0" fontId="1" fillId="0" borderId="0"/>
    <xf numFmtId="0" fontId="4" fillId="0" borderId="0"/>
    <xf numFmtId="43" fontId="1" fillId="0" borderId="0" applyFont="0" applyFill="0" applyBorder="0" applyAlignment="0" applyProtection="0"/>
  </cellStyleXfs>
  <cellXfs count="892">
    <xf numFmtId="0" fontId="0" fillId="0" borderId="0" xfId="0"/>
    <xf numFmtId="0" fontId="3" fillId="0" borderId="1" xfId="3" applyFont="1" applyFill="1" applyBorder="1" applyAlignment="1">
      <alignment wrapText="1"/>
    </xf>
    <xf numFmtId="0" fontId="3" fillId="3" borderId="16" xfId="3" applyFont="1" applyFill="1" applyBorder="1" applyAlignment="1">
      <alignment horizontal="center"/>
    </xf>
    <xf numFmtId="0" fontId="3" fillId="0" borderId="1" xfId="4" applyFont="1" applyFill="1" applyBorder="1" applyAlignment="1">
      <alignment wrapText="1"/>
    </xf>
    <xf numFmtId="0" fontId="3" fillId="3" borderId="16" xfId="4" applyFont="1" applyFill="1" applyBorder="1" applyAlignment="1">
      <alignment horizontal="center"/>
    </xf>
    <xf numFmtId="0" fontId="3" fillId="0" borderId="1" xfId="4" applyFont="1" applyFill="1" applyBorder="1" applyAlignment="1">
      <alignment horizontal="right" wrapText="1"/>
    </xf>
    <xf numFmtId="0" fontId="3" fillId="3" borderId="16" xfId="5" applyFont="1" applyFill="1" applyBorder="1" applyAlignment="1">
      <alignment horizontal="center"/>
    </xf>
    <xf numFmtId="0" fontId="3" fillId="0" borderId="1" xfId="5" applyFont="1" applyFill="1" applyBorder="1" applyAlignment="1">
      <alignment wrapText="1"/>
    </xf>
    <xf numFmtId="0" fontId="4" fillId="0" borderId="0" xfId="5"/>
    <xf numFmtId="43" fontId="3" fillId="0" borderId="1" xfId="1" applyFont="1" applyFill="1" applyBorder="1" applyAlignment="1">
      <alignment horizontal="right" wrapText="1"/>
    </xf>
    <xf numFmtId="0" fontId="5" fillId="0" borderId="0" xfId="0" applyFont="1"/>
    <xf numFmtId="0" fontId="7" fillId="0" borderId="0" xfId="0" applyFont="1"/>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0" xfId="0" applyFont="1" applyAlignment="1">
      <alignment horizontal="center" vertical="center" wrapText="1"/>
    </xf>
    <xf numFmtId="0" fontId="13" fillId="0" borderId="0" xfId="0" applyFont="1" applyAlignment="1">
      <alignment horizontal="left" vertical="center"/>
    </xf>
    <xf numFmtId="0" fontId="22" fillId="2" borderId="0" xfId="10" applyFont="1" applyFill="1" applyAlignment="1">
      <alignment vertical="center"/>
    </xf>
    <xf numFmtId="0" fontId="23" fillId="2" borderId="0" xfId="10" applyFont="1" applyFill="1" applyAlignment="1">
      <alignment vertical="center"/>
    </xf>
    <xf numFmtId="0" fontId="11" fillId="10" borderId="9" xfId="10" applyFont="1" applyFill="1" applyBorder="1" applyAlignment="1">
      <alignment horizontal="center" vertical="center" wrapText="1"/>
    </xf>
    <xf numFmtId="0" fontId="11" fillId="10" borderId="6" xfId="10" applyFont="1" applyFill="1" applyBorder="1" applyAlignment="1">
      <alignment horizontal="center" vertical="center" wrapText="1"/>
    </xf>
    <xf numFmtId="0" fontId="21" fillId="0" borderId="0" xfId="11"/>
    <xf numFmtId="3" fontId="7" fillId="11" borderId="9" xfId="10" applyNumberFormat="1" applyFont="1" applyFill="1" applyBorder="1" applyAlignment="1">
      <alignment horizontal="center" vertical="center" wrapText="1"/>
    </xf>
    <xf numFmtId="0" fontId="20" fillId="0" borderId="0" xfId="11" applyFont="1" applyAlignment="1">
      <alignment horizontal="left" wrapText="1"/>
    </xf>
    <xf numFmtId="0" fontId="21" fillId="0" borderId="0" xfId="11" applyAlignment="1">
      <alignment wrapText="1"/>
    </xf>
    <xf numFmtId="3" fontId="18" fillId="0" borderId="0" xfId="10" applyNumberFormat="1" applyFont="1" applyFill="1" applyBorder="1" applyAlignment="1">
      <alignment horizontal="center" vertical="center" wrapText="1"/>
    </xf>
    <xf numFmtId="3" fontId="2" fillId="0" borderId="0" xfId="10" applyNumberFormat="1" applyFont="1" applyFill="1" applyBorder="1" applyAlignment="1">
      <alignment horizontal="center" vertical="center" wrapText="1"/>
    </xf>
    <xf numFmtId="0" fontId="23" fillId="2" borderId="0" xfId="10" applyFont="1" applyFill="1" applyBorder="1" applyAlignment="1">
      <alignment vertical="center"/>
    </xf>
    <xf numFmtId="3" fontId="3" fillId="0" borderId="0" xfId="10" applyNumberFormat="1" applyFont="1" applyFill="1" applyBorder="1" applyAlignment="1">
      <alignment horizontal="center" vertical="center" wrapText="1"/>
    </xf>
    <xf numFmtId="0" fontId="11" fillId="10" borderId="12" xfId="10" applyFont="1" applyFill="1" applyBorder="1" applyAlignment="1">
      <alignment horizontal="center" vertical="center" wrapText="1"/>
    </xf>
    <xf numFmtId="0" fontId="11" fillId="10" borderId="28" xfId="10" applyFont="1" applyFill="1" applyBorder="1" applyAlignment="1">
      <alignment horizontal="center" vertical="center" wrapText="1"/>
    </xf>
    <xf numFmtId="0" fontId="29" fillId="0" borderId="0" xfId="0" applyFont="1" applyFill="1" applyBorder="1"/>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Border="1" applyAlignment="1">
      <alignment vertical="center"/>
    </xf>
    <xf numFmtId="0" fontId="8" fillId="0" borderId="0" xfId="16"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0" fontId="33" fillId="8" borderId="5" xfId="16" applyFont="1" applyFill="1" applyBorder="1" applyAlignment="1">
      <alignment horizontal="center" vertical="center"/>
    </xf>
    <xf numFmtId="0" fontId="33" fillId="8" borderId="13" xfId="16" applyFont="1" applyFill="1" applyBorder="1" applyAlignment="1">
      <alignment horizontal="center" vertical="center"/>
    </xf>
    <xf numFmtId="0" fontId="33" fillId="8" borderId="14" xfId="16" applyFont="1" applyFill="1" applyBorder="1" applyAlignment="1">
      <alignment horizontal="center" vertical="center"/>
    </xf>
    <xf numFmtId="0" fontId="33" fillId="8" borderId="59" xfId="16" applyFont="1" applyFill="1" applyBorder="1" applyAlignment="1">
      <alignment horizontal="center" vertical="center"/>
    </xf>
    <xf numFmtId="0" fontId="11" fillId="8" borderId="5" xfId="16" applyFont="1" applyFill="1" applyBorder="1" applyAlignment="1">
      <alignment horizontal="center" vertical="center"/>
    </xf>
    <xf numFmtId="0" fontId="11" fillId="8" borderId="13" xfId="16" applyFont="1" applyFill="1" applyBorder="1" applyAlignment="1">
      <alignment horizontal="center" vertical="center"/>
    </xf>
    <xf numFmtId="0" fontId="11" fillId="8" borderId="14" xfId="16" applyFont="1" applyFill="1" applyBorder="1" applyAlignment="1">
      <alignment horizontal="center" vertical="center"/>
    </xf>
    <xf numFmtId="0" fontId="11" fillId="5" borderId="13" xfId="16" applyFont="1" applyFill="1" applyBorder="1" applyAlignment="1">
      <alignment horizontal="center" vertical="center" wrapText="1"/>
    </xf>
    <xf numFmtId="0" fontId="11" fillId="5" borderId="14" xfId="16"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5" borderId="6" xfId="0" applyFont="1" applyFill="1" applyBorder="1" applyAlignment="1">
      <alignment horizontal="center" vertical="center"/>
    </xf>
    <xf numFmtId="41" fontId="11" fillId="5" borderId="8" xfId="0" applyNumberFormat="1" applyFont="1" applyFill="1" applyBorder="1" applyAlignment="1">
      <alignment vertical="center"/>
    </xf>
    <xf numFmtId="0" fontId="11" fillId="5" borderId="52" xfId="6" applyFont="1" applyFill="1" applyBorder="1" applyAlignment="1">
      <alignment horizontal="center" vertical="center" wrapText="1"/>
    </xf>
    <xf numFmtId="0" fontId="11" fillId="5" borderId="53" xfId="6" applyFont="1" applyFill="1" applyBorder="1" applyAlignment="1">
      <alignment horizontal="center" vertical="center" wrapText="1"/>
    </xf>
    <xf numFmtId="0" fontId="11" fillId="5" borderId="13" xfId="6" applyFont="1" applyFill="1" applyBorder="1" applyAlignment="1">
      <alignment horizontal="center" vertical="center" wrapText="1"/>
    </xf>
    <xf numFmtId="0" fontId="24" fillId="2" borderId="0" xfId="6" applyFont="1" applyFill="1" applyBorder="1" applyAlignment="1">
      <alignment vertical="center"/>
    </xf>
    <xf numFmtId="0" fontId="42" fillId="2" borderId="0" xfId="6" applyFont="1" applyFill="1" applyAlignment="1">
      <alignment vertical="center"/>
    </xf>
    <xf numFmtId="0" fontId="24" fillId="2" borderId="0" xfId="6" applyFont="1" applyFill="1" applyAlignment="1">
      <alignment vertical="center"/>
    </xf>
    <xf numFmtId="0" fontId="9" fillId="0" borderId="0" xfId="0" applyFont="1" applyAlignment="1">
      <alignment horizontal="center" vertical="center" wrapText="1"/>
    </xf>
    <xf numFmtId="0" fontId="11" fillId="5" borderId="3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42" fillId="11" borderId="6" xfId="0" applyNumberFormat="1" applyFont="1" applyFill="1" applyBorder="1" applyAlignment="1">
      <alignment vertical="center"/>
    </xf>
    <xf numFmtId="0" fontId="42" fillId="11" borderId="6" xfId="0" applyFont="1" applyFill="1" applyBorder="1" applyAlignment="1">
      <alignment vertical="center"/>
    </xf>
    <xf numFmtId="0" fontId="11" fillId="5" borderId="6" xfId="0" applyNumberFormat="1" applyFont="1" applyFill="1" applyBorder="1" applyAlignment="1">
      <alignment horizontal="center" vertical="center"/>
    </xf>
    <xf numFmtId="0" fontId="42" fillId="11" borderId="25" xfId="0" applyFont="1" applyFill="1" applyBorder="1" applyAlignment="1">
      <alignment vertical="center"/>
    </xf>
    <xf numFmtId="0" fontId="11" fillId="5" borderId="6" xfId="0" applyFont="1" applyFill="1" applyBorder="1" applyAlignment="1">
      <alignment horizontal="center" vertical="center" wrapText="1"/>
    </xf>
    <xf numFmtId="0" fontId="48" fillId="5" borderId="8" xfId="0" applyFont="1" applyFill="1" applyBorder="1" applyAlignment="1">
      <alignment vertical="center"/>
    </xf>
    <xf numFmtId="0" fontId="11" fillId="5" borderId="8" xfId="0" applyFont="1" applyFill="1" applyBorder="1" applyAlignment="1">
      <alignment vertical="center"/>
    </xf>
    <xf numFmtId="0" fontId="11" fillId="5" borderId="50" xfId="0" applyFont="1" applyFill="1" applyBorder="1" applyAlignment="1">
      <alignment horizontal="center" vertical="center" wrapText="1"/>
    </xf>
    <xf numFmtId="0" fontId="11" fillId="5" borderId="42" xfId="9" applyFont="1" applyFill="1" applyBorder="1" applyAlignment="1">
      <alignment horizontal="center" vertical="center" wrapText="1"/>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1" fillId="5" borderId="49" xfId="0" applyFont="1" applyFill="1" applyBorder="1" applyAlignment="1">
      <alignment horizontal="center" vertical="center" wrapText="1"/>
    </xf>
    <xf numFmtId="0" fontId="42" fillId="11" borderId="6" xfId="0" applyNumberFormat="1" applyFont="1" applyFill="1" applyBorder="1" applyAlignment="1">
      <alignment vertical="center" wrapText="1"/>
    </xf>
    <xf numFmtId="0" fontId="42" fillId="11" borderId="6" xfId="0" applyFont="1" applyFill="1" applyBorder="1" applyAlignment="1">
      <alignment horizontal="left" vertical="center"/>
    </xf>
    <xf numFmtId="0" fontId="11" fillId="5" borderId="6" xfId="0" applyNumberFormat="1" applyFont="1" applyFill="1" applyBorder="1" applyAlignment="1">
      <alignment horizontal="center" vertical="center" wrapText="1"/>
    </xf>
    <xf numFmtId="0" fontId="42" fillId="11" borderId="6" xfId="0" applyFont="1" applyFill="1" applyBorder="1" applyAlignment="1">
      <alignment vertical="center" wrapText="1"/>
    </xf>
    <xf numFmtId="0" fontId="9" fillId="0" borderId="0" xfId="0" applyFont="1" applyFill="1" applyBorder="1" applyAlignment="1">
      <alignment horizontal="center" vertical="center" wrapText="1"/>
    </xf>
    <xf numFmtId="0" fontId="13" fillId="0" borderId="0" xfId="0" applyFont="1" applyAlignment="1">
      <alignment vertical="center"/>
    </xf>
    <xf numFmtId="0" fontId="11" fillId="5" borderId="42" xfId="8" applyFont="1" applyFill="1" applyBorder="1" applyAlignment="1">
      <alignment horizontal="center" vertical="center" wrapText="1"/>
    </xf>
    <xf numFmtId="0" fontId="7" fillId="4" borderId="0" xfId="0" applyFont="1" applyFill="1"/>
    <xf numFmtId="41" fontId="21" fillId="0" borderId="0" xfId="11" applyNumberFormat="1"/>
    <xf numFmtId="0" fontId="20" fillId="0" borderId="0" xfId="11" applyFont="1"/>
    <xf numFmtId="0" fontId="21" fillId="0" borderId="39" xfId="11" applyBorder="1"/>
    <xf numFmtId="0" fontId="21" fillId="0" borderId="71" xfId="11" applyBorder="1"/>
    <xf numFmtId="0" fontId="13" fillId="0" borderId="0" xfId="11" applyFont="1"/>
    <xf numFmtId="0" fontId="11" fillId="5" borderId="39" xfId="11" applyFont="1" applyFill="1" applyBorder="1" applyAlignment="1">
      <alignment horizontal="center" vertical="center" wrapText="1"/>
    </xf>
    <xf numFmtId="0" fontId="11" fillId="5" borderId="66" xfId="11" applyFont="1" applyFill="1" applyBorder="1" applyAlignment="1">
      <alignment horizontal="center" vertical="center" wrapText="1"/>
    </xf>
    <xf numFmtId="0" fontId="11" fillId="5" borderId="67" xfId="11" applyFont="1" applyFill="1" applyBorder="1" applyAlignment="1">
      <alignment horizontal="center" vertical="center" wrapText="1"/>
    </xf>
    <xf numFmtId="0" fontId="11" fillId="5" borderId="0" xfId="11" applyFont="1" applyFill="1" applyBorder="1" applyAlignment="1">
      <alignment horizontal="center" vertical="center" wrapText="1"/>
    </xf>
    <xf numFmtId="0" fontId="11" fillId="0" borderId="8" xfId="11" applyFont="1" applyFill="1" applyBorder="1" applyAlignment="1">
      <alignment horizontal="center" vertical="center" wrapText="1"/>
    </xf>
    <xf numFmtId="0" fontId="11" fillId="0" borderId="17" xfId="11" applyFont="1" applyFill="1" applyBorder="1" applyAlignment="1">
      <alignment horizontal="center" vertical="center" wrapText="1"/>
    </xf>
    <xf numFmtId="0" fontId="7" fillId="0" borderId="7" xfId="11" applyFont="1" applyBorder="1"/>
    <xf numFmtId="0" fontId="7" fillId="0" borderId="12" xfId="11" applyFont="1" applyBorder="1"/>
    <xf numFmtId="0" fontId="7" fillId="0" borderId="15" xfId="11" applyFont="1" applyBorder="1"/>
    <xf numFmtId="0" fontId="7" fillId="0" borderId="8" xfId="11" applyFont="1" applyBorder="1"/>
    <xf numFmtId="0" fontId="7" fillId="0" borderId="9" xfId="11" applyFont="1" applyBorder="1"/>
    <xf numFmtId="0" fontId="7" fillId="0" borderId="0" xfId="11" applyFont="1" applyBorder="1" applyAlignment="1">
      <alignment wrapText="1"/>
    </xf>
    <xf numFmtId="0" fontId="7" fillId="0" borderId="0" xfId="11" applyFont="1" applyBorder="1"/>
    <xf numFmtId="0" fontId="11" fillId="5" borderId="0" xfId="11" applyFont="1" applyFill="1" applyBorder="1"/>
    <xf numFmtId="0" fontId="11" fillId="5" borderId="14" xfId="11" applyFont="1" applyFill="1" applyBorder="1"/>
    <xf numFmtId="0" fontId="38" fillId="0" borderId="0" xfId="11" applyFont="1"/>
    <xf numFmtId="0" fontId="38" fillId="0" borderId="0" xfId="11" applyFont="1" applyBorder="1"/>
    <xf numFmtId="0" fontId="9" fillId="0" borderId="0" xfId="11" applyFont="1"/>
    <xf numFmtId="0" fontId="7" fillId="0" borderId="0" xfId="11" applyFont="1"/>
    <xf numFmtId="0" fontId="7" fillId="11" borderId="7" xfId="11" applyFont="1" applyFill="1" applyBorder="1"/>
    <xf numFmtId="164" fontId="7" fillId="0" borderId="0" xfId="1" applyNumberFormat="1" applyFont="1" applyAlignment="1">
      <alignment vertical="center"/>
    </xf>
    <xf numFmtId="164" fontId="11" fillId="5" borderId="8" xfId="1" applyNumberFormat="1" applyFont="1" applyFill="1" applyBorder="1" applyAlignment="1">
      <alignment vertical="center"/>
    </xf>
    <xf numFmtId="0" fontId="7" fillId="0" borderId="0" xfId="0" applyFont="1" applyFill="1" applyBorder="1" applyAlignment="1">
      <alignment vertical="center"/>
    </xf>
    <xf numFmtId="0" fontId="7" fillId="0" borderId="55" xfId="0" applyFont="1" applyFill="1" applyBorder="1" applyAlignment="1">
      <alignment vertical="center"/>
    </xf>
    <xf numFmtId="0" fontId="7" fillId="0" borderId="51" xfId="0" applyFont="1" applyFill="1" applyBorder="1" applyAlignment="1">
      <alignment vertical="center"/>
    </xf>
    <xf numFmtId="0" fontId="7" fillId="0" borderId="54" xfId="0" applyFont="1" applyFill="1" applyBorder="1" applyAlignment="1">
      <alignment vertical="center"/>
    </xf>
    <xf numFmtId="0" fontId="7" fillId="0" borderId="54" xfId="0" applyFont="1" applyFill="1" applyBorder="1" applyAlignment="1">
      <alignment horizontal="left" vertical="center"/>
    </xf>
    <xf numFmtId="0" fontId="7" fillId="0" borderId="55" xfId="0" applyFont="1" applyFill="1" applyBorder="1" applyAlignment="1">
      <alignment horizontal="left" vertical="center"/>
    </xf>
    <xf numFmtId="0" fontId="7" fillId="0" borderId="51" xfId="0" applyFont="1" applyFill="1" applyBorder="1" applyAlignment="1">
      <alignment horizontal="left" vertical="center"/>
    </xf>
    <xf numFmtId="41" fontId="11" fillId="5" borderId="9" xfId="0" applyNumberFormat="1" applyFont="1" applyFill="1" applyBorder="1" applyAlignment="1">
      <alignment vertical="center"/>
    </xf>
    <xf numFmtId="0" fontId="11" fillId="5" borderId="14" xfId="16" applyFont="1" applyFill="1" applyBorder="1" applyAlignment="1">
      <alignment horizontal="center" vertical="center"/>
    </xf>
    <xf numFmtId="0" fontId="11" fillId="5" borderId="60" xfId="16" applyFont="1" applyFill="1" applyBorder="1" applyAlignment="1">
      <alignment horizontal="center" vertical="center"/>
    </xf>
    <xf numFmtId="0" fontId="11" fillId="5" borderId="53" xfId="16" applyFont="1" applyFill="1" applyBorder="1" applyAlignment="1">
      <alignment horizontal="center" vertical="center"/>
    </xf>
    <xf numFmtId="0" fontId="11" fillId="5" borderId="13" xfId="16" applyFont="1" applyFill="1" applyBorder="1" applyAlignment="1">
      <alignment horizontal="center" vertical="center"/>
    </xf>
    <xf numFmtId="3" fontId="24" fillId="11" borderId="9" xfId="10" applyNumberFormat="1" applyFont="1" applyFill="1" applyBorder="1" applyAlignment="1">
      <alignment horizontal="center" vertical="center" wrapText="1"/>
    </xf>
    <xf numFmtId="166" fontId="24" fillId="11" borderId="9" xfId="10" applyNumberFormat="1" applyFont="1" applyFill="1" applyBorder="1" applyAlignment="1">
      <alignment horizontal="center" vertical="center"/>
    </xf>
    <xf numFmtId="3" fontId="7" fillId="11" borderId="9" xfId="10" applyNumberFormat="1" applyFont="1" applyFill="1" applyBorder="1" applyAlignment="1">
      <alignment horizontal="center" vertical="center"/>
    </xf>
    <xf numFmtId="3" fontId="7" fillId="11" borderId="9" xfId="0" applyNumberFormat="1" applyFont="1" applyFill="1" applyBorder="1" applyAlignment="1">
      <alignment horizontal="center" vertical="center"/>
    </xf>
    <xf numFmtId="0" fontId="7" fillId="11" borderId="9" xfId="0" applyFont="1" applyFill="1" applyBorder="1" applyAlignment="1">
      <alignment horizontal="center" vertical="center"/>
    </xf>
    <xf numFmtId="0" fontId="7" fillId="11" borderId="9" xfId="0" applyFont="1" applyFill="1" applyBorder="1" applyAlignment="1">
      <alignment horizontal="center" vertical="center" wrapText="1"/>
    </xf>
    <xf numFmtId="166" fontId="7" fillId="11" borderId="9" xfId="10" applyNumberFormat="1" applyFont="1" applyFill="1" applyBorder="1" applyAlignment="1">
      <alignment horizontal="center" vertical="center"/>
    </xf>
    <xf numFmtId="49" fontId="7" fillId="11" borderId="9" xfId="0" applyNumberFormat="1" applyFont="1" applyFill="1" applyBorder="1" applyAlignment="1">
      <alignment horizontal="center" vertical="center" wrapText="1"/>
    </xf>
    <xf numFmtId="3" fontId="24" fillId="11" borderId="58" xfId="10" applyNumberFormat="1" applyFont="1" applyFill="1" applyBorder="1" applyAlignment="1">
      <alignment horizontal="center" vertical="center" wrapText="1"/>
    </xf>
    <xf numFmtId="14" fontId="7" fillId="11" borderId="9" xfId="0" applyNumberFormat="1" applyFont="1" applyFill="1" applyBorder="1" applyAlignment="1">
      <alignment horizontal="center" vertical="center"/>
    </xf>
    <xf numFmtId="49" fontId="24" fillId="13" borderId="9" xfId="0" applyNumberFormat="1" applyFont="1" applyFill="1" applyBorder="1" applyAlignment="1">
      <alignment horizontal="center" vertical="center" wrapText="1"/>
    </xf>
    <xf numFmtId="3" fontId="7" fillId="11" borderId="9" xfId="1" applyNumberFormat="1" applyFont="1" applyFill="1" applyBorder="1" applyAlignment="1">
      <alignment horizontal="center" vertical="center" wrapText="1"/>
    </xf>
    <xf numFmtId="14" fontId="7" fillId="11" borderId="9" xfId="0" applyNumberFormat="1" applyFont="1" applyFill="1" applyBorder="1" applyAlignment="1">
      <alignment horizontal="center" vertical="center" wrapText="1"/>
    </xf>
    <xf numFmtId="0" fontId="24" fillId="13" borderId="9" xfId="0" applyNumberFormat="1" applyFont="1" applyFill="1" applyBorder="1" applyAlignment="1">
      <alignment horizontal="center" vertical="center" wrapText="1"/>
    </xf>
    <xf numFmtId="3" fontId="7" fillId="11" borderId="9" xfId="0" applyNumberFormat="1" applyFont="1" applyFill="1" applyBorder="1" applyAlignment="1">
      <alignment horizontal="center" vertical="center" wrapText="1"/>
    </xf>
    <xf numFmtId="3" fontId="7" fillId="11" borderId="15" xfId="0" applyNumberFormat="1" applyFont="1" applyFill="1" applyBorder="1" applyAlignment="1">
      <alignment horizontal="center" vertical="center"/>
    </xf>
    <xf numFmtId="3" fontId="24" fillId="11" borderId="9" xfId="1" applyNumberFormat="1" applyFont="1" applyFill="1" applyBorder="1" applyAlignment="1">
      <alignment horizontal="center" vertical="center" wrapText="1"/>
    </xf>
    <xf numFmtId="0" fontId="24" fillId="13" borderId="12" xfId="0" applyNumberFormat="1" applyFont="1" applyFill="1" applyBorder="1" applyAlignment="1">
      <alignment horizontal="center" vertical="center" wrapText="1"/>
    </xf>
    <xf numFmtId="3" fontId="24" fillId="11" borderId="12" xfId="10" applyNumberFormat="1" applyFont="1" applyFill="1" applyBorder="1" applyAlignment="1">
      <alignment horizontal="center" vertical="center" wrapText="1"/>
    </xf>
    <xf numFmtId="0" fontId="8" fillId="0" borderId="0" xfId="0" applyFont="1" applyAlignment="1">
      <alignment horizontal="left" wrapText="1"/>
    </xf>
    <xf numFmtId="0" fontId="38" fillId="0" borderId="0" xfId="0" applyFont="1" applyAlignment="1">
      <alignment wrapText="1"/>
    </xf>
    <xf numFmtId="0" fontId="53" fillId="2" borderId="0" xfId="10" applyFont="1" applyFill="1" applyAlignment="1">
      <alignment vertical="center"/>
    </xf>
    <xf numFmtId="3" fontId="24" fillId="11" borderId="15" xfId="10" applyNumberFormat="1" applyFont="1" applyFill="1" applyBorder="1" applyAlignment="1">
      <alignment horizontal="center" vertical="center" wrapText="1"/>
    </xf>
    <xf numFmtId="3" fontId="7" fillId="11" borderId="15" xfId="10" applyNumberFormat="1" applyFont="1" applyFill="1" applyBorder="1" applyAlignment="1">
      <alignment horizontal="center" vertical="center" wrapText="1"/>
    </xf>
    <xf numFmtId="3" fontId="24" fillId="11" borderId="8" xfId="10" applyNumberFormat="1" applyFont="1" applyFill="1" applyBorder="1" applyAlignment="1">
      <alignment horizontal="center" vertical="center" wrapText="1"/>
    </xf>
    <xf numFmtId="3" fontId="7" fillId="11" borderId="8" xfId="10" applyNumberFormat="1" applyFont="1" applyFill="1" applyBorder="1" applyAlignment="1">
      <alignment horizontal="center" vertical="center" wrapText="1"/>
    </xf>
    <xf numFmtId="0" fontId="24" fillId="11" borderId="9" xfId="14" applyFont="1" applyFill="1" applyBorder="1" applyAlignment="1">
      <alignment horizontal="center" vertical="center" wrapText="1"/>
    </xf>
    <xf numFmtId="0" fontId="16" fillId="11" borderId="9" xfId="0" applyFont="1" applyFill="1" applyBorder="1" applyAlignment="1">
      <alignment horizontal="center" vertical="center"/>
    </xf>
    <xf numFmtId="0" fontId="7" fillId="11" borderId="0" xfId="0" applyFont="1" applyFill="1" applyAlignment="1">
      <alignment horizontal="center" vertical="center" wrapText="1"/>
    </xf>
    <xf numFmtId="3" fontId="16" fillId="11" borderId="9" xfId="1" applyNumberFormat="1" applyFont="1" applyFill="1" applyBorder="1" applyAlignment="1">
      <alignment horizontal="center" vertical="center"/>
    </xf>
    <xf numFmtId="0" fontId="16" fillId="11" borderId="9" xfId="0" applyFont="1" applyFill="1" applyBorder="1" applyAlignment="1">
      <alignment horizontal="center" vertical="center" wrapText="1"/>
    </xf>
    <xf numFmtId="3" fontId="16" fillId="11" borderId="9" xfId="1" applyNumberFormat="1" applyFont="1" applyFill="1" applyBorder="1" applyAlignment="1">
      <alignment horizontal="center" vertical="center" wrapText="1"/>
    </xf>
    <xf numFmtId="3" fontId="9" fillId="4" borderId="9" xfId="10" applyNumberFormat="1" applyFont="1" applyFill="1" applyBorder="1" applyAlignment="1">
      <alignment horizontal="center" vertical="center" wrapText="1"/>
    </xf>
    <xf numFmtId="0" fontId="37" fillId="0" borderId="0" xfId="0" applyFont="1"/>
    <xf numFmtId="0" fontId="7" fillId="0" borderId="9" xfId="0" applyFont="1" applyFill="1" applyBorder="1" applyAlignment="1">
      <alignment vertical="center" wrapText="1"/>
    </xf>
    <xf numFmtId="3" fontId="7" fillId="0" borderId="25" xfId="0" applyNumberFormat="1" applyFont="1" applyBorder="1" applyAlignment="1">
      <alignment vertical="center"/>
    </xf>
    <xf numFmtId="3" fontId="7" fillId="0" borderId="39" xfId="0" applyNumberFormat="1" applyFont="1" applyBorder="1" applyAlignment="1">
      <alignment vertical="center"/>
    </xf>
    <xf numFmtId="3" fontId="7" fillId="0" borderId="43" xfId="0" applyNumberFormat="1" applyFont="1" applyBorder="1" applyAlignment="1">
      <alignment vertical="center"/>
    </xf>
    <xf numFmtId="3" fontId="7" fillId="0" borderId="9" xfId="10" applyNumberFormat="1" applyFont="1" applyFill="1" applyBorder="1" applyAlignment="1">
      <alignment horizontal="center" vertical="center" wrapText="1"/>
    </xf>
    <xf numFmtId="166" fontId="7" fillId="0" borderId="9" xfId="10" applyNumberFormat="1" applyFont="1" applyFill="1" applyBorder="1" applyAlignment="1">
      <alignment horizontal="center" vertical="center"/>
    </xf>
    <xf numFmtId="3" fontId="24" fillId="0" borderId="9" xfId="10" applyNumberFormat="1" applyFont="1" applyFill="1" applyBorder="1" applyAlignment="1">
      <alignment horizontal="center" vertical="center" wrapText="1"/>
    </xf>
    <xf numFmtId="3" fontId="7" fillId="0" borderId="9" xfId="10" applyNumberFormat="1" applyFont="1" applyFill="1" applyBorder="1" applyAlignment="1">
      <alignment horizontal="center" vertical="center"/>
    </xf>
    <xf numFmtId="0" fontId="7" fillId="0" borderId="9" xfId="0" applyFont="1" applyFill="1" applyBorder="1" applyAlignment="1">
      <alignment horizontal="center" vertical="center"/>
    </xf>
    <xf numFmtId="3" fontId="24" fillId="0" borderId="9" xfId="10" applyNumberFormat="1" applyFont="1" applyFill="1" applyBorder="1" applyAlignment="1">
      <alignment horizontal="center" vertical="center"/>
    </xf>
    <xf numFmtId="166" fontId="24" fillId="0" borderId="9" xfId="10" applyNumberFormat="1" applyFont="1" applyFill="1" applyBorder="1" applyAlignment="1">
      <alignment horizontal="center" vertical="center"/>
    </xf>
    <xf numFmtId="14" fontId="7" fillId="0" borderId="9" xfId="0" applyNumberFormat="1" applyFont="1" applyBorder="1" applyAlignment="1">
      <alignment horizontal="center" vertical="center"/>
    </xf>
    <xf numFmtId="3" fontId="8" fillId="4" borderId="9" xfId="10" applyNumberFormat="1" applyFont="1" applyFill="1" applyBorder="1" applyAlignment="1">
      <alignment horizontal="center" vertical="center"/>
    </xf>
    <xf numFmtId="3" fontId="16" fillId="0" borderId="9" xfId="10" applyNumberFormat="1" applyFont="1" applyFill="1" applyBorder="1" applyAlignment="1">
      <alignment horizontal="center" vertical="center" wrapText="1"/>
    </xf>
    <xf numFmtId="3" fontId="8" fillId="0" borderId="0" xfId="10" applyNumberFormat="1" applyFont="1" applyFill="1" applyBorder="1" applyAlignment="1">
      <alignment horizontal="center" vertical="center"/>
    </xf>
    <xf numFmtId="3" fontId="38" fillId="0" borderId="29" xfId="0" applyNumberFormat="1" applyFont="1" applyFill="1" applyBorder="1" applyAlignment="1">
      <alignment horizontal="center" vertical="center"/>
    </xf>
    <xf numFmtId="166" fontId="24" fillId="11" borderId="0" xfId="10" applyNumberFormat="1" applyFont="1" applyFill="1" applyBorder="1" applyAlignment="1">
      <alignment horizontal="center" vertical="center"/>
    </xf>
    <xf numFmtId="49" fontId="24" fillId="2" borderId="9" xfId="0" applyNumberFormat="1" applyFont="1" applyFill="1" applyBorder="1" applyAlignment="1">
      <alignment horizontal="center" vertical="center" wrapText="1"/>
    </xf>
    <xf numFmtId="0" fontId="24" fillId="2" borderId="9" xfId="0" applyNumberFormat="1" applyFont="1" applyFill="1" applyBorder="1" applyAlignment="1">
      <alignment horizontal="center" vertical="center" wrapText="1"/>
    </xf>
    <xf numFmtId="0" fontId="16" fillId="11" borderId="8" xfId="0" applyFont="1" applyFill="1" applyBorder="1" applyAlignment="1">
      <alignment horizontal="center" vertical="center"/>
    </xf>
    <xf numFmtId="49" fontId="24" fillId="13" borderId="8" xfId="0" applyNumberFormat="1" applyFont="1" applyFill="1" applyBorder="1" applyAlignment="1">
      <alignment horizontal="center" vertical="center" wrapText="1"/>
    </xf>
    <xf numFmtId="3" fontId="24" fillId="11" borderId="0" xfId="10" applyNumberFormat="1" applyFont="1" applyFill="1" applyBorder="1" applyAlignment="1">
      <alignment horizontal="center" vertical="center" wrapText="1"/>
    </xf>
    <xf numFmtId="3" fontId="7" fillId="11" borderId="20" xfId="10" applyNumberFormat="1" applyFont="1" applyFill="1" applyBorder="1" applyAlignment="1">
      <alignment horizontal="center" vertical="center" wrapText="1"/>
    </xf>
    <xf numFmtId="0" fontId="7" fillId="11" borderId="20" xfId="0" applyFont="1" applyFill="1" applyBorder="1" applyAlignment="1">
      <alignment horizontal="center" vertical="center" wrapText="1"/>
    </xf>
    <xf numFmtId="0" fontId="54" fillId="2" borderId="0" xfId="10" applyFont="1" applyFill="1" applyAlignment="1">
      <alignment vertical="center"/>
    </xf>
    <xf numFmtId="0" fontId="55" fillId="0" borderId="0" xfId="11" applyFont="1" applyAlignment="1">
      <alignment horizontal="left" wrapText="1"/>
    </xf>
    <xf numFmtId="0" fontId="55" fillId="0" borderId="0" xfId="11" applyFont="1" applyAlignment="1">
      <alignment horizontal="center" wrapText="1"/>
    </xf>
    <xf numFmtId="0" fontId="12" fillId="0" borderId="0" xfId="11" applyFont="1"/>
    <xf numFmtId="0" fontId="36" fillId="2" borderId="0" xfId="10" applyFont="1" applyFill="1" applyAlignment="1">
      <alignment vertical="center"/>
    </xf>
    <xf numFmtId="0" fontId="12" fillId="0" borderId="0" xfId="11" applyFont="1" applyAlignment="1">
      <alignment horizontal="left"/>
    </xf>
    <xf numFmtId="0" fontId="12" fillId="0" borderId="0" xfId="11" applyFont="1" applyAlignment="1"/>
    <xf numFmtId="0" fontId="12" fillId="0" borderId="0" xfId="11" applyFont="1" applyAlignment="1">
      <alignment horizontal="center"/>
    </xf>
    <xf numFmtId="0" fontId="56" fillId="2" borderId="0" xfId="10" applyFont="1" applyFill="1" applyAlignment="1">
      <alignment vertical="center"/>
    </xf>
    <xf numFmtId="0" fontId="57" fillId="11" borderId="9" xfId="0" applyFont="1" applyFill="1" applyBorder="1" applyAlignment="1">
      <alignment horizontal="center" vertical="center" wrapText="1"/>
    </xf>
    <xf numFmtId="3" fontId="7" fillId="0" borderId="9" xfId="0" applyNumberFormat="1" applyFont="1" applyBorder="1" applyAlignment="1">
      <alignment horizontal="center" vertical="center"/>
    </xf>
    <xf numFmtId="0" fontId="12" fillId="0" borderId="29" xfId="11" applyFont="1" applyBorder="1"/>
    <xf numFmtId="0" fontId="12" fillId="0" borderId="0" xfId="11" applyFont="1" applyBorder="1"/>
    <xf numFmtId="0" fontId="11" fillId="5" borderId="74" xfId="16" applyFont="1" applyFill="1" applyBorder="1" applyAlignment="1">
      <alignment horizontal="center" vertical="center"/>
    </xf>
    <xf numFmtId="14" fontId="7" fillId="0" borderId="0" xfId="0" applyNumberFormat="1" applyFont="1" applyBorder="1" applyAlignment="1">
      <alignment horizontal="center" vertical="center"/>
    </xf>
    <xf numFmtId="3" fontId="24" fillId="11" borderId="75" xfId="10" applyNumberFormat="1" applyFont="1" applyFill="1" applyBorder="1" applyAlignment="1">
      <alignment horizontal="center" vertical="center" wrapText="1"/>
    </xf>
    <xf numFmtId="3" fontId="9" fillId="4" borderId="20" xfId="10" applyNumberFormat="1" applyFont="1" applyFill="1" applyBorder="1" applyAlignment="1">
      <alignment horizontal="center" vertical="center"/>
    </xf>
    <xf numFmtId="166" fontId="24" fillId="11" borderId="15" xfId="10" applyNumberFormat="1" applyFont="1" applyFill="1" applyBorder="1" applyAlignment="1">
      <alignment horizontal="center" vertical="center"/>
    </xf>
    <xf numFmtId="3" fontId="24" fillId="11" borderId="7" xfId="10" applyNumberFormat="1" applyFont="1" applyFill="1" applyBorder="1" applyAlignment="1">
      <alignment horizontal="center" vertical="center" wrapText="1"/>
    </xf>
    <xf numFmtId="3" fontId="9" fillId="4" borderId="6" xfId="10" applyNumberFormat="1" applyFont="1" applyFill="1" applyBorder="1" applyAlignment="1">
      <alignment horizontal="center" vertical="center"/>
    </xf>
    <xf numFmtId="3" fontId="8" fillId="4" borderId="8"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37" fillId="0" borderId="0" xfId="11" applyFont="1"/>
    <xf numFmtId="0" fontId="7" fillId="11" borderId="0" xfId="0" applyFont="1" applyFill="1"/>
    <xf numFmtId="0" fontId="59" fillId="0" borderId="0" xfId="0" applyFont="1"/>
    <xf numFmtId="0" fontId="60" fillId="0" borderId="0" xfId="0" applyFont="1"/>
    <xf numFmtId="0" fontId="61" fillId="0" borderId="0" xfId="7" applyFont="1" applyAlignment="1" applyProtection="1"/>
    <xf numFmtId="0" fontId="62" fillId="0" borderId="0" xfId="0" applyFont="1"/>
    <xf numFmtId="0" fontId="63" fillId="4" borderId="0" xfId="0" applyFont="1" applyFill="1"/>
    <xf numFmtId="0" fontId="60" fillId="4" borderId="0" xfId="0" applyFont="1" applyFill="1"/>
    <xf numFmtId="41" fontId="7" fillId="0" borderId="39" xfId="0" applyNumberFormat="1" applyFont="1" applyBorder="1" applyAlignment="1">
      <alignment vertical="center"/>
    </xf>
    <xf numFmtId="41" fontId="7" fillId="0" borderId="0" xfId="0" applyNumberFormat="1" applyFont="1" applyAlignment="1">
      <alignment vertical="center"/>
    </xf>
    <xf numFmtId="0" fontId="11" fillId="5" borderId="44" xfId="8"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24" fillId="11" borderId="29" xfId="0" applyFont="1" applyFill="1" applyBorder="1" applyAlignment="1">
      <alignment vertical="center"/>
    </xf>
    <xf numFmtId="164" fontId="7" fillId="0" borderId="0" xfId="1" applyNumberFormat="1" applyFont="1" applyAlignment="1">
      <alignment horizontal="right" vertical="center"/>
    </xf>
    <xf numFmtId="0" fontId="7" fillId="0" borderId="10" xfId="0" applyFont="1" applyFill="1" applyBorder="1" applyAlignment="1">
      <alignment horizontal="left" vertical="center"/>
    </xf>
    <xf numFmtId="0" fontId="7" fillId="11" borderId="15" xfId="0" applyFont="1" applyFill="1" applyBorder="1" applyAlignment="1">
      <alignment horizontal="center" vertical="center" wrapText="1"/>
    </xf>
    <xf numFmtId="3" fontId="7" fillId="0" borderId="9" xfId="0" applyNumberFormat="1" applyFont="1" applyFill="1" applyBorder="1" applyAlignment="1">
      <alignment horizontal="center" vertical="center"/>
    </xf>
    <xf numFmtId="0" fontId="57" fillId="0" borderId="9" xfId="0" applyFont="1" applyFill="1" applyBorder="1" applyAlignment="1">
      <alignment horizontal="center" vertical="center" wrapText="1"/>
    </xf>
    <xf numFmtId="0" fontId="1" fillId="0" borderId="9" xfId="1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7" fillId="0" borderId="9" xfId="10" applyNumberFormat="1" applyFont="1" applyFill="1" applyBorder="1" applyAlignment="1">
      <alignment horizontal="center" vertical="center" wrapText="1" shrinkToFit="1"/>
    </xf>
    <xf numFmtId="43" fontId="24" fillId="0" borderId="9" xfId="26" applyFont="1" applyFill="1" applyBorder="1" applyAlignment="1">
      <alignment horizontal="center" vertical="center" wrapText="1"/>
    </xf>
    <xf numFmtId="3" fontId="7" fillId="0" borderId="9" xfId="0" applyNumberFormat="1" applyFont="1" applyFill="1" applyBorder="1" applyAlignment="1">
      <alignment horizontal="center" vertical="center" wrapText="1" shrinkToFit="1"/>
    </xf>
    <xf numFmtId="3" fontId="7" fillId="0" borderId="9" xfId="26" applyNumberFormat="1" applyFont="1" applyFill="1" applyBorder="1" applyAlignment="1">
      <alignment horizontal="center" vertical="center" wrapText="1"/>
    </xf>
    <xf numFmtId="3" fontId="65" fillId="0" borderId="9" xfId="0" applyNumberFormat="1" applyFont="1" applyFill="1" applyBorder="1" applyAlignment="1">
      <alignment horizontal="center" vertical="center"/>
    </xf>
    <xf numFmtId="3" fontId="7" fillId="0" borderId="15" xfId="10" applyNumberFormat="1" applyFont="1" applyFill="1" applyBorder="1" applyAlignment="1">
      <alignment horizontal="center" vertical="center" wrapText="1"/>
    </xf>
    <xf numFmtId="3" fontId="7" fillId="0" borderId="15" xfId="1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4" fillId="13" borderId="58" xfId="0" applyNumberFormat="1" applyFont="1" applyFill="1" applyBorder="1" applyAlignment="1">
      <alignment horizontal="center" vertical="center" wrapText="1"/>
    </xf>
    <xf numFmtId="0" fontId="29" fillId="0" borderId="0" xfId="0" applyFont="1" applyFill="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7" fillId="0" borderId="24" xfId="8" applyFont="1" applyFill="1" applyBorder="1" applyAlignment="1">
      <alignment vertical="center"/>
    </xf>
    <xf numFmtId="169" fontId="7" fillId="0" borderId="0" xfId="0" applyNumberFormat="1" applyFont="1" applyBorder="1" applyAlignment="1">
      <alignment vertical="center"/>
    </xf>
    <xf numFmtId="0" fontId="7" fillId="0" borderId="0" xfId="0" applyFont="1" applyBorder="1" applyAlignment="1">
      <alignment vertical="center"/>
    </xf>
    <xf numFmtId="0" fontId="7" fillId="0" borderId="10" xfId="8" applyFont="1" applyFill="1" applyBorder="1" applyAlignment="1">
      <alignment vertical="center"/>
    </xf>
    <xf numFmtId="0" fontId="7" fillId="0" borderId="11" xfId="8" applyFont="1" applyFill="1" applyBorder="1" applyAlignment="1">
      <alignment vertical="center"/>
    </xf>
    <xf numFmtId="169" fontId="7" fillId="0" borderId="0" xfId="0" applyNumberFormat="1" applyFont="1" applyAlignment="1">
      <alignment vertical="center"/>
    </xf>
    <xf numFmtId="0" fontId="7" fillId="0" borderId="7" xfId="8" applyFont="1" applyFill="1" applyBorder="1" applyAlignment="1">
      <alignment vertical="center"/>
    </xf>
    <xf numFmtId="0" fontId="11" fillId="5" borderId="6" xfId="8" applyFont="1" applyFill="1" applyBorder="1" applyAlignment="1">
      <alignment vertical="center"/>
    </xf>
    <xf numFmtId="170" fontId="7" fillId="0" borderId="0" xfId="0" applyNumberFormat="1" applyFont="1" applyAlignment="1">
      <alignment vertical="center"/>
    </xf>
    <xf numFmtId="0" fontId="9" fillId="0" borderId="0" xfId="0" applyFont="1" applyFill="1" applyBorder="1" applyAlignment="1">
      <alignment vertical="center"/>
    </xf>
    <xf numFmtId="3" fontId="9" fillId="0" borderId="0" xfId="0" applyNumberFormat="1" applyFont="1" applyFill="1" applyBorder="1" applyAlignment="1">
      <alignment vertical="center"/>
    </xf>
    <xf numFmtId="0" fontId="64" fillId="15" borderId="0" xfId="25" applyFont="1" applyFill="1" applyBorder="1" applyAlignment="1">
      <alignment horizontal="center" vertical="center"/>
    </xf>
    <xf numFmtId="0" fontId="7" fillId="11" borderId="0" xfId="0" applyFont="1" applyFill="1" applyBorder="1" applyAlignment="1">
      <alignment vertical="center"/>
    </xf>
    <xf numFmtId="0" fontId="7" fillId="0" borderId="0" xfId="0" applyFont="1" applyAlignment="1">
      <alignment vertical="center" wrapText="1"/>
    </xf>
    <xf numFmtId="0" fontId="64" fillId="11" borderId="0" xfId="25" applyFont="1" applyFill="1" applyBorder="1" applyAlignment="1">
      <alignment vertical="center" wrapText="1"/>
    </xf>
    <xf numFmtId="0" fontId="64" fillId="11" borderId="0" xfId="25" applyFont="1" applyFill="1" applyBorder="1" applyAlignment="1">
      <alignment horizontal="right" vertical="center" wrapText="1"/>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76" xfId="0" applyNumberFormat="1" applyFont="1" applyBorder="1" applyAlignment="1">
      <alignment vertical="center"/>
    </xf>
    <xf numFmtId="0" fontId="0" fillId="0" borderId="0" xfId="0" applyAlignment="1">
      <alignment vertical="center"/>
    </xf>
    <xf numFmtId="0" fontId="24" fillId="6" borderId="39" xfId="0" applyFont="1" applyFill="1" applyBorder="1" applyAlignment="1">
      <alignment horizontal="right" vertical="center"/>
    </xf>
    <xf numFmtId="0" fontId="24" fillId="6" borderId="0" xfId="0" applyFont="1" applyFill="1" applyBorder="1" applyAlignment="1">
      <alignment horizontal="right" vertical="center"/>
    </xf>
    <xf numFmtId="0" fontId="24" fillId="11" borderId="8" xfId="0" applyFont="1" applyFill="1" applyBorder="1" applyAlignment="1">
      <alignment horizontal="right" vertical="center"/>
    </xf>
    <xf numFmtId="0" fontId="24" fillId="11" borderId="0" xfId="0" applyFont="1" applyFill="1" applyBorder="1" applyAlignment="1">
      <alignment horizontal="right" vertical="center"/>
    </xf>
    <xf numFmtId="0" fontId="48" fillId="5" borderId="8" xfId="0" applyFont="1" applyFill="1" applyBorder="1" applyAlignment="1">
      <alignment horizontal="right" vertical="center"/>
    </xf>
    <xf numFmtId="0" fontId="24" fillId="11" borderId="17" xfId="0" applyFont="1" applyFill="1" applyBorder="1" applyAlignment="1">
      <alignment horizontal="right" vertical="center"/>
    </xf>
    <xf numFmtId="0" fontId="11" fillId="5" borderId="8" xfId="0" applyFont="1" applyFill="1" applyBorder="1" applyAlignment="1">
      <alignment horizontal="right" vertical="center"/>
    </xf>
    <xf numFmtId="0" fontId="24" fillId="11" borderId="15" xfId="0" applyFont="1" applyFill="1" applyBorder="1" applyAlignment="1">
      <alignment horizontal="right" vertical="center"/>
    </xf>
    <xf numFmtId="0" fontId="24" fillId="11" borderId="7" xfId="0" applyFont="1" applyFill="1" applyBorder="1" applyAlignment="1">
      <alignment horizontal="right" vertical="center"/>
    </xf>
    <xf numFmtId="0" fontId="24" fillId="11" borderId="12" xfId="0" applyFont="1" applyFill="1" applyBorder="1" applyAlignment="1">
      <alignment horizontal="right" vertical="center"/>
    </xf>
    <xf numFmtId="0" fontId="7" fillId="11" borderId="15" xfId="0" applyFont="1" applyFill="1" applyBorder="1" applyAlignment="1">
      <alignment horizontal="right" vertical="center"/>
    </xf>
    <xf numFmtId="0" fontId="7" fillId="11" borderId="7" xfId="0" applyFont="1" applyFill="1" applyBorder="1" applyAlignment="1">
      <alignment horizontal="right" vertical="center"/>
    </xf>
    <xf numFmtId="0" fontId="7" fillId="11" borderId="12" xfId="0" applyFont="1" applyFill="1" applyBorder="1" applyAlignment="1">
      <alignment horizontal="right" vertical="center"/>
    </xf>
    <xf numFmtId="0" fontId="9" fillId="11" borderId="6" xfId="0" applyFont="1" applyFill="1" applyBorder="1" applyAlignment="1">
      <alignment vertical="center"/>
    </xf>
    <xf numFmtId="0" fontId="7" fillId="11" borderId="8" xfId="0" applyFont="1" applyFill="1" applyBorder="1" applyAlignment="1">
      <alignment horizontal="right" vertical="center"/>
    </xf>
    <xf numFmtId="0" fontId="9" fillId="11" borderId="25" xfId="0" applyFont="1" applyFill="1" applyBorder="1" applyAlignment="1">
      <alignment vertical="center"/>
    </xf>
    <xf numFmtId="0" fontId="7" fillId="11" borderId="39" xfId="0" applyFont="1" applyFill="1" applyBorder="1" applyAlignment="1">
      <alignment horizontal="right" vertical="center"/>
    </xf>
    <xf numFmtId="0" fontId="7" fillId="11" borderId="29" xfId="0" applyFont="1" applyFill="1" applyBorder="1" applyAlignment="1">
      <alignment horizontal="right" vertical="center"/>
    </xf>
    <xf numFmtId="3" fontId="7" fillId="11" borderId="0" xfId="0" applyNumberFormat="1" applyFont="1" applyFill="1" applyBorder="1" applyAlignment="1">
      <alignment vertical="center"/>
    </xf>
    <xf numFmtId="3" fontId="7" fillId="11" borderId="23" xfId="0" applyNumberFormat="1" applyFont="1" applyFill="1" applyBorder="1" applyAlignment="1">
      <alignment vertical="center"/>
    </xf>
    <xf numFmtId="0" fontId="7" fillId="11" borderId="25" xfId="0" applyFont="1" applyFill="1" applyBorder="1" applyAlignment="1">
      <alignment horizontal="right" vertical="center"/>
    </xf>
    <xf numFmtId="3" fontId="7" fillId="11" borderId="0" xfId="0" applyNumberFormat="1" applyFont="1" applyFill="1" applyAlignment="1">
      <alignment vertical="center"/>
    </xf>
    <xf numFmtId="3" fontId="7" fillId="11" borderId="29" xfId="0" applyNumberFormat="1" applyFont="1" applyFill="1" applyBorder="1" applyAlignment="1">
      <alignment vertical="center"/>
    </xf>
    <xf numFmtId="3" fontId="7" fillId="0" borderId="0" xfId="0" applyNumberFormat="1" applyFont="1" applyBorder="1" applyAlignment="1">
      <alignment vertical="center"/>
    </xf>
    <xf numFmtId="3" fontId="7" fillId="0" borderId="31" xfId="0" applyNumberFormat="1" applyFont="1" applyBorder="1" applyAlignment="1">
      <alignment vertical="center"/>
    </xf>
    <xf numFmtId="3" fontId="7" fillId="0" borderId="17" xfId="0" applyNumberFormat="1" applyFont="1" applyBorder="1" applyAlignment="1">
      <alignment vertical="center"/>
    </xf>
    <xf numFmtId="0" fontId="7" fillId="0" borderId="0" xfId="0" applyFont="1" applyFill="1" applyBorder="1" applyAlignment="1">
      <alignment horizontal="right" vertical="center"/>
    </xf>
    <xf numFmtId="41" fontId="9" fillId="0" borderId="0" xfId="0" applyNumberFormat="1" applyFont="1" applyFill="1" applyBorder="1" applyAlignment="1">
      <alignment horizontal="center" vertical="center"/>
    </xf>
    <xf numFmtId="41" fontId="9" fillId="0" borderId="0" xfId="0" applyNumberFormat="1" applyFont="1" applyFill="1" applyBorder="1" applyAlignment="1">
      <alignment vertical="center"/>
    </xf>
    <xf numFmtId="0" fontId="9" fillId="0" borderId="0" xfId="0" applyFont="1" applyAlignment="1">
      <alignment vertical="center"/>
    </xf>
    <xf numFmtId="3" fontId="7" fillId="0" borderId="0" xfId="0" applyNumberFormat="1" applyFont="1" applyFill="1" applyBorder="1" applyAlignment="1">
      <alignment vertical="center"/>
    </xf>
    <xf numFmtId="1" fontId="7" fillId="0" borderId="0" xfId="0" applyNumberFormat="1" applyFont="1" applyFill="1" applyBorder="1" applyAlignment="1">
      <alignment vertical="center"/>
    </xf>
    <xf numFmtId="0" fontId="15" fillId="0" borderId="0" xfId="0" applyFont="1" applyAlignment="1">
      <alignment vertical="center"/>
    </xf>
    <xf numFmtId="0" fontId="7" fillId="0" borderId="24" xfId="9" applyFont="1" applyFill="1" applyBorder="1" applyAlignment="1">
      <alignment vertical="center"/>
    </xf>
    <xf numFmtId="0" fontId="7" fillId="0" borderId="10" xfId="9" applyFont="1" applyFill="1" applyBorder="1" applyAlignment="1">
      <alignment vertical="center"/>
    </xf>
    <xf numFmtId="0" fontId="7" fillId="0" borderId="11" xfId="9" applyFont="1" applyFill="1" applyBorder="1" applyAlignment="1">
      <alignment vertical="center"/>
    </xf>
    <xf numFmtId="0" fontId="7" fillId="0" borderId="7" xfId="9" applyFont="1" applyFill="1" applyBorder="1" applyAlignment="1">
      <alignment vertical="center"/>
    </xf>
    <xf numFmtId="0" fontId="11" fillId="5" borderId="6" xfId="9" applyFont="1" applyFill="1" applyBorder="1" applyAlignment="1">
      <alignment vertical="center"/>
    </xf>
    <xf numFmtId="0" fontId="12" fillId="0" borderId="0" xfId="0" applyFont="1" applyAlignment="1">
      <alignment vertical="center"/>
    </xf>
    <xf numFmtId="0" fontId="9" fillId="0" borderId="0" xfId="0" applyFont="1" applyFill="1" applyBorder="1" applyAlignment="1">
      <alignment horizontal="center" vertical="center"/>
    </xf>
    <xf numFmtId="0" fontId="13" fillId="0" borderId="0" xfId="0" applyFont="1" applyBorder="1" applyAlignment="1">
      <alignment vertical="center"/>
    </xf>
    <xf numFmtId="0" fontId="1" fillId="0" borderId="0" xfId="0" applyFont="1" applyBorder="1" applyAlignment="1">
      <alignment vertical="center"/>
    </xf>
    <xf numFmtId="0" fontId="17" fillId="0" borderId="0" xfId="0" applyFont="1" applyAlignment="1">
      <alignment vertical="center"/>
    </xf>
    <xf numFmtId="0" fontId="7" fillId="6" borderId="15" xfId="0" applyFont="1" applyFill="1" applyBorder="1" applyAlignment="1">
      <alignment vertical="center"/>
    </xf>
    <xf numFmtId="41" fontId="7" fillId="6" borderId="39" xfId="0" applyNumberFormat="1" applyFont="1" applyFill="1" applyBorder="1" applyAlignment="1">
      <alignment vertical="center"/>
    </xf>
    <xf numFmtId="41" fontId="7" fillId="6" borderId="15" xfId="0" applyNumberFormat="1" applyFont="1" applyFill="1" applyBorder="1" applyAlignment="1">
      <alignment vertical="center"/>
    </xf>
    <xf numFmtId="0" fontId="7" fillId="6" borderId="7" xfId="0" applyFont="1" applyFill="1" applyBorder="1" applyAlignment="1">
      <alignment vertical="center"/>
    </xf>
    <xf numFmtId="41" fontId="7" fillId="6" borderId="0" xfId="0" applyNumberFormat="1" applyFont="1" applyFill="1" applyBorder="1" applyAlignment="1">
      <alignment vertical="center"/>
    </xf>
    <xf numFmtId="41" fontId="7" fillId="6" borderId="7" xfId="0" applyNumberFormat="1" applyFont="1" applyFill="1" applyBorder="1" applyAlignment="1">
      <alignment vertical="center"/>
    </xf>
    <xf numFmtId="0" fontId="7" fillId="6" borderId="12" xfId="0" applyFont="1" applyFill="1" applyBorder="1" applyAlignment="1">
      <alignment vertical="center"/>
    </xf>
    <xf numFmtId="41" fontId="7" fillId="6" borderId="17" xfId="0" applyNumberFormat="1" applyFont="1" applyFill="1" applyBorder="1" applyAlignment="1">
      <alignment vertical="center"/>
    </xf>
    <xf numFmtId="41" fontId="7" fillId="6" borderId="12" xfId="0" applyNumberFormat="1" applyFont="1" applyFill="1" applyBorder="1" applyAlignment="1">
      <alignment vertical="center"/>
    </xf>
    <xf numFmtId="0" fontId="11" fillId="5" borderId="9" xfId="0" applyFont="1" applyFill="1" applyBorder="1" applyAlignment="1">
      <alignment vertical="center"/>
    </xf>
    <xf numFmtId="0" fontId="48" fillId="5" borderId="9" xfId="0" applyFont="1" applyFill="1" applyBorder="1" applyAlignment="1">
      <alignment vertical="center"/>
    </xf>
    <xf numFmtId="41" fontId="7" fillId="0" borderId="0" xfId="0" applyNumberFormat="1" applyFont="1" applyFill="1" applyBorder="1" applyAlignment="1">
      <alignment vertical="center"/>
    </xf>
    <xf numFmtId="41" fontId="7" fillId="0" borderId="23" xfId="0" applyNumberFormat="1" applyFont="1" applyBorder="1" applyAlignment="1">
      <alignment vertical="center"/>
    </xf>
    <xf numFmtId="41" fontId="7" fillId="0" borderId="0" xfId="0" applyNumberFormat="1" applyFont="1" applyBorder="1" applyAlignment="1">
      <alignment vertical="center"/>
    </xf>
    <xf numFmtId="41" fontId="7" fillId="0" borderId="17" xfId="0" applyNumberFormat="1" applyFont="1" applyBorder="1" applyAlignment="1">
      <alignment vertical="center"/>
    </xf>
    <xf numFmtId="0" fontId="11" fillId="5" borderId="9" xfId="0" applyFont="1" applyFill="1" applyBorder="1" applyAlignment="1">
      <alignment horizontal="center" vertical="center"/>
    </xf>
    <xf numFmtId="3" fontId="7" fillId="0" borderId="23" xfId="0" applyNumberFormat="1" applyFont="1" applyBorder="1" applyAlignment="1">
      <alignment vertical="center"/>
    </xf>
    <xf numFmtId="0" fontId="48" fillId="5" borderId="12" xfId="0" applyFont="1" applyFill="1" applyBorder="1" applyAlignment="1">
      <alignment vertical="center"/>
    </xf>
    <xf numFmtId="0" fontId="9" fillId="0" borderId="0" xfId="0" applyFont="1" applyBorder="1" applyAlignment="1">
      <alignment vertical="center"/>
    </xf>
    <xf numFmtId="0" fontId="7" fillId="0" borderId="17" xfId="0" applyFont="1" applyBorder="1" applyAlignment="1">
      <alignment vertical="center"/>
    </xf>
    <xf numFmtId="0" fontId="24" fillId="11" borderId="0" xfId="0" applyFont="1" applyFill="1" applyBorder="1" applyAlignment="1">
      <alignment vertical="center"/>
    </xf>
    <xf numFmtId="0" fontId="24" fillId="11" borderId="8" xfId="0" applyFont="1" applyFill="1" applyBorder="1" applyAlignment="1">
      <alignment vertical="center"/>
    </xf>
    <xf numFmtId="0" fontId="24" fillId="11" borderId="39" xfId="0" applyFont="1" applyFill="1" applyBorder="1" applyAlignment="1">
      <alignment vertical="center"/>
    </xf>
    <xf numFmtId="0" fontId="24" fillId="6" borderId="0" xfId="0" applyFont="1" applyFill="1" applyBorder="1" applyAlignment="1">
      <alignment vertical="center"/>
    </xf>
    <xf numFmtId="0" fontId="42" fillId="11" borderId="8" xfId="0" applyFont="1" applyFill="1" applyBorder="1" applyAlignment="1">
      <alignment vertical="center"/>
    </xf>
    <xf numFmtId="0" fontId="42" fillId="11" borderId="39" xfId="0" applyFont="1" applyFill="1" applyBorder="1" applyAlignment="1">
      <alignment vertical="center"/>
    </xf>
    <xf numFmtId="0" fontId="42" fillId="11" borderId="20" xfId="0" applyFont="1" applyFill="1" applyBorder="1" applyAlignment="1">
      <alignment vertical="center"/>
    </xf>
    <xf numFmtId="0" fontId="24" fillId="6" borderId="43" xfId="0" applyFont="1" applyFill="1" applyBorder="1" applyAlignment="1">
      <alignment vertical="center"/>
    </xf>
    <xf numFmtId="0" fontId="24" fillId="6" borderId="31" xfId="0" applyFont="1" applyFill="1" applyBorder="1" applyAlignment="1">
      <alignment vertical="center"/>
    </xf>
    <xf numFmtId="0" fontId="24" fillId="6" borderId="39" xfId="0" applyFont="1" applyFill="1" applyBorder="1" applyAlignment="1">
      <alignment vertical="center"/>
    </xf>
    <xf numFmtId="0" fontId="24" fillId="6" borderId="17" xfId="0" applyFont="1" applyFill="1" applyBorder="1" applyAlignment="1">
      <alignment vertical="center"/>
    </xf>
    <xf numFmtId="0" fontId="13" fillId="0" borderId="0" xfId="6" applyFont="1" applyAlignment="1">
      <alignment vertical="center"/>
    </xf>
    <xf numFmtId="0" fontId="7" fillId="0" borderId="0" xfId="6" applyFont="1" applyAlignment="1">
      <alignment vertical="center"/>
    </xf>
    <xf numFmtId="0" fontId="14" fillId="0" borderId="0" xfId="6" applyFont="1" applyAlignment="1">
      <alignment vertical="center"/>
    </xf>
    <xf numFmtId="0" fontId="7" fillId="0" borderId="22" xfId="6" applyFont="1" applyBorder="1" applyAlignment="1">
      <alignment vertical="center"/>
    </xf>
    <xf numFmtId="0" fontId="7" fillId="0" borderId="21" xfId="6" applyFont="1" applyBorder="1" applyAlignment="1">
      <alignment vertical="center"/>
    </xf>
    <xf numFmtId="0" fontId="11" fillId="5" borderId="57" xfId="6" applyFont="1" applyFill="1" applyBorder="1" applyAlignment="1">
      <alignment vertical="center"/>
    </xf>
    <xf numFmtId="0" fontId="7" fillId="0" borderId="0" xfId="6" applyFont="1" applyFill="1" applyAlignment="1">
      <alignment vertical="center"/>
    </xf>
    <xf numFmtId="0" fontId="7" fillId="0" borderId="30" xfId="6" applyFont="1" applyFill="1" applyBorder="1" applyAlignment="1">
      <alignment vertical="center"/>
    </xf>
    <xf numFmtId="0" fontId="7" fillId="0" borderId="26" xfId="6" applyFont="1" applyFill="1" applyBorder="1" applyAlignment="1">
      <alignment vertical="center"/>
    </xf>
    <xf numFmtId="0" fontId="7" fillId="0" borderId="61" xfId="6" applyFont="1" applyBorder="1" applyAlignment="1">
      <alignment vertical="center"/>
    </xf>
    <xf numFmtId="0" fontId="7" fillId="0" borderId="27" xfId="0" applyFont="1" applyFill="1" applyBorder="1" applyAlignment="1">
      <alignment vertical="center"/>
    </xf>
    <xf numFmtId="0" fontId="7" fillId="0" borderId="26" xfId="0" applyFont="1" applyFill="1" applyBorder="1" applyAlignment="1">
      <alignment vertical="center"/>
    </xf>
    <xf numFmtId="0" fontId="11" fillId="5" borderId="6" xfId="0" applyFont="1" applyFill="1" applyBorder="1" applyAlignment="1">
      <alignment vertical="center"/>
    </xf>
    <xf numFmtId="0" fontId="33" fillId="5" borderId="57" xfId="0" applyFont="1" applyFill="1" applyBorder="1" applyAlignment="1">
      <alignment horizontal="center" vertical="center" wrapText="1"/>
    </xf>
    <xf numFmtId="0" fontId="33" fillId="5" borderId="48" xfId="0" applyFont="1" applyFill="1" applyBorder="1" applyAlignment="1">
      <alignment horizontal="center" vertical="center" wrapText="1"/>
    </xf>
    <xf numFmtId="0" fontId="33" fillId="5" borderId="38" xfId="0" applyFont="1" applyFill="1" applyBorder="1" applyAlignment="1">
      <alignment horizontal="center" vertical="center" wrapText="1"/>
    </xf>
    <xf numFmtId="0" fontId="33" fillId="11" borderId="7" xfId="0" applyFont="1" applyFill="1" applyBorder="1" applyAlignment="1">
      <alignment horizontal="center" vertical="center" wrapText="1"/>
    </xf>
    <xf numFmtId="0" fontId="33" fillId="5" borderId="32" xfId="0" applyFont="1" applyFill="1" applyBorder="1" applyAlignment="1">
      <alignment horizontal="center" vertical="center" wrapText="1"/>
    </xf>
    <xf numFmtId="0" fontId="33" fillId="5" borderId="41" xfId="0" applyFont="1" applyFill="1" applyBorder="1" applyAlignment="1">
      <alignment horizontal="center" vertical="center" wrapText="1"/>
    </xf>
    <xf numFmtId="0" fontId="33" fillId="5" borderId="36" xfId="0" applyFont="1" applyFill="1" applyBorder="1" applyAlignment="1">
      <alignment horizontal="center" vertical="center" wrapText="1"/>
    </xf>
    <xf numFmtId="0" fontId="32" fillId="0" borderId="29" xfId="0" applyFont="1" applyBorder="1" applyAlignment="1">
      <alignment vertical="center"/>
    </xf>
    <xf numFmtId="38" fontId="32" fillId="0" borderId="0" xfId="0" applyNumberFormat="1" applyFont="1" applyFill="1" applyBorder="1" applyAlignment="1">
      <alignment vertical="center"/>
    </xf>
    <xf numFmtId="41" fontId="32" fillId="11" borderId="7" xfId="0" applyNumberFormat="1" applyFont="1" applyFill="1" applyBorder="1" applyAlignment="1">
      <alignment vertical="center"/>
    </xf>
    <xf numFmtId="0" fontId="31" fillId="7" borderId="6" xfId="0" applyFont="1" applyFill="1" applyBorder="1" applyAlignment="1">
      <alignment vertical="center"/>
    </xf>
    <xf numFmtId="38" fontId="34" fillId="5" borderId="8" xfId="0" applyNumberFormat="1" applyFont="1" applyFill="1" applyBorder="1" applyAlignment="1">
      <alignment vertical="center"/>
    </xf>
    <xf numFmtId="41" fontId="31" fillId="11" borderId="7" xfId="0" applyNumberFormat="1" applyFont="1" applyFill="1" applyBorder="1" applyAlignment="1">
      <alignment vertical="center"/>
    </xf>
    <xf numFmtId="0" fontId="24" fillId="0" borderId="0" xfId="0" applyFont="1" applyFill="1" applyBorder="1" applyAlignment="1">
      <alignment vertical="center"/>
    </xf>
    <xf numFmtId="0" fontId="32" fillId="0" borderId="0" xfId="0" applyFont="1" applyAlignment="1">
      <alignment vertical="center"/>
    </xf>
    <xf numFmtId="0" fontId="11" fillId="5" borderId="32" xfId="0" applyFont="1" applyFill="1" applyBorder="1" applyAlignment="1">
      <alignment horizontal="center" vertical="center" wrapText="1"/>
    </xf>
    <xf numFmtId="0" fontId="7" fillId="0" borderId="25" xfId="0" applyFont="1" applyBorder="1" applyAlignment="1">
      <alignment vertical="center"/>
    </xf>
    <xf numFmtId="38" fontId="7" fillId="0" borderId="39" xfId="0" applyNumberFormat="1" applyFont="1" applyFill="1" applyBorder="1" applyAlignment="1">
      <alignment vertical="center"/>
    </xf>
    <xf numFmtId="0" fontId="7" fillId="0" borderId="29" xfId="0" applyFont="1" applyBorder="1" applyAlignment="1">
      <alignment vertical="center"/>
    </xf>
    <xf numFmtId="38" fontId="7" fillId="0" borderId="0" xfId="0" applyNumberFormat="1" applyFont="1" applyFill="1" applyBorder="1" applyAlignment="1">
      <alignment vertical="center"/>
    </xf>
    <xf numFmtId="0" fontId="30" fillId="5" borderId="6" xfId="0" applyFont="1" applyFill="1" applyBorder="1" applyAlignment="1">
      <alignment vertical="center"/>
    </xf>
    <xf numFmtId="38" fontId="30" fillId="5" borderId="8" xfId="0" applyNumberFormat="1" applyFont="1" applyFill="1" applyBorder="1" applyAlignment="1">
      <alignment vertical="center"/>
    </xf>
    <xf numFmtId="0" fontId="36" fillId="0" borderId="0" xfId="0" applyFont="1" applyFill="1" applyBorder="1" applyAlignment="1">
      <alignment vertical="center"/>
    </xf>
    <xf numFmtId="0" fontId="11" fillId="5" borderId="48"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1" fillId="5" borderId="19" xfId="0" applyFont="1" applyFill="1" applyBorder="1" applyAlignment="1">
      <alignment horizontal="center" vertical="center" wrapText="1"/>
    </xf>
    <xf numFmtId="41" fontId="0" fillId="0" borderId="0" xfId="0" applyNumberFormat="1" applyAlignment="1">
      <alignment vertical="center"/>
    </xf>
    <xf numFmtId="10" fontId="0" fillId="0" borderId="0" xfId="0" applyNumberFormat="1" applyAlignment="1">
      <alignment vertical="center"/>
    </xf>
    <xf numFmtId="38" fontId="1" fillId="0" borderId="0" xfId="0" applyNumberFormat="1" applyFont="1" applyAlignment="1">
      <alignment vertical="center"/>
    </xf>
    <xf numFmtId="0" fontId="13" fillId="0" borderId="0" xfId="16" applyFont="1" applyAlignment="1">
      <alignment vertical="center"/>
    </xf>
    <xf numFmtId="0" fontId="35" fillId="0" borderId="0" xfId="16" applyFont="1" applyAlignment="1">
      <alignment vertical="center"/>
    </xf>
    <xf numFmtId="0" fontId="9" fillId="0" borderId="0" xfId="16" applyFont="1" applyAlignment="1">
      <alignment vertical="center"/>
    </xf>
    <xf numFmtId="0" fontId="37" fillId="0" borderId="0" xfId="16" applyFont="1" applyAlignment="1">
      <alignment vertical="center"/>
    </xf>
    <xf numFmtId="0" fontId="24" fillId="0" borderId="0" xfId="17" applyFont="1" applyFill="1" applyBorder="1" applyAlignment="1">
      <alignment vertical="center"/>
    </xf>
    <xf numFmtId="0" fontId="24" fillId="0" borderId="0" xfId="17" applyNumberFormat="1" applyFont="1" applyFill="1" applyBorder="1" applyAlignment="1">
      <alignment vertical="center"/>
    </xf>
    <xf numFmtId="0" fontId="38" fillId="0" borderId="0" xfId="16" applyFont="1" applyFill="1" applyBorder="1" applyAlignment="1">
      <alignment vertical="center"/>
    </xf>
    <xf numFmtId="0" fontId="39" fillId="0" borderId="0" xfId="16" applyFont="1" applyAlignment="1">
      <alignment vertical="center"/>
    </xf>
    <xf numFmtId="0" fontId="24" fillId="0" borderId="29" xfId="16" applyFont="1" applyFill="1" applyBorder="1" applyAlignment="1">
      <alignment horizontal="left" vertical="center" wrapText="1"/>
    </xf>
    <xf numFmtId="0" fontId="24" fillId="0" borderId="0" xfId="16" applyFont="1" applyFill="1" applyBorder="1" applyAlignment="1">
      <alignment horizontal="left" vertical="center" wrapText="1"/>
    </xf>
    <xf numFmtId="3" fontId="24" fillId="0" borderId="0" xfId="16" applyNumberFormat="1" applyFont="1" applyBorder="1" applyAlignment="1">
      <alignment vertical="center"/>
    </xf>
    <xf numFmtId="3" fontId="9" fillId="0" borderId="7" xfId="0" applyNumberFormat="1" applyFont="1" applyBorder="1" applyAlignment="1">
      <alignment vertical="center"/>
    </xf>
    <xf numFmtId="0" fontId="24" fillId="0" borderId="28" xfId="16" applyFont="1" applyFill="1" applyBorder="1" applyAlignment="1">
      <alignment horizontal="left" vertical="center" wrapText="1"/>
    </xf>
    <xf numFmtId="0" fontId="24" fillId="0" borderId="17" xfId="16" applyFont="1" applyFill="1" applyBorder="1" applyAlignment="1">
      <alignment horizontal="left" vertical="center" wrapText="1"/>
    </xf>
    <xf numFmtId="0" fontId="36" fillId="0" borderId="0" xfId="17" applyFont="1" applyFill="1" applyBorder="1" applyAlignment="1">
      <alignment vertical="center"/>
    </xf>
    <xf numFmtId="41" fontId="40" fillId="0" borderId="0" xfId="16" applyNumberFormat="1" applyFont="1" applyBorder="1" applyAlignment="1">
      <alignment vertical="center"/>
    </xf>
    <xf numFmtId="3" fontId="35" fillId="0" borderId="0" xfId="16" applyNumberFormat="1" applyFont="1" applyBorder="1" applyAlignment="1">
      <alignment vertical="center"/>
    </xf>
    <xf numFmtId="3" fontId="35" fillId="0" borderId="0" xfId="17" applyNumberFormat="1" applyFont="1" applyBorder="1" applyAlignment="1">
      <alignment vertical="center"/>
    </xf>
    <xf numFmtId="3" fontId="32" fillId="0" borderId="0" xfId="0" applyNumberFormat="1" applyFont="1" applyBorder="1" applyAlignment="1">
      <alignment vertical="center"/>
    </xf>
    <xf numFmtId="3" fontId="31" fillId="0" borderId="7" xfId="0" applyNumberFormat="1" applyFont="1" applyBorder="1" applyAlignment="1">
      <alignment vertical="center"/>
    </xf>
    <xf numFmtId="3" fontId="52" fillId="9" borderId="0" xfId="0" applyNumberFormat="1" applyFont="1" applyFill="1" applyBorder="1" applyAlignment="1">
      <alignment vertical="center"/>
    </xf>
    <xf numFmtId="3" fontId="35" fillId="0" borderId="17" xfId="17" applyNumberFormat="1" applyFont="1" applyBorder="1" applyAlignment="1">
      <alignment vertical="center"/>
    </xf>
    <xf numFmtId="41" fontId="39" fillId="0" borderId="0" xfId="16" applyNumberFormat="1" applyFont="1" applyAlignment="1">
      <alignment vertical="center"/>
    </xf>
    <xf numFmtId="164" fontId="41" fillId="0" borderId="0" xfId="16" applyNumberFormat="1" applyFont="1" applyAlignment="1">
      <alignment vertical="center"/>
    </xf>
    <xf numFmtId="0" fontId="24" fillId="0" borderId="0" xfId="16" applyFont="1" applyAlignment="1">
      <alignment vertical="center"/>
    </xf>
    <xf numFmtId="3" fontId="35" fillId="0" borderId="0" xfId="16" applyNumberFormat="1" applyFont="1" applyAlignment="1">
      <alignment vertical="center"/>
    </xf>
    <xf numFmtId="3" fontId="24" fillId="0" borderId="0" xfId="17" applyNumberFormat="1" applyFont="1" applyBorder="1" applyAlignment="1">
      <alignment vertical="center"/>
    </xf>
    <xf numFmtId="3" fontId="24" fillId="0" borderId="39" xfId="16" applyNumberFormat="1" applyFont="1" applyBorder="1" applyAlignment="1">
      <alignment vertical="center"/>
    </xf>
    <xf numFmtId="3" fontId="24" fillId="0" borderId="17" xfId="16" applyNumberFormat="1" applyFont="1" applyBorder="1" applyAlignment="1">
      <alignment vertical="center"/>
    </xf>
    <xf numFmtId="3" fontId="24" fillId="0" borderId="0" xfId="17" applyNumberFormat="1" applyFont="1" applyFill="1" applyBorder="1" applyAlignment="1">
      <alignment horizontal="right" vertical="center" wrapText="1"/>
    </xf>
    <xf numFmtId="3" fontId="9" fillId="0" borderId="12" xfId="1" applyNumberFormat="1" applyFont="1" applyBorder="1" applyAlignment="1">
      <alignment vertical="center"/>
    </xf>
    <xf numFmtId="0" fontId="31" fillId="0" borderId="0" xfId="16" applyFont="1" applyFill="1" applyBorder="1" applyAlignment="1">
      <alignment vertical="center"/>
    </xf>
    <xf numFmtId="0" fontId="32" fillId="0" borderId="0" xfId="16" applyFont="1" applyFill="1" applyBorder="1" applyAlignment="1">
      <alignment vertical="center"/>
    </xf>
    <xf numFmtId="0" fontId="35" fillId="0" borderId="0" xfId="16" applyFont="1" applyBorder="1" applyAlignment="1">
      <alignment vertical="center"/>
    </xf>
    <xf numFmtId="1" fontId="24" fillId="0" borderId="29" xfId="16" quotePrefix="1" applyNumberFormat="1" applyFont="1" applyFill="1" applyBorder="1" applyAlignment="1">
      <alignment horizontal="left" vertical="center" wrapText="1"/>
    </xf>
    <xf numFmtId="0" fontId="24" fillId="0" borderId="31" xfId="16" applyFont="1" applyFill="1" applyBorder="1" applyAlignment="1">
      <alignment horizontal="left" vertical="center" wrapText="1"/>
    </xf>
    <xf numFmtId="1" fontId="24" fillId="0" borderId="29" xfId="16" applyNumberFormat="1" applyFont="1" applyFill="1" applyBorder="1" applyAlignment="1">
      <alignment horizontal="left" vertical="center" wrapText="1"/>
    </xf>
    <xf numFmtId="1" fontId="24" fillId="0" borderId="28" xfId="16" applyNumberFormat="1" applyFont="1" applyFill="1" applyBorder="1" applyAlignment="1">
      <alignment horizontal="left" vertical="center" wrapText="1"/>
    </xf>
    <xf numFmtId="0" fontId="24" fillId="0" borderId="47" xfId="16" applyFont="1" applyFill="1" applyBorder="1" applyAlignment="1">
      <alignment horizontal="left" vertical="center" wrapText="1"/>
    </xf>
    <xf numFmtId="3" fontId="30" fillId="5" borderId="6" xfId="16" applyNumberFormat="1" applyFont="1" applyFill="1" applyBorder="1" applyAlignment="1">
      <alignment vertical="center"/>
    </xf>
    <xf numFmtId="3" fontId="30" fillId="5" borderId="8" xfId="16" applyNumberFormat="1" applyFont="1" applyFill="1" applyBorder="1" applyAlignment="1">
      <alignment vertical="center"/>
    </xf>
    <xf numFmtId="3" fontId="30" fillId="5" borderId="20" xfId="16" applyNumberFormat="1" applyFont="1" applyFill="1" applyBorder="1" applyAlignment="1">
      <alignment vertical="center"/>
    </xf>
    <xf numFmtId="1" fontId="24" fillId="0" borderId="25" xfId="16" quotePrefix="1" applyNumberFormat="1" applyFont="1" applyFill="1" applyBorder="1" applyAlignment="1">
      <alignment horizontal="left" vertical="center" wrapText="1"/>
    </xf>
    <xf numFmtId="0" fontId="24" fillId="0" borderId="43" xfId="16" applyFont="1" applyFill="1" applyBorder="1" applyAlignment="1">
      <alignment horizontal="left" vertical="center" wrapText="1"/>
    </xf>
    <xf numFmtId="3" fontId="24" fillId="0" borderId="23" xfId="17" applyNumberFormat="1" applyFont="1" applyBorder="1" applyAlignment="1">
      <alignment vertical="center"/>
    </xf>
    <xf numFmtId="3" fontId="9" fillId="0" borderId="31" xfId="0" applyNumberFormat="1" applyFont="1" applyBorder="1" applyAlignment="1">
      <alignment vertical="center"/>
    </xf>
    <xf numFmtId="3" fontId="32" fillId="0" borderId="31" xfId="0" applyNumberFormat="1" applyFont="1" applyBorder="1" applyAlignment="1">
      <alignment vertical="center"/>
    </xf>
    <xf numFmtId="3" fontId="32" fillId="0" borderId="17" xfId="0" applyNumberFormat="1" applyFont="1" applyBorder="1" applyAlignment="1">
      <alignment vertical="center"/>
    </xf>
    <xf numFmtId="3" fontId="7" fillId="0" borderId="17" xfId="1" applyNumberFormat="1" applyFont="1" applyBorder="1" applyAlignment="1">
      <alignment vertical="center"/>
    </xf>
    <xf numFmtId="3" fontId="9" fillId="0" borderId="43" xfId="0" applyNumberFormat="1" applyFont="1" applyBorder="1" applyAlignment="1">
      <alignment vertical="center"/>
    </xf>
    <xf numFmtId="3" fontId="7" fillId="0" borderId="47" xfId="1" applyNumberFormat="1" applyFont="1" applyBorder="1" applyAlignment="1">
      <alignment vertical="center"/>
    </xf>
    <xf numFmtId="0" fontId="22" fillId="0" borderId="0" xfId="16" applyFont="1" applyAlignment="1">
      <alignment vertical="center"/>
    </xf>
    <xf numFmtId="0" fontId="42" fillId="0" borderId="0" xfId="16" applyFont="1" applyAlignment="1">
      <alignment vertical="center"/>
    </xf>
    <xf numFmtId="0" fontId="9" fillId="0" borderId="0" xfId="22" applyFont="1" applyFill="1" applyBorder="1" applyAlignment="1">
      <alignment vertical="center"/>
    </xf>
    <xf numFmtId="0" fontId="7" fillId="0" borderId="0" xfId="22" applyFont="1" applyAlignment="1">
      <alignment vertical="center"/>
    </xf>
    <xf numFmtId="0" fontId="42" fillId="0" borderId="0" xfId="16" applyFont="1" applyFill="1" applyBorder="1" applyAlignment="1">
      <alignment vertical="center"/>
    </xf>
    <xf numFmtId="0" fontId="24" fillId="0" borderId="0" xfId="16" applyFont="1" applyFill="1" applyBorder="1" applyAlignment="1">
      <alignment vertical="center"/>
    </xf>
    <xf numFmtId="0" fontId="35" fillId="0" borderId="0" xfId="16" applyFont="1" applyFill="1" applyBorder="1" applyAlignment="1">
      <alignment vertical="center"/>
    </xf>
    <xf numFmtId="0" fontId="33" fillId="0" borderId="51" xfId="16" applyFont="1" applyFill="1" applyBorder="1" applyAlignment="1">
      <alignment vertical="center"/>
    </xf>
    <xf numFmtId="0" fontId="42" fillId="0" borderId="12" xfId="16" applyFont="1" applyBorder="1" applyAlignment="1">
      <alignment vertical="center"/>
    </xf>
    <xf numFmtId="0" fontId="24" fillId="0" borderId="43" xfId="16" applyFont="1" applyBorder="1" applyAlignment="1">
      <alignment vertical="center"/>
    </xf>
    <xf numFmtId="3" fontId="24" fillId="0" borderId="15" xfId="18" applyFont="1" applyFill="1" applyBorder="1" applyAlignment="1">
      <alignment vertical="center"/>
    </xf>
    <xf numFmtId="3" fontId="24" fillId="0" borderId="7" xfId="18" applyFont="1" applyFill="1" applyBorder="1" applyAlignment="1">
      <alignment vertical="center"/>
    </xf>
    <xf numFmtId="3" fontId="24" fillId="0" borderId="12" xfId="18" applyFont="1" applyFill="1" applyBorder="1" applyAlignment="1">
      <alignment vertical="center"/>
    </xf>
    <xf numFmtId="3" fontId="7" fillId="0" borderId="47" xfId="0" applyNumberFormat="1" applyFont="1" applyBorder="1" applyAlignment="1">
      <alignment vertical="center"/>
    </xf>
    <xf numFmtId="3" fontId="30" fillId="5" borderId="9" xfId="18" applyFont="1" applyFill="1" applyBorder="1" applyAlignment="1">
      <alignment vertical="center"/>
    </xf>
    <xf numFmtId="3" fontId="24" fillId="0" borderId="0" xfId="18" applyFont="1" applyAlignment="1">
      <alignment vertical="center"/>
    </xf>
    <xf numFmtId="0" fontId="24" fillId="0" borderId="15" xfId="17" applyFont="1" applyBorder="1" applyAlignment="1">
      <alignment vertical="center"/>
    </xf>
    <xf numFmtId="0" fontId="24" fillId="0" borderId="29" xfId="17" applyFont="1" applyBorder="1" applyAlignment="1">
      <alignment vertical="center"/>
    </xf>
    <xf numFmtId="3" fontId="7" fillId="0" borderId="29" xfId="0" applyNumberFormat="1" applyFont="1" applyBorder="1" applyAlignment="1">
      <alignment vertical="center"/>
    </xf>
    <xf numFmtId="0" fontId="24" fillId="0" borderId="28" xfId="17" applyFont="1" applyBorder="1" applyAlignment="1">
      <alignment vertical="center"/>
    </xf>
    <xf numFmtId="3" fontId="7" fillId="0" borderId="28" xfId="0" applyNumberFormat="1" applyFont="1" applyBorder="1" applyAlignment="1">
      <alignment vertical="center"/>
    </xf>
    <xf numFmtId="3" fontId="42" fillId="0" borderId="8" xfId="18" applyFont="1" applyFill="1" applyBorder="1" applyAlignment="1">
      <alignment vertical="center"/>
    </xf>
    <xf numFmtId="3" fontId="42" fillId="0" borderId="0" xfId="18" applyFont="1" applyFill="1" applyBorder="1" applyAlignment="1">
      <alignment vertical="center"/>
    </xf>
    <xf numFmtId="3" fontId="24" fillId="0" borderId="9" xfId="18" applyFont="1" applyFill="1" applyBorder="1" applyAlignment="1">
      <alignment vertical="center"/>
    </xf>
    <xf numFmtId="3" fontId="7" fillId="0" borderId="6" xfId="0" applyNumberFormat="1" applyFont="1" applyBorder="1" applyAlignment="1">
      <alignment vertical="center"/>
    </xf>
    <xf numFmtId="3" fontId="7" fillId="0" borderId="8" xfId="0" applyNumberFormat="1" applyFont="1" applyBorder="1" applyAlignment="1">
      <alignment vertical="center"/>
    </xf>
    <xf numFmtId="3" fontId="7" fillId="0" borderId="20" xfId="0" applyNumberFormat="1" applyFont="1" applyBorder="1" applyAlignment="1">
      <alignment vertical="center"/>
    </xf>
    <xf numFmtId="3" fontId="24" fillId="0" borderId="39" xfId="18" applyFont="1" applyFill="1" applyBorder="1" applyAlignment="1">
      <alignment vertical="center"/>
    </xf>
    <xf numFmtId="3" fontId="42" fillId="0" borderId="0" xfId="17" applyNumberFormat="1" applyFont="1" applyFill="1" applyBorder="1" applyAlignment="1">
      <alignment vertical="center"/>
    </xf>
    <xf numFmtId="3" fontId="24" fillId="0" borderId="17" xfId="18" applyFont="1" applyFill="1" applyBorder="1" applyAlignment="1">
      <alignment vertical="center"/>
    </xf>
    <xf numFmtId="3" fontId="42" fillId="0" borderId="9" xfId="18" applyFont="1" applyFill="1" applyBorder="1" applyAlignment="1">
      <alignment vertical="center"/>
    </xf>
    <xf numFmtId="3" fontId="24" fillId="0" borderId="0" xfId="16" applyNumberFormat="1" applyFont="1" applyAlignment="1">
      <alignment vertical="center"/>
    </xf>
    <xf numFmtId="3" fontId="42" fillId="0" borderId="6" xfId="18" applyFont="1" applyFill="1" applyBorder="1" applyAlignment="1">
      <alignment vertical="center"/>
    </xf>
    <xf numFmtId="3" fontId="24" fillId="0" borderId="0" xfId="18" applyFont="1" applyFill="1" applyBorder="1" applyAlignment="1">
      <alignment vertical="center"/>
    </xf>
    <xf numFmtId="3" fontId="30" fillId="5" borderId="9" xfId="18" applyFont="1" applyFill="1" applyBorder="1" applyAlignment="1">
      <alignment vertical="center" wrapText="1"/>
    </xf>
    <xf numFmtId="3" fontId="9" fillId="0" borderId="0" xfId="18" applyFont="1" applyFill="1" applyBorder="1" applyAlignment="1">
      <alignment horizontal="right" vertical="center" wrapText="1"/>
    </xf>
    <xf numFmtId="3" fontId="47" fillId="0" borderId="0" xfId="18" applyFont="1" applyFill="1" applyBorder="1" applyAlignment="1">
      <alignment horizontal="right" vertical="center" wrapText="1"/>
    </xf>
    <xf numFmtId="3" fontId="44" fillId="0" borderId="0" xfId="18" applyFont="1" applyFill="1" applyBorder="1" applyAlignment="1">
      <alignment horizontal="right" vertical="center" wrapText="1"/>
    </xf>
    <xf numFmtId="0" fontId="7" fillId="0" borderId="0" xfId="24" applyFont="1" applyAlignment="1">
      <alignment vertical="center"/>
    </xf>
    <xf numFmtId="0" fontId="45" fillId="0" borderId="0" xfId="16" applyFont="1" applyAlignment="1">
      <alignment vertical="center"/>
    </xf>
    <xf numFmtId="165" fontId="7" fillId="0" borderId="0" xfId="0" applyNumberFormat="1" applyFont="1" applyAlignment="1">
      <alignment horizontal="right" vertical="center"/>
    </xf>
    <xf numFmtId="165" fontId="7" fillId="0" borderId="39" xfId="0" applyNumberFormat="1" applyFont="1" applyBorder="1" applyAlignment="1">
      <alignment vertical="center"/>
    </xf>
    <xf numFmtId="165" fontId="7" fillId="0" borderId="0" xfId="0" applyNumberFormat="1" applyFont="1" applyAlignment="1">
      <alignment vertical="center"/>
    </xf>
    <xf numFmtId="165" fontId="7" fillId="0" borderId="0" xfId="0" applyNumberFormat="1" applyFont="1" applyBorder="1" applyAlignment="1">
      <alignment horizontal="right" vertical="center"/>
    </xf>
    <xf numFmtId="3" fontId="7" fillId="0" borderId="0" xfId="1" applyNumberFormat="1" applyFont="1" applyAlignment="1">
      <alignment vertical="center"/>
    </xf>
    <xf numFmtId="3" fontId="7" fillId="0" borderId="0" xfId="1" applyNumberFormat="1" applyFont="1" applyAlignment="1">
      <alignment horizontal="right" vertical="center"/>
    </xf>
    <xf numFmtId="3" fontId="9" fillId="0" borderId="15" xfId="9" applyNumberFormat="1" applyFont="1" applyBorder="1" applyAlignment="1">
      <alignment vertical="center"/>
    </xf>
    <xf numFmtId="3" fontId="9" fillId="0" borderId="7" xfId="9" applyNumberFormat="1" applyFont="1" applyBorder="1" applyAlignment="1">
      <alignment vertical="center"/>
    </xf>
    <xf numFmtId="3" fontId="11" fillId="5" borderId="48" xfId="9" applyNumberFormat="1" applyFont="1" applyFill="1" applyBorder="1" applyAlignment="1">
      <alignment vertical="center"/>
    </xf>
    <xf numFmtId="3" fontId="11" fillId="5" borderId="8" xfId="9" applyNumberFormat="1" applyFont="1" applyFill="1" applyBorder="1" applyAlignment="1">
      <alignment vertical="center"/>
    </xf>
    <xf numFmtId="3" fontId="24" fillId="6" borderId="25" xfId="0" applyNumberFormat="1" applyFont="1" applyFill="1" applyBorder="1" applyAlignment="1">
      <alignment vertical="center"/>
    </xf>
    <xf numFmtId="3" fontId="24" fillId="6" borderId="39" xfId="0" applyNumberFormat="1" applyFont="1" applyFill="1" applyBorder="1" applyAlignment="1">
      <alignment vertical="center"/>
    </xf>
    <xf numFmtId="3" fontId="24" fillId="6" borderId="15" xfId="0" applyNumberFormat="1" applyFont="1" applyFill="1" applyBorder="1" applyAlignment="1">
      <alignment vertical="center"/>
    </xf>
    <xf numFmtId="3" fontId="24" fillId="6" borderId="29" xfId="0" applyNumberFormat="1" applyFont="1" applyFill="1" applyBorder="1" applyAlignment="1">
      <alignment vertical="center"/>
    </xf>
    <xf numFmtId="3" fontId="24" fillId="6" borderId="0" xfId="0" applyNumberFormat="1" applyFont="1" applyFill="1" applyBorder="1" applyAlignment="1">
      <alignment vertical="center"/>
    </xf>
    <xf numFmtId="3" fontId="24" fillId="6" borderId="7" xfId="0" applyNumberFormat="1" applyFont="1" applyFill="1" applyBorder="1" applyAlignment="1">
      <alignment vertical="center"/>
    </xf>
    <xf numFmtId="3" fontId="24" fillId="11" borderId="8" xfId="0" applyNumberFormat="1" applyFont="1" applyFill="1" applyBorder="1" applyAlignment="1">
      <alignment vertical="center"/>
    </xf>
    <xf numFmtId="3" fontId="24" fillId="11" borderId="9" xfId="0" applyNumberFormat="1" applyFont="1" applyFill="1" applyBorder="1" applyAlignment="1">
      <alignment vertical="center"/>
    </xf>
    <xf numFmtId="3" fontId="24" fillId="11" borderId="29" xfId="0" applyNumberFormat="1" applyFont="1" applyFill="1" applyBorder="1" applyAlignment="1">
      <alignment vertical="center"/>
    </xf>
    <xf numFmtId="3" fontId="24" fillId="11" borderId="0" xfId="0" applyNumberFormat="1" applyFont="1" applyFill="1" applyBorder="1" applyAlignment="1">
      <alignment vertical="center"/>
    </xf>
    <xf numFmtId="3" fontId="24" fillId="11" borderId="7" xfId="0" applyNumberFormat="1" applyFont="1" applyFill="1" applyBorder="1" applyAlignment="1">
      <alignment vertical="center"/>
    </xf>
    <xf numFmtId="3" fontId="24" fillId="11" borderId="39" xfId="0" applyNumberFormat="1" applyFont="1" applyFill="1" applyBorder="1" applyAlignment="1">
      <alignment vertical="center"/>
    </xf>
    <xf numFmtId="3" fontId="24" fillId="11" borderId="15" xfId="0" applyNumberFormat="1" applyFont="1" applyFill="1" applyBorder="1" applyAlignment="1">
      <alignment vertical="center"/>
    </xf>
    <xf numFmtId="3" fontId="11" fillId="5" borderId="8" xfId="0" applyNumberFormat="1" applyFont="1" applyFill="1" applyBorder="1" applyAlignment="1">
      <alignment vertical="center"/>
    </xf>
    <xf numFmtId="3" fontId="11" fillId="5" borderId="9" xfId="0" applyNumberFormat="1" applyFont="1" applyFill="1" applyBorder="1" applyAlignment="1">
      <alignment vertical="center"/>
    </xf>
    <xf numFmtId="3" fontId="24" fillId="11" borderId="28" xfId="0" applyNumberFormat="1" applyFont="1" applyFill="1" applyBorder="1" applyAlignment="1">
      <alignment vertical="center"/>
    </xf>
    <xf numFmtId="3" fontId="24" fillId="11" borderId="17" xfId="0" applyNumberFormat="1" applyFont="1" applyFill="1" applyBorder="1" applyAlignment="1">
      <alignment vertical="center"/>
    </xf>
    <xf numFmtId="3" fontId="24" fillId="11" borderId="12" xfId="0" applyNumberFormat="1" applyFont="1" applyFill="1" applyBorder="1" applyAlignment="1">
      <alignment vertical="center"/>
    </xf>
    <xf numFmtId="3" fontId="7" fillId="11" borderId="31" xfId="0" applyNumberFormat="1" applyFont="1" applyFill="1" applyBorder="1" applyAlignment="1">
      <alignment vertical="center"/>
    </xf>
    <xf numFmtId="3" fontId="11" fillId="5" borderId="20" xfId="0" applyNumberFormat="1" applyFont="1" applyFill="1" applyBorder="1" applyAlignment="1">
      <alignment vertical="center"/>
    </xf>
    <xf numFmtId="3" fontId="24" fillId="11" borderId="25" xfId="0" applyNumberFormat="1" applyFont="1" applyFill="1" applyBorder="1" applyAlignment="1">
      <alignment vertical="center"/>
    </xf>
    <xf numFmtId="3" fontId="7" fillId="11" borderId="39" xfId="1" applyNumberFormat="1" applyFont="1" applyFill="1" applyBorder="1" applyAlignment="1">
      <alignment vertical="center"/>
    </xf>
    <xf numFmtId="3" fontId="7" fillId="11" borderId="0" xfId="1" applyNumberFormat="1" applyFont="1" applyFill="1" applyBorder="1" applyAlignment="1">
      <alignment vertical="center"/>
    </xf>
    <xf numFmtId="3" fontId="7" fillId="11" borderId="17" xfId="1" applyNumberFormat="1" applyFont="1" applyFill="1" applyBorder="1" applyAlignment="1">
      <alignment vertical="center"/>
    </xf>
    <xf numFmtId="3" fontId="7" fillId="11" borderId="39" xfId="2" applyNumberFormat="1" applyFont="1" applyFill="1" applyBorder="1" applyAlignment="1">
      <alignment vertical="center"/>
    </xf>
    <xf numFmtId="3" fontId="7" fillId="11" borderId="0" xfId="2" applyNumberFormat="1" applyFont="1" applyFill="1" applyBorder="1" applyAlignment="1">
      <alignment vertical="center"/>
    </xf>
    <xf numFmtId="3" fontId="7" fillId="11" borderId="17" xfId="2" applyNumberFormat="1" applyFont="1" applyFill="1" applyBorder="1" applyAlignment="1">
      <alignment vertical="center"/>
    </xf>
    <xf numFmtId="3" fontId="24" fillId="11" borderId="43" xfId="0" applyNumberFormat="1" applyFont="1" applyFill="1" applyBorder="1" applyAlignment="1">
      <alignment vertical="center"/>
    </xf>
    <xf numFmtId="3" fontId="24" fillId="11" borderId="31" xfId="0" applyNumberFormat="1" applyFont="1" applyFill="1" applyBorder="1" applyAlignment="1">
      <alignment vertical="center"/>
    </xf>
    <xf numFmtId="3" fontId="24" fillId="11" borderId="47" xfId="0" applyNumberFormat="1" applyFont="1" applyFill="1" applyBorder="1" applyAlignment="1">
      <alignment vertical="center"/>
    </xf>
    <xf numFmtId="3" fontId="7" fillId="11" borderId="39" xfId="0" applyNumberFormat="1" applyFont="1" applyFill="1" applyBorder="1" applyAlignment="1">
      <alignment vertical="center"/>
    </xf>
    <xf numFmtId="3" fontId="9" fillId="11" borderId="0" xfId="0" applyNumberFormat="1" applyFont="1" applyFill="1" applyBorder="1" applyAlignment="1">
      <alignment vertical="center"/>
    </xf>
    <xf numFmtId="3" fontId="9" fillId="11" borderId="39" xfId="0" applyNumberFormat="1" applyFont="1" applyFill="1" applyBorder="1" applyAlignment="1">
      <alignment vertical="center"/>
    </xf>
    <xf numFmtId="3" fontId="9" fillId="11" borderId="8" xfId="0" applyNumberFormat="1" applyFont="1" applyFill="1" applyBorder="1" applyAlignment="1">
      <alignment vertical="center"/>
    </xf>
    <xf numFmtId="3" fontId="7" fillId="0" borderId="0" xfId="0" applyNumberFormat="1" applyFont="1" applyBorder="1" applyAlignment="1">
      <alignment horizontal="right" vertical="center"/>
    </xf>
    <xf numFmtId="3" fontId="9" fillId="11" borderId="9" xfId="0" applyNumberFormat="1" applyFont="1" applyFill="1" applyBorder="1" applyAlignment="1">
      <alignment vertical="center"/>
    </xf>
    <xf numFmtId="3" fontId="11" fillId="5" borderId="39" xfId="0" applyNumberFormat="1" applyFont="1" applyFill="1" applyBorder="1" applyAlignment="1">
      <alignment vertical="center"/>
    </xf>
    <xf numFmtId="3" fontId="9" fillId="11" borderId="17" xfId="0" applyNumberFormat="1" applyFont="1" applyFill="1" applyBorder="1" applyAlignment="1">
      <alignment vertical="center"/>
    </xf>
    <xf numFmtId="3" fontId="9" fillId="11" borderId="20" xfId="0" applyNumberFormat="1" applyFont="1" applyFill="1" applyBorder="1" applyAlignment="1">
      <alignment vertical="center"/>
    </xf>
    <xf numFmtId="3" fontId="9" fillId="0" borderId="7" xfId="8" applyNumberFormat="1" applyFont="1" applyFill="1" applyBorder="1" applyAlignment="1">
      <alignment vertical="center"/>
    </xf>
    <xf numFmtId="3" fontId="11" fillId="5" borderId="18" xfId="1" applyNumberFormat="1" applyFont="1" applyFill="1" applyBorder="1" applyAlignment="1">
      <alignment vertical="center"/>
    </xf>
    <xf numFmtId="3" fontId="11" fillId="5" borderId="8" xfId="1" applyNumberFormat="1" applyFont="1" applyFill="1" applyBorder="1" applyAlignment="1">
      <alignment vertical="center"/>
    </xf>
    <xf numFmtId="3" fontId="7" fillId="0" borderId="25" xfId="1" applyNumberFormat="1" applyFont="1" applyBorder="1" applyAlignment="1">
      <alignment vertical="center"/>
    </xf>
    <xf numFmtId="3" fontId="9" fillId="0" borderId="7" xfId="1" applyNumberFormat="1" applyFont="1" applyFill="1" applyBorder="1" applyAlignment="1">
      <alignment vertical="center"/>
    </xf>
    <xf numFmtId="3" fontId="7" fillId="0" borderId="29" xfId="1" applyNumberFormat="1" applyFont="1" applyBorder="1" applyAlignment="1">
      <alignment vertical="center"/>
    </xf>
    <xf numFmtId="3" fontId="7" fillId="0" borderId="28" xfId="1" applyNumberFormat="1" applyFont="1" applyBorder="1" applyAlignment="1">
      <alignment vertical="center"/>
    </xf>
    <xf numFmtId="3" fontId="16" fillId="11" borderId="76" xfId="0" applyNumberFormat="1" applyFont="1" applyFill="1" applyBorder="1" applyAlignment="1">
      <alignment vertical="center"/>
    </xf>
    <xf numFmtId="3" fontId="16" fillId="0" borderId="76" xfId="0" applyNumberFormat="1" applyFont="1" applyBorder="1" applyAlignment="1">
      <alignment vertical="center"/>
    </xf>
    <xf numFmtId="3" fontId="11" fillId="5" borderId="20" xfId="1" applyNumberFormat="1" applyFont="1" applyFill="1" applyBorder="1" applyAlignment="1">
      <alignment vertical="center"/>
    </xf>
    <xf numFmtId="3" fontId="11" fillId="5" borderId="38" xfId="1" applyNumberFormat="1" applyFont="1" applyFill="1" applyBorder="1" applyAlignment="1">
      <alignment vertical="center"/>
    </xf>
    <xf numFmtId="3" fontId="11" fillId="5" borderId="39" xfId="1" applyNumberFormat="1" applyFont="1" applyFill="1" applyBorder="1" applyAlignment="1">
      <alignment vertical="center"/>
    </xf>
    <xf numFmtId="3" fontId="11" fillId="5" borderId="43" xfId="1" applyNumberFormat="1" applyFont="1" applyFill="1" applyBorder="1" applyAlignment="1">
      <alignment vertical="center"/>
    </xf>
    <xf numFmtId="3" fontId="42" fillId="11" borderId="6" xfId="0" applyNumberFormat="1" applyFont="1" applyFill="1" applyBorder="1" applyAlignment="1">
      <alignment vertical="center"/>
    </xf>
    <xf numFmtId="3" fontId="42" fillId="11" borderId="8" xfId="0" applyNumberFormat="1" applyFont="1" applyFill="1" applyBorder="1" applyAlignment="1">
      <alignment vertical="center"/>
    </xf>
    <xf numFmtId="3" fontId="42" fillId="11" borderId="20" xfId="0" applyNumberFormat="1" applyFont="1" applyFill="1" applyBorder="1" applyAlignment="1">
      <alignment vertical="center"/>
    </xf>
    <xf numFmtId="3" fontId="42" fillId="11" borderId="9" xfId="0" applyNumberFormat="1" applyFont="1" applyFill="1" applyBorder="1" applyAlignment="1">
      <alignment vertical="center"/>
    </xf>
    <xf numFmtId="3" fontId="11" fillId="5" borderId="6" xfId="0" applyNumberFormat="1" applyFont="1" applyFill="1" applyBorder="1" applyAlignment="1">
      <alignment vertical="center"/>
    </xf>
    <xf numFmtId="3" fontId="42" fillId="11" borderId="25" xfId="0" applyNumberFormat="1" applyFont="1" applyFill="1" applyBorder="1" applyAlignment="1">
      <alignment vertical="center"/>
    </xf>
    <xf numFmtId="3" fontId="42" fillId="11" borderId="39" xfId="0" applyNumberFormat="1" applyFont="1" applyFill="1" applyBorder="1" applyAlignment="1">
      <alignment vertical="center"/>
    </xf>
    <xf numFmtId="3" fontId="42" fillId="11" borderId="43" xfId="0" applyNumberFormat="1" applyFont="1" applyFill="1" applyBorder="1" applyAlignment="1">
      <alignment vertical="center"/>
    </xf>
    <xf numFmtId="3" fontId="42" fillId="11" borderId="15" xfId="0" applyNumberFormat="1" applyFont="1" applyFill="1" applyBorder="1" applyAlignment="1">
      <alignment vertical="center"/>
    </xf>
    <xf numFmtId="3" fontId="24" fillId="6" borderId="31" xfId="0" applyNumberFormat="1" applyFont="1" applyFill="1" applyBorder="1" applyAlignment="1">
      <alignment vertical="center"/>
    </xf>
    <xf numFmtId="3" fontId="7" fillId="0" borderId="25" xfId="2" applyNumberFormat="1" applyFont="1" applyFill="1" applyBorder="1" applyAlignment="1">
      <alignment vertical="center"/>
    </xf>
    <xf numFmtId="3" fontId="24" fillId="6" borderId="43" xfId="0" applyNumberFormat="1" applyFont="1" applyFill="1" applyBorder="1" applyAlignment="1">
      <alignment vertical="center"/>
    </xf>
    <xf numFmtId="3" fontId="7" fillId="0" borderId="28" xfId="2" applyNumberFormat="1" applyFont="1" applyFill="1" applyBorder="1" applyAlignment="1">
      <alignment vertical="center"/>
    </xf>
    <xf numFmtId="3" fontId="7" fillId="0" borderId="0" xfId="2" applyNumberFormat="1" applyFont="1" applyFill="1" applyBorder="1" applyAlignment="1">
      <alignment vertical="center"/>
    </xf>
    <xf numFmtId="3" fontId="24" fillId="0" borderId="0" xfId="0" applyNumberFormat="1" applyFont="1" applyFill="1" applyBorder="1" applyAlignment="1">
      <alignment vertical="center"/>
    </xf>
    <xf numFmtId="3" fontId="7" fillId="0" borderId="17" xfId="2" applyNumberFormat="1" applyFont="1" applyFill="1" applyBorder="1" applyAlignment="1">
      <alignment vertical="center"/>
    </xf>
    <xf numFmtId="3" fontId="42" fillId="11" borderId="0" xfId="0" applyNumberFormat="1" applyFont="1" applyFill="1" applyBorder="1" applyAlignment="1">
      <alignment vertical="center"/>
    </xf>
    <xf numFmtId="3" fontId="7" fillId="0" borderId="39" xfId="2" applyNumberFormat="1" applyFont="1" applyFill="1" applyBorder="1" applyAlignment="1">
      <alignment vertical="center"/>
    </xf>
    <xf numFmtId="3" fontId="11" fillId="5" borderId="17" xfId="0" applyNumberFormat="1" applyFont="1" applyFill="1" applyBorder="1" applyAlignment="1">
      <alignment vertical="center"/>
    </xf>
    <xf numFmtId="3" fontId="7" fillId="0" borderId="29" xfId="2" applyNumberFormat="1" applyFont="1" applyFill="1" applyBorder="1" applyAlignment="1">
      <alignment vertical="center"/>
    </xf>
    <xf numFmtId="3" fontId="42" fillId="11" borderId="6" xfId="1" applyNumberFormat="1" applyFont="1" applyFill="1" applyBorder="1" applyAlignment="1">
      <alignment vertical="center"/>
    </xf>
    <xf numFmtId="3" fontId="42" fillId="11" borderId="8" xfId="1" applyNumberFormat="1" applyFont="1" applyFill="1" applyBorder="1" applyAlignment="1">
      <alignment vertical="center"/>
    </xf>
    <xf numFmtId="3" fontId="42" fillId="11" borderId="20" xfId="1" applyNumberFormat="1" applyFont="1" applyFill="1" applyBorder="1" applyAlignment="1">
      <alignment vertical="center"/>
    </xf>
    <xf numFmtId="3" fontId="16" fillId="9" borderId="25" xfId="0" applyNumberFormat="1" applyFont="1" applyFill="1" applyBorder="1" applyAlignment="1">
      <alignment vertical="center"/>
    </xf>
    <xf numFmtId="3" fontId="16" fillId="9" borderId="56" xfId="0" applyNumberFormat="1" applyFont="1" applyFill="1" applyBorder="1" applyAlignment="1">
      <alignment vertical="center"/>
    </xf>
    <xf numFmtId="3" fontId="7" fillId="0" borderId="22" xfId="0" applyNumberFormat="1" applyFont="1" applyBorder="1" applyAlignment="1">
      <alignment vertical="center"/>
    </xf>
    <xf numFmtId="3" fontId="7" fillId="0" borderId="21" xfId="0" applyNumberFormat="1" applyFont="1" applyBorder="1" applyAlignment="1">
      <alignment vertical="center"/>
    </xf>
    <xf numFmtId="3" fontId="7" fillId="0" borderId="0" xfId="1" applyNumberFormat="1" applyFont="1" applyBorder="1" applyAlignment="1">
      <alignment vertical="center"/>
    </xf>
    <xf numFmtId="3" fontId="7" fillId="0" borderId="29" xfId="1" applyNumberFormat="1" applyFont="1" applyBorder="1" applyAlignment="1">
      <alignment horizontal="right" vertical="center"/>
    </xf>
    <xf numFmtId="3" fontId="7" fillId="0" borderId="0" xfId="1" applyNumberFormat="1" applyFont="1" applyBorder="1" applyAlignment="1">
      <alignment horizontal="right" vertical="center"/>
    </xf>
    <xf numFmtId="3" fontId="7" fillId="0" borderId="29" xfId="0" applyNumberFormat="1" applyFont="1" applyBorder="1" applyAlignment="1">
      <alignment horizontal="right" vertical="center"/>
    </xf>
    <xf numFmtId="3" fontId="9" fillId="0" borderId="7" xfId="12" applyNumberFormat="1" applyFont="1" applyBorder="1" applyAlignment="1">
      <alignment vertical="center"/>
    </xf>
    <xf numFmtId="3" fontId="11" fillId="5" borderId="18" xfId="12" applyNumberFormat="1" applyFont="1" applyFill="1" applyBorder="1" applyAlignment="1">
      <alignment vertical="center"/>
    </xf>
    <xf numFmtId="3" fontId="11" fillId="5" borderId="8" xfId="12" applyNumberFormat="1" applyFont="1" applyFill="1" applyBorder="1" applyAlignment="1">
      <alignment vertical="center"/>
    </xf>
    <xf numFmtId="3" fontId="11" fillId="5" borderId="20" xfId="12" applyNumberFormat="1" applyFont="1" applyFill="1" applyBorder="1" applyAlignment="1">
      <alignment vertical="center"/>
    </xf>
    <xf numFmtId="3" fontId="11" fillId="5" borderId="73" xfId="12" applyNumberFormat="1" applyFont="1" applyFill="1" applyBorder="1" applyAlignment="1">
      <alignment vertical="center"/>
    </xf>
    <xf numFmtId="165" fontId="7" fillId="0" borderId="25" xfId="0" applyNumberFormat="1" applyFont="1" applyBorder="1" applyAlignment="1">
      <alignment horizontal="right" vertical="center"/>
    </xf>
    <xf numFmtId="165" fontId="9" fillId="0" borderId="7" xfId="6" applyNumberFormat="1" applyFont="1" applyBorder="1" applyAlignment="1">
      <alignment vertical="center"/>
    </xf>
    <xf numFmtId="165" fontId="7" fillId="0" borderId="29" xfId="0" applyNumberFormat="1" applyFont="1" applyBorder="1" applyAlignment="1">
      <alignment horizontal="right" vertical="center"/>
    </xf>
    <xf numFmtId="165" fontId="7" fillId="0" borderId="0" xfId="0" applyNumberFormat="1" applyFont="1" applyBorder="1" applyAlignment="1">
      <alignment vertical="center"/>
    </xf>
    <xf numFmtId="165" fontId="7" fillId="0" borderId="31" xfId="0" applyNumberFormat="1" applyFont="1" applyBorder="1" applyAlignment="1">
      <alignment vertical="center"/>
    </xf>
    <xf numFmtId="165" fontId="7" fillId="0" borderId="28" xfId="0" applyNumberFormat="1" applyFont="1" applyBorder="1" applyAlignment="1">
      <alignment horizontal="right" vertical="center"/>
    </xf>
    <xf numFmtId="165" fontId="7" fillId="0" borderId="17" xfId="0" applyNumberFormat="1" applyFont="1" applyBorder="1" applyAlignment="1">
      <alignment vertical="center"/>
    </xf>
    <xf numFmtId="165" fontId="11" fillId="5" borderId="8" xfId="6" applyNumberFormat="1" applyFont="1" applyFill="1" applyBorder="1" applyAlignment="1">
      <alignment vertical="center"/>
    </xf>
    <xf numFmtId="165" fontId="11" fillId="5" borderId="72" xfId="6" applyNumberFormat="1" applyFont="1" applyFill="1" applyBorder="1" applyAlignment="1">
      <alignment vertical="center"/>
    </xf>
    <xf numFmtId="3" fontId="7" fillId="0" borderId="25" xfId="1" applyNumberFormat="1" applyFont="1" applyBorder="1" applyAlignment="1">
      <alignment horizontal="right" vertical="center"/>
    </xf>
    <xf numFmtId="3" fontId="7" fillId="0" borderId="39" xfId="1" applyNumberFormat="1" applyFont="1" applyBorder="1" applyAlignment="1">
      <alignment horizontal="right" vertical="center"/>
    </xf>
    <xf numFmtId="3" fontId="7" fillId="0" borderId="43" xfId="1" applyNumberFormat="1" applyFont="1" applyBorder="1" applyAlignment="1">
      <alignment horizontal="right" vertical="center"/>
    </xf>
    <xf numFmtId="3" fontId="7" fillId="0" borderId="7" xfId="0" applyNumberFormat="1" applyFont="1" applyFill="1" applyBorder="1" applyAlignment="1">
      <alignment vertical="center"/>
    </xf>
    <xf numFmtId="3" fontId="7" fillId="0" borderId="28" xfId="1" applyNumberFormat="1" applyFont="1" applyBorder="1" applyAlignment="1">
      <alignment horizontal="right" vertical="center"/>
    </xf>
    <xf numFmtId="3" fontId="7" fillId="0" borderId="17" xfId="1" applyNumberFormat="1" applyFont="1" applyBorder="1" applyAlignment="1">
      <alignment horizontal="right" vertical="center"/>
    </xf>
    <xf numFmtId="3" fontId="11" fillId="5" borderId="6" xfId="1" applyNumberFormat="1" applyFont="1" applyFill="1" applyBorder="1" applyAlignment="1">
      <alignment horizontal="right" vertical="center"/>
    </xf>
    <xf numFmtId="3" fontId="11" fillId="5" borderId="8" xfId="1" applyNumberFormat="1" applyFont="1" applyFill="1" applyBorder="1" applyAlignment="1">
      <alignment horizontal="right" vertical="center"/>
    </xf>
    <xf numFmtId="3" fontId="11" fillId="5" borderId="48" xfId="0" applyNumberFormat="1" applyFont="1" applyFill="1" applyBorder="1" applyAlignment="1">
      <alignment vertical="center"/>
    </xf>
    <xf numFmtId="3" fontId="11" fillId="5" borderId="20" xfId="1" applyNumberFormat="1" applyFont="1" applyFill="1" applyBorder="1" applyAlignment="1">
      <alignment horizontal="right" vertical="center"/>
    </xf>
    <xf numFmtId="3" fontId="7" fillId="0" borderId="39" xfId="1" applyNumberFormat="1" applyFont="1" applyBorder="1" applyAlignment="1">
      <alignment vertical="center"/>
    </xf>
    <xf numFmtId="3" fontId="11" fillId="5" borderId="6" xfId="1" applyNumberFormat="1" applyFont="1" applyFill="1" applyBorder="1" applyAlignment="1">
      <alignment vertical="center"/>
    </xf>
    <xf numFmtId="165" fontId="7" fillId="0" borderId="25" xfId="0" applyNumberFormat="1" applyFont="1" applyBorder="1" applyAlignment="1">
      <alignment vertical="center"/>
    </xf>
    <xf numFmtId="165" fontId="7" fillId="0" borderId="43" xfId="0" applyNumberFormat="1" applyFont="1" applyBorder="1" applyAlignment="1">
      <alignment vertical="center"/>
    </xf>
    <xf numFmtId="165" fontId="7" fillId="0" borderId="43" xfId="0" applyNumberFormat="1" applyFont="1" applyFill="1" applyBorder="1" applyAlignment="1">
      <alignment vertical="center"/>
    </xf>
    <xf numFmtId="165" fontId="7" fillId="0" borderId="7" xfId="0" applyNumberFormat="1" applyFont="1" applyBorder="1" applyAlignment="1">
      <alignment vertical="center"/>
    </xf>
    <xf numFmtId="165" fontId="7" fillId="0" borderId="15" xfId="0" applyNumberFormat="1" applyFont="1" applyFill="1" applyBorder="1" applyAlignment="1">
      <alignment vertical="center"/>
    </xf>
    <xf numFmtId="165" fontId="7" fillId="0" borderId="29" xfId="0" applyNumberFormat="1" applyFont="1" applyBorder="1" applyAlignment="1">
      <alignment vertical="center"/>
    </xf>
    <xf numFmtId="165" fontId="7" fillId="0" borderId="31" xfId="0" applyNumberFormat="1" applyFont="1" applyFill="1" applyBorder="1" applyAlignment="1">
      <alignment vertical="center"/>
    </xf>
    <xf numFmtId="165" fontId="7" fillId="0" borderId="7" xfId="0" applyNumberFormat="1" applyFont="1" applyFill="1" applyBorder="1" applyAlignment="1">
      <alignment vertical="center"/>
    </xf>
    <xf numFmtId="165" fontId="7" fillId="0" borderId="0" xfId="0" applyNumberFormat="1" applyFont="1" applyFill="1" applyBorder="1" applyAlignment="1">
      <alignment vertical="center"/>
    </xf>
    <xf numFmtId="165" fontId="7" fillId="0" borderId="28" xfId="0" applyNumberFormat="1" applyFont="1" applyBorder="1" applyAlignment="1">
      <alignment vertical="center"/>
    </xf>
    <xf numFmtId="165" fontId="7" fillId="0" borderId="47" xfId="0" applyNumberFormat="1" applyFont="1" applyBorder="1" applyAlignment="1">
      <alignment vertical="center"/>
    </xf>
    <xf numFmtId="165" fontId="7" fillId="0" borderId="12" xfId="0" applyNumberFormat="1" applyFont="1" applyBorder="1" applyAlignment="1">
      <alignment vertical="center"/>
    </xf>
    <xf numFmtId="165" fontId="7" fillId="0" borderId="12" xfId="0" applyNumberFormat="1" applyFont="1" applyFill="1" applyBorder="1" applyAlignment="1">
      <alignment vertical="center"/>
    </xf>
    <xf numFmtId="165" fontId="30" fillId="5" borderId="28" xfId="0" applyNumberFormat="1" applyFont="1" applyFill="1" applyBorder="1" applyAlignment="1">
      <alignment vertical="center"/>
    </xf>
    <xf numFmtId="165" fontId="30" fillId="5" borderId="17" xfId="0" applyNumberFormat="1" applyFont="1" applyFill="1" applyBorder="1" applyAlignment="1">
      <alignment vertical="center"/>
    </xf>
    <xf numFmtId="165" fontId="30" fillId="5" borderId="47" xfId="0" applyNumberFormat="1" applyFont="1" applyFill="1" applyBorder="1" applyAlignment="1">
      <alignment vertical="center"/>
    </xf>
    <xf numFmtId="165" fontId="30" fillId="5" borderId="20" xfId="0" applyNumberFormat="1" applyFont="1" applyFill="1" applyBorder="1" applyAlignment="1">
      <alignment vertical="center"/>
    </xf>
    <xf numFmtId="165" fontId="30" fillId="5" borderId="6" xfId="0" applyNumberFormat="1" applyFont="1" applyFill="1" applyBorder="1" applyAlignment="1">
      <alignment vertical="center"/>
    </xf>
    <xf numFmtId="165" fontId="30" fillId="5" borderId="9" xfId="0" applyNumberFormat="1" applyFont="1" applyFill="1" applyBorder="1" applyAlignment="1">
      <alignment vertical="center"/>
    </xf>
    <xf numFmtId="165" fontId="32" fillId="0" borderId="25" xfId="0" applyNumberFormat="1" applyFont="1" applyFill="1" applyBorder="1" applyAlignment="1">
      <alignment horizontal="right" vertical="center"/>
    </xf>
    <xf numFmtId="165" fontId="32" fillId="0" borderId="29" xfId="0" applyNumberFormat="1" applyFont="1" applyFill="1" applyBorder="1" applyAlignment="1">
      <alignment horizontal="right" vertical="center"/>
    </xf>
    <xf numFmtId="165" fontId="32" fillId="0" borderId="28" xfId="0" applyNumberFormat="1" applyFont="1" applyFill="1" applyBorder="1" applyAlignment="1">
      <alignment horizontal="right" vertical="center"/>
    </xf>
    <xf numFmtId="165" fontId="34" fillId="5" borderId="6" xfId="0" applyNumberFormat="1" applyFont="1" applyFill="1" applyBorder="1" applyAlignment="1">
      <alignment horizontal="right" vertical="center"/>
    </xf>
    <xf numFmtId="165" fontId="34" fillId="5" borderId="8" xfId="0" applyNumberFormat="1" applyFont="1" applyFill="1" applyBorder="1" applyAlignment="1">
      <alignment horizontal="right" vertical="center"/>
    </xf>
    <xf numFmtId="165" fontId="34" fillId="5" borderId="28" xfId="0" applyNumberFormat="1" applyFont="1" applyFill="1" applyBorder="1" applyAlignment="1">
      <alignment horizontal="right" vertical="center"/>
    </xf>
    <xf numFmtId="165" fontId="7" fillId="0" borderId="43" xfId="0" applyNumberFormat="1" applyFont="1" applyBorder="1" applyAlignment="1">
      <alignment horizontal="right" vertical="center"/>
    </xf>
    <xf numFmtId="165" fontId="7" fillId="0" borderId="7" xfId="0" applyNumberFormat="1" applyFont="1" applyBorder="1" applyAlignment="1">
      <alignment horizontal="right" vertical="center"/>
    </xf>
    <xf numFmtId="165" fontId="32" fillId="0" borderId="15" xfId="0" applyNumberFormat="1" applyFont="1" applyBorder="1" applyAlignment="1">
      <alignment horizontal="right" vertical="center"/>
    </xf>
    <xf numFmtId="165" fontId="7" fillId="0" borderId="31" xfId="0" applyNumberFormat="1" applyFont="1" applyBorder="1" applyAlignment="1">
      <alignment horizontal="right" vertical="center"/>
    </xf>
    <xf numFmtId="165" fontId="32" fillId="0" borderId="7" xfId="0" applyNumberFormat="1" applyFont="1" applyBorder="1" applyAlignment="1">
      <alignment horizontal="right" vertical="center"/>
    </xf>
    <xf numFmtId="165" fontId="7" fillId="0" borderId="12" xfId="0" applyNumberFormat="1" applyFont="1" applyBorder="1" applyAlignment="1">
      <alignment horizontal="right" vertical="center"/>
    </xf>
    <xf numFmtId="165" fontId="32" fillId="0" borderId="12" xfId="0" applyNumberFormat="1" applyFont="1" applyBorder="1" applyAlignment="1">
      <alignment horizontal="right" vertical="center"/>
    </xf>
    <xf numFmtId="165" fontId="34" fillId="5" borderId="20" xfId="0" applyNumberFormat="1" applyFont="1" applyFill="1" applyBorder="1" applyAlignment="1">
      <alignment horizontal="right" vertical="center"/>
    </xf>
    <xf numFmtId="165" fontId="34" fillId="5" borderId="9" xfId="0" applyNumberFormat="1" applyFont="1" applyFill="1" applyBorder="1" applyAlignment="1">
      <alignment horizontal="right" vertical="center"/>
    </xf>
    <xf numFmtId="165" fontId="34" fillId="5" borderId="12" xfId="0" applyNumberFormat="1" applyFont="1" applyFill="1" applyBorder="1" applyAlignment="1">
      <alignment horizontal="right" vertical="center"/>
    </xf>
    <xf numFmtId="164" fontId="7" fillId="0" borderId="7" xfId="1" applyNumberFormat="1" applyFont="1" applyBorder="1" applyAlignment="1">
      <alignment horizontal="right" vertical="center"/>
    </xf>
    <xf numFmtId="3" fontId="7" fillId="0" borderId="15" xfId="0" applyNumberFormat="1" applyFont="1" applyBorder="1" applyAlignment="1">
      <alignment vertical="center"/>
    </xf>
    <xf numFmtId="3" fontId="7" fillId="0" borderId="7" xfId="0" applyNumberFormat="1" applyFont="1" applyBorder="1" applyAlignment="1">
      <alignment vertical="center"/>
    </xf>
    <xf numFmtId="3" fontId="7" fillId="0" borderId="12" xfId="0" applyNumberFormat="1" applyFont="1" applyBorder="1" applyAlignment="1">
      <alignment vertical="center"/>
    </xf>
    <xf numFmtId="3" fontId="30" fillId="5" borderId="6" xfId="0" applyNumberFormat="1" applyFont="1" applyFill="1" applyBorder="1" applyAlignment="1">
      <alignment vertical="center"/>
    </xf>
    <xf numFmtId="3" fontId="30" fillId="5" borderId="8" xfId="0" applyNumberFormat="1" applyFont="1" applyFill="1" applyBorder="1" applyAlignment="1">
      <alignment vertical="center"/>
    </xf>
    <xf numFmtId="3" fontId="30" fillId="5" borderId="20" xfId="0" applyNumberFormat="1" applyFont="1" applyFill="1" applyBorder="1" applyAlignment="1">
      <alignment vertical="center"/>
    </xf>
    <xf numFmtId="3" fontId="30" fillId="5" borderId="9" xfId="0" applyNumberFormat="1" applyFont="1" applyFill="1" applyBorder="1" applyAlignment="1">
      <alignment vertical="center"/>
    </xf>
    <xf numFmtId="0" fontId="7" fillId="0" borderId="7" xfId="0" applyFont="1" applyBorder="1" applyAlignment="1">
      <alignment vertical="center"/>
    </xf>
    <xf numFmtId="3" fontId="24" fillId="0" borderId="29" xfId="18" applyNumberFormat="1" applyFont="1" applyBorder="1" applyAlignment="1">
      <alignment vertical="center"/>
    </xf>
    <xf numFmtId="3" fontId="24" fillId="0" borderId="0" xfId="18" applyNumberFormat="1" applyFont="1" applyBorder="1" applyAlignment="1">
      <alignment vertical="center"/>
    </xf>
    <xf numFmtId="3" fontId="24" fillId="0" borderId="0" xfId="20" applyNumberFormat="1" applyFont="1" applyFill="1" applyBorder="1" applyAlignment="1">
      <alignment horizontal="right" vertical="center" wrapText="1"/>
    </xf>
    <xf numFmtId="3" fontId="7" fillId="0" borderId="0" xfId="19" applyNumberFormat="1" applyFont="1" applyFill="1" applyBorder="1" applyAlignment="1">
      <alignment vertical="center"/>
    </xf>
    <xf numFmtId="3" fontId="24" fillId="0" borderId="0" xfId="17" applyNumberFormat="1" applyFont="1" applyFill="1" applyBorder="1" applyAlignment="1">
      <alignment vertical="center"/>
    </xf>
    <xf numFmtId="3" fontId="24" fillId="0" borderId="28" xfId="18" applyNumberFormat="1" applyFont="1" applyBorder="1" applyAlignment="1">
      <alignment vertical="center"/>
    </xf>
    <xf numFmtId="3" fontId="24" fillId="0" borderId="17" xfId="18" applyNumberFormat="1" applyFont="1" applyBorder="1" applyAlignment="1">
      <alignment vertical="center"/>
    </xf>
    <xf numFmtId="3" fontId="24" fillId="0" borderId="47" xfId="16" applyNumberFormat="1" applyFont="1" applyBorder="1" applyAlignment="1">
      <alignment vertical="center"/>
    </xf>
    <xf numFmtId="3" fontId="24" fillId="0" borderId="12" xfId="16" applyNumberFormat="1" applyFont="1" applyBorder="1" applyAlignment="1">
      <alignment vertical="center"/>
    </xf>
    <xf numFmtId="3" fontId="24" fillId="0" borderId="25" xfId="18" applyNumberFormat="1" applyFont="1" applyBorder="1" applyAlignment="1">
      <alignment vertical="center"/>
    </xf>
    <xf numFmtId="3" fontId="24" fillId="0" borderId="39" xfId="18" applyNumberFormat="1" applyFont="1" applyBorder="1" applyAlignment="1">
      <alignment vertical="center"/>
    </xf>
    <xf numFmtId="3" fontId="7" fillId="0" borderId="39" xfId="19" applyNumberFormat="1" applyFont="1" applyFill="1" applyBorder="1" applyAlignment="1">
      <alignment vertical="center"/>
    </xf>
    <xf numFmtId="3" fontId="24" fillId="0" borderId="39" xfId="17" applyNumberFormat="1" applyFont="1" applyFill="1" applyBorder="1" applyAlignment="1">
      <alignment vertical="center"/>
    </xf>
    <xf numFmtId="3" fontId="7" fillId="0" borderId="39" xfId="0" applyNumberFormat="1" applyFont="1" applyFill="1" applyBorder="1" applyAlignment="1">
      <alignment vertical="center"/>
    </xf>
    <xf numFmtId="3" fontId="24" fillId="0" borderId="31" xfId="16" applyNumberFormat="1" applyFont="1" applyBorder="1" applyAlignment="1">
      <alignment vertical="center"/>
    </xf>
    <xf numFmtId="3" fontId="30" fillId="5" borderId="6" xfId="18" applyNumberFormat="1" applyFont="1" applyFill="1" applyBorder="1" applyAlignment="1">
      <alignment vertical="center"/>
    </xf>
    <xf numFmtId="3" fontId="30" fillId="5" borderId="8" xfId="18" applyNumberFormat="1" applyFont="1" applyFill="1" applyBorder="1" applyAlignment="1">
      <alignment vertical="center"/>
    </xf>
    <xf numFmtId="3" fontId="43" fillId="5" borderId="8" xfId="18" applyNumberFormat="1" applyFont="1" applyFill="1" applyBorder="1" applyAlignment="1">
      <alignment vertical="center"/>
    </xf>
    <xf numFmtId="3" fontId="30" fillId="5" borderId="20" xfId="18" applyNumberFormat="1" applyFont="1" applyFill="1" applyBorder="1" applyAlignment="1">
      <alignment vertical="center"/>
    </xf>
    <xf numFmtId="3" fontId="24" fillId="0" borderId="28" xfId="16" applyNumberFormat="1" applyFont="1" applyBorder="1" applyAlignment="1">
      <alignment vertical="center"/>
    </xf>
    <xf numFmtId="3" fontId="42" fillId="0" borderId="31" xfId="16" applyNumberFormat="1" applyFont="1" applyBorder="1" applyAlignment="1">
      <alignment vertical="center"/>
    </xf>
    <xf numFmtId="3" fontId="24" fillId="0" borderId="0" xfId="18" applyNumberFormat="1" applyFont="1" applyFill="1" applyBorder="1" applyAlignment="1">
      <alignment horizontal="right" vertical="center" wrapText="1"/>
    </xf>
    <xf numFmtId="3" fontId="24" fillId="0" borderId="0" xfId="1" applyNumberFormat="1" applyFont="1" applyBorder="1" applyAlignment="1">
      <alignment vertical="center"/>
    </xf>
    <xf numFmtId="3" fontId="24" fillId="0" borderId="0" xfId="16" applyNumberFormat="1" applyFont="1" applyBorder="1" applyAlignment="1">
      <alignment horizontal="right" vertical="center"/>
    </xf>
    <xf numFmtId="3" fontId="24" fillId="0" borderId="31" xfId="16" applyNumberFormat="1" applyFont="1" applyBorder="1" applyAlignment="1">
      <alignment horizontal="right" vertical="center"/>
    </xf>
    <xf numFmtId="3" fontId="42" fillId="0" borderId="7" xfId="16" applyNumberFormat="1" applyFont="1" applyBorder="1" applyAlignment="1">
      <alignment horizontal="right" vertical="center"/>
    </xf>
    <xf numFmtId="3" fontId="35" fillId="0" borderId="0" xfId="18" applyNumberFormat="1" applyFont="1" applyBorder="1" applyAlignment="1">
      <alignment vertical="center"/>
    </xf>
    <xf numFmtId="3" fontId="32" fillId="0" borderId="0" xfId="19" applyNumberFormat="1" applyFont="1" applyFill="1" applyBorder="1" applyAlignment="1">
      <alignment vertical="center"/>
    </xf>
    <xf numFmtId="3" fontId="32" fillId="0" borderId="0" xfId="1" applyNumberFormat="1" applyFont="1" applyBorder="1" applyAlignment="1">
      <alignment vertical="center"/>
    </xf>
    <xf numFmtId="3" fontId="35" fillId="0" borderId="0" xfId="1" applyNumberFormat="1" applyFont="1" applyBorder="1" applyAlignment="1">
      <alignment vertical="center"/>
    </xf>
    <xf numFmtId="3" fontId="35" fillId="0" borderId="17" xfId="18" applyNumberFormat="1" applyFont="1" applyBorder="1" applyAlignment="1">
      <alignment vertical="center"/>
    </xf>
    <xf numFmtId="3" fontId="34" fillId="5" borderId="8" xfId="16" applyNumberFormat="1" applyFont="1" applyFill="1" applyBorder="1" applyAlignment="1">
      <alignment vertical="center"/>
    </xf>
    <xf numFmtId="3" fontId="34" fillId="5" borderId="8" xfId="1" applyNumberFormat="1" applyFont="1" applyFill="1" applyBorder="1" applyAlignment="1">
      <alignment vertical="center"/>
    </xf>
    <xf numFmtId="3" fontId="34" fillId="5" borderId="47" xfId="1" applyNumberFormat="1" applyFont="1" applyFill="1" applyBorder="1" applyAlignment="1">
      <alignment vertical="center"/>
    </xf>
    <xf numFmtId="3" fontId="30" fillId="5" borderId="9" xfId="16" applyNumberFormat="1" applyFont="1" applyFill="1" applyBorder="1" applyAlignment="1">
      <alignment vertical="center"/>
    </xf>
    <xf numFmtId="3" fontId="9" fillId="0" borderId="15" xfId="18" applyNumberFormat="1" applyFont="1" applyBorder="1" applyAlignment="1">
      <alignment vertical="center"/>
    </xf>
    <xf numFmtId="3" fontId="9" fillId="0" borderId="7" xfId="18" applyNumberFormat="1" applyFont="1" applyBorder="1" applyAlignment="1">
      <alignment vertical="center"/>
    </xf>
    <xf numFmtId="3" fontId="9" fillId="0" borderId="47" xfId="18" applyNumberFormat="1" applyFont="1" applyBorder="1" applyAlignment="1">
      <alignment vertical="center"/>
    </xf>
    <xf numFmtId="3" fontId="30" fillId="5" borderId="9" xfId="18" applyNumberFormat="1" applyFont="1" applyFill="1" applyBorder="1" applyAlignment="1">
      <alignment vertical="center"/>
    </xf>
    <xf numFmtId="3" fontId="31" fillId="0" borderId="29" xfId="18" applyNumberFormat="1" applyFont="1" applyFill="1" applyBorder="1" applyAlignment="1">
      <alignment vertical="center"/>
    </xf>
    <xf numFmtId="3" fontId="24" fillId="0" borderId="0" xfId="18" applyNumberFormat="1" applyFont="1" applyAlignment="1">
      <alignment vertical="center"/>
    </xf>
    <xf numFmtId="3" fontId="35" fillId="0" borderId="0" xfId="18" applyNumberFormat="1" applyFont="1" applyAlignment="1">
      <alignment vertical="center"/>
    </xf>
    <xf numFmtId="3" fontId="42" fillId="0" borderId="15" xfId="18" applyNumberFormat="1" applyFont="1" applyBorder="1" applyAlignment="1">
      <alignment vertical="center"/>
    </xf>
    <xf numFmtId="3" fontId="35" fillId="0" borderId="0" xfId="18" applyNumberFormat="1" applyFont="1" applyFill="1" applyBorder="1" applyAlignment="1">
      <alignment vertical="center"/>
    </xf>
    <xf numFmtId="3" fontId="42" fillId="0" borderId="29" xfId="18" applyNumberFormat="1" applyFont="1" applyBorder="1" applyAlignment="1">
      <alignment vertical="center"/>
    </xf>
    <xf numFmtId="3" fontId="35" fillId="0" borderId="29" xfId="18" applyNumberFormat="1" applyFont="1" applyFill="1" applyBorder="1" applyAlignment="1">
      <alignment vertical="center"/>
    </xf>
    <xf numFmtId="3" fontId="40" fillId="0" borderId="29" xfId="18" applyNumberFormat="1" applyFont="1" applyFill="1" applyBorder="1" applyAlignment="1">
      <alignment vertical="center"/>
    </xf>
    <xf numFmtId="3" fontId="42" fillId="0" borderId="17" xfId="18" applyNumberFormat="1" applyFont="1" applyFill="1" applyBorder="1" applyAlignment="1">
      <alignment vertical="center"/>
    </xf>
    <xf numFmtId="3" fontId="42" fillId="0" borderId="8" xfId="18" applyNumberFormat="1" applyFont="1" applyFill="1" applyBorder="1" applyAlignment="1">
      <alignment vertical="center"/>
    </xf>
    <xf numFmtId="3" fontId="40" fillId="0" borderId="0" xfId="18" applyNumberFormat="1" applyFont="1" applyFill="1" applyBorder="1" applyAlignment="1">
      <alignment vertical="center"/>
    </xf>
    <xf numFmtId="3" fontId="9" fillId="0" borderId="28" xfId="18" applyNumberFormat="1" applyFont="1" applyBorder="1" applyAlignment="1">
      <alignment vertical="center"/>
    </xf>
    <xf numFmtId="3" fontId="9" fillId="0" borderId="0" xfId="18" applyNumberFormat="1" applyFont="1" applyBorder="1" applyAlignment="1">
      <alignment vertical="center"/>
    </xf>
    <xf numFmtId="3" fontId="31" fillId="0" borderId="0" xfId="18" applyNumberFormat="1" applyFont="1" applyFill="1" applyBorder="1" applyAlignment="1">
      <alignment vertical="center"/>
    </xf>
    <xf numFmtId="3" fontId="30" fillId="5" borderId="8" xfId="17" applyNumberFormat="1" applyFont="1" applyFill="1" applyBorder="1" applyAlignment="1">
      <alignment vertical="center"/>
    </xf>
    <xf numFmtId="3" fontId="9" fillId="0" borderId="17" xfId="18" applyNumberFormat="1" applyFont="1" applyBorder="1" applyAlignment="1">
      <alignment vertical="center"/>
    </xf>
    <xf numFmtId="3" fontId="42" fillId="0" borderId="6" xfId="18" applyNumberFormat="1" applyFont="1" applyFill="1" applyBorder="1" applyAlignment="1">
      <alignment vertical="center"/>
    </xf>
    <xf numFmtId="3" fontId="24" fillId="0" borderId="0" xfId="18" applyNumberFormat="1" applyFont="1" applyFill="1" applyBorder="1" applyAlignment="1">
      <alignment vertical="center"/>
    </xf>
    <xf numFmtId="3" fontId="42" fillId="0" borderId="39" xfId="18" applyNumberFormat="1" applyFont="1" applyFill="1" applyBorder="1" applyAlignment="1">
      <alignment vertical="center" wrapText="1"/>
    </xf>
    <xf numFmtId="3" fontId="42" fillId="0" borderId="20" xfId="18" applyNumberFormat="1" applyFont="1" applyFill="1" applyBorder="1" applyAlignment="1">
      <alignment vertical="center" wrapText="1"/>
    </xf>
    <xf numFmtId="3" fontId="40" fillId="0" borderId="29" xfId="18" applyNumberFormat="1" applyFont="1" applyFill="1" applyBorder="1" applyAlignment="1">
      <alignment vertical="center" wrapText="1"/>
    </xf>
    <xf numFmtId="3" fontId="42" fillId="0" borderId="6" xfId="18" applyNumberFormat="1" applyFont="1" applyFill="1" applyBorder="1" applyAlignment="1">
      <alignment vertical="center" wrapText="1"/>
    </xf>
    <xf numFmtId="3" fontId="42" fillId="0" borderId="8" xfId="18" applyNumberFormat="1" applyFont="1" applyFill="1" applyBorder="1" applyAlignment="1">
      <alignment vertical="center" wrapText="1"/>
    </xf>
    <xf numFmtId="3" fontId="30" fillId="12" borderId="17" xfId="18" applyNumberFormat="1" applyFont="1" applyFill="1" applyBorder="1" applyAlignment="1">
      <alignment vertical="center" wrapText="1"/>
    </xf>
    <xf numFmtId="3" fontId="46" fillId="12" borderId="17" xfId="18" applyNumberFormat="1" applyFont="1" applyFill="1" applyBorder="1" applyAlignment="1">
      <alignment vertical="center" wrapText="1"/>
    </xf>
    <xf numFmtId="3" fontId="30" fillId="12" borderId="6" xfId="18" applyNumberFormat="1" applyFont="1" applyFill="1" applyBorder="1" applyAlignment="1">
      <alignment vertical="center" wrapText="1"/>
    </xf>
    <xf numFmtId="3" fontId="31" fillId="0" borderId="29" xfId="18" applyNumberFormat="1" applyFont="1" applyFill="1" applyBorder="1" applyAlignment="1">
      <alignment vertical="center" wrapText="1"/>
    </xf>
    <xf numFmtId="3" fontId="9" fillId="0" borderId="0" xfId="18" applyNumberFormat="1" applyFont="1" applyFill="1" applyBorder="1" applyAlignment="1">
      <alignment vertical="center" wrapText="1"/>
    </xf>
    <xf numFmtId="165" fontId="7" fillId="0" borderId="28" xfId="11" applyNumberFormat="1" applyFont="1" applyBorder="1" applyAlignment="1">
      <alignment vertical="center"/>
    </xf>
    <xf numFmtId="165" fontId="7" fillId="0" borderId="17" xfId="11" applyNumberFormat="1" applyFont="1" applyBorder="1" applyAlignment="1">
      <alignment vertical="center"/>
    </xf>
    <xf numFmtId="165" fontId="9" fillId="0" borderId="12" xfId="11" applyNumberFormat="1" applyFont="1" applyBorder="1" applyAlignment="1">
      <alignment vertical="center"/>
    </xf>
    <xf numFmtId="165" fontId="7" fillId="0" borderId="8" xfId="11" applyNumberFormat="1" applyFont="1" applyBorder="1" applyAlignment="1">
      <alignment vertical="center"/>
    </xf>
    <xf numFmtId="165" fontId="9" fillId="0" borderId="8" xfId="11" applyNumberFormat="1" applyFont="1" applyBorder="1" applyAlignment="1">
      <alignment vertical="center"/>
    </xf>
    <xf numFmtId="165" fontId="50" fillId="9" borderId="6" xfId="0" applyNumberFormat="1" applyFont="1" applyFill="1" applyBorder="1" applyAlignment="1">
      <alignment vertical="center"/>
    </xf>
    <xf numFmtId="165" fontId="50" fillId="9" borderId="8" xfId="0" applyNumberFormat="1" applyFont="1" applyFill="1" applyBorder="1" applyAlignment="1">
      <alignment vertical="center"/>
    </xf>
    <xf numFmtId="165" fontId="51" fillId="9" borderId="9" xfId="0" applyNumberFormat="1" applyFont="1" applyFill="1" applyBorder="1" applyAlignment="1">
      <alignment vertical="center"/>
    </xf>
    <xf numFmtId="165" fontId="7" fillId="0" borderId="25" xfId="11" applyNumberFormat="1" applyFont="1" applyBorder="1" applyAlignment="1">
      <alignment vertical="center"/>
    </xf>
    <xf numFmtId="165" fontId="7" fillId="0" borderId="39" xfId="11" applyNumberFormat="1" applyFont="1" applyBorder="1" applyAlignment="1">
      <alignment vertical="center"/>
    </xf>
    <xf numFmtId="165" fontId="9" fillId="0" borderId="9" xfId="11" applyNumberFormat="1" applyFont="1" applyBorder="1" applyAlignment="1">
      <alignment vertical="center"/>
    </xf>
    <xf numFmtId="165" fontId="16" fillId="9" borderId="6" xfId="0" applyNumberFormat="1" applyFont="1" applyFill="1" applyBorder="1" applyAlignment="1"/>
    <xf numFmtId="165" fontId="16" fillId="9" borderId="8" xfId="0" applyNumberFormat="1" applyFont="1" applyFill="1" applyBorder="1" applyAlignment="1"/>
    <xf numFmtId="165" fontId="16" fillId="9" borderId="20" xfId="0" applyNumberFormat="1" applyFont="1" applyFill="1" applyBorder="1" applyAlignment="1"/>
    <xf numFmtId="165" fontId="7" fillId="0" borderId="6" xfId="0" applyNumberFormat="1" applyFont="1" applyBorder="1" applyAlignment="1">
      <alignment vertical="center"/>
    </xf>
    <xf numFmtId="165" fontId="7" fillId="0" borderId="8" xfId="0" applyNumberFormat="1" applyFont="1" applyBorder="1" applyAlignment="1">
      <alignment vertical="center"/>
    </xf>
    <xf numFmtId="165" fontId="7" fillId="0" borderId="20" xfId="0" applyNumberFormat="1" applyFont="1" applyBorder="1" applyAlignment="1">
      <alignment vertical="center"/>
    </xf>
    <xf numFmtId="165" fontId="7" fillId="0" borderId="6" xfId="11" applyNumberFormat="1" applyFont="1" applyBorder="1" applyAlignment="1">
      <alignment vertical="center"/>
    </xf>
    <xf numFmtId="165" fontId="7" fillId="0" borderId="20" xfId="11" applyNumberFormat="1" applyFont="1" applyBorder="1" applyAlignment="1">
      <alignment vertical="center"/>
    </xf>
    <xf numFmtId="165" fontId="11" fillId="5" borderId="38" xfId="11" applyNumberFormat="1" applyFont="1" applyFill="1" applyBorder="1" applyAlignment="1">
      <alignment vertical="center"/>
    </xf>
    <xf numFmtId="165" fontId="11" fillId="5" borderId="39" xfId="11" applyNumberFormat="1" applyFont="1" applyFill="1" applyBorder="1" applyAlignment="1">
      <alignment vertical="center"/>
    </xf>
    <xf numFmtId="165" fontId="11" fillId="5" borderId="14" xfId="11" applyNumberFormat="1" applyFont="1" applyFill="1" applyBorder="1" applyAlignment="1">
      <alignment vertical="center"/>
    </xf>
    <xf numFmtId="165" fontId="11" fillId="5" borderId="64" xfId="11" applyNumberFormat="1" applyFont="1" applyFill="1" applyBorder="1" applyAlignment="1">
      <alignment vertical="center"/>
    </xf>
    <xf numFmtId="165" fontId="11" fillId="5" borderId="63" xfId="11" applyNumberFormat="1" applyFont="1" applyFill="1" applyBorder="1" applyAlignment="1">
      <alignment vertical="center"/>
    </xf>
    <xf numFmtId="3" fontId="11" fillId="5" borderId="72" xfId="1" applyNumberFormat="1" applyFont="1" applyFill="1" applyBorder="1" applyAlignment="1">
      <alignment vertical="center"/>
    </xf>
    <xf numFmtId="0" fontId="7" fillId="0" borderId="8" xfId="11" applyFont="1" applyBorder="1" applyAlignment="1">
      <alignment vertical="top" wrapText="1"/>
    </xf>
    <xf numFmtId="0" fontId="7" fillId="0" borderId="0" xfId="0" applyFont="1" applyAlignment="1">
      <alignment vertical="center"/>
    </xf>
    <xf numFmtId="164" fontId="0" fillId="0" borderId="0" xfId="0" applyNumberFormat="1"/>
    <xf numFmtId="164" fontId="7" fillId="0" borderId="0" xfId="0" applyNumberFormat="1" applyFont="1"/>
    <xf numFmtId="0" fontId="66" fillId="9" borderId="0" xfId="0" applyFont="1" applyFill="1" applyBorder="1"/>
    <xf numFmtId="0" fontId="0" fillId="11" borderId="0" xfId="0" applyFill="1" applyBorder="1" applyAlignment="1">
      <alignment vertical="center"/>
    </xf>
    <xf numFmtId="0" fontId="0" fillId="11" borderId="0" xfId="0" applyFill="1" applyBorder="1" applyAlignment="1">
      <alignment horizontal="left"/>
    </xf>
    <xf numFmtId="164" fontId="0" fillId="11" borderId="0" xfId="0" applyNumberFormat="1" applyFill="1" applyBorder="1"/>
    <xf numFmtId="0" fontId="66" fillId="9" borderId="0" xfId="0" applyFont="1" applyFill="1" applyBorder="1" applyAlignment="1">
      <alignment horizontal="left"/>
    </xf>
    <xf numFmtId="164" fontId="66" fillId="9" borderId="0" xfId="0" applyNumberFormat="1" applyFont="1" applyFill="1" applyBorder="1"/>
    <xf numFmtId="0" fontId="7" fillId="0" borderId="0" xfId="0" applyFont="1" applyAlignment="1">
      <alignment horizontal="left" vertical="center" wrapText="1"/>
    </xf>
    <xf numFmtId="3" fontId="42" fillId="11" borderId="0" xfId="18" applyNumberFormat="1" applyFont="1" applyFill="1" applyBorder="1" applyAlignment="1">
      <alignment vertical="center"/>
    </xf>
    <xf numFmtId="3" fontId="42" fillId="11" borderId="0" xfId="17" applyNumberFormat="1" applyFont="1" applyFill="1" applyBorder="1" applyAlignment="1">
      <alignment vertical="center"/>
    </xf>
    <xf numFmtId="0" fontId="24" fillId="11" borderId="0" xfId="16" applyFont="1" applyFill="1" applyBorder="1" applyAlignment="1">
      <alignment horizontal="center" vertical="center"/>
    </xf>
    <xf numFmtId="3" fontId="30" fillId="11" borderId="0" xfId="18" applyNumberFormat="1" applyFont="1" applyFill="1" applyBorder="1" applyAlignment="1">
      <alignment vertical="center"/>
    </xf>
    <xf numFmtId="3" fontId="24" fillId="11" borderId="0" xfId="18" applyNumberFormat="1" applyFont="1" applyFill="1" applyBorder="1" applyAlignment="1">
      <alignment vertical="center"/>
    </xf>
    <xf numFmtId="3" fontId="7" fillId="11" borderId="0" xfId="23" applyNumberFormat="1" applyFont="1" applyFill="1" applyBorder="1" applyAlignment="1">
      <alignment vertical="center"/>
    </xf>
    <xf numFmtId="3" fontId="30" fillId="11" borderId="0" xfId="18" applyNumberFormat="1" applyFont="1" applyFill="1" applyBorder="1" applyAlignment="1">
      <alignment vertical="center" wrapText="1"/>
    </xf>
    <xf numFmtId="0" fontId="63" fillId="4" borderId="0" xfId="0" applyFont="1" applyFill="1" applyAlignment="1">
      <alignment horizontal="center" vertical="center"/>
    </xf>
    <xf numFmtId="0" fontId="49" fillId="14" borderId="0" xfId="0" applyFont="1" applyFill="1" applyAlignment="1">
      <alignment horizontal="center" vertical="center"/>
    </xf>
    <xf numFmtId="0" fontId="11" fillId="5" borderId="36" xfId="8" applyFont="1" applyFill="1" applyBorder="1" applyAlignment="1">
      <alignment horizontal="center" vertical="center" wrapText="1"/>
    </xf>
    <xf numFmtId="0" fontId="11" fillId="5" borderId="37" xfId="8" applyFont="1" applyFill="1" applyBorder="1" applyAlignment="1">
      <alignment horizontal="center" vertical="center" wrapText="1"/>
    </xf>
    <xf numFmtId="0" fontId="11" fillId="5" borderId="25" xfId="8" applyFont="1" applyFill="1" applyBorder="1" applyAlignment="1">
      <alignment horizontal="center" vertical="center"/>
    </xf>
    <xf numFmtId="0" fontId="11" fillId="5" borderId="28" xfId="8"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11" fillId="5" borderId="33" xfId="8" applyFont="1" applyFill="1" applyBorder="1" applyAlignment="1">
      <alignment horizontal="center" vertical="center"/>
    </xf>
    <xf numFmtId="0" fontId="11" fillId="5" borderId="34" xfId="8" applyFont="1" applyFill="1" applyBorder="1" applyAlignment="1">
      <alignment horizontal="center" vertical="center"/>
    </xf>
    <xf numFmtId="0" fontId="7" fillId="0" borderId="0" xfId="0" applyFont="1" applyAlignment="1">
      <alignment horizontal="left" vertical="center" wrapText="1"/>
    </xf>
    <xf numFmtId="0" fontId="24" fillId="11" borderId="15" xfId="0" applyFont="1" applyFill="1" applyBorder="1" applyAlignment="1">
      <alignment vertical="center" wrapText="1"/>
    </xf>
    <xf numFmtId="0" fontId="24" fillId="11" borderId="7" xfId="0" applyFont="1" applyFill="1" applyBorder="1" applyAlignment="1">
      <alignment vertical="center" wrapText="1"/>
    </xf>
    <xf numFmtId="0" fontId="24" fillId="11" borderId="7" xfId="0" applyFont="1" applyFill="1" applyBorder="1" applyAlignment="1">
      <alignment vertical="center"/>
    </xf>
    <xf numFmtId="0" fontId="24" fillId="11" borderId="31" xfId="0" applyFont="1" applyFill="1" applyBorder="1" applyAlignment="1">
      <alignment horizontal="left" vertical="center"/>
    </xf>
    <xf numFmtId="0" fontId="24" fillId="11" borderId="31" xfId="0" applyFont="1" applyFill="1" applyBorder="1" applyAlignment="1">
      <alignment vertical="center"/>
    </xf>
    <xf numFmtId="0" fontId="24" fillId="11" borderId="47" xfId="0" applyFont="1" applyFill="1" applyBorder="1" applyAlignment="1">
      <alignment vertical="center"/>
    </xf>
    <xf numFmtId="0" fontId="24" fillId="11" borderId="15" xfId="0" applyFont="1" applyFill="1" applyBorder="1" applyAlignment="1">
      <alignment horizontal="center" vertical="center" wrapText="1"/>
    </xf>
    <xf numFmtId="0" fontId="24" fillId="11" borderId="7"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11" fillId="5" borderId="34" xfId="0" applyFont="1" applyFill="1" applyBorder="1" applyAlignment="1">
      <alignment horizontal="center" vertical="center"/>
    </xf>
    <xf numFmtId="0" fontId="24" fillId="6" borderId="15"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5" xfId="0" applyFont="1" applyFill="1" applyBorder="1" applyAlignment="1">
      <alignment vertical="center" wrapText="1"/>
    </xf>
    <xf numFmtId="0" fontId="24" fillId="6" borderId="7" xfId="0" applyFont="1" applyFill="1" applyBorder="1" applyAlignment="1">
      <alignment vertical="center" wrapText="1"/>
    </xf>
    <xf numFmtId="0" fontId="24" fillId="6" borderId="12" xfId="0" applyFont="1" applyFill="1" applyBorder="1" applyAlignment="1">
      <alignment vertical="center" wrapText="1"/>
    </xf>
    <xf numFmtId="0" fontId="24" fillId="11" borderId="15" xfId="0" applyFont="1" applyFill="1" applyBorder="1" applyAlignment="1">
      <alignment vertical="center"/>
    </xf>
    <xf numFmtId="0" fontId="24" fillId="11" borderId="12" xfId="0" applyFont="1" applyFill="1" applyBorder="1" applyAlignment="1">
      <alignment vertical="center"/>
    </xf>
    <xf numFmtId="0" fontId="24" fillId="11" borderId="15" xfId="0" applyFont="1" applyFill="1" applyBorder="1" applyAlignment="1">
      <alignment horizontal="left" vertical="center"/>
    </xf>
    <xf numFmtId="0" fontId="24" fillId="11" borderId="7" xfId="0" applyFont="1" applyFill="1" applyBorder="1" applyAlignment="1">
      <alignment horizontal="left" vertical="center"/>
    </xf>
    <xf numFmtId="0" fontId="24" fillId="11" borderId="12" xfId="0" applyFont="1" applyFill="1" applyBorder="1" applyAlignment="1">
      <alignment horizontal="left" vertical="center"/>
    </xf>
    <xf numFmtId="0" fontId="11" fillId="5" borderId="36" xfId="9" applyFont="1" applyFill="1" applyBorder="1" applyAlignment="1">
      <alignment horizontal="center" vertical="center" wrapText="1"/>
    </xf>
    <xf numFmtId="0" fontId="11" fillId="5" borderId="37" xfId="9"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1" fillId="5" borderId="25" xfId="9" applyFont="1" applyFill="1" applyBorder="1" applyAlignment="1">
      <alignment horizontal="center" vertical="center"/>
    </xf>
    <xf numFmtId="0" fontId="11" fillId="5" borderId="28" xfId="9" applyFont="1" applyFill="1" applyBorder="1" applyAlignment="1">
      <alignment horizontal="center" vertical="center"/>
    </xf>
    <xf numFmtId="0" fontId="11" fillId="5" borderId="33" xfId="9" applyFont="1" applyFill="1" applyBorder="1" applyAlignment="1">
      <alignment horizontal="center" vertical="center"/>
    </xf>
    <xf numFmtId="0" fontId="11" fillId="5" borderId="34" xfId="9" applyFont="1" applyFill="1" applyBorder="1" applyAlignment="1">
      <alignment horizontal="center" vertical="center"/>
    </xf>
    <xf numFmtId="0" fontId="11" fillId="5" borderId="35" xfId="9" applyFont="1" applyFill="1" applyBorder="1" applyAlignment="1">
      <alignment horizontal="center"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2"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7" xfId="0" applyFont="1" applyBorder="1" applyAlignment="1">
      <alignment horizontal="center" vertical="center" wrapText="1"/>
    </xf>
    <xf numFmtId="0" fontId="11" fillId="5" borderId="6" xfId="0" applyFont="1" applyFill="1" applyBorder="1" applyAlignment="1">
      <alignment vertical="center"/>
    </xf>
    <xf numFmtId="0" fontId="11" fillId="5" borderId="8" xfId="0" applyFont="1" applyFill="1" applyBorder="1" applyAlignment="1">
      <alignment vertical="center"/>
    </xf>
    <xf numFmtId="0" fontId="9"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24" fillId="6" borderId="25" xfId="0" applyFont="1" applyFill="1" applyBorder="1" applyAlignment="1">
      <alignment vertical="center"/>
    </xf>
    <xf numFmtId="0" fontId="24" fillId="6" borderId="28" xfId="0" applyFont="1" applyFill="1" applyBorder="1" applyAlignment="1">
      <alignment vertical="center"/>
    </xf>
    <xf numFmtId="0" fontId="24" fillId="6" borderId="29" xfId="0" applyFont="1" applyFill="1" applyBorder="1" applyAlignment="1">
      <alignment vertical="center"/>
    </xf>
    <xf numFmtId="0" fontId="24" fillId="6" borderId="15"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12" xfId="0" applyFont="1" applyFill="1" applyBorder="1" applyAlignment="1">
      <alignment horizontal="center" vertical="center"/>
    </xf>
    <xf numFmtId="0" fontId="24" fillId="11" borderId="29" xfId="0" applyFont="1" applyFill="1" applyBorder="1" applyAlignment="1">
      <alignment vertical="center"/>
    </xf>
    <xf numFmtId="0" fontId="24" fillId="11" borderId="25" xfId="0" applyFont="1" applyFill="1" applyBorder="1" applyAlignment="1">
      <alignment vertical="center"/>
    </xf>
    <xf numFmtId="0" fontId="24" fillId="11" borderId="28" xfId="0" applyFont="1" applyFill="1" applyBorder="1" applyAlignment="1">
      <alignment vertical="center"/>
    </xf>
    <xf numFmtId="0" fontId="24" fillId="11" borderId="0" xfId="0" applyFont="1" applyFill="1" applyBorder="1" applyAlignment="1">
      <alignment vertical="center"/>
    </xf>
    <xf numFmtId="0" fontId="11" fillId="5" borderId="36" xfId="6" applyFont="1" applyFill="1" applyBorder="1" applyAlignment="1">
      <alignment horizontal="center" vertical="center" wrapText="1"/>
    </xf>
    <xf numFmtId="0" fontId="11" fillId="5" borderId="37" xfId="6" applyFont="1" applyFill="1" applyBorder="1" applyAlignment="1">
      <alignment horizontal="center" vertical="center" wrapText="1"/>
    </xf>
    <xf numFmtId="0" fontId="11" fillId="5" borderId="25" xfId="6" applyFont="1" applyFill="1" applyBorder="1" applyAlignment="1">
      <alignment horizontal="center" vertical="center" wrapText="1"/>
    </xf>
    <xf numFmtId="0" fontId="11" fillId="5" borderId="28" xfId="6" applyFont="1" applyFill="1" applyBorder="1" applyAlignment="1">
      <alignment horizontal="center" vertical="center" wrapText="1"/>
    </xf>
    <xf numFmtId="0" fontId="48" fillId="5" borderId="33" xfId="6" applyFont="1" applyFill="1" applyBorder="1" applyAlignment="1">
      <alignment vertical="center"/>
    </xf>
    <xf numFmtId="0" fontId="48" fillId="5" borderId="34" xfId="6" applyFont="1" applyFill="1" applyBorder="1" applyAlignment="1">
      <alignment vertical="center"/>
    </xf>
    <xf numFmtId="0" fontId="48" fillId="5" borderId="35" xfId="6" applyFont="1" applyFill="1" applyBorder="1" applyAlignment="1">
      <alignment vertical="center"/>
    </xf>
    <xf numFmtId="0" fontId="11" fillId="5" borderId="1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33" xfId="0" applyFont="1" applyFill="1" applyBorder="1" applyAlignment="1">
      <alignment horizontal="center" vertical="center"/>
    </xf>
    <xf numFmtId="0" fontId="11" fillId="5" borderId="25" xfId="16" applyFont="1" applyFill="1" applyBorder="1" applyAlignment="1">
      <alignment horizontal="center" vertical="center" wrapText="1"/>
    </xf>
    <xf numFmtId="0" fontId="11" fillId="5" borderId="28" xfId="16" applyFont="1" applyFill="1" applyBorder="1" applyAlignment="1">
      <alignment horizontal="center" vertical="center" wrapText="1"/>
    </xf>
    <xf numFmtId="0" fontId="11" fillId="5" borderId="38" xfId="16" applyFont="1" applyFill="1" applyBorder="1" applyAlignment="1">
      <alignment horizontal="center" vertical="center" wrapText="1"/>
    </xf>
    <xf numFmtId="0" fontId="11" fillId="5" borderId="44" xfId="16" applyFont="1" applyFill="1" applyBorder="1" applyAlignment="1">
      <alignment horizontal="center" vertical="center" wrapText="1"/>
    </xf>
    <xf numFmtId="168" fontId="30" fillId="5" borderId="6" xfId="20" applyNumberFormat="1" applyFont="1" applyFill="1" applyBorder="1" applyAlignment="1">
      <alignment horizontal="left" vertical="center" wrapText="1"/>
    </xf>
    <xf numFmtId="168" fontId="30" fillId="5" borderId="20" xfId="20" applyNumberFormat="1" applyFont="1" applyFill="1" applyBorder="1" applyAlignment="1">
      <alignment horizontal="left" vertical="center" wrapText="1"/>
    </xf>
    <xf numFmtId="0" fontId="35" fillId="0" borderId="29" xfId="16" applyFont="1" applyFill="1" applyBorder="1" applyAlignment="1">
      <alignment vertical="center"/>
    </xf>
    <xf numFmtId="0" fontId="35" fillId="0" borderId="31" xfId="16" applyFont="1" applyFill="1" applyBorder="1" applyAlignment="1">
      <alignment vertical="center"/>
    </xf>
    <xf numFmtId="0" fontId="11" fillId="5" borderId="25" xfId="16" applyFont="1" applyFill="1" applyBorder="1" applyAlignment="1">
      <alignment horizontal="left" vertical="center" wrapText="1"/>
    </xf>
    <xf numFmtId="0" fontId="11" fillId="5" borderId="39" xfId="16" applyFont="1" applyFill="1" applyBorder="1" applyAlignment="1">
      <alignment horizontal="left" vertical="center" wrapText="1"/>
    </xf>
    <xf numFmtId="0" fontId="11" fillId="5" borderId="28" xfId="16" applyFont="1" applyFill="1" applyBorder="1" applyAlignment="1">
      <alignment horizontal="left" vertical="center" wrapText="1"/>
    </xf>
    <xf numFmtId="0" fontId="11" fillId="5" borderId="17" xfId="16" applyFont="1" applyFill="1" applyBorder="1" applyAlignment="1">
      <alignment horizontal="left" vertical="center" wrapText="1"/>
    </xf>
    <xf numFmtId="0" fontId="35" fillId="0" borderId="25" xfId="16" applyFont="1" applyFill="1" applyBorder="1" applyAlignment="1">
      <alignment vertical="center"/>
    </xf>
    <xf numFmtId="0" fontId="35" fillId="0" borderId="43" xfId="16" applyFont="1" applyFill="1" applyBorder="1" applyAlignment="1">
      <alignment vertical="center"/>
    </xf>
    <xf numFmtId="0" fontId="7" fillId="0" borderId="29" xfId="16" applyFont="1" applyFill="1" applyBorder="1" applyAlignment="1">
      <alignment horizontal="left" vertical="center" wrapText="1"/>
    </xf>
    <xf numFmtId="0" fontId="7" fillId="0" borderId="31" xfId="16" applyFont="1" applyFill="1" applyBorder="1" applyAlignment="1">
      <alignment horizontal="left" vertical="center" wrapText="1"/>
    </xf>
    <xf numFmtId="0" fontId="7" fillId="0" borderId="28" xfId="16" applyFont="1" applyFill="1" applyBorder="1" applyAlignment="1">
      <alignment horizontal="left" vertical="center" wrapText="1"/>
    </xf>
    <xf numFmtId="0" fontId="7" fillId="0" borderId="47" xfId="16" applyFont="1" applyFill="1" applyBorder="1" applyAlignment="1">
      <alignment horizontal="left" vertical="center" wrapText="1"/>
    </xf>
    <xf numFmtId="0" fontId="11" fillId="5" borderId="40" xfId="16" applyFont="1" applyFill="1" applyBorder="1" applyAlignment="1">
      <alignment horizontal="left" vertical="center" wrapText="1"/>
    </xf>
    <xf numFmtId="0" fontId="11" fillId="5" borderId="45" xfId="16" applyFont="1" applyFill="1" applyBorder="1" applyAlignment="1">
      <alignment horizontal="left" vertical="center" wrapText="1"/>
    </xf>
    <xf numFmtId="0" fontId="30" fillId="5" borderId="6" xfId="16" applyFont="1" applyFill="1" applyBorder="1" applyAlignment="1">
      <alignment horizontal="left" vertical="center"/>
    </xf>
    <xf numFmtId="0" fontId="30" fillId="5" borderId="20" xfId="16" applyFont="1" applyFill="1" applyBorder="1" applyAlignment="1">
      <alignment horizontal="left" vertical="center"/>
    </xf>
    <xf numFmtId="0" fontId="11" fillId="5" borderId="39" xfId="16" applyFont="1" applyFill="1" applyBorder="1" applyAlignment="1">
      <alignment horizontal="center" vertical="center" wrapText="1"/>
    </xf>
    <xf numFmtId="0" fontId="11" fillId="5" borderId="17" xfId="16" applyFont="1" applyFill="1" applyBorder="1" applyAlignment="1">
      <alignment horizontal="center" vertical="center" wrapText="1"/>
    </xf>
    <xf numFmtId="0" fontId="11" fillId="5" borderId="40" xfId="16" applyFont="1" applyFill="1" applyBorder="1" applyAlignment="1">
      <alignment horizontal="center" vertical="center" wrapText="1"/>
    </xf>
    <xf numFmtId="0" fontId="11" fillId="5" borderId="45" xfId="16" applyFont="1" applyFill="1" applyBorder="1" applyAlignment="1">
      <alignment horizontal="center" vertical="center" wrapText="1"/>
    </xf>
    <xf numFmtId="0" fontId="8" fillId="0" borderId="0" xfId="16" applyFont="1" applyFill="1" applyBorder="1" applyAlignment="1">
      <alignment horizontal="left" vertical="center"/>
    </xf>
    <xf numFmtId="168" fontId="35" fillId="0" borderId="28" xfId="20" applyNumberFormat="1" applyFont="1" applyFill="1" applyBorder="1" applyAlignment="1">
      <alignment horizontal="left" vertical="center"/>
    </xf>
    <xf numFmtId="168" fontId="35" fillId="0" borderId="47" xfId="20" applyNumberFormat="1" applyFont="1" applyFill="1" applyBorder="1" applyAlignment="1">
      <alignment horizontal="left" vertical="center"/>
    </xf>
    <xf numFmtId="168" fontId="34" fillId="5" borderId="6" xfId="20" applyNumberFormat="1" applyFont="1" applyFill="1" applyBorder="1" applyAlignment="1">
      <alignment horizontal="left" vertical="center" wrapText="1"/>
    </xf>
    <xf numFmtId="168" fontId="34" fillId="5" borderId="20" xfId="20" applyNumberFormat="1" applyFont="1" applyFill="1" applyBorder="1" applyAlignment="1">
      <alignment horizontal="left" vertical="center" wrapText="1"/>
    </xf>
    <xf numFmtId="0" fontId="33" fillId="8" borderId="27" xfId="16" applyFont="1" applyFill="1" applyBorder="1" applyAlignment="1">
      <alignment horizontal="center" vertical="center"/>
    </xf>
    <xf numFmtId="0" fontId="33" fillId="8" borderId="51" xfId="16" applyFont="1" applyFill="1" applyBorder="1" applyAlignment="1">
      <alignment horizontal="center" vertical="center"/>
    </xf>
    <xf numFmtId="0" fontId="24" fillId="0" borderId="29" xfId="16" applyFont="1" applyFill="1" applyBorder="1" applyAlignment="1">
      <alignment horizontal="left" vertical="center"/>
    </xf>
    <xf numFmtId="0" fontId="24" fillId="0" borderId="31" xfId="16" applyFont="1" applyFill="1" applyBorder="1" applyAlignment="1">
      <alignment horizontal="left" vertical="center"/>
    </xf>
    <xf numFmtId="0" fontId="24" fillId="0" borderId="29" xfId="21" applyFont="1" applyFill="1" applyBorder="1" applyAlignment="1">
      <alignment horizontal="left" vertical="center" wrapText="1"/>
    </xf>
    <xf numFmtId="0" fontId="24" fillId="0" borderId="31" xfId="21" applyFont="1" applyFill="1" applyBorder="1" applyAlignment="1">
      <alignment horizontal="left" vertical="center" wrapText="1"/>
    </xf>
    <xf numFmtId="0" fontId="24" fillId="0" borderId="28" xfId="21" applyFont="1" applyFill="1" applyBorder="1" applyAlignment="1">
      <alignment horizontal="left" vertical="center" wrapText="1"/>
    </xf>
    <xf numFmtId="0" fontId="24" fillId="0" borderId="47" xfId="21" applyFont="1" applyFill="1" applyBorder="1" applyAlignment="1">
      <alignment horizontal="left" vertical="center" wrapText="1"/>
    </xf>
    <xf numFmtId="0" fontId="11" fillId="8" borderId="27" xfId="16" applyFont="1" applyFill="1" applyBorder="1" applyAlignment="1">
      <alignment horizontal="center" vertical="center"/>
    </xf>
    <xf numFmtId="0" fontId="11" fillId="8" borderId="51" xfId="16" applyFont="1" applyFill="1" applyBorder="1" applyAlignment="1">
      <alignment horizontal="center" vertical="center"/>
    </xf>
    <xf numFmtId="0" fontId="11" fillId="5" borderId="32" xfId="16" applyFont="1" applyFill="1" applyBorder="1" applyAlignment="1">
      <alignment horizontal="center" vertical="center" wrapText="1"/>
    </xf>
    <xf numFmtId="0" fontId="11" fillId="5" borderId="62" xfId="16" applyFont="1" applyFill="1" applyBorder="1" applyAlignment="1">
      <alignment horizontal="center" vertical="center" wrapText="1"/>
    </xf>
    <xf numFmtId="0" fontId="11" fillId="5" borderId="33" xfId="16" applyFont="1" applyFill="1" applyBorder="1" applyAlignment="1">
      <alignment horizontal="center" vertical="center"/>
    </xf>
    <xf numFmtId="0" fontId="11" fillId="5" borderId="34" xfId="16" applyFont="1" applyFill="1" applyBorder="1" applyAlignment="1">
      <alignment horizontal="center" vertical="center"/>
    </xf>
    <xf numFmtId="0" fontId="11" fillId="5" borderId="35" xfId="16" applyFont="1" applyFill="1" applyBorder="1" applyAlignment="1">
      <alignment horizontal="center" vertical="center"/>
    </xf>
    <xf numFmtId="0" fontId="11" fillId="5" borderId="36" xfId="16" applyFont="1" applyFill="1" applyBorder="1" applyAlignment="1">
      <alignment horizontal="center" vertical="center" wrapText="1"/>
    </xf>
    <xf numFmtId="0" fontId="11" fillId="5" borderId="37" xfId="16" applyFont="1" applyFill="1" applyBorder="1" applyAlignment="1">
      <alignment horizontal="center" vertical="center" wrapText="1"/>
    </xf>
    <xf numFmtId="0" fontId="11" fillId="11" borderId="0" xfId="16" applyFont="1" applyFill="1" applyBorder="1" applyAlignment="1">
      <alignment horizontal="center" vertical="center" wrapText="1"/>
    </xf>
    <xf numFmtId="0" fontId="24" fillId="0" borderId="28" xfId="16" applyFont="1" applyBorder="1" applyAlignment="1">
      <alignment horizontal="center" vertical="center"/>
    </xf>
    <xf numFmtId="0" fontId="24" fillId="0" borderId="17" xfId="16" applyFont="1" applyBorder="1" applyAlignment="1">
      <alignment horizontal="center" vertical="center"/>
    </xf>
    <xf numFmtId="0" fontId="11" fillId="5" borderId="32" xfId="11" applyFont="1" applyFill="1" applyBorder="1" applyAlignment="1">
      <alignment horizontal="center" vertical="center" wrapText="1"/>
    </xf>
    <xf numFmtId="0" fontId="11" fillId="5" borderId="65" xfId="11" applyFont="1" applyFill="1" applyBorder="1" applyAlignment="1">
      <alignment horizontal="center" vertical="center" wrapText="1"/>
    </xf>
    <xf numFmtId="0" fontId="7" fillId="0" borderId="0" xfId="11" applyFont="1" applyAlignment="1">
      <alignment horizontal="left" wrapText="1"/>
    </xf>
    <xf numFmtId="0" fontId="11" fillId="5" borderId="70" xfId="11" applyFont="1" applyFill="1" applyBorder="1" applyAlignment="1">
      <alignment horizontal="center" vertical="center" wrapText="1"/>
    </xf>
    <xf numFmtId="0" fontId="11" fillId="5" borderId="69" xfId="11" applyFont="1" applyFill="1" applyBorder="1" applyAlignment="1">
      <alignment horizontal="center" vertical="center" wrapText="1"/>
    </xf>
    <xf numFmtId="0" fontId="11" fillId="5" borderId="68" xfId="11" applyFont="1" applyFill="1" applyBorder="1" applyAlignment="1">
      <alignment horizontal="center" vertical="center" wrapText="1"/>
    </xf>
    <xf numFmtId="0" fontId="11" fillId="5" borderId="41" xfId="11" applyFont="1" applyFill="1" applyBorder="1" applyAlignment="1">
      <alignment horizontal="center" vertical="center" wrapText="1"/>
    </xf>
    <xf numFmtId="0" fontId="11" fillId="5" borderId="49" xfId="11" applyFont="1" applyFill="1" applyBorder="1" applyAlignment="1">
      <alignment horizontal="center" vertical="center" wrapText="1"/>
    </xf>
    <xf numFmtId="0" fontId="7" fillId="0" borderId="7" xfId="11" applyFont="1" applyBorder="1" applyAlignment="1">
      <alignment vertical="top" wrapText="1"/>
    </xf>
    <xf numFmtId="0" fontId="11" fillId="5" borderId="65" xfId="11" applyFont="1" applyFill="1" applyBorder="1" applyAlignment="1">
      <alignment horizontal="center" vertical="center"/>
    </xf>
    <xf numFmtId="0" fontId="11" fillId="5" borderId="28" xfId="11" applyFont="1" applyFill="1" applyBorder="1" applyAlignment="1">
      <alignment horizontal="center" vertical="center"/>
    </xf>
    <xf numFmtId="0" fontId="7" fillId="0" borderId="15" xfId="11" applyFont="1" applyBorder="1" applyAlignment="1">
      <alignment vertical="top" wrapText="1"/>
    </xf>
    <xf numFmtId="0" fontId="7" fillId="0" borderId="12" xfId="11" applyFont="1" applyBorder="1" applyAlignment="1">
      <alignment vertical="top" wrapText="1"/>
    </xf>
  </cellXfs>
  <cellStyles count="27">
    <cellStyle name="Comma" xfId="1" builtinId="3"/>
    <cellStyle name="Comma [0]" xfId="2" builtinId="6"/>
    <cellStyle name="Comma [0]_E&amp;W Haz Waste 2006" xfId="18"/>
    <cellStyle name="Comma 2" xfId="12"/>
    <cellStyle name="Comma 3" xfId="26"/>
    <cellStyle name="Comma_E&amp;W Haz Waste 2006" xfId="20"/>
    <cellStyle name="Hyperlink" xfId="7" builtinId="8"/>
    <cellStyle name="Normal" xfId="0" builtinId="0"/>
    <cellStyle name="Normal 2" xfId="11"/>
    <cellStyle name="Normal 3" xfId="13"/>
    <cellStyle name="Normal 4" xfId="22"/>
    <cellStyle name="Normal_All Activities on Site" xfId="14"/>
    <cellStyle name="Normal_Copy of ew_haz_waste_07__2152763" xfId="23"/>
    <cellStyle name="Normal_Copy of EWHaz09_Final" xfId="17"/>
    <cellStyle name="Normal_D1" xfId="3"/>
    <cellStyle name="Normal_D2" xfId="4"/>
    <cellStyle name="Normal_D3" xfId="5"/>
    <cellStyle name="Normal_E&amp;W Haz Waste 2006" xfId="16"/>
    <cellStyle name="Normal_E&amp;WIncin09" xfId="6"/>
    <cellStyle name="Normal_emhaztables06_1902562" xfId="24"/>
    <cellStyle name="Normal_EW- Landfill Cap 07" xfId="9"/>
    <cellStyle name="Normal_ew_haz_waste_07__2152763" xfId="19"/>
    <cellStyle name="Normal_EW-LF Deps 2006" xfId="8"/>
    <cellStyle name="Normal_Incineration Inputs &amp; Capacity 2008" xfId="10"/>
    <cellStyle name="Normal_Landfill Inputs" xfId="25"/>
    <cellStyle name="Normal_Sheet1" xfId="21"/>
    <cellStyle name="SDMX_protected" xfId="15"/>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008000"/>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5</xdr:col>
      <xdr:colOff>0</xdr:colOff>
      <xdr:row>16</xdr:row>
      <xdr:rowOff>0</xdr:rowOff>
    </xdr:to>
    <xdr:sp macro="" textlink="">
      <xdr:nvSpPr>
        <xdr:cNvPr id="3" name="Rectangle 1"/>
        <xdr:cNvSpPr>
          <a:spLocks noChangeArrowheads="1"/>
        </xdr:cNvSpPr>
      </xdr:nvSpPr>
      <xdr:spPr bwMode="auto">
        <a:xfrm>
          <a:off x="2895600" y="10106025"/>
          <a:ext cx="1038225" cy="800100"/>
        </a:xfrm>
        <a:prstGeom prst="rect">
          <a:avLst/>
        </a:prstGeom>
        <a:noFill/>
        <a:ln w="9525">
          <a:solidFill>
            <a:srgbClr val="000000"/>
          </a:solidFill>
          <a:miter lim="800000"/>
          <a:headEnd/>
          <a:tailEnd/>
        </a:ln>
      </xdr:spPr>
    </xdr:sp>
    <xdr:clientData/>
  </xdr:twoCellAnchor>
  <xdr:twoCellAnchor>
    <xdr:from>
      <xdr:col>4</xdr:col>
      <xdr:colOff>0</xdr:colOff>
      <xdr:row>14</xdr:row>
      <xdr:rowOff>0</xdr:rowOff>
    </xdr:from>
    <xdr:to>
      <xdr:col>5</xdr:col>
      <xdr:colOff>0</xdr:colOff>
      <xdr:row>15</xdr:row>
      <xdr:rowOff>0</xdr:rowOff>
    </xdr:to>
    <xdr:sp macro="" textlink="">
      <xdr:nvSpPr>
        <xdr:cNvPr id="7" name="Rectangle 1"/>
        <xdr:cNvSpPr>
          <a:spLocks noChangeArrowheads="1"/>
        </xdr:cNvSpPr>
      </xdr:nvSpPr>
      <xdr:spPr bwMode="auto">
        <a:xfrm>
          <a:off x="2895600" y="10706100"/>
          <a:ext cx="1038225" cy="800100"/>
        </a:xfrm>
        <a:prstGeom prst="rect">
          <a:avLst/>
        </a:prstGeom>
        <a:noFill/>
        <a:ln w="9525">
          <a:solidFill>
            <a:srgbClr val="000000"/>
          </a:solidFill>
          <a:miter lim="800000"/>
          <a:headEnd/>
          <a:tailEnd/>
        </a:ln>
      </xdr:spPr>
    </xdr:sp>
    <xdr:clientData/>
  </xdr:twoCellAnchor>
</xdr:wsDr>
</file>

<file path=xl/queryTables/queryTable1.xml><?xml version="1.0" encoding="utf-8"?>
<queryTable xmlns="http://schemas.openxmlformats.org/spreadsheetml/2006/main" name="qtmp_SASHER" preserveFormatting="0" connectionId="1" autoFormatId="2" applyNumberFormats="1" applyBorderFormats="1" applyFontFormats="1" applyPatternFormats="1" applyAlignmentFormats="1" applyWidthHeightFormats="1">
  <queryTableRefresh preserveSortFilterLayout="0" nextId="25">
    <queryTableFields count="15">
      <queryTableField id="1" name="WASTE_FATE"/>
      <queryTableField id="6" name="UKF- East Midlands"/>
      <queryTableField id="8" name="UKH- East of England"/>
      <queryTableField id="9" name="UKI- London"/>
      <queryTableField id="3" name="UKC- North East"/>
      <queryTableField id="4" name="UKD- North West"/>
      <queryTableField id="10" name="UKJ- South East"/>
      <queryTableField id="11" name="UKK- South West"/>
      <queryTableField id="21" dataBound="0" fillFormulas="1"/>
      <queryTableField id="5" name="UKE- Yorkshire and the Humber"/>
      <queryTableField id="2" name="- (Unknown)"/>
      <queryTableField id="23" dataBound="0" fillFormulas="1"/>
      <queryTableField id="24" dataBound="0" fillFormulas="1"/>
      <queryTableField id="15" dataBound="0" fillFormulas="1"/>
      <queryTableField id="22" dataBound="0" fillFormulas="1"/>
    </queryTableFields>
    <queryTableDeletedFields count="2">
      <deletedField name="UKG- West Midlands"/>
      <deletedField name="UKL- Wal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zoomScaleNormal="100" workbookViewId="0">
      <selection sqref="A1:G1"/>
    </sheetView>
  </sheetViews>
  <sheetFormatPr defaultRowHeight="12.75" x14ac:dyDescent="0.2"/>
  <cols>
    <col min="1" max="1" width="24.7109375" customWidth="1"/>
    <col min="2" max="2" width="12.5703125" customWidth="1"/>
    <col min="4" max="4" width="10.7109375" customWidth="1"/>
    <col min="13" max="13" width="18.42578125" customWidth="1"/>
  </cols>
  <sheetData>
    <row r="1" spans="1:14" ht="34.5" customHeight="1" x14ac:dyDescent="0.2">
      <c r="A1" s="746" t="s">
        <v>777</v>
      </c>
      <c r="B1" s="746"/>
      <c r="C1" s="746"/>
      <c r="D1" s="746"/>
      <c r="E1" s="746"/>
      <c r="F1" s="746"/>
      <c r="G1" s="746"/>
      <c r="H1" s="745" t="s">
        <v>147</v>
      </c>
      <c r="I1" s="745"/>
      <c r="J1" s="745"/>
      <c r="K1" s="745"/>
      <c r="L1" s="745"/>
      <c r="M1" s="745"/>
      <c r="N1" s="209"/>
    </row>
    <row r="2" spans="1:14" ht="19.5" customHeight="1" x14ac:dyDescent="0.2">
      <c r="H2" s="11"/>
      <c r="I2" s="161"/>
      <c r="J2" s="11"/>
      <c r="K2" s="11"/>
      <c r="L2" s="11"/>
      <c r="M2" s="11"/>
    </row>
    <row r="3" spans="1:14" ht="26.25" x14ac:dyDescent="0.4">
      <c r="A3" s="214" t="s">
        <v>83</v>
      </c>
      <c r="B3" s="215"/>
      <c r="C3" s="215"/>
      <c r="D3" s="214"/>
      <c r="E3" s="214" t="s">
        <v>647</v>
      </c>
      <c r="F3" s="215"/>
      <c r="G3" s="88"/>
      <c r="H3" s="88"/>
      <c r="I3" s="88"/>
      <c r="J3" s="88"/>
      <c r="K3" s="88"/>
      <c r="L3" s="88"/>
      <c r="M3" s="88"/>
    </row>
    <row r="4" spans="1:14" ht="26.25" x14ac:dyDescent="0.4">
      <c r="A4" s="210" t="s">
        <v>82</v>
      </c>
      <c r="B4" s="211"/>
      <c r="C4" s="211"/>
      <c r="D4" s="210"/>
      <c r="E4" s="212" t="s">
        <v>778</v>
      </c>
      <c r="F4" s="212"/>
      <c r="G4" s="212"/>
      <c r="H4" s="212"/>
      <c r="I4" s="211"/>
      <c r="J4" s="211"/>
      <c r="K4" s="211"/>
      <c r="L4" s="211"/>
      <c r="M4" s="211"/>
    </row>
    <row r="5" spans="1:14" ht="26.25" x14ac:dyDescent="0.4">
      <c r="A5" s="210" t="s">
        <v>82</v>
      </c>
      <c r="B5" s="211"/>
      <c r="C5" s="211"/>
      <c r="D5" s="210"/>
      <c r="E5" s="212" t="s">
        <v>779</v>
      </c>
      <c r="F5" s="211"/>
      <c r="G5" s="211"/>
      <c r="H5" s="211"/>
      <c r="I5" s="211"/>
      <c r="J5" s="211"/>
      <c r="K5" s="211"/>
      <c r="L5" s="211"/>
      <c r="M5" s="211"/>
    </row>
    <row r="6" spans="1:14" ht="26.25" x14ac:dyDescent="0.4">
      <c r="A6" s="210" t="s">
        <v>82</v>
      </c>
      <c r="B6" s="211"/>
      <c r="C6" s="211"/>
      <c r="D6" s="210"/>
      <c r="E6" s="212" t="s">
        <v>780</v>
      </c>
      <c r="F6" s="211"/>
      <c r="G6" s="211"/>
      <c r="H6" s="211"/>
      <c r="I6" s="211"/>
      <c r="J6" s="211"/>
      <c r="K6" s="211"/>
      <c r="L6" s="211"/>
      <c r="M6" s="211"/>
    </row>
    <row r="7" spans="1:14" ht="26.25" x14ac:dyDescent="0.4">
      <c r="A7" s="210" t="s">
        <v>82</v>
      </c>
      <c r="B7" s="211"/>
      <c r="C7" s="211"/>
      <c r="D7" s="210"/>
      <c r="E7" s="212" t="s">
        <v>781</v>
      </c>
      <c r="F7" s="211"/>
      <c r="G7" s="211"/>
      <c r="H7" s="211"/>
      <c r="I7" s="211"/>
      <c r="J7" s="211"/>
      <c r="K7" s="211"/>
      <c r="L7" s="211"/>
      <c r="M7" s="211"/>
    </row>
    <row r="8" spans="1:14" ht="26.25" x14ac:dyDescent="0.4">
      <c r="A8" s="210" t="s">
        <v>776</v>
      </c>
      <c r="B8" s="211"/>
      <c r="C8" s="211"/>
      <c r="D8" s="211"/>
      <c r="E8" s="212" t="s">
        <v>782</v>
      </c>
      <c r="F8" s="211"/>
      <c r="G8" s="211"/>
      <c r="H8" s="211"/>
      <c r="I8" s="211"/>
      <c r="J8" s="211"/>
      <c r="K8" s="211"/>
      <c r="L8" s="211"/>
      <c r="M8" s="211"/>
    </row>
    <row r="9" spans="1:14" ht="26.25" x14ac:dyDescent="0.4">
      <c r="A9" s="210" t="s">
        <v>776</v>
      </c>
      <c r="B9" s="211"/>
      <c r="C9" s="211"/>
      <c r="D9" s="211"/>
      <c r="E9" s="212" t="s">
        <v>783</v>
      </c>
      <c r="F9" s="211"/>
      <c r="G9" s="211"/>
      <c r="H9" s="211"/>
      <c r="I9" s="211"/>
      <c r="J9" s="211"/>
      <c r="K9" s="211"/>
      <c r="L9" s="211"/>
      <c r="M9" s="211"/>
    </row>
    <row r="10" spans="1:14" ht="26.25" x14ac:dyDescent="0.4">
      <c r="A10" s="210" t="s">
        <v>84</v>
      </c>
      <c r="B10" s="211"/>
      <c r="C10" s="211"/>
      <c r="D10" s="211"/>
      <c r="E10" s="212" t="s">
        <v>784</v>
      </c>
      <c r="F10" s="211"/>
      <c r="G10" s="211"/>
      <c r="H10" s="211"/>
      <c r="I10" s="211"/>
      <c r="J10" s="211"/>
      <c r="K10" s="211"/>
      <c r="L10" s="211"/>
      <c r="M10" s="211"/>
    </row>
    <row r="11" spans="1:14" ht="26.25" x14ac:dyDescent="0.4">
      <c r="A11" s="210" t="s">
        <v>84</v>
      </c>
      <c r="B11" s="211"/>
      <c r="C11" s="211"/>
      <c r="D11" s="211"/>
      <c r="E11" s="212" t="s">
        <v>785</v>
      </c>
      <c r="F11" s="211"/>
      <c r="G11" s="211"/>
      <c r="H11" s="211"/>
      <c r="I11" s="211"/>
      <c r="J11" s="211"/>
      <c r="K11" s="211"/>
      <c r="L11" s="211"/>
      <c r="M11" s="211"/>
    </row>
    <row r="12" spans="1:14" ht="26.25" x14ac:dyDescent="0.4">
      <c r="A12" s="210" t="s">
        <v>84</v>
      </c>
      <c r="B12" s="211"/>
      <c r="C12" s="211"/>
      <c r="D12" s="211"/>
      <c r="E12" s="212" t="s">
        <v>786</v>
      </c>
      <c r="F12" s="211"/>
      <c r="G12" s="211"/>
      <c r="H12" s="211"/>
      <c r="I12" s="211"/>
      <c r="J12" s="211"/>
      <c r="K12" s="211"/>
      <c r="L12" s="211"/>
      <c r="M12" s="211"/>
    </row>
    <row r="13" spans="1:14" ht="26.25" x14ac:dyDescent="0.4">
      <c r="A13" s="210" t="s">
        <v>84</v>
      </c>
      <c r="B13" s="211"/>
      <c r="C13" s="211"/>
      <c r="D13" s="211"/>
      <c r="E13" s="212" t="s">
        <v>787</v>
      </c>
      <c r="F13" s="211"/>
      <c r="G13" s="211"/>
      <c r="H13" s="211"/>
      <c r="I13" s="211"/>
      <c r="J13" s="211"/>
      <c r="K13" s="211"/>
      <c r="L13" s="211"/>
      <c r="M13" s="211"/>
    </row>
    <row r="14" spans="1:14" ht="26.25" x14ac:dyDescent="0.4">
      <c r="A14" s="210" t="s">
        <v>85</v>
      </c>
      <c r="B14" s="211"/>
      <c r="C14" s="211"/>
      <c r="D14" s="211"/>
      <c r="E14" s="212" t="s">
        <v>788</v>
      </c>
      <c r="F14" s="211"/>
      <c r="G14" s="211"/>
      <c r="H14" s="211"/>
      <c r="I14" s="211"/>
      <c r="J14" s="211"/>
      <c r="K14" s="211"/>
      <c r="L14" s="211"/>
      <c r="M14" s="211"/>
    </row>
    <row r="15" spans="1:14" ht="26.25" x14ac:dyDescent="0.4">
      <c r="A15" s="210" t="s">
        <v>86</v>
      </c>
      <c r="B15" s="211"/>
      <c r="C15" s="211"/>
      <c r="D15" s="211"/>
      <c r="E15" s="212" t="s">
        <v>789</v>
      </c>
      <c r="F15" s="211"/>
      <c r="G15" s="211"/>
      <c r="H15" s="211"/>
      <c r="I15" s="211"/>
      <c r="J15" s="211"/>
      <c r="K15" s="211"/>
      <c r="L15" s="211"/>
      <c r="M15" s="211"/>
    </row>
    <row r="16" spans="1:14" ht="26.25" x14ac:dyDescent="0.4">
      <c r="A16" s="210" t="s">
        <v>32</v>
      </c>
      <c r="B16" s="211"/>
      <c r="C16" s="211"/>
      <c r="D16" s="211"/>
      <c r="E16" s="212" t="s">
        <v>790</v>
      </c>
      <c r="F16" s="211"/>
      <c r="G16" s="211"/>
      <c r="H16" s="211"/>
      <c r="I16" s="211"/>
      <c r="J16" s="211"/>
      <c r="K16" s="211"/>
      <c r="L16" s="211"/>
      <c r="M16" s="211"/>
    </row>
    <row r="17" spans="1:13" ht="26.25" x14ac:dyDescent="0.4">
      <c r="A17" s="210" t="s">
        <v>32</v>
      </c>
      <c r="B17" s="211"/>
      <c r="C17" s="211"/>
      <c r="D17" s="211"/>
      <c r="E17" s="212" t="s">
        <v>791</v>
      </c>
      <c r="F17" s="211"/>
      <c r="G17" s="211"/>
      <c r="H17" s="211"/>
      <c r="I17" s="211"/>
      <c r="J17" s="211"/>
      <c r="K17" s="211"/>
      <c r="L17" s="211"/>
      <c r="M17" s="211"/>
    </row>
    <row r="18" spans="1:13" ht="26.25" x14ac:dyDescent="0.4">
      <c r="A18" s="210" t="s">
        <v>32</v>
      </c>
      <c r="B18" s="211"/>
      <c r="C18" s="211"/>
      <c r="D18" s="211"/>
      <c r="E18" s="212" t="s">
        <v>792</v>
      </c>
      <c r="F18" s="211"/>
      <c r="G18" s="211"/>
      <c r="H18" s="211"/>
      <c r="I18" s="211"/>
      <c r="J18" s="211"/>
      <c r="K18" s="211"/>
      <c r="L18" s="211"/>
      <c r="M18" s="211"/>
    </row>
    <row r="19" spans="1:13" ht="26.25" x14ac:dyDescent="0.4">
      <c r="A19" s="210" t="s">
        <v>32</v>
      </c>
      <c r="B19" s="211"/>
      <c r="C19" s="211"/>
      <c r="D19" s="211"/>
      <c r="E19" s="212" t="s">
        <v>793</v>
      </c>
      <c r="F19" s="210"/>
      <c r="G19" s="212"/>
      <c r="H19" s="210"/>
      <c r="I19" s="210"/>
      <c r="J19" s="210"/>
      <c r="K19" s="210"/>
      <c r="L19" s="211"/>
      <c r="M19" s="211"/>
    </row>
    <row r="20" spans="1:13" ht="26.25" x14ac:dyDescent="0.4">
      <c r="A20" s="210" t="s">
        <v>641</v>
      </c>
      <c r="B20" s="213"/>
      <c r="C20" s="213"/>
      <c r="D20" s="213"/>
      <c r="E20" s="212" t="s">
        <v>794</v>
      </c>
      <c r="F20" s="213"/>
      <c r="G20" s="213"/>
      <c r="H20" s="213"/>
      <c r="I20" s="213"/>
      <c r="J20" s="213"/>
      <c r="K20" s="213"/>
      <c r="L20" s="213"/>
      <c r="M20" s="213"/>
    </row>
    <row r="21" spans="1:13" ht="26.25" x14ac:dyDescent="0.4">
      <c r="A21" s="10"/>
    </row>
    <row r="22" spans="1:13" ht="26.25" x14ac:dyDescent="0.4">
      <c r="A22" s="10" t="s">
        <v>1054</v>
      </c>
    </row>
    <row r="23" spans="1:13" ht="26.25" x14ac:dyDescent="0.4">
      <c r="A23" s="10"/>
    </row>
    <row r="24" spans="1:13" ht="26.25" x14ac:dyDescent="0.4">
      <c r="A24" s="10"/>
    </row>
    <row r="25" spans="1:13" ht="26.25" x14ac:dyDescent="0.4">
      <c r="A25" s="10"/>
    </row>
    <row r="26" spans="1:13" ht="26.25" x14ac:dyDescent="0.4">
      <c r="A26" s="10"/>
    </row>
    <row r="27" spans="1:13" ht="26.25" x14ac:dyDescent="0.4">
      <c r="A27" s="10"/>
    </row>
    <row r="28" spans="1:13" ht="26.25" x14ac:dyDescent="0.4">
      <c r="A28" s="10"/>
    </row>
    <row r="29" spans="1:13" ht="26.25" x14ac:dyDescent="0.4">
      <c r="A29" s="10"/>
    </row>
    <row r="30" spans="1:13" ht="26.25" x14ac:dyDescent="0.4">
      <c r="A30" s="10"/>
    </row>
    <row r="31" spans="1:13" ht="26.25" x14ac:dyDescent="0.4">
      <c r="A31" s="10"/>
    </row>
    <row r="32" spans="1:13" ht="26.25" x14ac:dyDescent="0.4">
      <c r="A32" s="10"/>
    </row>
    <row r="33" spans="1:1" ht="26.25" x14ac:dyDescent="0.4">
      <c r="A33" s="10"/>
    </row>
    <row r="34" spans="1:1" ht="26.25" x14ac:dyDescent="0.4">
      <c r="A34" s="10"/>
    </row>
    <row r="35" spans="1:1" ht="26.25" x14ac:dyDescent="0.4">
      <c r="A35" s="10"/>
    </row>
    <row r="36" spans="1:1" ht="26.25" x14ac:dyDescent="0.4">
      <c r="A36" s="10"/>
    </row>
    <row r="37" spans="1:1" ht="26.25" x14ac:dyDescent="0.4">
      <c r="A37" s="10"/>
    </row>
  </sheetData>
  <mergeCells count="2">
    <mergeCell ref="H1:M1"/>
    <mergeCell ref="A1:G1"/>
  </mergeCells>
  <hyperlinks>
    <hyperlink ref="E4:H4" location="'Landfill Inputs'!A1" display="Landfill inputs 2013"/>
    <hyperlink ref="E5" location="'Landfill Input Trends'!A1" display="Landfill input trends 2000-2013"/>
    <hyperlink ref="E6" location="'Landfill Capacity'!A1" display="Landfill capacity 2013"/>
    <hyperlink ref="E7" location="'Landfill Capacity Trends'!A1" display="Landfill capacity trends 2000-2013"/>
    <hyperlink ref="E8" location="'Transfer Treatment &amp; MRS Inputs'!A1" display="Transfer, treatment &amp; MRS inputs 2013"/>
    <hyperlink ref="E9" location="'Transfer Treatment &amp; MRS Trends'!A1" display="Transfer, treatment &amp; MRS input trends 2000 - 2013"/>
    <hyperlink ref="E10" location="'Incineration Input &amp; Capacity'!A1" display="Incineration inputs and capacity 2013"/>
    <hyperlink ref="E14" location="'Land Disposal'!A1" display="Land disposal inputs 2013"/>
    <hyperlink ref="E15" location="'Use of Waste'!A1" display="Use of waste inputs 2013"/>
    <hyperlink ref="E16" location="'Haz Waste Managed &amp; Deposits'!A1" display="Hazardous waste management and deposits 2013"/>
    <hyperlink ref="E17" location="'Haz Waste Deposits by Fate'!A1" display="Hazardous waste deposits by fate 2013"/>
    <hyperlink ref="E18" location="'Haz Waste Trends'!A1" display="Hazardous waste - trends data 2000-2013"/>
    <hyperlink ref="E19" location="'Haz Waste Movements'!A1" display="Hazardous waste movements 2013"/>
    <hyperlink ref="E11" location="'Operational Incinerators'!Print_Area" display="Operational incineration facilities at end 2015"/>
    <hyperlink ref="E13" location="'Pre-Operational Incinerators'!A1" display="Pre-operational incineration facilities at end 2014"/>
    <hyperlink ref="E20" location="'No. of operational sites'!A1" display="No. of operational sites"/>
    <hyperlink ref="E12" location="'Non-Operational Incinerators'!A1" display="Non-operational incineration facilities at end 2014"/>
  </hyperlinks>
  <pageMargins left="0.7" right="0.7" top="0.75" bottom="0.75" header="0.3" footer="0.3"/>
  <pageSetup paperSize="9"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L39"/>
  <sheetViews>
    <sheetView showGridLines="0" zoomScaleNormal="100" workbookViewId="0"/>
  </sheetViews>
  <sheetFormatPr defaultRowHeight="12.75" x14ac:dyDescent="0.2"/>
  <cols>
    <col min="1" max="1" width="5.7109375" style="78" customWidth="1"/>
    <col min="2" max="2" width="41.42578125" style="78" customWidth="1"/>
    <col min="3" max="3" width="16.140625" style="78" customWidth="1"/>
    <col min="4" max="4" width="14.140625" style="78" customWidth="1"/>
    <col min="5" max="5" width="17.28515625" style="78" customWidth="1"/>
    <col min="6" max="6" width="15.5703125" style="78" customWidth="1"/>
    <col min="7" max="7" width="12.7109375" style="78" customWidth="1"/>
    <col min="8" max="8" width="14.42578125" style="78" customWidth="1"/>
    <col min="9" max="9" width="9.5703125" style="78" customWidth="1"/>
    <col min="10" max="10" width="10.85546875" style="78" customWidth="1"/>
    <col min="11" max="11" width="11.7109375" style="78" customWidth="1"/>
    <col min="12" max="12" width="10.7109375" style="78" customWidth="1"/>
    <col min="13" max="16384" width="9.140625" style="78"/>
  </cols>
  <sheetData>
    <row r="1" spans="1:12" x14ac:dyDescent="0.2">
      <c r="A1" s="242"/>
    </row>
    <row r="2" spans="1:12" ht="18.75" x14ac:dyDescent="0.2">
      <c r="B2" s="339" t="s">
        <v>805</v>
      </c>
      <c r="C2" s="340"/>
      <c r="D2" s="340"/>
      <c r="E2" s="340"/>
      <c r="F2" s="340"/>
      <c r="G2" s="340"/>
      <c r="H2" s="340"/>
      <c r="I2" s="340"/>
      <c r="J2" s="340"/>
      <c r="K2" s="340"/>
      <c r="L2" s="340"/>
    </row>
    <row r="3" spans="1:12" ht="18.75" x14ac:dyDescent="0.2">
      <c r="B3" s="341" t="s">
        <v>23</v>
      </c>
      <c r="C3" s="340"/>
      <c r="D3" s="340"/>
      <c r="E3" s="340"/>
      <c r="F3" s="340"/>
      <c r="G3" s="340"/>
      <c r="H3" s="340"/>
      <c r="I3" s="340"/>
      <c r="J3" s="340"/>
      <c r="K3" s="340"/>
      <c r="L3" s="340"/>
    </row>
    <row r="4" spans="1:12" x14ac:dyDescent="0.2">
      <c r="B4" s="340"/>
      <c r="C4" s="340"/>
      <c r="D4" s="340"/>
      <c r="E4" s="340"/>
      <c r="F4" s="340"/>
      <c r="G4" s="340"/>
      <c r="H4" s="340"/>
      <c r="I4" s="340"/>
      <c r="J4" s="340"/>
      <c r="K4" s="340"/>
      <c r="L4" s="340"/>
    </row>
    <row r="5" spans="1:12" ht="16.5" customHeight="1" x14ac:dyDescent="0.2">
      <c r="B5" s="820" t="s">
        <v>18</v>
      </c>
      <c r="C5" s="822"/>
      <c r="D5" s="823"/>
      <c r="E5" s="823"/>
      <c r="F5" s="823"/>
      <c r="G5" s="823"/>
      <c r="H5" s="823"/>
      <c r="I5" s="823"/>
      <c r="J5" s="823"/>
      <c r="K5" s="823"/>
      <c r="L5" s="818" t="s">
        <v>118</v>
      </c>
    </row>
    <row r="6" spans="1:12" ht="30" customHeight="1" x14ac:dyDescent="0.2">
      <c r="B6" s="821"/>
      <c r="C6" s="55" t="s">
        <v>119</v>
      </c>
      <c r="D6" s="55" t="s">
        <v>120</v>
      </c>
      <c r="E6" s="55" t="s">
        <v>121</v>
      </c>
      <c r="F6" s="55" t="s">
        <v>67</v>
      </c>
      <c r="G6" s="55" t="s">
        <v>122</v>
      </c>
      <c r="H6" s="55" t="s">
        <v>123</v>
      </c>
      <c r="I6" s="55" t="s">
        <v>124</v>
      </c>
      <c r="J6" s="55" t="s">
        <v>125</v>
      </c>
      <c r="K6" s="56" t="s">
        <v>126</v>
      </c>
      <c r="L6" s="819"/>
    </row>
    <row r="7" spans="1:12" ht="24" customHeight="1" x14ac:dyDescent="0.2">
      <c r="B7" s="342" t="s">
        <v>153</v>
      </c>
      <c r="C7" s="564" t="s">
        <v>260</v>
      </c>
      <c r="D7" s="261">
        <v>104.315</v>
      </c>
      <c r="E7" s="261">
        <v>92</v>
      </c>
      <c r="F7" s="516" t="s">
        <v>260</v>
      </c>
      <c r="G7" s="516" t="s">
        <v>260</v>
      </c>
      <c r="H7" s="261">
        <v>829.97589999999991</v>
      </c>
      <c r="I7" s="516" t="s">
        <v>260</v>
      </c>
      <c r="J7" s="516" t="s">
        <v>260</v>
      </c>
      <c r="K7" s="516" t="s">
        <v>260</v>
      </c>
      <c r="L7" s="565">
        <f t="shared" ref="L7:L13" si="0">SUM(C7:K7)</f>
        <v>1026.2909</v>
      </c>
    </row>
    <row r="8" spans="1:12" ht="24" customHeight="1" x14ac:dyDescent="0.2">
      <c r="B8" s="343" t="s">
        <v>8</v>
      </c>
      <c r="C8" s="564" t="s">
        <v>260</v>
      </c>
      <c r="D8" s="261">
        <v>12.76623</v>
      </c>
      <c r="E8" s="261">
        <v>13.699</v>
      </c>
      <c r="F8" s="516" t="s">
        <v>260</v>
      </c>
      <c r="G8" s="261">
        <v>8.0280000000000005</v>
      </c>
      <c r="H8" s="261">
        <v>10.559999999999999</v>
      </c>
      <c r="I8" s="261">
        <v>7.93</v>
      </c>
      <c r="J8" s="261">
        <v>21.899000000000001</v>
      </c>
      <c r="K8" s="261">
        <v>15.536999999999999</v>
      </c>
      <c r="L8" s="565">
        <f t="shared" si="0"/>
        <v>90.419229999999999</v>
      </c>
    </row>
    <row r="9" spans="1:12" ht="24" customHeight="1" x14ac:dyDescent="0.2">
      <c r="B9" s="343" t="s">
        <v>154</v>
      </c>
      <c r="C9" s="564" t="s">
        <v>260</v>
      </c>
      <c r="D9" s="261">
        <v>59.067999999999998</v>
      </c>
      <c r="E9" s="261">
        <v>25.808</v>
      </c>
      <c r="F9" s="261">
        <v>99.494</v>
      </c>
      <c r="G9" s="516" t="s">
        <v>260</v>
      </c>
      <c r="H9" s="516" t="s">
        <v>260</v>
      </c>
      <c r="I9" s="516" t="s">
        <v>260</v>
      </c>
      <c r="J9" s="516" t="s">
        <v>260</v>
      </c>
      <c r="K9" s="516" t="s">
        <v>260</v>
      </c>
      <c r="L9" s="565">
        <f t="shared" si="0"/>
        <v>184.37</v>
      </c>
    </row>
    <row r="10" spans="1:12" ht="24" customHeight="1" x14ac:dyDescent="0.2">
      <c r="B10" s="343" t="s">
        <v>155</v>
      </c>
      <c r="C10" s="450">
        <v>107.08</v>
      </c>
      <c r="D10" s="516" t="s">
        <v>260</v>
      </c>
      <c r="E10" s="516" t="s">
        <v>260</v>
      </c>
      <c r="F10" s="261">
        <v>126.63500000000001</v>
      </c>
      <c r="G10" s="261">
        <v>94.498999999999995</v>
      </c>
      <c r="H10" s="516" t="s">
        <v>260</v>
      </c>
      <c r="I10" s="516" t="s">
        <v>260</v>
      </c>
      <c r="J10" s="261">
        <v>115</v>
      </c>
      <c r="K10" s="516" t="s">
        <v>260</v>
      </c>
      <c r="L10" s="565">
        <f t="shared" si="0"/>
        <v>443.214</v>
      </c>
    </row>
    <row r="11" spans="1:12" ht="24" customHeight="1" x14ac:dyDescent="0.2">
      <c r="B11" s="343" t="s">
        <v>133</v>
      </c>
      <c r="C11" s="564">
        <v>25.914999999999999</v>
      </c>
      <c r="D11" s="261">
        <v>81.159000000000006</v>
      </c>
      <c r="E11" s="516" t="s">
        <v>260</v>
      </c>
      <c r="F11" s="516" t="s">
        <v>260</v>
      </c>
      <c r="G11" s="261">
        <v>4.6500000000000004</v>
      </c>
      <c r="H11" s="516" t="s">
        <v>260</v>
      </c>
      <c r="I11" s="516" t="s">
        <v>260</v>
      </c>
      <c r="J11" s="261">
        <v>51.485000000000007</v>
      </c>
      <c r="K11" s="261">
        <v>2.008</v>
      </c>
      <c r="L11" s="565">
        <f t="shared" si="0"/>
        <v>165.21700000000004</v>
      </c>
    </row>
    <row r="12" spans="1:12" ht="24" customHeight="1" x14ac:dyDescent="0.2">
      <c r="B12" s="343" t="s">
        <v>156</v>
      </c>
      <c r="C12" s="450">
        <v>645.96499999999992</v>
      </c>
      <c r="D12" s="261">
        <v>954.10365999999999</v>
      </c>
      <c r="E12" s="261">
        <v>1362.9369999999999</v>
      </c>
      <c r="F12" s="261">
        <v>333.42399999999998</v>
      </c>
      <c r="G12" s="261">
        <v>1512.335</v>
      </c>
      <c r="H12" s="261">
        <v>349.255</v>
      </c>
      <c r="I12" s="261">
        <v>1748.7950000000001</v>
      </c>
      <c r="J12" s="261">
        <v>2390.0229999999997</v>
      </c>
      <c r="K12" s="261">
        <v>333.31300000000005</v>
      </c>
      <c r="L12" s="565">
        <f t="shared" si="0"/>
        <v>9630.1506599999993</v>
      </c>
    </row>
    <row r="13" spans="1:12" ht="24" customHeight="1" x14ac:dyDescent="0.2">
      <c r="B13" s="343" t="s">
        <v>19</v>
      </c>
      <c r="C13" s="564" t="s">
        <v>260</v>
      </c>
      <c r="D13" s="261">
        <v>26.213999999999999</v>
      </c>
      <c r="E13" s="516" t="s">
        <v>260</v>
      </c>
      <c r="F13" s="516" t="s">
        <v>260</v>
      </c>
      <c r="G13" s="516" t="s">
        <v>260</v>
      </c>
      <c r="H13" s="516" t="s">
        <v>260</v>
      </c>
      <c r="I13" s="261">
        <v>73.533999999999992</v>
      </c>
      <c r="J13" s="516" t="s">
        <v>260</v>
      </c>
      <c r="K13" s="516" t="s">
        <v>260</v>
      </c>
      <c r="L13" s="565">
        <f t="shared" si="0"/>
        <v>99.74799999999999</v>
      </c>
    </row>
    <row r="14" spans="1:12" ht="24" customHeight="1" x14ac:dyDescent="0.2">
      <c r="B14" s="344" t="s">
        <v>157</v>
      </c>
      <c r="C14" s="566">
        <f t="shared" ref="C14:K14" si="1">SUM(C7:C13)</f>
        <v>778.95999999999992</v>
      </c>
      <c r="D14" s="567">
        <f t="shared" si="1"/>
        <v>1237.6258899999998</v>
      </c>
      <c r="E14" s="567">
        <f t="shared" si="1"/>
        <v>1494.444</v>
      </c>
      <c r="F14" s="567">
        <f t="shared" si="1"/>
        <v>559.553</v>
      </c>
      <c r="G14" s="567">
        <f t="shared" si="1"/>
        <v>1619.5119999999999</v>
      </c>
      <c r="H14" s="567">
        <f t="shared" si="1"/>
        <v>1189.7909</v>
      </c>
      <c r="I14" s="567">
        <f t="shared" si="1"/>
        <v>1830.259</v>
      </c>
      <c r="J14" s="567">
        <f t="shared" si="1"/>
        <v>2578.4069999999997</v>
      </c>
      <c r="K14" s="568">
        <f t="shared" si="1"/>
        <v>350.85800000000006</v>
      </c>
      <c r="L14" s="569">
        <f>SUM(L7:L13)</f>
        <v>11639.409789999998</v>
      </c>
    </row>
    <row r="15" spans="1:12" x14ac:dyDescent="0.2">
      <c r="B15" s="58" t="s">
        <v>622</v>
      </c>
      <c r="C15" s="340"/>
      <c r="D15" s="340"/>
      <c r="E15" s="340"/>
      <c r="F15" s="340"/>
      <c r="G15" s="340"/>
      <c r="H15" s="340"/>
      <c r="I15" s="340"/>
      <c r="J15" s="340"/>
      <c r="K15" s="340"/>
      <c r="L15" s="340"/>
    </row>
    <row r="16" spans="1:12" x14ac:dyDescent="0.2">
      <c r="B16" s="58"/>
      <c r="C16" s="340"/>
      <c r="D16" s="340"/>
      <c r="E16" s="340"/>
      <c r="F16" s="340"/>
      <c r="G16" s="340"/>
      <c r="H16" s="340"/>
      <c r="I16" s="340"/>
      <c r="J16" s="340"/>
      <c r="K16" s="340"/>
      <c r="L16" s="340"/>
    </row>
    <row r="17" spans="2:12" x14ac:dyDescent="0.2">
      <c r="B17" s="59" t="s">
        <v>31</v>
      </c>
      <c r="C17" s="340"/>
      <c r="D17" s="340"/>
      <c r="E17" s="340"/>
      <c r="F17" s="340"/>
      <c r="G17" s="340"/>
      <c r="H17" s="340"/>
      <c r="I17" s="340"/>
      <c r="J17" s="340"/>
      <c r="K17" s="340"/>
      <c r="L17" s="340"/>
    </row>
    <row r="18" spans="2:12" x14ac:dyDescent="0.2">
      <c r="B18" s="60" t="s">
        <v>75</v>
      </c>
      <c r="C18" s="340"/>
      <c r="D18" s="340"/>
      <c r="E18" s="340"/>
      <c r="F18" s="340"/>
      <c r="G18" s="340"/>
      <c r="H18" s="340"/>
      <c r="I18" s="340"/>
      <c r="J18" s="340"/>
      <c r="K18" s="340"/>
      <c r="L18" s="340"/>
    </row>
    <row r="19" spans="2:12" x14ac:dyDescent="0.2">
      <c r="B19" s="345" t="s">
        <v>623</v>
      </c>
      <c r="C19" s="345"/>
      <c r="D19" s="345"/>
      <c r="E19" s="345"/>
      <c r="F19" s="340"/>
      <c r="G19" s="340"/>
      <c r="H19" s="340"/>
      <c r="I19" s="340"/>
      <c r="J19" s="340"/>
      <c r="K19" s="340"/>
      <c r="L19" s="340"/>
    </row>
    <row r="20" spans="2:12" x14ac:dyDescent="0.2">
      <c r="B20" s="340"/>
      <c r="C20" s="340"/>
      <c r="D20" s="340"/>
      <c r="E20" s="340"/>
      <c r="F20" s="340"/>
      <c r="G20" s="340"/>
      <c r="H20" s="340"/>
      <c r="I20" s="340"/>
      <c r="J20" s="340"/>
      <c r="K20" s="340"/>
      <c r="L20" s="340"/>
    </row>
    <row r="21" spans="2:12" ht="18.75" x14ac:dyDescent="0.2">
      <c r="B21" s="339" t="s">
        <v>804</v>
      </c>
      <c r="C21" s="340"/>
      <c r="D21" s="340"/>
      <c r="E21" s="340"/>
      <c r="F21" s="340"/>
      <c r="G21" s="340"/>
      <c r="H21" s="340"/>
      <c r="I21" s="340"/>
      <c r="J21" s="340"/>
      <c r="K21" s="340"/>
      <c r="L21" s="340"/>
    </row>
    <row r="22" spans="2:12" ht="18.75" x14ac:dyDescent="0.2">
      <c r="B22" s="341" t="s">
        <v>23</v>
      </c>
      <c r="C22" s="340"/>
      <c r="D22" s="340"/>
      <c r="E22" s="340"/>
      <c r="F22" s="340"/>
      <c r="G22" s="340"/>
      <c r="H22" s="340"/>
      <c r="I22" s="340"/>
      <c r="J22" s="340"/>
      <c r="K22" s="340"/>
      <c r="L22" s="340"/>
    </row>
    <row r="23" spans="2:12" x14ac:dyDescent="0.2">
      <c r="B23" s="340"/>
      <c r="C23" s="340"/>
      <c r="D23" s="340"/>
      <c r="E23" s="340"/>
      <c r="F23" s="340"/>
      <c r="G23" s="340"/>
      <c r="H23" s="340"/>
      <c r="I23" s="340"/>
      <c r="J23" s="340"/>
      <c r="K23" s="340"/>
      <c r="L23" s="340"/>
    </row>
    <row r="24" spans="2:12" ht="12.75" customHeight="1" x14ac:dyDescent="0.2">
      <c r="B24" s="820" t="s">
        <v>18</v>
      </c>
      <c r="C24" s="822"/>
      <c r="D24" s="823"/>
      <c r="E24" s="823"/>
      <c r="F24" s="823"/>
      <c r="G24" s="823"/>
      <c r="H24" s="823"/>
      <c r="I24" s="823"/>
      <c r="J24" s="823"/>
      <c r="K24" s="824"/>
      <c r="L24" s="818" t="s">
        <v>118</v>
      </c>
    </row>
    <row r="25" spans="2:12" ht="28.5" customHeight="1" x14ac:dyDescent="0.2">
      <c r="B25" s="821"/>
      <c r="C25" s="57" t="s">
        <v>119</v>
      </c>
      <c r="D25" s="57" t="s">
        <v>120</v>
      </c>
      <c r="E25" s="57" t="s">
        <v>121</v>
      </c>
      <c r="F25" s="57" t="s">
        <v>67</v>
      </c>
      <c r="G25" s="57" t="s">
        <v>122</v>
      </c>
      <c r="H25" s="57" t="s">
        <v>123</v>
      </c>
      <c r="I25" s="57" t="s">
        <v>124</v>
      </c>
      <c r="J25" s="57" t="s">
        <v>125</v>
      </c>
      <c r="K25" s="57" t="s">
        <v>126</v>
      </c>
      <c r="L25" s="819"/>
    </row>
    <row r="26" spans="2:12" ht="24" customHeight="1" x14ac:dyDescent="0.2">
      <c r="B26" s="346" t="s">
        <v>71</v>
      </c>
      <c r="C26" s="570" t="s">
        <v>260</v>
      </c>
      <c r="D26" s="472">
        <v>100</v>
      </c>
      <c r="E26" s="473">
        <v>270</v>
      </c>
      <c r="F26" s="475" t="s">
        <v>260</v>
      </c>
      <c r="G26" s="475" t="s">
        <v>260</v>
      </c>
      <c r="H26" s="473">
        <v>1048</v>
      </c>
      <c r="I26" s="475" t="s">
        <v>260</v>
      </c>
      <c r="J26" s="475" t="s">
        <v>260</v>
      </c>
      <c r="K26" s="475" t="s">
        <v>260</v>
      </c>
      <c r="L26" s="571">
        <f t="shared" ref="L26:L32" si="2">SUM(C26:K26)</f>
        <v>1418</v>
      </c>
    </row>
    <row r="27" spans="2:12" ht="24" customHeight="1" x14ac:dyDescent="0.2">
      <c r="B27" s="346" t="s">
        <v>21</v>
      </c>
      <c r="C27" s="572" t="s">
        <v>260</v>
      </c>
      <c r="D27" s="472">
        <v>13.884</v>
      </c>
      <c r="E27" s="573">
        <v>17</v>
      </c>
      <c r="F27" s="475" t="s">
        <v>260</v>
      </c>
      <c r="G27" s="573">
        <v>10</v>
      </c>
      <c r="H27" s="573">
        <v>13</v>
      </c>
      <c r="I27" s="573">
        <v>83</v>
      </c>
      <c r="J27" s="573">
        <v>31.7</v>
      </c>
      <c r="K27" s="574">
        <v>24.081</v>
      </c>
      <c r="L27" s="571">
        <f t="shared" si="2"/>
        <v>192.66499999999999</v>
      </c>
    </row>
    <row r="28" spans="2:12" ht="24" customHeight="1" x14ac:dyDescent="0.2">
      <c r="B28" s="347" t="s">
        <v>35</v>
      </c>
      <c r="C28" s="572" t="s">
        <v>260</v>
      </c>
      <c r="D28" s="573">
        <v>175.428</v>
      </c>
      <c r="E28" s="573">
        <v>87.6</v>
      </c>
      <c r="F28" s="573">
        <v>500.94299999999998</v>
      </c>
      <c r="G28" s="475" t="s">
        <v>260</v>
      </c>
      <c r="H28" s="475" t="s">
        <v>260</v>
      </c>
      <c r="I28" s="475" t="s">
        <v>260</v>
      </c>
      <c r="J28" s="475" t="s">
        <v>260</v>
      </c>
      <c r="K28" s="475" t="s">
        <v>260</v>
      </c>
      <c r="L28" s="571">
        <f t="shared" si="2"/>
        <v>763.971</v>
      </c>
    </row>
    <row r="29" spans="2:12" ht="24" customHeight="1" x14ac:dyDescent="0.2">
      <c r="B29" s="347" t="s">
        <v>36</v>
      </c>
      <c r="C29" s="572">
        <v>125</v>
      </c>
      <c r="D29" s="475" t="s">
        <v>260</v>
      </c>
      <c r="E29" s="475" t="s">
        <v>260</v>
      </c>
      <c r="F29" s="573">
        <v>187.5</v>
      </c>
      <c r="G29" s="573">
        <v>409.08</v>
      </c>
      <c r="H29" s="475" t="s">
        <v>260</v>
      </c>
      <c r="I29" s="475" t="s">
        <v>260</v>
      </c>
      <c r="J29" s="573">
        <v>547.5</v>
      </c>
      <c r="K29" s="475" t="s">
        <v>260</v>
      </c>
      <c r="L29" s="571">
        <f t="shared" si="2"/>
        <v>1269.08</v>
      </c>
    </row>
    <row r="30" spans="2:12" ht="24" customHeight="1" x14ac:dyDescent="0.2">
      <c r="B30" s="347" t="s">
        <v>20</v>
      </c>
      <c r="C30" s="572">
        <v>60</v>
      </c>
      <c r="D30" s="472">
        <v>100</v>
      </c>
      <c r="E30" s="475" t="s">
        <v>260</v>
      </c>
      <c r="F30" s="475" t="s">
        <v>260</v>
      </c>
      <c r="G30" s="573">
        <v>6.88</v>
      </c>
      <c r="H30" s="475" t="s">
        <v>260</v>
      </c>
      <c r="I30" s="475" t="s">
        <v>260</v>
      </c>
      <c r="J30" s="573">
        <v>58.14</v>
      </c>
      <c r="K30" s="574">
        <v>9</v>
      </c>
      <c r="L30" s="571">
        <f t="shared" si="2"/>
        <v>234.01999999999998</v>
      </c>
    </row>
    <row r="31" spans="2:12" ht="24" customHeight="1" x14ac:dyDescent="0.2">
      <c r="B31" s="348" t="s">
        <v>156</v>
      </c>
      <c r="C31" s="572">
        <v>1256</v>
      </c>
      <c r="D31" s="573">
        <v>977.1</v>
      </c>
      <c r="E31" s="573">
        <v>1535.58</v>
      </c>
      <c r="F31" s="573">
        <v>430</v>
      </c>
      <c r="G31" s="573">
        <v>1842</v>
      </c>
      <c r="H31" s="573">
        <v>354</v>
      </c>
      <c r="I31" s="573">
        <v>1948</v>
      </c>
      <c r="J31" s="573">
        <v>2566.1499999999996</v>
      </c>
      <c r="K31" s="574">
        <v>451</v>
      </c>
      <c r="L31" s="571">
        <f t="shared" si="2"/>
        <v>11359.83</v>
      </c>
    </row>
    <row r="32" spans="2:12" ht="24" customHeight="1" x14ac:dyDescent="0.2">
      <c r="B32" s="346" t="s">
        <v>19</v>
      </c>
      <c r="C32" s="575" t="s">
        <v>260</v>
      </c>
      <c r="D32" s="472">
        <v>100</v>
      </c>
      <c r="E32" s="475" t="s">
        <v>260</v>
      </c>
      <c r="F32" s="475" t="s">
        <v>260</v>
      </c>
      <c r="G32" s="475" t="s">
        <v>260</v>
      </c>
      <c r="H32" s="475" t="s">
        <v>260</v>
      </c>
      <c r="I32" s="576">
        <v>144</v>
      </c>
      <c r="J32" s="475" t="s">
        <v>260</v>
      </c>
      <c r="K32" s="475" t="s">
        <v>260</v>
      </c>
      <c r="L32" s="571">
        <f t="shared" si="2"/>
        <v>244</v>
      </c>
    </row>
    <row r="33" spans="2:12" ht="24" customHeight="1" x14ac:dyDescent="0.2">
      <c r="B33" s="344" t="s">
        <v>33</v>
      </c>
      <c r="C33" s="577">
        <f t="shared" ref="C33:L33" si="3">SUM(C26:C32)</f>
        <v>1441</v>
      </c>
      <c r="D33" s="577">
        <f>SUM(D26:D32)</f>
        <v>1466.412</v>
      </c>
      <c r="E33" s="577">
        <f t="shared" si="3"/>
        <v>1910.1799999999998</v>
      </c>
      <c r="F33" s="577">
        <f t="shared" si="3"/>
        <v>1118.443</v>
      </c>
      <c r="G33" s="577">
        <f t="shared" si="3"/>
        <v>2267.96</v>
      </c>
      <c r="H33" s="577">
        <f t="shared" si="3"/>
        <v>1415</v>
      </c>
      <c r="I33" s="577">
        <f t="shared" si="3"/>
        <v>2175</v>
      </c>
      <c r="J33" s="577">
        <f t="shared" si="3"/>
        <v>3203.49</v>
      </c>
      <c r="K33" s="577">
        <f t="shared" si="3"/>
        <v>484.08100000000002</v>
      </c>
      <c r="L33" s="578">
        <f t="shared" si="3"/>
        <v>15481.565999999999</v>
      </c>
    </row>
    <row r="34" spans="2:12" x14ac:dyDescent="0.2">
      <c r="B34" s="340" t="s">
        <v>622</v>
      </c>
      <c r="C34" s="340"/>
      <c r="D34" s="340"/>
      <c r="E34" s="340"/>
      <c r="F34" s="340"/>
      <c r="G34" s="340"/>
      <c r="H34" s="340"/>
      <c r="I34" s="340"/>
      <c r="J34" s="340"/>
      <c r="K34" s="340"/>
      <c r="L34" s="340"/>
    </row>
    <row r="35" spans="2:12" x14ac:dyDescent="0.2">
      <c r="B35" s="340"/>
      <c r="C35" s="340"/>
      <c r="D35" s="340"/>
      <c r="E35" s="340"/>
      <c r="F35" s="340"/>
      <c r="G35" s="340"/>
      <c r="H35" s="340"/>
      <c r="I35" s="340"/>
      <c r="J35" s="340"/>
      <c r="K35" s="340"/>
      <c r="L35" s="340"/>
    </row>
    <row r="36" spans="2:12" x14ac:dyDescent="0.2">
      <c r="B36" s="340"/>
      <c r="C36" s="340"/>
      <c r="D36" s="340"/>
      <c r="E36" s="340"/>
      <c r="F36" s="340"/>
      <c r="G36" s="340"/>
      <c r="H36" s="340"/>
      <c r="I36" s="340"/>
      <c r="J36" s="340"/>
      <c r="K36" s="340"/>
      <c r="L36" s="340"/>
    </row>
    <row r="37" spans="2:12" x14ac:dyDescent="0.2">
      <c r="B37" s="59" t="s">
        <v>31</v>
      </c>
      <c r="C37" s="340"/>
      <c r="D37" s="340"/>
      <c r="E37" s="340"/>
      <c r="F37" s="340"/>
      <c r="G37" s="340"/>
      <c r="H37" s="340"/>
      <c r="I37" s="340"/>
      <c r="J37" s="340"/>
      <c r="K37" s="340"/>
      <c r="L37" s="340"/>
    </row>
    <row r="38" spans="2:12" x14ac:dyDescent="0.2">
      <c r="B38" s="60" t="s">
        <v>75</v>
      </c>
      <c r="C38" s="340"/>
      <c r="D38" s="340"/>
      <c r="E38" s="340"/>
      <c r="F38" s="340"/>
      <c r="G38" s="340"/>
      <c r="H38" s="340"/>
      <c r="I38" s="340"/>
      <c r="J38" s="340"/>
      <c r="K38" s="340"/>
      <c r="L38" s="340"/>
    </row>
    <row r="39" spans="2:12" x14ac:dyDescent="0.2">
      <c r="B39" s="345" t="s">
        <v>623</v>
      </c>
      <c r="C39" s="340"/>
      <c r="D39" s="340"/>
      <c r="E39" s="340"/>
      <c r="F39" s="340"/>
      <c r="G39" s="340"/>
      <c r="H39" s="340"/>
      <c r="I39" s="340"/>
      <c r="J39" s="340"/>
      <c r="K39" s="340"/>
      <c r="L39" s="340"/>
    </row>
  </sheetData>
  <mergeCells count="6">
    <mergeCell ref="L5:L6"/>
    <mergeCell ref="B24:B25"/>
    <mergeCell ref="C24:K24"/>
    <mergeCell ref="L24:L25"/>
    <mergeCell ref="B5:B6"/>
    <mergeCell ref="C5:K5"/>
  </mergeCells>
  <phoneticPr fontId="2" type="noConversion"/>
  <pageMargins left="0.75" right="0.75" top="1" bottom="1" header="0.5" footer="0.5"/>
  <pageSetup paperSize="9" scale="62"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Y88"/>
  <sheetViews>
    <sheetView showGridLines="0" tabSelected="1" workbookViewId="0">
      <selection activeCell="C6" sqref="C6"/>
    </sheetView>
  </sheetViews>
  <sheetFormatPr defaultRowHeight="11.25" x14ac:dyDescent="0.2"/>
  <cols>
    <col min="1" max="1" width="3.140625" style="189" customWidth="1"/>
    <col min="2" max="2" width="14.85546875" style="189" customWidth="1"/>
    <col min="3" max="3" width="12.5703125" style="192" customWidth="1"/>
    <col min="4" max="4" width="17" style="189" customWidth="1"/>
    <col min="5" max="5" width="22.140625" style="189" customWidth="1"/>
    <col min="6" max="6" width="48" style="189" bestFit="1" customWidth="1"/>
    <col min="7" max="7" width="14.28515625" style="189" customWidth="1"/>
    <col min="8" max="8" width="15.85546875" style="189" customWidth="1"/>
    <col min="9" max="9" width="22.85546875" style="189" customWidth="1"/>
    <col min="10" max="10" width="13.140625" style="189" customWidth="1"/>
    <col min="11" max="16" width="12" style="189" customWidth="1"/>
    <col min="17" max="17" width="12" style="193" customWidth="1"/>
    <col min="18" max="22" width="12" style="189" customWidth="1"/>
    <col min="23" max="23" width="27.85546875" style="189" customWidth="1"/>
    <col min="24" max="16384" width="9.140625" style="189"/>
  </cols>
  <sheetData>
    <row r="2" spans="2:23" ht="15.75" customHeight="1" x14ac:dyDescent="0.2">
      <c r="B2" s="18" t="s">
        <v>806</v>
      </c>
      <c r="C2" s="186"/>
      <c r="D2" s="187"/>
      <c r="E2" s="187"/>
      <c r="F2" s="187"/>
      <c r="G2" s="187"/>
      <c r="H2" s="187"/>
      <c r="I2" s="187"/>
      <c r="J2" s="187"/>
      <c r="K2" s="187"/>
      <c r="L2" s="187"/>
      <c r="M2" s="187"/>
      <c r="N2" s="187"/>
      <c r="O2" s="187"/>
      <c r="P2" s="187"/>
      <c r="Q2" s="188"/>
    </row>
    <row r="3" spans="2:23" ht="18.75" x14ac:dyDescent="0.2">
      <c r="B3" s="19" t="s">
        <v>651</v>
      </c>
      <c r="C3" s="190"/>
      <c r="D3" s="191"/>
      <c r="E3" s="191"/>
      <c r="F3" s="191"/>
      <c r="G3" s="191"/>
      <c r="H3" s="191"/>
      <c r="I3" s="191"/>
      <c r="J3" s="191"/>
      <c r="K3" s="191"/>
      <c r="L3" s="191"/>
      <c r="M3" s="191"/>
      <c r="N3" s="192"/>
      <c r="O3" s="192"/>
      <c r="P3" s="192"/>
    </row>
    <row r="4" spans="2:23" ht="19.5" customHeight="1" x14ac:dyDescent="0.2">
      <c r="B4" s="194"/>
      <c r="C4" s="190"/>
      <c r="D4" s="191"/>
      <c r="E4" s="191"/>
      <c r="F4" s="191"/>
      <c r="G4" s="191"/>
      <c r="H4" s="191"/>
      <c r="I4" s="191"/>
      <c r="J4" s="191"/>
      <c r="K4" s="191"/>
      <c r="L4" s="191"/>
      <c r="M4" s="191"/>
      <c r="N4" s="192"/>
      <c r="O4" s="192"/>
      <c r="P4" s="192"/>
    </row>
    <row r="5" spans="2:23" ht="38.25" x14ac:dyDescent="0.2">
      <c r="B5" s="20" t="s">
        <v>158</v>
      </c>
      <c r="C5" s="20" t="s">
        <v>159</v>
      </c>
      <c r="D5" s="20" t="s">
        <v>160</v>
      </c>
      <c r="E5" s="20" t="s">
        <v>769</v>
      </c>
      <c r="F5" s="21" t="s">
        <v>161</v>
      </c>
      <c r="G5" s="21" t="s">
        <v>616</v>
      </c>
      <c r="H5" s="21" t="s">
        <v>768</v>
      </c>
      <c r="I5" s="21" t="s">
        <v>652</v>
      </c>
      <c r="J5" s="21" t="s">
        <v>162</v>
      </c>
      <c r="K5" s="21" t="s">
        <v>163</v>
      </c>
      <c r="L5" s="21" t="s">
        <v>164</v>
      </c>
      <c r="M5" s="21" t="s">
        <v>165</v>
      </c>
      <c r="N5" s="21" t="s">
        <v>166</v>
      </c>
      <c r="O5" s="21" t="s">
        <v>167</v>
      </c>
      <c r="P5" s="21" t="s">
        <v>168</v>
      </c>
      <c r="Q5" s="21" t="s">
        <v>169</v>
      </c>
      <c r="R5" s="21" t="s">
        <v>170</v>
      </c>
      <c r="S5" s="20" t="s">
        <v>171</v>
      </c>
      <c r="T5" s="20" t="s">
        <v>653</v>
      </c>
      <c r="U5" s="20" t="s">
        <v>738</v>
      </c>
      <c r="V5" s="20" t="s">
        <v>807</v>
      </c>
      <c r="W5" s="21" t="s">
        <v>654</v>
      </c>
    </row>
    <row r="6" spans="2:23" ht="38.25" x14ac:dyDescent="0.2">
      <c r="B6" s="23" t="s">
        <v>176</v>
      </c>
      <c r="C6" s="134">
        <v>39072</v>
      </c>
      <c r="D6" s="23" t="s">
        <v>177</v>
      </c>
      <c r="E6" s="23" t="s">
        <v>178</v>
      </c>
      <c r="F6" s="128" t="s">
        <v>851</v>
      </c>
      <c r="G6" s="23" t="s">
        <v>123</v>
      </c>
      <c r="H6" s="23" t="s">
        <v>179</v>
      </c>
      <c r="I6" s="128" t="s">
        <v>675</v>
      </c>
      <c r="J6" s="23" t="s">
        <v>153</v>
      </c>
      <c r="K6" s="23">
        <v>450000</v>
      </c>
      <c r="L6" s="166">
        <v>414401</v>
      </c>
      <c r="M6" s="166">
        <v>339483</v>
      </c>
      <c r="N6" s="169">
        <v>412774</v>
      </c>
      <c r="O6" s="227">
        <v>394142</v>
      </c>
      <c r="P6" s="227">
        <v>429479</v>
      </c>
      <c r="Q6" s="227">
        <v>411460</v>
      </c>
      <c r="R6" s="227">
        <v>400779</v>
      </c>
      <c r="S6" s="227">
        <v>443858</v>
      </c>
      <c r="T6" s="227">
        <v>443906</v>
      </c>
      <c r="U6" s="227">
        <v>473672</v>
      </c>
      <c r="V6" s="131">
        <v>476984</v>
      </c>
      <c r="W6" s="135" t="s">
        <v>838</v>
      </c>
    </row>
    <row r="7" spans="2:23" ht="38.25" x14ac:dyDescent="0.2">
      <c r="B7" s="23" t="s">
        <v>183</v>
      </c>
      <c r="C7" s="134">
        <v>38708</v>
      </c>
      <c r="D7" s="23" t="s">
        <v>808</v>
      </c>
      <c r="E7" s="23" t="s">
        <v>809</v>
      </c>
      <c r="F7" s="128" t="s">
        <v>184</v>
      </c>
      <c r="G7" s="23" t="s">
        <v>128</v>
      </c>
      <c r="H7" s="23" t="s">
        <v>185</v>
      </c>
      <c r="I7" s="128" t="s">
        <v>662</v>
      </c>
      <c r="J7" s="23" t="s">
        <v>153</v>
      </c>
      <c r="K7" s="23">
        <v>270000</v>
      </c>
      <c r="L7" s="166">
        <v>79951</v>
      </c>
      <c r="M7" s="166">
        <v>84996</v>
      </c>
      <c r="N7" s="166">
        <v>93590.76</v>
      </c>
      <c r="O7" s="169">
        <v>97718.23</v>
      </c>
      <c r="P7" s="169">
        <v>93849</v>
      </c>
      <c r="Q7" s="169">
        <v>94139</v>
      </c>
      <c r="R7" s="169">
        <v>85540</v>
      </c>
      <c r="S7" s="169">
        <v>90566</v>
      </c>
      <c r="T7" s="169">
        <v>91016</v>
      </c>
      <c r="U7" s="169">
        <v>92075</v>
      </c>
      <c r="V7" s="130">
        <v>92000</v>
      </c>
      <c r="W7" s="132"/>
    </row>
    <row r="8" spans="2:23" ht="25.5" x14ac:dyDescent="0.2">
      <c r="B8" s="23" t="s">
        <v>186</v>
      </c>
      <c r="C8" s="134">
        <v>39062</v>
      </c>
      <c r="D8" s="23" t="s">
        <v>187</v>
      </c>
      <c r="E8" s="23" t="s">
        <v>188</v>
      </c>
      <c r="F8" s="128" t="s">
        <v>840</v>
      </c>
      <c r="G8" s="23" t="s">
        <v>123</v>
      </c>
      <c r="H8" s="23" t="s">
        <v>189</v>
      </c>
      <c r="I8" s="128" t="s">
        <v>666</v>
      </c>
      <c r="J8" s="23" t="s">
        <v>153</v>
      </c>
      <c r="K8" s="23">
        <v>160000</v>
      </c>
      <c r="L8" s="166">
        <v>98817</v>
      </c>
      <c r="M8" s="166">
        <v>86500</v>
      </c>
      <c r="N8" s="166">
        <v>95986</v>
      </c>
      <c r="O8" s="169">
        <v>110782</v>
      </c>
      <c r="P8" s="169">
        <v>120132</v>
      </c>
      <c r="Q8" s="169">
        <v>136405</v>
      </c>
      <c r="R8" s="169">
        <v>133546</v>
      </c>
      <c r="S8" s="227">
        <v>149770</v>
      </c>
      <c r="T8" s="227">
        <v>154691</v>
      </c>
      <c r="U8" s="227">
        <v>155558.06</v>
      </c>
      <c r="V8" s="131">
        <v>142618.9</v>
      </c>
      <c r="W8" s="133"/>
    </row>
    <row r="9" spans="2:23" ht="25.5" x14ac:dyDescent="0.2">
      <c r="B9" s="23" t="s">
        <v>180</v>
      </c>
      <c r="C9" s="134">
        <v>38660</v>
      </c>
      <c r="D9" s="23" t="s">
        <v>731</v>
      </c>
      <c r="E9" s="23" t="s">
        <v>181</v>
      </c>
      <c r="F9" s="128" t="s">
        <v>852</v>
      </c>
      <c r="G9" s="23" t="s">
        <v>120</v>
      </c>
      <c r="H9" s="23" t="s">
        <v>182</v>
      </c>
      <c r="I9" s="128" t="s">
        <v>669</v>
      </c>
      <c r="J9" s="23" t="s">
        <v>153</v>
      </c>
      <c r="K9" s="23">
        <v>100000</v>
      </c>
      <c r="L9" s="166">
        <v>76570</v>
      </c>
      <c r="M9" s="166">
        <v>95807</v>
      </c>
      <c r="N9" s="166">
        <v>84213</v>
      </c>
      <c r="O9" s="169">
        <v>87010</v>
      </c>
      <c r="P9" s="169">
        <v>88068</v>
      </c>
      <c r="Q9" s="169">
        <v>75310</v>
      </c>
      <c r="R9" s="169">
        <v>53006</v>
      </c>
      <c r="S9" s="169">
        <v>23006</v>
      </c>
      <c r="T9" s="169">
        <v>46712</v>
      </c>
      <c r="U9" s="169">
        <v>101533</v>
      </c>
      <c r="V9" s="130">
        <v>104315</v>
      </c>
      <c r="W9" s="133"/>
    </row>
    <row r="10" spans="2:23" ht="25.5" x14ac:dyDescent="0.2">
      <c r="B10" s="128" t="s">
        <v>172</v>
      </c>
      <c r="C10" s="129">
        <v>38687</v>
      </c>
      <c r="D10" s="128" t="s">
        <v>173</v>
      </c>
      <c r="E10" s="128" t="s">
        <v>174</v>
      </c>
      <c r="F10" s="128" t="s">
        <v>853</v>
      </c>
      <c r="G10" s="128" t="s">
        <v>123</v>
      </c>
      <c r="H10" s="128" t="s">
        <v>175</v>
      </c>
      <c r="I10" s="128" t="s">
        <v>680</v>
      </c>
      <c r="J10" s="23" t="s">
        <v>153</v>
      </c>
      <c r="K10" s="128">
        <v>438000</v>
      </c>
      <c r="L10" s="166">
        <v>224243</v>
      </c>
      <c r="M10" s="166">
        <v>243584</v>
      </c>
      <c r="N10" s="169">
        <v>220396</v>
      </c>
      <c r="O10" s="169">
        <v>210080</v>
      </c>
      <c r="P10" s="169">
        <v>215296</v>
      </c>
      <c r="Q10" s="169">
        <v>205794</v>
      </c>
      <c r="R10" s="169">
        <v>200000</v>
      </c>
      <c r="S10" s="227">
        <v>192000</v>
      </c>
      <c r="T10" s="227">
        <v>187130</v>
      </c>
      <c r="U10" s="227">
        <v>181370</v>
      </c>
      <c r="V10" s="131">
        <v>210373</v>
      </c>
      <c r="W10" s="132"/>
    </row>
    <row r="11" spans="2:23" ht="51" x14ac:dyDescent="0.2">
      <c r="B11" s="128" t="s">
        <v>193</v>
      </c>
      <c r="C11" s="129">
        <v>38695</v>
      </c>
      <c r="D11" s="128" t="s">
        <v>194</v>
      </c>
      <c r="E11" s="128" t="s">
        <v>195</v>
      </c>
      <c r="F11" s="128" t="s">
        <v>739</v>
      </c>
      <c r="G11" s="128" t="s">
        <v>123</v>
      </c>
      <c r="H11" s="128" t="s">
        <v>196</v>
      </c>
      <c r="I11" s="128" t="s">
        <v>675</v>
      </c>
      <c r="J11" s="128" t="s">
        <v>8</v>
      </c>
      <c r="K11" s="128">
        <v>4500</v>
      </c>
      <c r="L11" s="166">
        <v>3199.72</v>
      </c>
      <c r="M11" s="166">
        <v>4107</v>
      </c>
      <c r="N11" s="169">
        <v>3381.58</v>
      </c>
      <c r="O11" s="169">
        <v>3371</v>
      </c>
      <c r="P11" s="169">
        <v>3445</v>
      </c>
      <c r="Q11" s="169">
        <v>2551</v>
      </c>
      <c r="R11" s="169">
        <v>2154</v>
      </c>
      <c r="S11" s="169">
        <v>2217.5</v>
      </c>
      <c r="T11" s="169">
        <v>2364.1999999999998</v>
      </c>
      <c r="U11" s="169">
        <v>2951</v>
      </c>
      <c r="V11" s="130">
        <v>2171</v>
      </c>
      <c r="W11" s="132" t="s">
        <v>78</v>
      </c>
    </row>
    <row r="12" spans="2:23" ht="25.5" x14ac:dyDescent="0.2">
      <c r="B12" s="23" t="s">
        <v>729</v>
      </c>
      <c r="C12" s="134">
        <v>38698</v>
      </c>
      <c r="D12" s="23" t="s">
        <v>730</v>
      </c>
      <c r="E12" s="23" t="s">
        <v>228</v>
      </c>
      <c r="F12" s="128" t="s">
        <v>841</v>
      </c>
      <c r="G12" s="23" t="s">
        <v>129</v>
      </c>
      <c r="H12" s="23" t="s">
        <v>229</v>
      </c>
      <c r="I12" s="128" t="s">
        <v>672</v>
      </c>
      <c r="J12" s="23" t="s">
        <v>8</v>
      </c>
      <c r="K12" s="23">
        <v>4270</v>
      </c>
      <c r="L12" s="166">
        <v>3019</v>
      </c>
      <c r="M12" s="166">
        <v>3437.7</v>
      </c>
      <c r="N12" s="166">
        <v>3385</v>
      </c>
      <c r="O12" s="169">
        <v>3342</v>
      </c>
      <c r="P12" s="169">
        <v>3955</v>
      </c>
      <c r="Q12" s="169">
        <v>3548</v>
      </c>
      <c r="R12" s="169">
        <v>3630</v>
      </c>
      <c r="S12" s="227">
        <v>3164</v>
      </c>
      <c r="T12" s="169">
        <v>2923</v>
      </c>
      <c r="U12" s="169">
        <v>2618</v>
      </c>
      <c r="V12" s="130">
        <v>2237</v>
      </c>
      <c r="W12" s="132"/>
    </row>
    <row r="13" spans="2:23" ht="25.5" x14ac:dyDescent="0.2">
      <c r="B13" s="128" t="s">
        <v>230</v>
      </c>
      <c r="C13" s="129">
        <v>38688</v>
      </c>
      <c r="D13" s="128" t="s">
        <v>231</v>
      </c>
      <c r="E13" s="128" t="s">
        <v>232</v>
      </c>
      <c r="F13" s="128" t="s">
        <v>854</v>
      </c>
      <c r="G13" s="128" t="s">
        <v>129</v>
      </c>
      <c r="H13" s="128" t="s">
        <v>233</v>
      </c>
      <c r="I13" s="128" t="s">
        <v>672</v>
      </c>
      <c r="J13" s="128" t="s">
        <v>8</v>
      </c>
      <c r="K13" s="128">
        <v>5241</v>
      </c>
      <c r="L13" s="166">
        <v>3887</v>
      </c>
      <c r="M13" s="166">
        <v>3832</v>
      </c>
      <c r="N13" s="166">
        <v>4102</v>
      </c>
      <c r="O13" s="169">
        <v>3730</v>
      </c>
      <c r="P13" s="169">
        <v>3791</v>
      </c>
      <c r="Q13" s="169">
        <v>3754</v>
      </c>
      <c r="R13" s="169">
        <v>3928</v>
      </c>
      <c r="S13" s="227">
        <v>3616</v>
      </c>
      <c r="T13" s="227">
        <v>3733</v>
      </c>
      <c r="U13" s="227">
        <v>3815</v>
      </c>
      <c r="V13" s="131">
        <v>2814</v>
      </c>
      <c r="W13" s="132"/>
    </row>
    <row r="14" spans="2:23" ht="25.5" x14ac:dyDescent="0.2">
      <c r="B14" s="128" t="s">
        <v>191</v>
      </c>
      <c r="C14" s="129">
        <v>39455</v>
      </c>
      <c r="D14" s="128" t="s">
        <v>190</v>
      </c>
      <c r="E14" s="128" t="s">
        <v>192</v>
      </c>
      <c r="F14" s="136" t="s">
        <v>855</v>
      </c>
      <c r="G14" s="128" t="s">
        <v>123</v>
      </c>
      <c r="H14" s="128" t="s">
        <v>189</v>
      </c>
      <c r="I14" s="128" t="s">
        <v>666</v>
      </c>
      <c r="J14" s="128" t="s">
        <v>8</v>
      </c>
      <c r="K14" s="128">
        <v>8500</v>
      </c>
      <c r="L14" s="166">
        <v>7377</v>
      </c>
      <c r="M14" s="166">
        <v>7180</v>
      </c>
      <c r="N14" s="166">
        <v>7769</v>
      </c>
      <c r="O14" s="169">
        <v>7474.69</v>
      </c>
      <c r="P14" s="169">
        <v>7989</v>
      </c>
      <c r="Q14" s="169">
        <v>7884</v>
      </c>
      <c r="R14" s="169">
        <v>8083</v>
      </c>
      <c r="S14" s="169">
        <v>8290</v>
      </c>
      <c r="T14" s="169">
        <v>8247</v>
      </c>
      <c r="U14" s="169">
        <v>8398</v>
      </c>
      <c r="V14" s="130">
        <v>8389</v>
      </c>
      <c r="W14" s="132"/>
    </row>
    <row r="15" spans="2:23" ht="25.5" x14ac:dyDescent="0.2">
      <c r="B15" s="166" t="s">
        <v>668</v>
      </c>
      <c r="C15" s="167">
        <v>38702</v>
      </c>
      <c r="D15" s="166" t="s">
        <v>190</v>
      </c>
      <c r="E15" s="166" t="s">
        <v>204</v>
      </c>
      <c r="F15" s="168" t="s">
        <v>856</v>
      </c>
      <c r="G15" s="166" t="s">
        <v>120</v>
      </c>
      <c r="H15" s="166" t="s">
        <v>205</v>
      </c>
      <c r="I15" s="168" t="s">
        <v>669</v>
      </c>
      <c r="J15" s="166" t="s">
        <v>8</v>
      </c>
      <c r="K15" s="175">
        <v>6000</v>
      </c>
      <c r="L15" s="166">
        <v>5302</v>
      </c>
      <c r="M15" s="166">
        <v>5557</v>
      </c>
      <c r="N15" s="166">
        <v>5661.56</v>
      </c>
      <c r="O15" s="169">
        <v>5457</v>
      </c>
      <c r="P15" s="169">
        <v>5677</v>
      </c>
      <c r="Q15" s="169">
        <v>5474</v>
      </c>
      <c r="R15" s="169">
        <v>5696</v>
      </c>
      <c r="S15" s="169">
        <v>5811.55</v>
      </c>
      <c r="T15" s="166">
        <v>5908</v>
      </c>
      <c r="U15" s="166">
        <v>5844</v>
      </c>
      <c r="V15" s="169">
        <v>5939.23</v>
      </c>
      <c r="W15" s="170"/>
    </row>
    <row r="16" spans="2:23" ht="25.5" x14ac:dyDescent="0.2">
      <c r="B16" s="23" t="s">
        <v>207</v>
      </c>
      <c r="C16" s="134">
        <v>38702</v>
      </c>
      <c r="D16" s="23" t="s">
        <v>190</v>
      </c>
      <c r="E16" s="23" t="s">
        <v>208</v>
      </c>
      <c r="F16" s="141" t="s">
        <v>857</v>
      </c>
      <c r="G16" s="23" t="s">
        <v>120</v>
      </c>
      <c r="H16" s="23" t="s">
        <v>205</v>
      </c>
      <c r="I16" s="128" t="s">
        <v>669</v>
      </c>
      <c r="J16" s="23" t="s">
        <v>8</v>
      </c>
      <c r="K16" s="23">
        <v>7884</v>
      </c>
      <c r="L16" s="166">
        <v>5420</v>
      </c>
      <c r="M16" s="166">
        <v>5794</v>
      </c>
      <c r="N16" s="166">
        <v>5912</v>
      </c>
      <c r="O16" s="169">
        <v>5935</v>
      </c>
      <c r="P16" s="169">
        <v>6327</v>
      </c>
      <c r="Q16" s="169">
        <v>6629</v>
      </c>
      <c r="R16" s="169">
        <v>6777</v>
      </c>
      <c r="S16" s="169">
        <v>6716</v>
      </c>
      <c r="T16" s="169">
        <v>6771.21</v>
      </c>
      <c r="U16" s="169">
        <v>6971.45</v>
      </c>
      <c r="V16" s="23">
        <v>6827</v>
      </c>
      <c r="W16" s="133"/>
    </row>
    <row r="17" spans="2:23" ht="25.5" x14ac:dyDescent="0.2">
      <c r="B17" s="128" t="s">
        <v>200</v>
      </c>
      <c r="C17" s="129">
        <v>38565</v>
      </c>
      <c r="D17" s="128" t="s">
        <v>201</v>
      </c>
      <c r="E17" s="128" t="s">
        <v>202</v>
      </c>
      <c r="F17" s="128" t="s">
        <v>842</v>
      </c>
      <c r="G17" s="128" t="s">
        <v>124</v>
      </c>
      <c r="H17" s="128" t="s">
        <v>203</v>
      </c>
      <c r="I17" s="128" t="s">
        <v>686</v>
      </c>
      <c r="J17" s="128" t="s">
        <v>8</v>
      </c>
      <c r="K17" s="128">
        <v>75000</v>
      </c>
      <c r="L17" s="166">
        <v>5392</v>
      </c>
      <c r="M17" s="166">
        <v>7247</v>
      </c>
      <c r="N17" s="166">
        <v>6464</v>
      </c>
      <c r="O17" s="169">
        <v>7195</v>
      </c>
      <c r="P17" s="169">
        <v>12013</v>
      </c>
      <c r="Q17" s="169">
        <v>5762</v>
      </c>
      <c r="R17" s="169">
        <v>6375</v>
      </c>
      <c r="S17" s="227">
        <v>12855</v>
      </c>
      <c r="T17" s="228">
        <v>3291</v>
      </c>
      <c r="U17" s="228">
        <v>1075</v>
      </c>
      <c r="V17" s="131">
        <v>664</v>
      </c>
      <c r="W17" s="133"/>
    </row>
    <row r="18" spans="2:23" ht="38.25" x14ac:dyDescent="0.2">
      <c r="B18" s="128" t="s">
        <v>197</v>
      </c>
      <c r="C18" s="129">
        <v>38702</v>
      </c>
      <c r="D18" s="128" t="s">
        <v>190</v>
      </c>
      <c r="E18" s="128" t="s">
        <v>198</v>
      </c>
      <c r="F18" s="128" t="s">
        <v>858</v>
      </c>
      <c r="G18" s="128" t="s">
        <v>124</v>
      </c>
      <c r="H18" s="128" t="s">
        <v>199</v>
      </c>
      <c r="I18" s="128" t="s">
        <v>686</v>
      </c>
      <c r="J18" s="128" t="s">
        <v>8</v>
      </c>
      <c r="K18" s="128">
        <v>8000</v>
      </c>
      <c r="L18" s="166">
        <v>6856</v>
      </c>
      <c r="M18" s="166">
        <v>7431</v>
      </c>
      <c r="N18" s="166">
        <v>7571</v>
      </c>
      <c r="O18" s="169">
        <v>7492</v>
      </c>
      <c r="P18" s="169">
        <v>7303</v>
      </c>
      <c r="Q18" s="169">
        <v>7373</v>
      </c>
      <c r="R18" s="169">
        <v>7510</v>
      </c>
      <c r="S18" s="169">
        <v>6299</v>
      </c>
      <c r="T18" s="227">
        <v>6791.04</v>
      </c>
      <c r="U18" s="227">
        <v>6787</v>
      </c>
      <c r="V18" s="130">
        <v>7266</v>
      </c>
      <c r="W18" s="132"/>
    </row>
    <row r="19" spans="2:23" ht="25.5" x14ac:dyDescent="0.2">
      <c r="B19" s="128" t="s">
        <v>213</v>
      </c>
      <c r="C19" s="129">
        <v>37956</v>
      </c>
      <c r="D19" s="128" t="s">
        <v>214</v>
      </c>
      <c r="E19" s="128" t="s">
        <v>215</v>
      </c>
      <c r="F19" s="128" t="s">
        <v>216</v>
      </c>
      <c r="G19" s="128" t="s">
        <v>125</v>
      </c>
      <c r="H19" s="128" t="s">
        <v>217</v>
      </c>
      <c r="I19" s="128" t="s">
        <v>686</v>
      </c>
      <c r="J19" s="128" t="s">
        <v>8</v>
      </c>
      <c r="K19" s="128">
        <v>10000</v>
      </c>
      <c r="L19" s="166">
        <v>849</v>
      </c>
      <c r="M19" s="166">
        <v>4292</v>
      </c>
      <c r="N19" s="166">
        <v>6092</v>
      </c>
      <c r="O19" s="169">
        <v>6145.82</v>
      </c>
      <c r="P19" s="169">
        <v>5391</v>
      </c>
      <c r="Q19" s="169">
        <v>5193</v>
      </c>
      <c r="R19" s="169">
        <v>5255</v>
      </c>
      <c r="S19" s="169">
        <v>4857</v>
      </c>
      <c r="T19" s="169">
        <v>5219.5</v>
      </c>
      <c r="U19" s="169">
        <v>5045</v>
      </c>
      <c r="V19" s="195">
        <v>5200</v>
      </c>
      <c r="W19" s="195"/>
    </row>
    <row r="20" spans="2:23" ht="25.5" x14ac:dyDescent="0.2">
      <c r="B20" s="128" t="s">
        <v>218</v>
      </c>
      <c r="C20" s="129">
        <v>38699</v>
      </c>
      <c r="D20" s="128" t="s">
        <v>190</v>
      </c>
      <c r="E20" s="128" t="s">
        <v>219</v>
      </c>
      <c r="F20" s="128" t="s">
        <v>859</v>
      </c>
      <c r="G20" s="128" t="s">
        <v>125</v>
      </c>
      <c r="H20" s="128" t="s">
        <v>220</v>
      </c>
      <c r="I20" s="128" t="s">
        <v>678</v>
      </c>
      <c r="J20" s="128" t="s">
        <v>8</v>
      </c>
      <c r="K20" s="128">
        <v>8500</v>
      </c>
      <c r="L20" s="166">
        <v>7549</v>
      </c>
      <c r="M20" s="166">
        <v>7065</v>
      </c>
      <c r="N20" s="166">
        <v>6929</v>
      </c>
      <c r="O20" s="169">
        <v>6612</v>
      </c>
      <c r="P20" s="169">
        <v>6027</v>
      </c>
      <c r="Q20" s="169">
        <v>7225</v>
      </c>
      <c r="R20" s="169">
        <v>8072</v>
      </c>
      <c r="S20" s="227">
        <v>8268</v>
      </c>
      <c r="T20" s="227">
        <v>8205</v>
      </c>
      <c r="U20" s="227">
        <v>8274</v>
      </c>
      <c r="V20" s="131">
        <v>8271</v>
      </c>
      <c r="W20" s="132"/>
    </row>
    <row r="21" spans="2:23" ht="38.25" x14ac:dyDescent="0.2">
      <c r="B21" s="128" t="s">
        <v>221</v>
      </c>
      <c r="C21" s="129">
        <v>38699</v>
      </c>
      <c r="D21" s="128" t="s">
        <v>190</v>
      </c>
      <c r="E21" s="128" t="s">
        <v>222</v>
      </c>
      <c r="F21" s="136" t="s">
        <v>860</v>
      </c>
      <c r="G21" s="128" t="s">
        <v>125</v>
      </c>
      <c r="H21" s="128" t="s">
        <v>220</v>
      </c>
      <c r="I21" s="128" t="s">
        <v>678</v>
      </c>
      <c r="J21" s="128" t="s">
        <v>8</v>
      </c>
      <c r="K21" s="128">
        <v>8000</v>
      </c>
      <c r="L21" s="166">
        <v>6380</v>
      </c>
      <c r="M21" s="166">
        <v>6179</v>
      </c>
      <c r="N21" s="166">
        <v>6535</v>
      </c>
      <c r="O21" s="169">
        <v>6869</v>
      </c>
      <c r="P21" s="169">
        <v>6897</v>
      </c>
      <c r="Q21" s="169">
        <v>6807</v>
      </c>
      <c r="R21" s="169">
        <v>7430</v>
      </c>
      <c r="S21" s="227">
        <v>7581</v>
      </c>
      <c r="T21" s="227">
        <v>7531</v>
      </c>
      <c r="U21" s="227">
        <v>7983</v>
      </c>
      <c r="V21" s="131">
        <v>7644</v>
      </c>
      <c r="W21" s="132"/>
    </row>
    <row r="22" spans="2:23" ht="38.25" x14ac:dyDescent="0.2">
      <c r="B22" s="128" t="s">
        <v>234</v>
      </c>
      <c r="C22" s="129">
        <v>38695</v>
      </c>
      <c r="D22" s="128" t="s">
        <v>206</v>
      </c>
      <c r="E22" s="128" t="s">
        <v>235</v>
      </c>
      <c r="F22" s="128" t="s">
        <v>843</v>
      </c>
      <c r="G22" s="128" t="s">
        <v>122</v>
      </c>
      <c r="H22" s="128" t="s">
        <v>236</v>
      </c>
      <c r="I22" s="128" t="s">
        <v>676</v>
      </c>
      <c r="J22" s="128" t="s">
        <v>8</v>
      </c>
      <c r="K22" s="128">
        <v>10000</v>
      </c>
      <c r="L22" s="166">
        <v>7791</v>
      </c>
      <c r="M22" s="166">
        <v>8379</v>
      </c>
      <c r="N22" s="169">
        <v>8380</v>
      </c>
      <c r="O22" s="169">
        <v>8650</v>
      </c>
      <c r="P22" s="169">
        <v>8537</v>
      </c>
      <c r="Q22" s="169">
        <v>7911</v>
      </c>
      <c r="R22" s="169">
        <v>7231</v>
      </c>
      <c r="S22" s="227">
        <v>7686</v>
      </c>
      <c r="T22" s="227">
        <v>8297</v>
      </c>
      <c r="U22" s="227">
        <v>7157</v>
      </c>
      <c r="V22" s="131">
        <v>8028</v>
      </c>
      <c r="W22" s="133"/>
    </row>
    <row r="23" spans="2:23" ht="51" x14ac:dyDescent="0.2">
      <c r="B23" s="128" t="s">
        <v>223</v>
      </c>
      <c r="C23" s="129">
        <v>38701</v>
      </c>
      <c r="D23" s="128" t="s">
        <v>190</v>
      </c>
      <c r="E23" s="128" t="s">
        <v>224</v>
      </c>
      <c r="F23" s="141" t="s">
        <v>225</v>
      </c>
      <c r="G23" s="128" t="s">
        <v>129</v>
      </c>
      <c r="H23" s="128" t="s">
        <v>226</v>
      </c>
      <c r="I23" s="128" t="s">
        <v>667</v>
      </c>
      <c r="J23" s="128" t="s">
        <v>8</v>
      </c>
      <c r="K23" s="128">
        <v>8000</v>
      </c>
      <c r="L23" s="166">
        <v>5755</v>
      </c>
      <c r="M23" s="166">
        <v>6510</v>
      </c>
      <c r="N23" s="166">
        <v>5799</v>
      </c>
      <c r="O23" s="169">
        <v>12351</v>
      </c>
      <c r="P23" s="169">
        <v>6733</v>
      </c>
      <c r="Q23" s="169">
        <v>6764</v>
      </c>
      <c r="R23" s="169">
        <v>6595</v>
      </c>
      <c r="S23" s="227">
        <v>6953</v>
      </c>
      <c r="T23" s="227">
        <v>7141</v>
      </c>
      <c r="U23" s="227">
        <v>7153</v>
      </c>
      <c r="V23" s="131">
        <v>7486</v>
      </c>
      <c r="W23" s="132"/>
    </row>
    <row r="24" spans="2:23" ht="25.5" x14ac:dyDescent="0.2">
      <c r="B24" s="128" t="s">
        <v>719</v>
      </c>
      <c r="C24" s="129">
        <v>41995</v>
      </c>
      <c r="D24" s="128" t="s">
        <v>720</v>
      </c>
      <c r="E24" s="128" t="s">
        <v>721</v>
      </c>
      <c r="F24" s="128" t="s">
        <v>722</v>
      </c>
      <c r="G24" s="128" t="s">
        <v>129</v>
      </c>
      <c r="H24" s="128" t="s">
        <v>227</v>
      </c>
      <c r="I24" s="128" t="s">
        <v>667</v>
      </c>
      <c r="J24" s="128" t="s">
        <v>8</v>
      </c>
      <c r="K24" s="128">
        <v>6570</v>
      </c>
      <c r="L24" s="229" t="s">
        <v>260</v>
      </c>
      <c r="M24" s="229" t="s">
        <v>260</v>
      </c>
      <c r="N24" s="229" t="s">
        <v>260</v>
      </c>
      <c r="O24" s="229" t="s">
        <v>260</v>
      </c>
      <c r="P24" s="229" t="s">
        <v>260</v>
      </c>
      <c r="Q24" s="229" t="s">
        <v>260</v>
      </c>
      <c r="R24" s="229" t="s">
        <v>260</v>
      </c>
      <c r="S24" s="229" t="s">
        <v>260</v>
      </c>
      <c r="T24" s="229" t="s">
        <v>260</v>
      </c>
      <c r="U24" s="229" t="s">
        <v>260</v>
      </c>
      <c r="V24" s="130">
        <v>3000</v>
      </c>
      <c r="W24" s="133" t="s">
        <v>837</v>
      </c>
    </row>
    <row r="25" spans="2:23" ht="25.5" x14ac:dyDescent="0.2">
      <c r="B25" s="128" t="s">
        <v>209</v>
      </c>
      <c r="C25" s="129">
        <v>38678</v>
      </c>
      <c r="D25" s="128" t="s">
        <v>210</v>
      </c>
      <c r="E25" s="128" t="s">
        <v>211</v>
      </c>
      <c r="F25" s="128" t="s">
        <v>861</v>
      </c>
      <c r="G25" s="128" t="s">
        <v>125</v>
      </c>
      <c r="H25" s="128" t="s">
        <v>212</v>
      </c>
      <c r="I25" s="128" t="s">
        <v>673</v>
      </c>
      <c r="J25" s="128" t="s">
        <v>8</v>
      </c>
      <c r="K25" s="128">
        <v>5200</v>
      </c>
      <c r="L25" s="166">
        <v>1252</v>
      </c>
      <c r="M25" s="166">
        <v>1308.3720000000001</v>
      </c>
      <c r="N25" s="166">
        <v>1393</v>
      </c>
      <c r="O25" s="169">
        <v>929</v>
      </c>
      <c r="P25" s="169">
        <v>1296</v>
      </c>
      <c r="Q25" s="169">
        <v>1087</v>
      </c>
      <c r="R25" s="169">
        <v>1359</v>
      </c>
      <c r="S25" s="169">
        <v>1007</v>
      </c>
      <c r="T25" s="169">
        <v>1368</v>
      </c>
      <c r="U25" s="169">
        <v>629</v>
      </c>
      <c r="V25" s="131">
        <v>784</v>
      </c>
      <c r="W25" s="132"/>
    </row>
    <row r="26" spans="2:23" ht="25.5" x14ac:dyDescent="0.2">
      <c r="B26" s="23" t="s">
        <v>237</v>
      </c>
      <c r="C26" s="134">
        <v>38695</v>
      </c>
      <c r="D26" s="23" t="s">
        <v>190</v>
      </c>
      <c r="E26" s="23" t="s">
        <v>238</v>
      </c>
      <c r="F26" s="128" t="s">
        <v>862</v>
      </c>
      <c r="G26" s="23" t="s">
        <v>128</v>
      </c>
      <c r="H26" s="23" t="s">
        <v>239</v>
      </c>
      <c r="I26" s="128" t="s">
        <v>661</v>
      </c>
      <c r="J26" s="128" t="s">
        <v>8</v>
      </c>
      <c r="K26" s="23">
        <v>17000</v>
      </c>
      <c r="L26" s="166">
        <v>14139</v>
      </c>
      <c r="M26" s="166">
        <v>14467</v>
      </c>
      <c r="N26" s="166">
        <v>15948</v>
      </c>
      <c r="O26" s="169">
        <v>16519</v>
      </c>
      <c r="P26" s="169">
        <v>16304</v>
      </c>
      <c r="Q26" s="169">
        <v>15054</v>
      </c>
      <c r="R26" s="169">
        <v>13675</v>
      </c>
      <c r="S26" s="227">
        <v>14023</v>
      </c>
      <c r="T26" s="227">
        <v>14748</v>
      </c>
      <c r="U26" s="227">
        <v>14654</v>
      </c>
      <c r="V26" s="130">
        <v>13699</v>
      </c>
      <c r="W26" s="133"/>
    </row>
    <row r="27" spans="2:23" ht="51" x14ac:dyDescent="0.2">
      <c r="B27" s="23" t="s">
        <v>250</v>
      </c>
      <c r="C27" s="134">
        <v>37714</v>
      </c>
      <c r="D27" s="23" t="s">
        <v>245</v>
      </c>
      <c r="E27" s="23" t="s">
        <v>251</v>
      </c>
      <c r="F27" s="128" t="s">
        <v>863</v>
      </c>
      <c r="G27" s="23" t="s">
        <v>120</v>
      </c>
      <c r="H27" s="23" t="s">
        <v>252</v>
      </c>
      <c r="I27" s="128" t="s">
        <v>679</v>
      </c>
      <c r="J27" s="128" t="s">
        <v>154</v>
      </c>
      <c r="K27" s="23">
        <v>175428</v>
      </c>
      <c r="L27" s="166">
        <v>47475</v>
      </c>
      <c r="M27" s="166">
        <v>58030</v>
      </c>
      <c r="N27" s="166">
        <v>44654</v>
      </c>
      <c r="O27" s="169">
        <v>43332</v>
      </c>
      <c r="P27" s="169">
        <v>51026</v>
      </c>
      <c r="Q27" s="169">
        <v>46683</v>
      </c>
      <c r="R27" s="169">
        <v>28827</v>
      </c>
      <c r="S27" s="169">
        <v>52336</v>
      </c>
      <c r="T27" s="169">
        <v>65883</v>
      </c>
      <c r="U27" s="169">
        <v>69741</v>
      </c>
      <c r="V27" s="131">
        <v>59068</v>
      </c>
      <c r="W27" s="132"/>
    </row>
    <row r="28" spans="2:23" ht="51" x14ac:dyDescent="0.2">
      <c r="B28" s="128" t="s">
        <v>240</v>
      </c>
      <c r="C28" s="129">
        <v>38078</v>
      </c>
      <c r="D28" s="128" t="s">
        <v>241</v>
      </c>
      <c r="E28" s="128" t="s">
        <v>242</v>
      </c>
      <c r="F28" s="128" t="s">
        <v>243</v>
      </c>
      <c r="G28" s="128" t="s">
        <v>67</v>
      </c>
      <c r="H28" s="128" t="s">
        <v>56</v>
      </c>
      <c r="I28" s="128" t="s">
        <v>662</v>
      </c>
      <c r="J28" s="128" t="s">
        <v>154</v>
      </c>
      <c r="K28" s="128">
        <v>40000</v>
      </c>
      <c r="L28" s="166">
        <v>28032</v>
      </c>
      <c r="M28" s="166">
        <v>30220</v>
      </c>
      <c r="N28" s="166">
        <v>22213.200000000001</v>
      </c>
      <c r="O28" s="169">
        <v>17952</v>
      </c>
      <c r="P28" s="169">
        <v>24833</v>
      </c>
      <c r="Q28" s="169">
        <v>31359</v>
      </c>
      <c r="R28" s="169">
        <v>34812</v>
      </c>
      <c r="S28" s="227">
        <v>35676</v>
      </c>
      <c r="T28" s="227">
        <v>28369</v>
      </c>
      <c r="U28" s="227">
        <v>27102</v>
      </c>
      <c r="V28" s="131">
        <v>24175</v>
      </c>
      <c r="W28" s="132"/>
    </row>
    <row r="29" spans="2:23" ht="51" x14ac:dyDescent="0.2">
      <c r="B29" s="23" t="s">
        <v>244</v>
      </c>
      <c r="C29" s="134">
        <v>37608</v>
      </c>
      <c r="D29" s="23" t="s">
        <v>245</v>
      </c>
      <c r="E29" s="23" t="s">
        <v>246</v>
      </c>
      <c r="F29" s="128" t="s">
        <v>864</v>
      </c>
      <c r="G29" s="23" t="s">
        <v>67</v>
      </c>
      <c r="H29" s="23" t="s">
        <v>58</v>
      </c>
      <c r="I29" s="128" t="s">
        <v>680</v>
      </c>
      <c r="J29" s="128" t="s">
        <v>154</v>
      </c>
      <c r="K29" s="23">
        <v>460943</v>
      </c>
      <c r="L29" s="166">
        <v>66552</v>
      </c>
      <c r="M29" s="166">
        <v>101275</v>
      </c>
      <c r="N29" s="166">
        <v>92269</v>
      </c>
      <c r="O29" s="169">
        <v>81908</v>
      </c>
      <c r="P29" s="169">
        <v>101519</v>
      </c>
      <c r="Q29" s="169">
        <v>96884</v>
      </c>
      <c r="R29" s="169">
        <v>90339</v>
      </c>
      <c r="S29" s="227">
        <v>90270</v>
      </c>
      <c r="T29" s="227">
        <v>95344</v>
      </c>
      <c r="U29" s="227">
        <v>96251</v>
      </c>
      <c r="V29" s="131">
        <v>75319</v>
      </c>
      <c r="W29" s="133" t="s">
        <v>836</v>
      </c>
    </row>
    <row r="30" spans="2:23" ht="51" x14ac:dyDescent="0.2">
      <c r="B30" s="128" t="s">
        <v>253</v>
      </c>
      <c r="C30" s="129">
        <v>37498</v>
      </c>
      <c r="D30" s="128" t="s">
        <v>254</v>
      </c>
      <c r="E30" s="128" t="s">
        <v>255</v>
      </c>
      <c r="F30" s="128" t="s">
        <v>865</v>
      </c>
      <c r="G30" s="128" t="s">
        <v>128</v>
      </c>
      <c r="H30" s="128" t="s">
        <v>185</v>
      </c>
      <c r="I30" s="128" t="s">
        <v>680</v>
      </c>
      <c r="J30" s="128" t="s">
        <v>154</v>
      </c>
      <c r="K30" s="128">
        <v>87600</v>
      </c>
      <c r="L30" s="166">
        <v>24860</v>
      </c>
      <c r="M30" s="166">
        <v>24986</v>
      </c>
      <c r="N30" s="166">
        <v>25535</v>
      </c>
      <c r="O30" s="169">
        <v>34662.089999999997</v>
      </c>
      <c r="P30" s="169">
        <v>37068</v>
      </c>
      <c r="Q30" s="169">
        <v>44928</v>
      </c>
      <c r="R30" s="169">
        <v>42131</v>
      </c>
      <c r="S30" s="227">
        <v>40496</v>
      </c>
      <c r="T30" s="227">
        <v>802</v>
      </c>
      <c r="U30" s="227">
        <v>46396</v>
      </c>
      <c r="V30" s="130">
        <v>25808</v>
      </c>
      <c r="W30" s="133" t="s">
        <v>825</v>
      </c>
    </row>
    <row r="31" spans="2:23" ht="51" x14ac:dyDescent="0.2">
      <c r="B31" s="23" t="s">
        <v>810</v>
      </c>
      <c r="C31" s="134">
        <v>37711</v>
      </c>
      <c r="D31" s="23" t="s">
        <v>811</v>
      </c>
      <c r="E31" s="23" t="s">
        <v>259</v>
      </c>
      <c r="F31" s="141" t="s">
        <v>866</v>
      </c>
      <c r="G31" s="23" t="s">
        <v>67</v>
      </c>
      <c r="H31" s="23" t="s">
        <v>56</v>
      </c>
      <c r="I31" s="128" t="s">
        <v>662</v>
      </c>
      <c r="J31" s="128" t="s">
        <v>155</v>
      </c>
      <c r="K31" s="23">
        <v>82500</v>
      </c>
      <c r="L31" s="166">
        <v>5776</v>
      </c>
      <c r="M31" s="166">
        <v>19810</v>
      </c>
      <c r="N31" s="166">
        <v>30296</v>
      </c>
      <c r="O31" s="169">
        <v>34639</v>
      </c>
      <c r="P31" s="169">
        <v>35866</v>
      </c>
      <c r="Q31" s="169">
        <v>44636</v>
      </c>
      <c r="R31" s="169">
        <v>47694</v>
      </c>
      <c r="S31" s="230">
        <v>77228</v>
      </c>
      <c r="T31" s="230">
        <v>70396</v>
      </c>
      <c r="U31" s="230">
        <v>63498</v>
      </c>
      <c r="V31" s="142">
        <v>65135</v>
      </c>
      <c r="W31" s="132"/>
    </row>
    <row r="32" spans="2:23" ht="51" x14ac:dyDescent="0.2">
      <c r="B32" s="23" t="s">
        <v>812</v>
      </c>
      <c r="C32" s="129">
        <v>37711</v>
      </c>
      <c r="D32" s="23" t="s">
        <v>813</v>
      </c>
      <c r="E32" s="23" t="s">
        <v>257</v>
      </c>
      <c r="F32" s="136" t="s">
        <v>258</v>
      </c>
      <c r="G32" s="23" t="s">
        <v>67</v>
      </c>
      <c r="H32" s="23" t="s">
        <v>56</v>
      </c>
      <c r="I32" s="128" t="s">
        <v>662</v>
      </c>
      <c r="J32" s="128" t="s">
        <v>155</v>
      </c>
      <c r="K32" s="23">
        <v>105000</v>
      </c>
      <c r="L32" s="166">
        <v>18036</v>
      </c>
      <c r="M32" s="166">
        <v>25400</v>
      </c>
      <c r="N32" s="166">
        <v>60890</v>
      </c>
      <c r="O32" s="169">
        <v>24694</v>
      </c>
      <c r="P32" s="169">
        <v>36371.47</v>
      </c>
      <c r="Q32" s="169">
        <v>47167</v>
      </c>
      <c r="R32" s="169">
        <v>62717</v>
      </c>
      <c r="S32" s="227">
        <v>50811</v>
      </c>
      <c r="T32" s="227">
        <v>52536</v>
      </c>
      <c r="U32" s="227">
        <v>47268</v>
      </c>
      <c r="V32" s="131">
        <v>61500</v>
      </c>
      <c r="W32" s="133" t="s">
        <v>834</v>
      </c>
    </row>
    <row r="33" spans="2:23" ht="51" x14ac:dyDescent="0.2">
      <c r="B33" s="128" t="s">
        <v>261</v>
      </c>
      <c r="C33" s="129">
        <v>40641</v>
      </c>
      <c r="D33" s="128" t="s">
        <v>262</v>
      </c>
      <c r="E33" s="128" t="s">
        <v>263</v>
      </c>
      <c r="F33" s="128" t="s">
        <v>264</v>
      </c>
      <c r="G33" s="128" t="s">
        <v>119</v>
      </c>
      <c r="H33" s="128" t="s">
        <v>248</v>
      </c>
      <c r="I33" s="128" t="s">
        <v>684</v>
      </c>
      <c r="J33" s="23" t="s">
        <v>265</v>
      </c>
      <c r="K33" s="128">
        <v>125000</v>
      </c>
      <c r="L33" s="169" t="s">
        <v>260</v>
      </c>
      <c r="M33" s="169" t="s">
        <v>260</v>
      </c>
      <c r="N33" s="169" t="s">
        <v>260</v>
      </c>
      <c r="O33" s="169" t="s">
        <v>260</v>
      </c>
      <c r="P33" s="169" t="s">
        <v>260</v>
      </c>
      <c r="Q33" s="166">
        <v>5073</v>
      </c>
      <c r="R33" s="166">
        <v>88046</v>
      </c>
      <c r="S33" s="166">
        <v>80634</v>
      </c>
      <c r="T33" s="227">
        <v>97146</v>
      </c>
      <c r="U33" s="227">
        <v>74275</v>
      </c>
      <c r="V33" s="131">
        <v>107080</v>
      </c>
      <c r="W33" s="133"/>
    </row>
    <row r="34" spans="2:23" ht="51" x14ac:dyDescent="0.2">
      <c r="B34" s="23" t="s">
        <v>274</v>
      </c>
      <c r="C34" s="134">
        <v>37902</v>
      </c>
      <c r="D34" s="23" t="s">
        <v>254</v>
      </c>
      <c r="E34" s="23" t="s">
        <v>275</v>
      </c>
      <c r="F34" s="128" t="s">
        <v>814</v>
      </c>
      <c r="G34" s="23" t="s">
        <v>122</v>
      </c>
      <c r="H34" s="23" t="s">
        <v>276</v>
      </c>
      <c r="I34" s="128" t="s">
        <v>676</v>
      </c>
      <c r="J34" s="128" t="s">
        <v>155</v>
      </c>
      <c r="K34" s="23">
        <v>289080</v>
      </c>
      <c r="L34" s="166" t="s">
        <v>260</v>
      </c>
      <c r="M34" s="166">
        <v>18136</v>
      </c>
      <c r="N34" s="166">
        <v>91607</v>
      </c>
      <c r="O34" s="169">
        <v>125379</v>
      </c>
      <c r="P34" s="169">
        <v>144067</v>
      </c>
      <c r="Q34" s="231">
        <v>162178</v>
      </c>
      <c r="R34" s="231">
        <v>125618</v>
      </c>
      <c r="S34" s="227">
        <v>148478</v>
      </c>
      <c r="T34" s="166">
        <v>181249</v>
      </c>
      <c r="U34" s="166">
        <v>184244</v>
      </c>
      <c r="V34" s="23">
        <v>19112</v>
      </c>
      <c r="W34" s="132"/>
    </row>
    <row r="35" spans="2:23" ht="51" x14ac:dyDescent="0.2">
      <c r="B35" s="128" t="s">
        <v>270</v>
      </c>
      <c r="C35" s="129">
        <v>37711</v>
      </c>
      <c r="D35" s="128" t="s">
        <v>256</v>
      </c>
      <c r="E35" s="128" t="s">
        <v>271</v>
      </c>
      <c r="F35" s="128" t="s">
        <v>272</v>
      </c>
      <c r="G35" s="128" t="s">
        <v>122</v>
      </c>
      <c r="H35" s="128" t="s">
        <v>273</v>
      </c>
      <c r="I35" s="128" t="s">
        <v>676</v>
      </c>
      <c r="J35" s="128" t="s">
        <v>155</v>
      </c>
      <c r="K35" s="128">
        <v>120000</v>
      </c>
      <c r="L35" s="166">
        <v>50950</v>
      </c>
      <c r="M35" s="166">
        <v>52316</v>
      </c>
      <c r="N35" s="166">
        <v>54547</v>
      </c>
      <c r="O35" s="169">
        <v>41439.56</v>
      </c>
      <c r="P35" s="169">
        <v>25858</v>
      </c>
      <c r="Q35" s="231">
        <v>59832</v>
      </c>
      <c r="R35" s="231">
        <v>63413</v>
      </c>
      <c r="S35" s="227">
        <v>68293</v>
      </c>
      <c r="T35" s="227">
        <v>69903</v>
      </c>
      <c r="U35" s="227">
        <v>63278.76</v>
      </c>
      <c r="V35" s="131">
        <v>75387</v>
      </c>
      <c r="W35" s="132"/>
    </row>
    <row r="36" spans="2:23" ht="51" x14ac:dyDescent="0.2">
      <c r="B36" s="128" t="s">
        <v>266</v>
      </c>
      <c r="C36" s="129">
        <v>39072</v>
      </c>
      <c r="D36" s="128" t="s">
        <v>267</v>
      </c>
      <c r="E36" s="128" t="s">
        <v>268</v>
      </c>
      <c r="F36" s="128" t="s">
        <v>735</v>
      </c>
      <c r="G36" s="128" t="s">
        <v>125</v>
      </c>
      <c r="H36" s="128" t="s">
        <v>217</v>
      </c>
      <c r="I36" s="128" t="s">
        <v>673</v>
      </c>
      <c r="J36" s="128" t="s">
        <v>155</v>
      </c>
      <c r="K36" s="128">
        <v>547500</v>
      </c>
      <c r="L36" s="166" t="s">
        <v>269</v>
      </c>
      <c r="M36" s="169">
        <v>207877</v>
      </c>
      <c r="N36" s="169">
        <v>173872</v>
      </c>
      <c r="O36" s="169">
        <v>184000</v>
      </c>
      <c r="P36" s="169">
        <v>145053</v>
      </c>
      <c r="Q36" s="169">
        <v>182000</v>
      </c>
      <c r="R36" s="169">
        <v>157980</v>
      </c>
      <c r="S36" s="169">
        <v>123000</v>
      </c>
      <c r="T36" s="169">
        <v>89000</v>
      </c>
      <c r="U36" s="169">
        <v>98000</v>
      </c>
      <c r="V36" s="130">
        <v>115000</v>
      </c>
      <c r="W36" s="133" t="s">
        <v>826</v>
      </c>
    </row>
    <row r="37" spans="2:23" ht="38.25" x14ac:dyDescent="0.2">
      <c r="B37" s="128" t="s">
        <v>283</v>
      </c>
      <c r="C37" s="129">
        <v>38699</v>
      </c>
      <c r="D37" s="128" t="s">
        <v>284</v>
      </c>
      <c r="E37" s="128" t="s">
        <v>285</v>
      </c>
      <c r="F37" s="128" t="s">
        <v>867</v>
      </c>
      <c r="G37" s="128" t="s">
        <v>120</v>
      </c>
      <c r="H37" s="128" t="s">
        <v>182</v>
      </c>
      <c r="I37" s="128" t="s">
        <v>669</v>
      </c>
      <c r="J37" s="128" t="s">
        <v>133</v>
      </c>
      <c r="K37" s="128">
        <v>100000</v>
      </c>
      <c r="L37" s="166">
        <v>86380</v>
      </c>
      <c r="M37" s="166">
        <v>91905</v>
      </c>
      <c r="N37" s="166">
        <v>82372</v>
      </c>
      <c r="O37" s="169">
        <v>85000</v>
      </c>
      <c r="P37" s="169">
        <v>92752</v>
      </c>
      <c r="Q37" s="169">
        <v>90847</v>
      </c>
      <c r="R37" s="169">
        <v>83615</v>
      </c>
      <c r="S37" s="169">
        <v>84721</v>
      </c>
      <c r="T37" s="169">
        <v>89280</v>
      </c>
      <c r="U37" s="169">
        <v>85803.5</v>
      </c>
      <c r="V37" s="130">
        <v>81159</v>
      </c>
      <c r="W37" s="132"/>
    </row>
    <row r="38" spans="2:23" ht="25.5" x14ac:dyDescent="0.2">
      <c r="B38" s="133" t="s">
        <v>293</v>
      </c>
      <c r="C38" s="129">
        <v>41652</v>
      </c>
      <c r="D38" s="128" t="s">
        <v>294</v>
      </c>
      <c r="E38" s="128" t="s">
        <v>295</v>
      </c>
      <c r="F38" s="128" t="s">
        <v>844</v>
      </c>
      <c r="G38" s="128" t="s">
        <v>125</v>
      </c>
      <c r="H38" s="128" t="s">
        <v>220</v>
      </c>
      <c r="I38" s="128" t="s">
        <v>678</v>
      </c>
      <c r="J38" s="128" t="s">
        <v>133</v>
      </c>
      <c r="K38" s="144">
        <v>13140</v>
      </c>
      <c r="L38" s="232" t="s">
        <v>260</v>
      </c>
      <c r="M38" s="232" t="s">
        <v>260</v>
      </c>
      <c r="N38" s="232" t="s">
        <v>260</v>
      </c>
      <c r="O38" s="232" t="s">
        <v>260</v>
      </c>
      <c r="P38" s="232" t="s">
        <v>260</v>
      </c>
      <c r="Q38" s="232" t="s">
        <v>260</v>
      </c>
      <c r="R38" s="169">
        <v>3124</v>
      </c>
      <c r="S38" s="227">
        <v>5343</v>
      </c>
      <c r="T38" s="227">
        <v>5840</v>
      </c>
      <c r="U38" s="227">
        <v>6028</v>
      </c>
      <c r="V38" s="131">
        <v>6767</v>
      </c>
      <c r="W38" s="132"/>
    </row>
    <row r="39" spans="2:23" ht="38.25" x14ac:dyDescent="0.2">
      <c r="B39" s="128" t="s">
        <v>1056</v>
      </c>
      <c r="C39" s="129">
        <v>41388</v>
      </c>
      <c r="D39" s="128" t="s">
        <v>1057</v>
      </c>
      <c r="E39" s="128" t="s">
        <v>1058</v>
      </c>
      <c r="F39" s="128" t="s">
        <v>1059</v>
      </c>
      <c r="G39" s="128" t="s">
        <v>119</v>
      </c>
      <c r="H39" s="128" t="s">
        <v>320</v>
      </c>
      <c r="I39" s="128" t="s">
        <v>684</v>
      </c>
      <c r="J39" s="128" t="s">
        <v>133</v>
      </c>
      <c r="K39" s="128">
        <v>48000</v>
      </c>
      <c r="L39" s="232" t="s">
        <v>260</v>
      </c>
      <c r="M39" s="232" t="s">
        <v>260</v>
      </c>
      <c r="N39" s="232" t="s">
        <v>260</v>
      </c>
      <c r="O39" s="232" t="s">
        <v>260</v>
      </c>
      <c r="P39" s="232" t="s">
        <v>260</v>
      </c>
      <c r="Q39" s="232" t="s">
        <v>260</v>
      </c>
      <c r="R39" s="232" t="s">
        <v>260</v>
      </c>
      <c r="S39" s="232" t="s">
        <v>260</v>
      </c>
      <c r="T39" s="232" t="s">
        <v>260</v>
      </c>
      <c r="U39" s="169">
        <v>25739</v>
      </c>
      <c r="V39" s="23">
        <v>25915</v>
      </c>
      <c r="W39" s="133" t="s">
        <v>835</v>
      </c>
    </row>
    <row r="40" spans="2:23" ht="38.25" x14ac:dyDescent="0.2">
      <c r="B40" s="128" t="s">
        <v>286</v>
      </c>
      <c r="C40" s="129">
        <v>40011</v>
      </c>
      <c r="D40" s="128" t="s">
        <v>287</v>
      </c>
      <c r="E40" s="128" t="s">
        <v>288</v>
      </c>
      <c r="F40" s="128" t="s">
        <v>289</v>
      </c>
      <c r="G40" s="128" t="s">
        <v>125</v>
      </c>
      <c r="H40" s="128" t="s">
        <v>290</v>
      </c>
      <c r="I40" s="128" t="s">
        <v>674</v>
      </c>
      <c r="J40" s="128" t="s">
        <v>133</v>
      </c>
      <c r="K40" s="128">
        <v>45000</v>
      </c>
      <c r="L40" s="166">
        <v>21850</v>
      </c>
      <c r="M40" s="166">
        <v>21415</v>
      </c>
      <c r="N40" s="166">
        <v>24001</v>
      </c>
      <c r="O40" s="169">
        <v>26775</v>
      </c>
      <c r="P40" s="169">
        <v>32214</v>
      </c>
      <c r="Q40" s="169">
        <v>31970</v>
      </c>
      <c r="R40" s="169">
        <v>36162</v>
      </c>
      <c r="S40" s="166">
        <v>37696</v>
      </c>
      <c r="T40" s="166">
        <v>37334</v>
      </c>
      <c r="U40" s="166">
        <v>37511</v>
      </c>
      <c r="V40" s="131">
        <v>44718</v>
      </c>
      <c r="W40" s="133" t="s">
        <v>827</v>
      </c>
    </row>
    <row r="41" spans="2:23" ht="38.25" x14ac:dyDescent="0.2">
      <c r="B41" s="23" t="s">
        <v>303</v>
      </c>
      <c r="C41" s="134">
        <v>38238</v>
      </c>
      <c r="D41" s="23" t="s">
        <v>304</v>
      </c>
      <c r="E41" s="23" t="s">
        <v>305</v>
      </c>
      <c r="F41" s="128" t="s">
        <v>845</v>
      </c>
      <c r="G41" s="128" t="s">
        <v>122</v>
      </c>
      <c r="H41" s="128" t="s">
        <v>301</v>
      </c>
      <c r="I41" s="128" t="s">
        <v>676</v>
      </c>
      <c r="J41" s="23" t="s">
        <v>133</v>
      </c>
      <c r="K41" s="23">
        <v>6880</v>
      </c>
      <c r="L41" s="166">
        <v>2002</v>
      </c>
      <c r="M41" s="166">
        <v>2267.7849999999999</v>
      </c>
      <c r="N41" s="166">
        <v>2532</v>
      </c>
      <c r="O41" s="169">
        <v>2622.645</v>
      </c>
      <c r="P41" s="169">
        <v>2073</v>
      </c>
      <c r="Q41" s="233">
        <v>2093</v>
      </c>
      <c r="R41" s="233">
        <v>1526</v>
      </c>
      <c r="S41" s="227">
        <v>710</v>
      </c>
      <c r="T41" s="227">
        <v>1208</v>
      </c>
      <c r="U41" s="227">
        <v>1044</v>
      </c>
      <c r="V41" s="131">
        <v>845</v>
      </c>
      <c r="W41" s="133"/>
    </row>
    <row r="42" spans="2:23" ht="38.25" x14ac:dyDescent="0.2">
      <c r="B42" s="128" t="s">
        <v>298</v>
      </c>
      <c r="C42" s="129">
        <v>37802</v>
      </c>
      <c r="D42" s="128" t="s">
        <v>299</v>
      </c>
      <c r="E42" s="128" t="s">
        <v>300</v>
      </c>
      <c r="F42" s="128" t="s">
        <v>868</v>
      </c>
      <c r="G42" s="128" t="s">
        <v>122</v>
      </c>
      <c r="H42" s="128" t="s">
        <v>301</v>
      </c>
      <c r="I42" s="128" t="s">
        <v>676</v>
      </c>
      <c r="J42" s="128" t="s">
        <v>133</v>
      </c>
      <c r="K42" s="128" t="s">
        <v>302</v>
      </c>
      <c r="L42" s="166">
        <v>4730</v>
      </c>
      <c r="M42" s="166">
        <v>4631</v>
      </c>
      <c r="N42" s="166">
        <v>4721</v>
      </c>
      <c r="O42" s="169">
        <v>3573</v>
      </c>
      <c r="P42" s="169">
        <v>4619</v>
      </c>
      <c r="Q42" s="231">
        <v>4494</v>
      </c>
      <c r="R42" s="231">
        <v>5140</v>
      </c>
      <c r="S42" s="227">
        <v>3838.4</v>
      </c>
      <c r="T42" s="227">
        <v>3944</v>
      </c>
      <c r="U42" s="227">
        <v>3592</v>
      </c>
      <c r="V42" s="131">
        <v>3805</v>
      </c>
      <c r="W42" s="133"/>
    </row>
    <row r="43" spans="2:23" ht="38.25" x14ac:dyDescent="0.2">
      <c r="B43" s="128" t="s">
        <v>815</v>
      </c>
      <c r="C43" s="129">
        <v>38701</v>
      </c>
      <c r="D43" s="128" t="s">
        <v>816</v>
      </c>
      <c r="E43" s="128" t="s">
        <v>296</v>
      </c>
      <c r="F43" s="128" t="s">
        <v>297</v>
      </c>
      <c r="G43" s="128" t="s">
        <v>129</v>
      </c>
      <c r="H43" s="128" t="s">
        <v>227</v>
      </c>
      <c r="I43" s="128" t="s">
        <v>667</v>
      </c>
      <c r="J43" s="128" t="s">
        <v>133</v>
      </c>
      <c r="K43" s="128">
        <v>9000</v>
      </c>
      <c r="L43" s="166">
        <v>8217</v>
      </c>
      <c r="M43" s="166">
        <v>7566</v>
      </c>
      <c r="N43" s="166">
        <v>7399</v>
      </c>
      <c r="O43" s="169">
        <v>6116</v>
      </c>
      <c r="P43" s="169">
        <v>5722</v>
      </c>
      <c r="Q43" s="169">
        <v>4677</v>
      </c>
      <c r="R43" s="169">
        <v>4253</v>
      </c>
      <c r="S43" s="227">
        <v>4240</v>
      </c>
      <c r="T43" s="227">
        <v>3545</v>
      </c>
      <c r="U43" s="227">
        <v>3897</v>
      </c>
      <c r="V43" s="131">
        <v>2008</v>
      </c>
      <c r="W43" s="133"/>
    </row>
    <row r="44" spans="2:23" ht="51" x14ac:dyDescent="0.2">
      <c r="B44" s="128" t="s">
        <v>306</v>
      </c>
      <c r="C44" s="129">
        <v>38708</v>
      </c>
      <c r="D44" s="128" t="s">
        <v>307</v>
      </c>
      <c r="E44" s="128" t="s">
        <v>308</v>
      </c>
      <c r="F44" s="128" t="s">
        <v>869</v>
      </c>
      <c r="G44" s="128" t="s">
        <v>67</v>
      </c>
      <c r="H44" s="128" t="s">
        <v>60</v>
      </c>
      <c r="I44" s="128" t="s">
        <v>662</v>
      </c>
      <c r="J44" s="128" t="s">
        <v>76</v>
      </c>
      <c r="K44" s="128">
        <v>260000</v>
      </c>
      <c r="L44" s="166">
        <v>154606</v>
      </c>
      <c r="M44" s="166">
        <v>156132</v>
      </c>
      <c r="N44" s="166">
        <v>158459</v>
      </c>
      <c r="O44" s="169">
        <v>114920</v>
      </c>
      <c r="P44" s="169">
        <v>157137</v>
      </c>
      <c r="Q44" s="169">
        <v>159268.4</v>
      </c>
      <c r="R44" s="169">
        <v>156661</v>
      </c>
      <c r="S44" s="227">
        <v>169048</v>
      </c>
      <c r="T44" s="227">
        <v>170396</v>
      </c>
      <c r="U44" s="227">
        <v>180978</v>
      </c>
      <c r="V44" s="131">
        <v>169844</v>
      </c>
      <c r="W44" s="133"/>
    </row>
    <row r="45" spans="2:23" ht="51" x14ac:dyDescent="0.2">
      <c r="B45" s="23" t="s">
        <v>670</v>
      </c>
      <c r="C45" s="129">
        <v>40995</v>
      </c>
      <c r="D45" s="23" t="s">
        <v>671</v>
      </c>
      <c r="E45" s="23" t="s">
        <v>449</v>
      </c>
      <c r="F45" s="128" t="s">
        <v>870</v>
      </c>
      <c r="G45" s="23" t="s">
        <v>129</v>
      </c>
      <c r="H45" s="141" t="s">
        <v>229</v>
      </c>
      <c r="I45" s="141" t="s">
        <v>672</v>
      </c>
      <c r="J45" s="128" t="s">
        <v>76</v>
      </c>
      <c r="K45" s="23">
        <v>60000</v>
      </c>
      <c r="L45" s="166" t="s">
        <v>260</v>
      </c>
      <c r="M45" s="166" t="s">
        <v>260</v>
      </c>
      <c r="N45" s="166" t="s">
        <v>260</v>
      </c>
      <c r="O45" s="166" t="s">
        <v>260</v>
      </c>
      <c r="P45" s="166" t="s">
        <v>260</v>
      </c>
      <c r="Q45" s="166" t="s">
        <v>260</v>
      </c>
      <c r="R45" s="166" t="s">
        <v>260</v>
      </c>
      <c r="S45" s="166" t="s">
        <v>260</v>
      </c>
      <c r="T45" s="227">
        <v>37726</v>
      </c>
      <c r="U45" s="227">
        <v>54123</v>
      </c>
      <c r="V45" s="131">
        <v>53457</v>
      </c>
      <c r="W45" s="133"/>
    </row>
    <row r="46" spans="2:23" ht="51" x14ac:dyDescent="0.2">
      <c r="B46" s="23" t="s">
        <v>483</v>
      </c>
      <c r="C46" s="134">
        <v>40976</v>
      </c>
      <c r="D46" s="23" t="s">
        <v>484</v>
      </c>
      <c r="E46" s="23" t="s">
        <v>485</v>
      </c>
      <c r="F46" s="23" t="s">
        <v>871</v>
      </c>
      <c r="G46" s="23" t="s">
        <v>129</v>
      </c>
      <c r="H46" s="23" t="s">
        <v>672</v>
      </c>
      <c r="I46" s="23" t="s">
        <v>672</v>
      </c>
      <c r="J46" s="23" t="s">
        <v>76</v>
      </c>
      <c r="K46" s="23">
        <v>265000</v>
      </c>
      <c r="L46" s="166" t="s">
        <v>260</v>
      </c>
      <c r="M46" s="166" t="s">
        <v>260</v>
      </c>
      <c r="N46" s="166" t="s">
        <v>260</v>
      </c>
      <c r="O46" s="166" t="s">
        <v>260</v>
      </c>
      <c r="P46" s="166" t="s">
        <v>260</v>
      </c>
      <c r="Q46" s="166" t="s">
        <v>260</v>
      </c>
      <c r="R46" s="166" t="s">
        <v>260</v>
      </c>
      <c r="S46" s="166" t="s">
        <v>260</v>
      </c>
      <c r="T46" s="166" t="s">
        <v>260</v>
      </c>
      <c r="U46" s="166">
        <v>63681</v>
      </c>
      <c r="V46" s="131">
        <v>246580</v>
      </c>
      <c r="W46" s="133"/>
    </row>
    <row r="47" spans="2:23" ht="51" x14ac:dyDescent="0.2">
      <c r="B47" s="128" t="s">
        <v>482</v>
      </c>
      <c r="C47" s="129">
        <v>40807</v>
      </c>
      <c r="D47" s="128" t="s">
        <v>663</v>
      </c>
      <c r="E47" s="128" t="s">
        <v>664</v>
      </c>
      <c r="F47" s="128" t="s">
        <v>665</v>
      </c>
      <c r="G47" s="128" t="s">
        <v>123</v>
      </c>
      <c r="H47" s="128" t="s">
        <v>189</v>
      </c>
      <c r="I47" s="128" t="s">
        <v>666</v>
      </c>
      <c r="J47" s="128" t="s">
        <v>76</v>
      </c>
      <c r="K47" s="128">
        <v>269000</v>
      </c>
      <c r="L47" s="166" t="s">
        <v>260</v>
      </c>
      <c r="M47" s="166" t="s">
        <v>260</v>
      </c>
      <c r="N47" s="166" t="s">
        <v>260</v>
      </c>
      <c r="O47" s="166" t="s">
        <v>260</v>
      </c>
      <c r="P47" s="166" t="s">
        <v>260</v>
      </c>
      <c r="Q47" s="166" t="s">
        <v>260</v>
      </c>
      <c r="R47" s="166" t="s">
        <v>260</v>
      </c>
      <c r="S47" s="166" t="s">
        <v>260</v>
      </c>
      <c r="T47" s="227">
        <v>23111.18</v>
      </c>
      <c r="U47" s="227">
        <v>251968.52</v>
      </c>
      <c r="V47" s="130">
        <v>266553</v>
      </c>
      <c r="W47" s="132"/>
    </row>
    <row r="48" spans="2:23" ht="51" x14ac:dyDescent="0.2">
      <c r="B48" s="128" t="s">
        <v>321</v>
      </c>
      <c r="C48" s="129">
        <v>38665</v>
      </c>
      <c r="D48" s="128" t="s">
        <v>322</v>
      </c>
      <c r="E48" s="128" t="s">
        <v>323</v>
      </c>
      <c r="F48" s="128" t="s">
        <v>872</v>
      </c>
      <c r="G48" s="128" t="s">
        <v>120</v>
      </c>
      <c r="H48" s="128" t="s">
        <v>205</v>
      </c>
      <c r="I48" s="128" t="s">
        <v>669</v>
      </c>
      <c r="J48" s="128" t="s">
        <v>76</v>
      </c>
      <c r="K48" s="128">
        <v>127100</v>
      </c>
      <c r="L48" s="166">
        <v>103832</v>
      </c>
      <c r="M48" s="166">
        <v>87385</v>
      </c>
      <c r="N48" s="166">
        <v>95754</v>
      </c>
      <c r="O48" s="169">
        <v>84939</v>
      </c>
      <c r="P48" s="169">
        <v>83525</v>
      </c>
      <c r="Q48" s="169">
        <v>86859</v>
      </c>
      <c r="R48" s="169">
        <v>87413</v>
      </c>
      <c r="S48" s="169">
        <v>79427.509999999995</v>
      </c>
      <c r="T48" s="169">
        <v>73773</v>
      </c>
      <c r="U48" s="169">
        <v>91278.45</v>
      </c>
      <c r="V48" s="131">
        <v>86389</v>
      </c>
      <c r="W48" s="195"/>
    </row>
    <row r="49" spans="2:23" ht="51" x14ac:dyDescent="0.2">
      <c r="B49" s="171" t="s">
        <v>736</v>
      </c>
      <c r="C49" s="172">
        <v>40997</v>
      </c>
      <c r="D49" s="168" t="s">
        <v>737</v>
      </c>
      <c r="E49" s="168" t="s">
        <v>428</v>
      </c>
      <c r="F49" s="168" t="s">
        <v>873</v>
      </c>
      <c r="G49" s="168" t="s">
        <v>120</v>
      </c>
      <c r="H49" s="168" t="s">
        <v>182</v>
      </c>
      <c r="I49" s="168" t="s">
        <v>669</v>
      </c>
      <c r="J49" s="168" t="s">
        <v>76</v>
      </c>
      <c r="K49" s="168">
        <v>850000</v>
      </c>
      <c r="L49" s="166" t="s">
        <v>260</v>
      </c>
      <c r="M49" s="166" t="s">
        <v>260</v>
      </c>
      <c r="N49" s="166" t="s">
        <v>260</v>
      </c>
      <c r="O49" s="166" t="s">
        <v>260</v>
      </c>
      <c r="P49" s="166" t="s">
        <v>260</v>
      </c>
      <c r="Q49" s="166" t="s">
        <v>260</v>
      </c>
      <c r="R49" s="166" t="s">
        <v>260</v>
      </c>
      <c r="S49" s="166" t="s">
        <v>260</v>
      </c>
      <c r="T49" s="166" t="s">
        <v>260</v>
      </c>
      <c r="U49" s="166">
        <v>638340</v>
      </c>
      <c r="V49" s="169">
        <v>867714.66</v>
      </c>
      <c r="W49" s="240" t="s">
        <v>828</v>
      </c>
    </row>
    <row r="50" spans="2:23" ht="51" x14ac:dyDescent="0.2">
      <c r="B50" s="128" t="s">
        <v>200</v>
      </c>
      <c r="C50" s="129">
        <v>38565</v>
      </c>
      <c r="D50" s="128" t="s">
        <v>201</v>
      </c>
      <c r="E50" s="128" t="s">
        <v>313</v>
      </c>
      <c r="F50" s="128" t="s">
        <v>842</v>
      </c>
      <c r="G50" s="128" t="s">
        <v>124</v>
      </c>
      <c r="H50" s="128" t="s">
        <v>203</v>
      </c>
      <c r="I50" s="128" t="s">
        <v>686</v>
      </c>
      <c r="J50" s="128" t="s">
        <v>76</v>
      </c>
      <c r="K50" s="128">
        <v>675000</v>
      </c>
      <c r="L50" s="166">
        <v>502506</v>
      </c>
      <c r="M50" s="166">
        <v>513622</v>
      </c>
      <c r="N50" s="166">
        <v>521246</v>
      </c>
      <c r="O50" s="169">
        <v>383153</v>
      </c>
      <c r="P50" s="169">
        <v>486092</v>
      </c>
      <c r="Q50" s="169">
        <v>541098</v>
      </c>
      <c r="R50" s="169">
        <v>545296</v>
      </c>
      <c r="S50" s="227">
        <v>516581</v>
      </c>
      <c r="T50" s="227">
        <v>558205</v>
      </c>
      <c r="U50" s="227">
        <v>542429</v>
      </c>
      <c r="V50" s="23">
        <v>547721</v>
      </c>
      <c r="W50" s="132"/>
    </row>
    <row r="51" spans="2:23" ht="51" x14ac:dyDescent="0.2">
      <c r="B51" s="128" t="s">
        <v>334</v>
      </c>
      <c r="C51" s="129">
        <v>38159</v>
      </c>
      <c r="D51" s="128" t="s">
        <v>335</v>
      </c>
      <c r="E51" s="128" t="s">
        <v>268</v>
      </c>
      <c r="F51" s="128" t="s">
        <v>216</v>
      </c>
      <c r="G51" s="128" t="s">
        <v>125</v>
      </c>
      <c r="H51" s="128" t="s">
        <v>217</v>
      </c>
      <c r="I51" s="128" t="s">
        <v>686</v>
      </c>
      <c r="J51" s="128" t="s">
        <v>76</v>
      </c>
      <c r="K51" s="128">
        <v>400000</v>
      </c>
      <c r="L51" s="166" t="s">
        <v>260</v>
      </c>
      <c r="M51" s="166" t="s">
        <v>260</v>
      </c>
      <c r="N51" s="166" t="s">
        <v>260</v>
      </c>
      <c r="O51" s="169">
        <v>75000</v>
      </c>
      <c r="P51" s="169">
        <v>383715</v>
      </c>
      <c r="Q51" s="169">
        <v>423807</v>
      </c>
      <c r="R51" s="169">
        <v>436663</v>
      </c>
      <c r="S51" s="169">
        <v>433209</v>
      </c>
      <c r="T51" s="169">
        <v>453552</v>
      </c>
      <c r="U51" s="169">
        <v>432138</v>
      </c>
      <c r="V51" s="131">
        <v>435844</v>
      </c>
      <c r="W51" s="132"/>
    </row>
    <row r="52" spans="2:23" ht="51" x14ac:dyDescent="0.2">
      <c r="B52" s="128" t="s">
        <v>314</v>
      </c>
      <c r="C52" s="129">
        <v>37872</v>
      </c>
      <c r="D52" s="128" t="s">
        <v>315</v>
      </c>
      <c r="E52" s="128" t="s">
        <v>316</v>
      </c>
      <c r="F52" s="128" t="s">
        <v>846</v>
      </c>
      <c r="G52" s="128" t="s">
        <v>124</v>
      </c>
      <c r="H52" s="128" t="s">
        <v>312</v>
      </c>
      <c r="I52" s="128" t="s">
        <v>678</v>
      </c>
      <c r="J52" s="128" t="s">
        <v>76</v>
      </c>
      <c r="K52" s="128">
        <v>785000</v>
      </c>
      <c r="L52" s="166" t="s">
        <v>260</v>
      </c>
      <c r="M52" s="166" t="s">
        <v>260</v>
      </c>
      <c r="N52" s="166" t="s">
        <v>260</v>
      </c>
      <c r="O52" s="166" t="s">
        <v>260</v>
      </c>
      <c r="P52" s="166" t="s">
        <v>260</v>
      </c>
      <c r="Q52" s="166">
        <v>387441</v>
      </c>
      <c r="R52" s="166">
        <v>681607</v>
      </c>
      <c r="S52" s="166">
        <v>699614</v>
      </c>
      <c r="T52" s="166">
        <v>669861</v>
      </c>
      <c r="U52" s="166">
        <v>700138</v>
      </c>
      <c r="V52" s="130">
        <v>752839</v>
      </c>
      <c r="W52" s="132"/>
    </row>
    <row r="53" spans="2:23" ht="51" x14ac:dyDescent="0.2">
      <c r="B53" s="132" t="s">
        <v>309</v>
      </c>
      <c r="C53" s="137">
        <v>38657</v>
      </c>
      <c r="D53" s="133" t="s">
        <v>310</v>
      </c>
      <c r="E53" s="133" t="s">
        <v>311</v>
      </c>
      <c r="F53" s="128" t="s">
        <v>874</v>
      </c>
      <c r="G53" s="128" t="s">
        <v>124</v>
      </c>
      <c r="H53" s="132" t="s">
        <v>312</v>
      </c>
      <c r="I53" s="128" t="s">
        <v>678</v>
      </c>
      <c r="J53" s="133" t="s">
        <v>76</v>
      </c>
      <c r="K53" s="131">
        <v>488000</v>
      </c>
      <c r="L53" s="166">
        <v>433694</v>
      </c>
      <c r="M53" s="166">
        <v>426872</v>
      </c>
      <c r="N53" s="166">
        <v>421648</v>
      </c>
      <c r="O53" s="169">
        <v>395641</v>
      </c>
      <c r="P53" s="169">
        <v>404669</v>
      </c>
      <c r="Q53" s="169">
        <v>429540</v>
      </c>
      <c r="R53" s="169">
        <v>457259</v>
      </c>
      <c r="S53" s="169">
        <v>444186</v>
      </c>
      <c r="T53" s="169">
        <v>438578</v>
      </c>
      <c r="U53" s="169">
        <v>457119</v>
      </c>
      <c r="V53" s="131">
        <v>448235</v>
      </c>
      <c r="W53" s="133"/>
    </row>
    <row r="54" spans="2:23" ht="51" x14ac:dyDescent="0.2">
      <c r="B54" s="128" t="s">
        <v>331</v>
      </c>
      <c r="C54" s="129">
        <v>37860</v>
      </c>
      <c r="D54" s="128" t="s">
        <v>332</v>
      </c>
      <c r="E54" s="128" t="s">
        <v>333</v>
      </c>
      <c r="F54" s="128" t="s">
        <v>875</v>
      </c>
      <c r="G54" s="128" t="s">
        <v>125</v>
      </c>
      <c r="H54" s="128" t="s">
        <v>220</v>
      </c>
      <c r="I54" s="128" t="s">
        <v>678</v>
      </c>
      <c r="J54" s="128" t="s">
        <v>76</v>
      </c>
      <c r="K54" s="128">
        <v>560000</v>
      </c>
      <c r="L54" s="166">
        <v>165000</v>
      </c>
      <c r="M54" s="166">
        <v>105698</v>
      </c>
      <c r="N54" s="166">
        <v>132540.63</v>
      </c>
      <c r="O54" s="169">
        <v>405615</v>
      </c>
      <c r="P54" s="169">
        <v>339530</v>
      </c>
      <c r="Q54" s="169">
        <v>371548</v>
      </c>
      <c r="R54" s="169">
        <v>419402</v>
      </c>
      <c r="S54" s="227">
        <v>431480</v>
      </c>
      <c r="T54" s="227">
        <v>507224</v>
      </c>
      <c r="U54" s="227">
        <v>491838</v>
      </c>
      <c r="V54" s="130">
        <v>500117</v>
      </c>
      <c r="W54" s="133"/>
    </row>
    <row r="55" spans="2:23" ht="51" x14ac:dyDescent="0.2">
      <c r="B55" s="128" t="s">
        <v>817</v>
      </c>
      <c r="C55" s="129">
        <v>40899</v>
      </c>
      <c r="D55" s="128" t="s">
        <v>818</v>
      </c>
      <c r="E55" s="128" t="s">
        <v>819</v>
      </c>
      <c r="F55" s="128" t="s">
        <v>820</v>
      </c>
      <c r="G55" s="128" t="s">
        <v>125</v>
      </c>
      <c r="H55" s="128" t="s">
        <v>220</v>
      </c>
      <c r="I55" s="128" t="s">
        <v>678</v>
      </c>
      <c r="J55" s="128" t="s">
        <v>76</v>
      </c>
      <c r="K55" s="128">
        <v>181800</v>
      </c>
      <c r="L55" s="166" t="s">
        <v>260</v>
      </c>
      <c r="M55" s="166" t="s">
        <v>260</v>
      </c>
      <c r="N55" s="166" t="s">
        <v>260</v>
      </c>
      <c r="O55" s="166" t="s">
        <v>260</v>
      </c>
      <c r="P55" s="166" t="s">
        <v>260</v>
      </c>
      <c r="Q55" s="166" t="s">
        <v>260</v>
      </c>
      <c r="R55" s="166" t="s">
        <v>260</v>
      </c>
      <c r="S55" s="166" t="s">
        <v>260</v>
      </c>
      <c r="T55" s="166" t="s">
        <v>260</v>
      </c>
      <c r="U55" s="166" t="s">
        <v>260</v>
      </c>
      <c r="V55" s="131">
        <v>141026</v>
      </c>
      <c r="W55" s="133" t="s">
        <v>829</v>
      </c>
    </row>
    <row r="56" spans="2:23" ht="51" x14ac:dyDescent="0.2">
      <c r="B56" s="128" t="s">
        <v>761</v>
      </c>
      <c r="C56" s="129">
        <v>40480</v>
      </c>
      <c r="D56" s="128" t="s">
        <v>762</v>
      </c>
      <c r="E56" s="128" t="s">
        <v>763</v>
      </c>
      <c r="F56" s="128" t="s">
        <v>765</v>
      </c>
      <c r="G56" s="128" t="s">
        <v>123</v>
      </c>
      <c r="H56" s="128" t="s">
        <v>764</v>
      </c>
      <c r="I56" s="128" t="s">
        <v>675</v>
      </c>
      <c r="J56" s="128" t="s">
        <v>76</v>
      </c>
      <c r="K56" s="128">
        <v>85000</v>
      </c>
      <c r="L56" s="166" t="s">
        <v>260</v>
      </c>
      <c r="M56" s="166" t="s">
        <v>260</v>
      </c>
      <c r="N56" s="166" t="s">
        <v>260</v>
      </c>
      <c r="O56" s="166" t="s">
        <v>260</v>
      </c>
      <c r="P56" s="166" t="s">
        <v>260</v>
      </c>
      <c r="Q56" s="166" t="s">
        <v>260</v>
      </c>
      <c r="R56" s="166" t="s">
        <v>260</v>
      </c>
      <c r="S56" s="166" t="s">
        <v>260</v>
      </c>
      <c r="T56" s="166" t="s">
        <v>260</v>
      </c>
      <c r="U56" s="166" t="s">
        <v>260</v>
      </c>
      <c r="V56" s="23">
        <v>82702</v>
      </c>
      <c r="W56" s="132" t="s">
        <v>830</v>
      </c>
    </row>
    <row r="57" spans="2:23" ht="51" x14ac:dyDescent="0.2">
      <c r="B57" s="128" t="s">
        <v>370</v>
      </c>
      <c r="C57" s="129">
        <v>40970</v>
      </c>
      <c r="D57" s="128" t="s">
        <v>371</v>
      </c>
      <c r="E57" s="128" t="s">
        <v>372</v>
      </c>
      <c r="F57" s="128" t="s">
        <v>373</v>
      </c>
      <c r="G57" s="128" t="s">
        <v>67</v>
      </c>
      <c r="H57" s="128" t="s">
        <v>58</v>
      </c>
      <c r="I57" s="128" t="s">
        <v>680</v>
      </c>
      <c r="J57" s="128" t="s">
        <v>76</v>
      </c>
      <c r="K57" s="128">
        <v>170000</v>
      </c>
      <c r="L57" s="166" t="s">
        <v>260</v>
      </c>
      <c r="M57" s="166" t="s">
        <v>260</v>
      </c>
      <c r="N57" s="166" t="s">
        <v>260</v>
      </c>
      <c r="O57" s="166" t="s">
        <v>260</v>
      </c>
      <c r="P57" s="166" t="s">
        <v>260</v>
      </c>
      <c r="Q57" s="166" t="s">
        <v>260</v>
      </c>
      <c r="R57" s="166" t="s">
        <v>260</v>
      </c>
      <c r="S57" s="227">
        <v>44481</v>
      </c>
      <c r="T57" s="227">
        <v>143444</v>
      </c>
      <c r="U57" s="227">
        <v>164444</v>
      </c>
      <c r="V57" s="130">
        <v>163580</v>
      </c>
      <c r="W57" s="128"/>
    </row>
    <row r="58" spans="2:23" ht="51" x14ac:dyDescent="0.2">
      <c r="B58" s="128" t="s">
        <v>367</v>
      </c>
      <c r="C58" s="129">
        <v>38016</v>
      </c>
      <c r="D58" s="128" t="s">
        <v>368</v>
      </c>
      <c r="E58" s="128" t="s">
        <v>369</v>
      </c>
      <c r="F58" s="128" t="s">
        <v>876</v>
      </c>
      <c r="G58" s="128" t="s">
        <v>128</v>
      </c>
      <c r="H58" s="128" t="s">
        <v>185</v>
      </c>
      <c r="I58" s="128" t="s">
        <v>680</v>
      </c>
      <c r="J58" s="128" t="s">
        <v>76</v>
      </c>
      <c r="K58" s="128">
        <v>56000</v>
      </c>
      <c r="L58" s="166">
        <v>49749</v>
      </c>
      <c r="M58" s="166">
        <v>49784</v>
      </c>
      <c r="N58" s="166">
        <v>54744</v>
      </c>
      <c r="O58" s="169">
        <v>53728</v>
      </c>
      <c r="P58" s="169">
        <v>48819</v>
      </c>
      <c r="Q58" s="169">
        <v>54951</v>
      </c>
      <c r="R58" s="169">
        <v>54333</v>
      </c>
      <c r="S58" s="169">
        <v>56482</v>
      </c>
      <c r="T58" s="169">
        <v>52391</v>
      </c>
      <c r="U58" s="169">
        <v>54824</v>
      </c>
      <c r="V58" s="130">
        <v>54855</v>
      </c>
      <c r="W58" s="133"/>
    </row>
    <row r="59" spans="2:23" ht="51" x14ac:dyDescent="0.2">
      <c r="B59" s="128" t="s">
        <v>317</v>
      </c>
      <c r="C59" s="129">
        <v>38688</v>
      </c>
      <c r="D59" s="128" t="s">
        <v>318</v>
      </c>
      <c r="E59" s="128" t="s">
        <v>319</v>
      </c>
      <c r="F59" s="128" t="s">
        <v>847</v>
      </c>
      <c r="G59" s="128" t="s">
        <v>119</v>
      </c>
      <c r="H59" s="128" t="s">
        <v>320</v>
      </c>
      <c r="I59" s="128" t="s">
        <v>684</v>
      </c>
      <c r="J59" s="128" t="s">
        <v>76</v>
      </c>
      <c r="K59" s="23">
        <v>756000</v>
      </c>
      <c r="L59" s="166">
        <v>216737</v>
      </c>
      <c r="M59" s="166">
        <v>206427</v>
      </c>
      <c r="N59" s="166">
        <v>204327</v>
      </c>
      <c r="O59" s="169">
        <v>256609</v>
      </c>
      <c r="P59" s="169">
        <v>295816</v>
      </c>
      <c r="Q59" s="169">
        <v>217706</v>
      </c>
      <c r="R59" s="169">
        <v>337380</v>
      </c>
      <c r="S59" s="227">
        <v>349454</v>
      </c>
      <c r="T59" s="227">
        <v>644099</v>
      </c>
      <c r="U59" s="227">
        <v>594981</v>
      </c>
      <c r="V59" s="23">
        <v>600160</v>
      </c>
      <c r="W59" s="132"/>
    </row>
    <row r="60" spans="2:23" ht="51" x14ac:dyDescent="0.2">
      <c r="B60" s="128" t="s">
        <v>682</v>
      </c>
      <c r="C60" s="129">
        <v>40770</v>
      </c>
      <c r="D60" s="128" t="s">
        <v>821</v>
      </c>
      <c r="E60" s="128" t="s">
        <v>683</v>
      </c>
      <c r="F60" s="128" t="s">
        <v>685</v>
      </c>
      <c r="G60" s="128" t="s">
        <v>119</v>
      </c>
      <c r="H60" s="128" t="s">
        <v>320</v>
      </c>
      <c r="I60" s="128" t="s">
        <v>684</v>
      </c>
      <c r="J60" s="128" t="s">
        <v>76</v>
      </c>
      <c r="K60" s="128">
        <v>500000</v>
      </c>
      <c r="L60" s="166" t="s">
        <v>260</v>
      </c>
      <c r="M60" s="166" t="s">
        <v>260</v>
      </c>
      <c r="N60" s="166" t="s">
        <v>260</v>
      </c>
      <c r="O60" s="166" t="s">
        <v>260</v>
      </c>
      <c r="P60" s="166" t="s">
        <v>260</v>
      </c>
      <c r="Q60" s="166" t="s">
        <v>260</v>
      </c>
      <c r="R60" s="166" t="s">
        <v>260</v>
      </c>
      <c r="S60" s="166" t="s">
        <v>260</v>
      </c>
      <c r="T60" s="166" t="s">
        <v>260</v>
      </c>
      <c r="U60" s="166" t="s">
        <v>260</v>
      </c>
      <c r="V60" s="130">
        <v>45805</v>
      </c>
      <c r="W60" s="133" t="s">
        <v>839</v>
      </c>
    </row>
    <row r="61" spans="2:23" ht="51" x14ac:dyDescent="0.2">
      <c r="B61" s="128" t="s">
        <v>486</v>
      </c>
      <c r="C61" s="129">
        <v>40472</v>
      </c>
      <c r="D61" s="128" t="s">
        <v>487</v>
      </c>
      <c r="E61" s="128" t="s">
        <v>488</v>
      </c>
      <c r="F61" s="128" t="s">
        <v>822</v>
      </c>
      <c r="G61" s="128" t="s">
        <v>122</v>
      </c>
      <c r="H61" s="128" t="s">
        <v>770</v>
      </c>
      <c r="I61" s="128" t="s">
        <v>677</v>
      </c>
      <c r="J61" s="128" t="s">
        <v>76</v>
      </c>
      <c r="K61" s="128">
        <v>102000</v>
      </c>
      <c r="L61" s="166" t="s">
        <v>260</v>
      </c>
      <c r="M61" s="166" t="s">
        <v>260</v>
      </c>
      <c r="N61" s="166" t="s">
        <v>260</v>
      </c>
      <c r="O61" s="166" t="s">
        <v>260</v>
      </c>
      <c r="P61" s="166" t="s">
        <v>260</v>
      </c>
      <c r="Q61" s="166" t="s">
        <v>260</v>
      </c>
      <c r="R61" s="166" t="s">
        <v>260</v>
      </c>
      <c r="S61" s="166" t="s">
        <v>260</v>
      </c>
      <c r="T61" s="166" t="s">
        <v>260</v>
      </c>
      <c r="U61" s="166">
        <v>78750</v>
      </c>
      <c r="V61" s="131">
        <v>94421</v>
      </c>
      <c r="W61" s="132"/>
    </row>
    <row r="62" spans="2:23" ht="51" x14ac:dyDescent="0.2">
      <c r="B62" s="128" t="s">
        <v>339</v>
      </c>
      <c r="C62" s="129">
        <v>39885</v>
      </c>
      <c r="D62" s="128" t="s">
        <v>340</v>
      </c>
      <c r="E62" s="128" t="s">
        <v>341</v>
      </c>
      <c r="F62" s="128" t="s">
        <v>877</v>
      </c>
      <c r="G62" s="128" t="s">
        <v>125</v>
      </c>
      <c r="H62" s="128" t="s">
        <v>342</v>
      </c>
      <c r="I62" s="128" t="s">
        <v>674</v>
      </c>
      <c r="J62" s="128" t="s">
        <v>76</v>
      </c>
      <c r="K62" s="128">
        <v>242000</v>
      </c>
      <c r="L62" s="166" t="s">
        <v>260</v>
      </c>
      <c r="M62" s="166" t="s">
        <v>260</v>
      </c>
      <c r="N62" s="166" t="s">
        <v>260</v>
      </c>
      <c r="O62" s="166" t="s">
        <v>260</v>
      </c>
      <c r="P62" s="166" t="s">
        <v>260</v>
      </c>
      <c r="Q62" s="166">
        <v>92678</v>
      </c>
      <c r="R62" s="166">
        <v>224730</v>
      </c>
      <c r="S62" s="166">
        <v>234506</v>
      </c>
      <c r="T62" s="166">
        <v>239348</v>
      </c>
      <c r="U62" s="166">
        <v>238565</v>
      </c>
      <c r="V62" s="131">
        <v>233013</v>
      </c>
      <c r="W62" s="132"/>
    </row>
    <row r="63" spans="2:23" ht="51" x14ac:dyDescent="0.2">
      <c r="B63" s="128" t="s">
        <v>324</v>
      </c>
      <c r="C63" s="129">
        <v>37708</v>
      </c>
      <c r="D63" s="128" t="s">
        <v>325</v>
      </c>
      <c r="E63" s="128" t="s">
        <v>326</v>
      </c>
      <c r="F63" s="128" t="s">
        <v>878</v>
      </c>
      <c r="G63" s="128" t="s">
        <v>125</v>
      </c>
      <c r="H63" s="128" t="s">
        <v>290</v>
      </c>
      <c r="I63" s="128" t="s">
        <v>674</v>
      </c>
      <c r="J63" s="128" t="s">
        <v>76</v>
      </c>
      <c r="K63" s="128">
        <v>210000</v>
      </c>
      <c r="L63" s="166">
        <v>173246</v>
      </c>
      <c r="M63" s="166">
        <v>183897</v>
      </c>
      <c r="N63" s="166">
        <v>190711</v>
      </c>
      <c r="O63" s="169">
        <v>188244</v>
      </c>
      <c r="P63" s="169">
        <v>201221</v>
      </c>
      <c r="Q63" s="169">
        <v>201031</v>
      </c>
      <c r="R63" s="169">
        <v>206700</v>
      </c>
      <c r="S63" s="169">
        <v>207171</v>
      </c>
      <c r="T63" s="169">
        <v>205829</v>
      </c>
      <c r="U63" s="169">
        <v>196676</v>
      </c>
      <c r="V63" s="131">
        <v>143693</v>
      </c>
      <c r="W63" s="132"/>
    </row>
    <row r="64" spans="2:23" ht="51" x14ac:dyDescent="0.2">
      <c r="B64" s="138" t="s">
        <v>327</v>
      </c>
      <c r="C64" s="137">
        <v>38139</v>
      </c>
      <c r="D64" s="138" t="s">
        <v>325</v>
      </c>
      <c r="E64" s="138" t="s">
        <v>328</v>
      </c>
      <c r="F64" s="128" t="s">
        <v>879</v>
      </c>
      <c r="G64" s="128" t="s">
        <v>125</v>
      </c>
      <c r="H64" s="138" t="s">
        <v>290</v>
      </c>
      <c r="I64" s="128" t="s">
        <v>674</v>
      </c>
      <c r="J64" s="128" t="s">
        <v>76</v>
      </c>
      <c r="K64" s="139">
        <v>210000</v>
      </c>
      <c r="L64" s="166">
        <v>179463</v>
      </c>
      <c r="M64" s="166">
        <v>182126</v>
      </c>
      <c r="N64" s="166">
        <v>201569</v>
      </c>
      <c r="O64" s="169">
        <v>196789</v>
      </c>
      <c r="P64" s="169">
        <v>204301</v>
      </c>
      <c r="Q64" s="169">
        <v>201578</v>
      </c>
      <c r="R64" s="169">
        <v>200932</v>
      </c>
      <c r="S64" s="169">
        <v>194152</v>
      </c>
      <c r="T64" s="169">
        <v>202090</v>
      </c>
      <c r="U64" s="169">
        <v>200570</v>
      </c>
      <c r="V64" s="131">
        <v>203721</v>
      </c>
      <c r="W64" s="133"/>
    </row>
    <row r="65" spans="2:23" ht="51" x14ac:dyDescent="0.2">
      <c r="B65" s="128" t="s">
        <v>343</v>
      </c>
      <c r="C65" s="129">
        <v>39426</v>
      </c>
      <c r="D65" s="128" t="s">
        <v>344</v>
      </c>
      <c r="E65" s="128" t="s">
        <v>345</v>
      </c>
      <c r="F65" s="128" t="s">
        <v>880</v>
      </c>
      <c r="G65" s="128" t="s">
        <v>125</v>
      </c>
      <c r="H65" s="128" t="s">
        <v>346</v>
      </c>
      <c r="I65" s="128" t="s">
        <v>674</v>
      </c>
      <c r="J65" s="128" t="s">
        <v>76</v>
      </c>
      <c r="K65" s="128">
        <v>60350</v>
      </c>
      <c r="L65" s="166" t="s">
        <v>260</v>
      </c>
      <c r="M65" s="166" t="s">
        <v>260</v>
      </c>
      <c r="N65" s="166" t="s">
        <v>260</v>
      </c>
      <c r="O65" s="166" t="s">
        <v>260</v>
      </c>
      <c r="P65" s="166" t="s">
        <v>260</v>
      </c>
      <c r="Q65" s="169">
        <v>61480</v>
      </c>
      <c r="R65" s="169">
        <v>60311</v>
      </c>
      <c r="S65" s="166">
        <v>60268</v>
      </c>
      <c r="T65" s="166">
        <v>57276</v>
      </c>
      <c r="U65" s="166">
        <v>60011</v>
      </c>
      <c r="V65" s="131">
        <v>59005</v>
      </c>
      <c r="W65" s="133"/>
    </row>
    <row r="66" spans="2:23" ht="51" x14ac:dyDescent="0.2">
      <c r="B66" s="128" t="s">
        <v>700</v>
      </c>
      <c r="C66" s="129">
        <v>41970</v>
      </c>
      <c r="D66" s="128" t="s">
        <v>701</v>
      </c>
      <c r="E66" s="128" t="s">
        <v>702</v>
      </c>
      <c r="F66" s="128" t="s">
        <v>703</v>
      </c>
      <c r="G66" s="128" t="s">
        <v>122</v>
      </c>
      <c r="H66" s="128" t="s">
        <v>301</v>
      </c>
      <c r="I66" s="128" t="s">
        <v>676</v>
      </c>
      <c r="J66" s="128" t="s">
        <v>76</v>
      </c>
      <c r="K66" s="128">
        <v>180000</v>
      </c>
      <c r="L66" s="166" t="s">
        <v>260</v>
      </c>
      <c r="M66" s="166" t="s">
        <v>260</v>
      </c>
      <c r="N66" s="166" t="s">
        <v>260</v>
      </c>
      <c r="O66" s="166" t="s">
        <v>260</v>
      </c>
      <c r="P66" s="166" t="s">
        <v>260</v>
      </c>
      <c r="Q66" s="166" t="s">
        <v>260</v>
      </c>
      <c r="R66" s="166" t="s">
        <v>260</v>
      </c>
      <c r="S66" s="166" t="s">
        <v>260</v>
      </c>
      <c r="T66" s="166" t="s">
        <v>260</v>
      </c>
      <c r="U66" s="227">
        <v>3191</v>
      </c>
      <c r="V66" s="131">
        <v>8891</v>
      </c>
      <c r="W66" s="132"/>
    </row>
    <row r="67" spans="2:23" ht="51" x14ac:dyDescent="0.2">
      <c r="B67" s="138" t="s">
        <v>347</v>
      </c>
      <c r="C67" s="137">
        <v>38687</v>
      </c>
      <c r="D67" s="138" t="s">
        <v>348</v>
      </c>
      <c r="E67" s="138" t="s">
        <v>349</v>
      </c>
      <c r="F67" s="128" t="s">
        <v>881</v>
      </c>
      <c r="G67" s="128" t="s">
        <v>122</v>
      </c>
      <c r="H67" s="138" t="s">
        <v>301</v>
      </c>
      <c r="I67" s="128" t="s">
        <v>676</v>
      </c>
      <c r="J67" s="128" t="s">
        <v>76</v>
      </c>
      <c r="K67" s="139">
        <v>105000</v>
      </c>
      <c r="L67" s="166">
        <v>92859</v>
      </c>
      <c r="M67" s="166">
        <v>94761</v>
      </c>
      <c r="N67" s="166">
        <v>93300</v>
      </c>
      <c r="O67" s="169">
        <v>93445</v>
      </c>
      <c r="P67" s="169">
        <v>93679</v>
      </c>
      <c r="Q67" s="169">
        <v>91325</v>
      </c>
      <c r="R67" s="169">
        <v>97615</v>
      </c>
      <c r="S67" s="227">
        <v>89668</v>
      </c>
      <c r="T67" s="227">
        <v>93961</v>
      </c>
      <c r="U67" s="227">
        <v>90882</v>
      </c>
      <c r="V67" s="23">
        <v>93292</v>
      </c>
      <c r="W67" s="133"/>
    </row>
    <row r="68" spans="2:23" ht="51" x14ac:dyDescent="0.2">
      <c r="B68" s="128" t="s">
        <v>350</v>
      </c>
      <c r="C68" s="129">
        <v>38687</v>
      </c>
      <c r="D68" s="128" t="s">
        <v>348</v>
      </c>
      <c r="E68" s="128" t="s">
        <v>351</v>
      </c>
      <c r="F68" s="128" t="s">
        <v>823</v>
      </c>
      <c r="G68" s="128" t="s">
        <v>122</v>
      </c>
      <c r="H68" s="128" t="s">
        <v>301</v>
      </c>
      <c r="I68" s="128" t="s">
        <v>676</v>
      </c>
      <c r="J68" s="128" t="s">
        <v>76</v>
      </c>
      <c r="K68" s="128">
        <v>118000</v>
      </c>
      <c r="L68" s="166">
        <v>100773</v>
      </c>
      <c r="M68" s="166">
        <v>104356</v>
      </c>
      <c r="N68" s="166">
        <v>107231</v>
      </c>
      <c r="O68" s="227">
        <v>109991</v>
      </c>
      <c r="P68" s="227">
        <v>108817</v>
      </c>
      <c r="Q68" s="227">
        <v>106088</v>
      </c>
      <c r="R68" s="227">
        <v>109992</v>
      </c>
      <c r="S68" s="227">
        <v>109280</v>
      </c>
      <c r="T68" s="227">
        <v>110132</v>
      </c>
      <c r="U68" s="227">
        <v>104164</v>
      </c>
      <c r="V68" s="130">
        <v>110759</v>
      </c>
      <c r="W68" s="132"/>
    </row>
    <row r="69" spans="2:23" ht="51" x14ac:dyDescent="0.2">
      <c r="B69" s="23" t="s">
        <v>355</v>
      </c>
      <c r="C69" s="129">
        <v>38671</v>
      </c>
      <c r="D69" s="23" t="s">
        <v>348</v>
      </c>
      <c r="E69" s="23" t="s">
        <v>356</v>
      </c>
      <c r="F69" s="23" t="s">
        <v>882</v>
      </c>
      <c r="G69" s="23" t="s">
        <v>122</v>
      </c>
      <c r="H69" s="23" t="s">
        <v>273</v>
      </c>
      <c r="I69" s="23" t="s">
        <v>676</v>
      </c>
      <c r="J69" s="23" t="s">
        <v>76</v>
      </c>
      <c r="K69" s="23">
        <v>210000</v>
      </c>
      <c r="L69" s="166">
        <v>173238</v>
      </c>
      <c r="M69" s="166">
        <v>165094</v>
      </c>
      <c r="N69" s="166">
        <v>162145</v>
      </c>
      <c r="O69" s="227">
        <v>181339</v>
      </c>
      <c r="P69" s="227">
        <v>170284</v>
      </c>
      <c r="Q69" s="227">
        <v>178917</v>
      </c>
      <c r="R69" s="227">
        <v>174322</v>
      </c>
      <c r="S69" s="227">
        <v>171780</v>
      </c>
      <c r="T69" s="227">
        <v>184861</v>
      </c>
      <c r="U69" s="227">
        <v>180079</v>
      </c>
      <c r="V69" s="23">
        <v>182969</v>
      </c>
      <c r="W69" s="133"/>
    </row>
    <row r="70" spans="2:23" ht="51" x14ac:dyDescent="0.2">
      <c r="B70" s="128" t="s">
        <v>352</v>
      </c>
      <c r="C70" s="129">
        <v>38706</v>
      </c>
      <c r="D70" s="128" t="s">
        <v>353</v>
      </c>
      <c r="E70" s="128" t="s">
        <v>354</v>
      </c>
      <c r="F70" s="128" t="s">
        <v>824</v>
      </c>
      <c r="G70" s="128" t="s">
        <v>122</v>
      </c>
      <c r="H70" s="128" t="s">
        <v>301</v>
      </c>
      <c r="I70" s="128" t="s">
        <v>676</v>
      </c>
      <c r="J70" s="128" t="s">
        <v>76</v>
      </c>
      <c r="K70" s="128">
        <v>315000</v>
      </c>
      <c r="L70" s="166">
        <v>210200</v>
      </c>
      <c r="M70" s="166">
        <v>232800</v>
      </c>
      <c r="N70" s="166">
        <v>241733</v>
      </c>
      <c r="O70" s="169">
        <v>245187</v>
      </c>
      <c r="P70" s="169">
        <v>240246</v>
      </c>
      <c r="Q70" s="231">
        <v>230563</v>
      </c>
      <c r="R70" s="231">
        <v>229995</v>
      </c>
      <c r="S70" s="227">
        <v>244633</v>
      </c>
      <c r="T70" s="227">
        <v>264830</v>
      </c>
      <c r="U70" s="227">
        <v>273728</v>
      </c>
      <c r="V70" s="131">
        <v>282849</v>
      </c>
      <c r="W70" s="132"/>
    </row>
    <row r="71" spans="2:23" ht="51" x14ac:dyDescent="0.2">
      <c r="B71" s="128" t="s">
        <v>374</v>
      </c>
      <c r="C71" s="129">
        <v>40990</v>
      </c>
      <c r="D71" s="128" t="s">
        <v>375</v>
      </c>
      <c r="E71" s="128" t="s">
        <v>656</v>
      </c>
      <c r="F71" s="128" t="s">
        <v>883</v>
      </c>
      <c r="G71" s="128" t="s">
        <v>122</v>
      </c>
      <c r="H71" s="128" t="s">
        <v>273</v>
      </c>
      <c r="I71" s="128" t="s">
        <v>676</v>
      </c>
      <c r="J71" s="128" t="s">
        <v>76</v>
      </c>
      <c r="K71" s="128">
        <v>340000</v>
      </c>
      <c r="L71" s="166" t="s">
        <v>260</v>
      </c>
      <c r="M71" s="166" t="s">
        <v>260</v>
      </c>
      <c r="N71" s="166" t="s">
        <v>260</v>
      </c>
      <c r="O71" s="166" t="s">
        <v>260</v>
      </c>
      <c r="P71" s="166" t="s">
        <v>260</v>
      </c>
      <c r="Q71" s="166" t="s">
        <v>260</v>
      </c>
      <c r="R71" s="166" t="s">
        <v>260</v>
      </c>
      <c r="S71" s="166">
        <v>16501</v>
      </c>
      <c r="T71" s="227">
        <v>314576</v>
      </c>
      <c r="U71" s="227">
        <v>335417.7</v>
      </c>
      <c r="V71" s="131">
        <v>339946</v>
      </c>
      <c r="W71" s="132"/>
    </row>
    <row r="72" spans="2:23" ht="51" x14ac:dyDescent="0.2">
      <c r="B72" s="133" t="s">
        <v>357</v>
      </c>
      <c r="C72" s="140">
        <v>38660</v>
      </c>
      <c r="D72" s="133" t="s">
        <v>358</v>
      </c>
      <c r="E72" s="133" t="s">
        <v>359</v>
      </c>
      <c r="F72" s="133" t="s">
        <v>884</v>
      </c>
      <c r="G72" s="133" t="s">
        <v>122</v>
      </c>
      <c r="H72" s="133" t="s">
        <v>301</v>
      </c>
      <c r="I72" s="133" t="s">
        <v>676</v>
      </c>
      <c r="J72" s="133" t="s">
        <v>76</v>
      </c>
      <c r="K72" s="131">
        <v>400000</v>
      </c>
      <c r="L72" s="166">
        <v>326752</v>
      </c>
      <c r="M72" s="166">
        <v>347080</v>
      </c>
      <c r="N72" s="166">
        <v>359129</v>
      </c>
      <c r="O72" s="169">
        <v>342048</v>
      </c>
      <c r="P72" s="169">
        <v>366414</v>
      </c>
      <c r="Q72" s="231">
        <v>362926</v>
      </c>
      <c r="R72" s="231">
        <v>367363</v>
      </c>
      <c r="S72" s="227">
        <v>369953</v>
      </c>
      <c r="T72" s="227">
        <v>374237</v>
      </c>
      <c r="U72" s="227">
        <v>351093</v>
      </c>
      <c r="V72" s="131">
        <v>351208</v>
      </c>
      <c r="W72" s="133"/>
    </row>
    <row r="73" spans="2:23" ht="51" x14ac:dyDescent="0.2">
      <c r="B73" s="133" t="s">
        <v>376</v>
      </c>
      <c r="C73" s="129">
        <v>41334</v>
      </c>
      <c r="D73" s="133" t="s">
        <v>734</v>
      </c>
      <c r="E73" s="132" t="s">
        <v>377</v>
      </c>
      <c r="F73" s="133" t="s">
        <v>848</v>
      </c>
      <c r="G73" s="128" t="s">
        <v>129</v>
      </c>
      <c r="H73" s="141" t="s">
        <v>227</v>
      </c>
      <c r="I73" s="133" t="s">
        <v>667</v>
      </c>
      <c r="J73" s="128" t="s">
        <v>76</v>
      </c>
      <c r="K73" s="128">
        <v>120000</v>
      </c>
      <c r="L73" s="234" t="s">
        <v>260</v>
      </c>
      <c r="M73" s="166" t="s">
        <v>260</v>
      </c>
      <c r="N73" s="166" t="s">
        <v>260</v>
      </c>
      <c r="O73" s="166" t="s">
        <v>260</v>
      </c>
      <c r="P73" s="166" t="s">
        <v>260</v>
      </c>
      <c r="Q73" s="166" t="s">
        <v>260</v>
      </c>
      <c r="R73" s="166" t="s">
        <v>260</v>
      </c>
      <c r="S73" s="166" t="s">
        <v>260</v>
      </c>
      <c r="T73" s="166">
        <v>73376</v>
      </c>
      <c r="U73" s="166">
        <v>73263</v>
      </c>
      <c r="V73" s="131">
        <v>32428</v>
      </c>
      <c r="W73" s="133" t="s">
        <v>831</v>
      </c>
    </row>
    <row r="74" spans="2:23" ht="51" x14ac:dyDescent="0.2">
      <c r="B74" s="138" t="s">
        <v>438</v>
      </c>
      <c r="C74" s="173">
        <v>41113</v>
      </c>
      <c r="D74" s="138" t="s">
        <v>425</v>
      </c>
      <c r="E74" s="138" t="s">
        <v>439</v>
      </c>
      <c r="F74" s="128" t="s">
        <v>681</v>
      </c>
      <c r="G74" s="138" t="s">
        <v>129</v>
      </c>
      <c r="H74" s="141" t="s">
        <v>227</v>
      </c>
      <c r="I74" s="141" t="s">
        <v>667</v>
      </c>
      <c r="J74" s="128" t="s">
        <v>76</v>
      </c>
      <c r="K74" s="139">
        <v>6000</v>
      </c>
      <c r="L74" s="166" t="s">
        <v>260</v>
      </c>
      <c r="M74" s="166" t="s">
        <v>260</v>
      </c>
      <c r="N74" s="166" t="s">
        <v>260</v>
      </c>
      <c r="O74" s="166" t="s">
        <v>260</v>
      </c>
      <c r="P74" s="166" t="s">
        <v>260</v>
      </c>
      <c r="Q74" s="166" t="s">
        <v>260</v>
      </c>
      <c r="R74" s="166" t="s">
        <v>260</v>
      </c>
      <c r="S74" s="166" t="s">
        <v>260</v>
      </c>
      <c r="T74" s="166" t="s">
        <v>260</v>
      </c>
      <c r="U74" s="166">
        <v>215</v>
      </c>
      <c r="V74" s="23">
        <v>848</v>
      </c>
      <c r="W74" s="133"/>
    </row>
    <row r="75" spans="2:23" ht="51" x14ac:dyDescent="0.2">
      <c r="B75" s="128" t="s">
        <v>329</v>
      </c>
      <c r="C75" s="173">
        <v>37454</v>
      </c>
      <c r="D75" s="128" t="s">
        <v>325</v>
      </c>
      <c r="E75" s="23" t="s">
        <v>330</v>
      </c>
      <c r="F75" s="128" t="s">
        <v>885</v>
      </c>
      <c r="G75" s="128" t="s">
        <v>125</v>
      </c>
      <c r="H75" s="141" t="s">
        <v>290</v>
      </c>
      <c r="I75" s="141" t="s">
        <v>673</v>
      </c>
      <c r="J75" s="128" t="s">
        <v>76</v>
      </c>
      <c r="K75" s="23">
        <v>102000</v>
      </c>
      <c r="L75" s="166">
        <v>88711</v>
      </c>
      <c r="M75" s="166">
        <v>98960</v>
      </c>
      <c r="N75" s="166">
        <v>94972</v>
      </c>
      <c r="O75" s="169">
        <v>101754</v>
      </c>
      <c r="P75" s="169">
        <v>97869</v>
      </c>
      <c r="Q75" s="169">
        <v>98562</v>
      </c>
      <c r="R75" s="169">
        <v>99127</v>
      </c>
      <c r="S75" s="169">
        <v>104237</v>
      </c>
      <c r="T75" s="169">
        <v>100173</v>
      </c>
      <c r="U75" s="169">
        <v>94894</v>
      </c>
      <c r="V75" s="23">
        <v>102000</v>
      </c>
      <c r="W75" s="133"/>
    </row>
    <row r="76" spans="2:23" ht="51" x14ac:dyDescent="0.2">
      <c r="B76" s="23" t="s">
        <v>429</v>
      </c>
      <c r="C76" s="173">
        <v>40448</v>
      </c>
      <c r="D76" s="23" t="s">
        <v>430</v>
      </c>
      <c r="E76" s="23" t="s">
        <v>431</v>
      </c>
      <c r="F76" s="146" t="s">
        <v>886</v>
      </c>
      <c r="G76" s="23" t="s">
        <v>125</v>
      </c>
      <c r="H76" s="145" t="s">
        <v>432</v>
      </c>
      <c r="I76" s="145" t="s">
        <v>673</v>
      </c>
      <c r="J76" s="128" t="s">
        <v>76</v>
      </c>
      <c r="K76" s="23">
        <v>300000</v>
      </c>
      <c r="L76" s="166" t="s">
        <v>260</v>
      </c>
      <c r="M76" s="166" t="s">
        <v>260</v>
      </c>
      <c r="N76" s="166" t="s">
        <v>260</v>
      </c>
      <c r="O76" s="166" t="s">
        <v>260</v>
      </c>
      <c r="P76" s="166" t="s">
        <v>260</v>
      </c>
      <c r="Q76" s="166" t="s">
        <v>260</v>
      </c>
      <c r="R76" s="166" t="s">
        <v>260</v>
      </c>
      <c r="S76" s="166" t="s">
        <v>260</v>
      </c>
      <c r="T76" s="166">
        <v>61263</v>
      </c>
      <c r="U76" s="166">
        <v>285395</v>
      </c>
      <c r="V76" s="23">
        <v>304125</v>
      </c>
      <c r="W76" s="133"/>
    </row>
    <row r="77" spans="2:23" ht="51" x14ac:dyDescent="0.2">
      <c r="B77" s="23" t="s">
        <v>471</v>
      </c>
      <c r="C77" s="173">
        <v>41038</v>
      </c>
      <c r="D77" s="23" t="s">
        <v>472</v>
      </c>
      <c r="E77" s="23" t="s">
        <v>473</v>
      </c>
      <c r="F77" s="128" t="s">
        <v>849</v>
      </c>
      <c r="G77" s="23" t="s">
        <v>125</v>
      </c>
      <c r="H77" s="141" t="s">
        <v>474</v>
      </c>
      <c r="I77" s="141" t="s">
        <v>673</v>
      </c>
      <c r="J77" s="128" t="s">
        <v>76</v>
      </c>
      <c r="K77" s="23">
        <v>300000</v>
      </c>
      <c r="L77" s="166" t="s">
        <v>260</v>
      </c>
      <c r="M77" s="166" t="s">
        <v>260</v>
      </c>
      <c r="N77" s="166" t="s">
        <v>260</v>
      </c>
      <c r="O77" s="166" t="s">
        <v>260</v>
      </c>
      <c r="P77" s="166" t="s">
        <v>260</v>
      </c>
      <c r="Q77" s="166" t="s">
        <v>260</v>
      </c>
      <c r="R77" s="166" t="s">
        <v>260</v>
      </c>
      <c r="S77" s="166" t="s">
        <v>260</v>
      </c>
      <c r="T77" s="166" t="s">
        <v>260</v>
      </c>
      <c r="U77" s="235">
        <v>272733</v>
      </c>
      <c r="V77" s="23">
        <v>267479</v>
      </c>
      <c r="W77" s="23" t="s">
        <v>832</v>
      </c>
    </row>
    <row r="78" spans="2:23" ht="51" x14ac:dyDescent="0.2">
      <c r="B78" s="138" t="s">
        <v>360</v>
      </c>
      <c r="C78" s="173">
        <v>37048</v>
      </c>
      <c r="D78" s="138" t="s">
        <v>361</v>
      </c>
      <c r="E78" s="138" t="s">
        <v>362</v>
      </c>
      <c r="F78" s="128" t="s">
        <v>887</v>
      </c>
      <c r="G78" s="138" t="s">
        <v>128</v>
      </c>
      <c r="H78" s="145" t="s">
        <v>239</v>
      </c>
      <c r="I78" s="128" t="s">
        <v>661</v>
      </c>
      <c r="J78" s="128" t="s">
        <v>76</v>
      </c>
      <c r="K78" s="139">
        <v>150000</v>
      </c>
      <c r="L78" s="166">
        <v>108003</v>
      </c>
      <c r="M78" s="166">
        <v>112922</v>
      </c>
      <c r="N78" s="166">
        <v>87003</v>
      </c>
      <c r="O78" s="169">
        <v>125693</v>
      </c>
      <c r="P78" s="169">
        <v>131074</v>
      </c>
      <c r="Q78" s="169">
        <v>120959</v>
      </c>
      <c r="R78" s="169">
        <v>125323</v>
      </c>
      <c r="S78" s="227">
        <v>128121</v>
      </c>
      <c r="T78" s="227">
        <v>131433</v>
      </c>
      <c r="U78" s="227">
        <v>123636</v>
      </c>
      <c r="V78" s="23">
        <v>127510</v>
      </c>
      <c r="W78" s="133"/>
    </row>
    <row r="79" spans="2:23" ht="51" x14ac:dyDescent="0.2">
      <c r="B79" s="138" t="s">
        <v>503</v>
      </c>
      <c r="C79" s="200">
        <v>41473</v>
      </c>
      <c r="D79" s="138" t="s">
        <v>504</v>
      </c>
      <c r="E79" s="138" t="s">
        <v>505</v>
      </c>
      <c r="F79" s="128" t="s">
        <v>888</v>
      </c>
      <c r="G79" s="138" t="s">
        <v>128</v>
      </c>
      <c r="H79" s="145" t="s">
        <v>239</v>
      </c>
      <c r="I79" s="145" t="s">
        <v>661</v>
      </c>
      <c r="J79" s="128" t="s">
        <v>76</v>
      </c>
      <c r="K79" s="157">
        <v>179580</v>
      </c>
      <c r="L79" s="166" t="s">
        <v>260</v>
      </c>
      <c r="M79" s="166" t="s">
        <v>260</v>
      </c>
      <c r="N79" s="166" t="s">
        <v>260</v>
      </c>
      <c r="O79" s="166" t="s">
        <v>260</v>
      </c>
      <c r="P79" s="166" t="s">
        <v>260</v>
      </c>
      <c r="Q79" s="166" t="s">
        <v>260</v>
      </c>
      <c r="R79" s="166" t="s">
        <v>260</v>
      </c>
      <c r="S79" s="166" t="s">
        <v>260</v>
      </c>
      <c r="T79" s="166" t="s">
        <v>260</v>
      </c>
      <c r="U79" s="166">
        <v>16331</v>
      </c>
      <c r="V79" s="23">
        <v>165940</v>
      </c>
      <c r="W79" s="23"/>
    </row>
    <row r="80" spans="2:23" ht="51" x14ac:dyDescent="0.2">
      <c r="B80" s="150" t="s">
        <v>657</v>
      </c>
      <c r="C80" s="129">
        <v>40885</v>
      </c>
      <c r="D80" s="150" t="s">
        <v>658</v>
      </c>
      <c r="E80" s="150" t="s">
        <v>659</v>
      </c>
      <c r="F80" s="150" t="s">
        <v>660</v>
      </c>
      <c r="G80" s="150" t="s">
        <v>128</v>
      </c>
      <c r="H80" s="146" t="s">
        <v>366</v>
      </c>
      <c r="I80" s="128" t="s">
        <v>661</v>
      </c>
      <c r="J80" s="128" t="s">
        <v>76</v>
      </c>
      <c r="K80" s="150">
        <v>250000</v>
      </c>
      <c r="L80" s="166" t="s">
        <v>260</v>
      </c>
      <c r="M80" s="166" t="s">
        <v>260</v>
      </c>
      <c r="N80" s="166" t="s">
        <v>260</v>
      </c>
      <c r="O80" s="166" t="s">
        <v>260</v>
      </c>
      <c r="P80" s="166" t="s">
        <v>260</v>
      </c>
      <c r="Q80" s="166" t="s">
        <v>260</v>
      </c>
      <c r="R80" s="166" t="s">
        <v>260</v>
      </c>
      <c r="S80" s="166" t="s">
        <v>260</v>
      </c>
      <c r="T80" s="227">
        <v>102030</v>
      </c>
      <c r="U80" s="227">
        <v>215615</v>
      </c>
      <c r="V80" s="142">
        <v>206263</v>
      </c>
      <c r="W80" s="133"/>
    </row>
    <row r="81" spans="2:25" ht="51" x14ac:dyDescent="0.2">
      <c r="B81" s="128" t="s">
        <v>363</v>
      </c>
      <c r="C81" s="178">
        <v>37503</v>
      </c>
      <c r="D81" s="128" t="s">
        <v>364</v>
      </c>
      <c r="E81" s="128" t="s">
        <v>365</v>
      </c>
      <c r="F81" s="128" t="s">
        <v>889</v>
      </c>
      <c r="G81" s="128" t="s">
        <v>128</v>
      </c>
      <c r="H81" s="146" t="s">
        <v>366</v>
      </c>
      <c r="I81" s="128" t="s">
        <v>661</v>
      </c>
      <c r="J81" s="128" t="s">
        <v>76</v>
      </c>
      <c r="K81" s="128">
        <v>225000</v>
      </c>
      <c r="L81" s="166">
        <v>200000</v>
      </c>
      <c r="M81" s="166">
        <v>196361</v>
      </c>
      <c r="N81" s="166">
        <v>140000</v>
      </c>
      <c r="O81" s="169">
        <v>219976</v>
      </c>
      <c r="P81" s="169">
        <v>202814</v>
      </c>
      <c r="Q81" s="169">
        <v>207000</v>
      </c>
      <c r="R81" s="169">
        <v>225297</v>
      </c>
      <c r="S81" s="227">
        <v>224694</v>
      </c>
      <c r="T81" s="227">
        <v>215531</v>
      </c>
      <c r="U81" s="227">
        <v>231516.49</v>
      </c>
      <c r="V81" s="196">
        <v>235334</v>
      </c>
      <c r="W81" s="133"/>
    </row>
    <row r="82" spans="2:25" ht="51" x14ac:dyDescent="0.2">
      <c r="B82" s="128" t="s">
        <v>459</v>
      </c>
      <c r="C82" s="129">
        <v>41243</v>
      </c>
      <c r="D82" s="128" t="s">
        <v>460</v>
      </c>
      <c r="E82" s="128" t="s">
        <v>461</v>
      </c>
      <c r="F82" s="128" t="s">
        <v>688</v>
      </c>
      <c r="G82" s="128" t="s">
        <v>128</v>
      </c>
      <c r="H82" s="146" t="s">
        <v>239</v>
      </c>
      <c r="I82" s="128" t="s">
        <v>661</v>
      </c>
      <c r="J82" s="128" t="s">
        <v>76</v>
      </c>
      <c r="K82" s="128">
        <v>675000</v>
      </c>
      <c r="L82" s="166" t="s">
        <v>260</v>
      </c>
      <c r="M82" s="166" t="s">
        <v>260</v>
      </c>
      <c r="N82" s="166" t="s">
        <v>260</v>
      </c>
      <c r="O82" s="166" t="s">
        <v>260</v>
      </c>
      <c r="P82" s="166" t="s">
        <v>260</v>
      </c>
      <c r="Q82" s="166" t="s">
        <v>260</v>
      </c>
      <c r="R82" s="166" t="s">
        <v>260</v>
      </c>
      <c r="S82" s="166" t="s">
        <v>260</v>
      </c>
      <c r="T82" s="166" t="s">
        <v>260</v>
      </c>
      <c r="U82" s="166">
        <v>350959</v>
      </c>
      <c r="V82" s="130">
        <v>573035</v>
      </c>
      <c r="W82" s="133"/>
    </row>
    <row r="83" spans="2:25" ht="51" customHeight="1" x14ac:dyDescent="0.2">
      <c r="B83" s="128" t="s">
        <v>771</v>
      </c>
      <c r="C83" s="178">
        <v>42094</v>
      </c>
      <c r="D83" s="128" t="s">
        <v>772</v>
      </c>
      <c r="E83" s="128" t="s">
        <v>773</v>
      </c>
      <c r="F83" s="128" t="s">
        <v>774</v>
      </c>
      <c r="G83" s="128" t="s">
        <v>122</v>
      </c>
      <c r="H83" s="146" t="s">
        <v>301</v>
      </c>
      <c r="I83" s="128" t="s">
        <v>676</v>
      </c>
      <c r="J83" s="128" t="s">
        <v>76</v>
      </c>
      <c r="K83" s="128">
        <v>72000</v>
      </c>
      <c r="L83" s="166" t="s">
        <v>260</v>
      </c>
      <c r="M83" s="166" t="s">
        <v>260</v>
      </c>
      <c r="N83" s="166" t="s">
        <v>260</v>
      </c>
      <c r="O83" s="166" t="s">
        <v>260</v>
      </c>
      <c r="P83" s="166" t="s">
        <v>260</v>
      </c>
      <c r="Q83" s="166" t="s">
        <v>260</v>
      </c>
      <c r="R83" s="166" t="s">
        <v>260</v>
      </c>
      <c r="S83" s="166" t="s">
        <v>260</v>
      </c>
      <c r="T83" s="166" t="s">
        <v>260</v>
      </c>
      <c r="U83" s="166" t="s">
        <v>260</v>
      </c>
      <c r="V83" s="166">
        <v>48000</v>
      </c>
      <c r="W83" s="133" t="s">
        <v>833</v>
      </c>
    </row>
    <row r="84" spans="2:25" ht="51" customHeight="1" x14ac:dyDescent="0.2">
      <c r="B84" s="150" t="s">
        <v>384</v>
      </c>
      <c r="C84" s="203">
        <v>38700</v>
      </c>
      <c r="D84" s="150" t="s">
        <v>655</v>
      </c>
      <c r="E84" s="150" t="s">
        <v>385</v>
      </c>
      <c r="F84" s="150" t="s">
        <v>890</v>
      </c>
      <c r="G84" s="150" t="s">
        <v>120</v>
      </c>
      <c r="H84" s="204" t="s">
        <v>386</v>
      </c>
      <c r="I84" s="150" t="s">
        <v>669</v>
      </c>
      <c r="J84" s="150" t="s">
        <v>19</v>
      </c>
      <c r="K84" s="150">
        <v>100000</v>
      </c>
      <c r="L84" s="236">
        <v>24654</v>
      </c>
      <c r="M84" s="236">
        <v>23006</v>
      </c>
      <c r="N84" s="236">
        <v>1737</v>
      </c>
      <c r="O84" s="237">
        <v>7177</v>
      </c>
      <c r="P84" s="237">
        <v>21981</v>
      </c>
      <c r="Q84" s="237">
        <v>22354</v>
      </c>
      <c r="R84" s="237">
        <v>24678</v>
      </c>
      <c r="S84" s="238">
        <v>28326</v>
      </c>
      <c r="T84" s="239">
        <v>26704</v>
      </c>
      <c r="U84" s="239">
        <v>25850</v>
      </c>
      <c r="V84" s="143">
        <v>26214</v>
      </c>
      <c r="W84" s="226"/>
      <c r="X84" s="197"/>
      <c r="Y84" s="198"/>
    </row>
    <row r="85" spans="2:25" ht="51" customHeight="1" x14ac:dyDescent="0.2">
      <c r="B85" s="128" t="s">
        <v>381</v>
      </c>
      <c r="C85" s="129">
        <v>38701</v>
      </c>
      <c r="D85" s="128" t="s">
        <v>379</v>
      </c>
      <c r="E85" s="128" t="s">
        <v>382</v>
      </c>
      <c r="F85" s="128" t="s">
        <v>891</v>
      </c>
      <c r="G85" s="128" t="s">
        <v>124</v>
      </c>
      <c r="H85" s="128" t="s">
        <v>383</v>
      </c>
      <c r="I85" s="128" t="s">
        <v>686</v>
      </c>
      <c r="J85" s="128" t="s">
        <v>19</v>
      </c>
      <c r="K85" s="128">
        <v>90500</v>
      </c>
      <c r="L85" s="166">
        <v>59441</v>
      </c>
      <c r="M85" s="166">
        <v>59291</v>
      </c>
      <c r="N85" s="166">
        <v>67342</v>
      </c>
      <c r="O85" s="169">
        <v>71540</v>
      </c>
      <c r="P85" s="169">
        <v>66737</v>
      </c>
      <c r="Q85" s="169">
        <v>65807</v>
      </c>
      <c r="R85" s="169">
        <v>65294</v>
      </c>
      <c r="S85" s="169">
        <v>48860</v>
      </c>
      <c r="T85" s="166">
        <v>44800</v>
      </c>
      <c r="U85" s="227">
        <v>49809</v>
      </c>
      <c r="V85" s="131">
        <v>49250</v>
      </c>
      <c r="W85" s="133"/>
      <c r="X85" s="197"/>
      <c r="Y85" s="198"/>
    </row>
    <row r="86" spans="2:25" ht="51" customHeight="1" x14ac:dyDescent="0.2">
      <c r="B86" s="128" t="s">
        <v>378</v>
      </c>
      <c r="C86" s="129">
        <v>38651</v>
      </c>
      <c r="D86" s="128" t="s">
        <v>379</v>
      </c>
      <c r="E86" s="128" t="s">
        <v>380</v>
      </c>
      <c r="F86" s="128" t="s">
        <v>850</v>
      </c>
      <c r="G86" s="128" t="s">
        <v>124</v>
      </c>
      <c r="H86" s="128" t="s">
        <v>312</v>
      </c>
      <c r="I86" s="128" t="s">
        <v>678</v>
      </c>
      <c r="J86" s="128" t="s">
        <v>19</v>
      </c>
      <c r="K86" s="128">
        <v>53500</v>
      </c>
      <c r="L86" s="166">
        <v>31035</v>
      </c>
      <c r="M86" s="169">
        <v>31186</v>
      </c>
      <c r="N86" s="169">
        <v>30191</v>
      </c>
      <c r="O86" s="169">
        <v>31186</v>
      </c>
      <c r="P86" s="169">
        <v>32395</v>
      </c>
      <c r="Q86" s="169">
        <v>31164</v>
      </c>
      <c r="R86" s="169">
        <v>30715</v>
      </c>
      <c r="S86" s="169">
        <v>32106</v>
      </c>
      <c r="T86" s="169">
        <v>27762</v>
      </c>
      <c r="U86" s="169">
        <v>24392</v>
      </c>
      <c r="V86" s="131">
        <v>24284</v>
      </c>
      <c r="W86" s="133"/>
      <c r="X86" s="197"/>
      <c r="Y86" s="198"/>
    </row>
    <row r="87" spans="2:25" ht="15.75" x14ac:dyDescent="0.2">
      <c r="B87" s="205" t="s">
        <v>396</v>
      </c>
      <c r="C87" s="206"/>
      <c r="D87" s="206"/>
      <c r="E87" s="206"/>
      <c r="F87" s="206"/>
      <c r="G87" s="206"/>
      <c r="H87" s="206"/>
      <c r="I87" s="206"/>
      <c r="J87" s="207"/>
      <c r="K87" s="202">
        <f>SUM(K6:K86)</f>
        <v>15469566</v>
      </c>
      <c r="L87" s="202">
        <f>SUM(L6:L86)</f>
        <v>4737508.72</v>
      </c>
      <c r="M87" s="202">
        <f>SUM(M6:M86)</f>
        <v>4986750.8569999998</v>
      </c>
      <c r="N87" s="202">
        <f>SUM(N6:N86)</f>
        <v>5084971.7300000004</v>
      </c>
      <c r="O87" s="202">
        <f>SUM(O6:O86)</f>
        <v>5397871.0350000001</v>
      </c>
      <c r="P87" s="202">
        <f t="shared" ref="P87:V87" si="0">SUM(P6:P86)</f>
        <v>5924685.4699999997</v>
      </c>
      <c r="Q87" s="202">
        <f t="shared" si="0"/>
        <v>6615595.4000000004</v>
      </c>
      <c r="R87" s="202">
        <f t="shared" si="0"/>
        <v>7260446</v>
      </c>
      <c r="S87" s="202">
        <f t="shared" si="0"/>
        <v>7390532.96</v>
      </c>
      <c r="T87" s="202">
        <f t="shared" si="0"/>
        <v>8510344.1300000008</v>
      </c>
      <c r="U87" s="202">
        <f t="shared" si="0"/>
        <v>10623245.93</v>
      </c>
      <c r="V87" s="202">
        <f t="shared" si="0"/>
        <v>11639409.789999999</v>
      </c>
      <c r="W87" s="174"/>
      <c r="X87" s="177"/>
      <c r="Y87" s="176"/>
    </row>
    <row r="88" spans="2:25" x14ac:dyDescent="0.2">
      <c r="Y88" s="198"/>
    </row>
  </sheetData>
  <autoFilter ref="B5:W87"/>
  <pageMargins left="0.74803149606299213" right="0.74803149606299213" top="0.98425196850393704" bottom="0.98425196850393704" header="0.51181102362204722" footer="0.51181102362204722"/>
  <pageSetup paperSize="8" scale="38" fitToHeight="5" orientation="portrait" horizontalDpi="1200" verticalDpi="1200"/>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V21"/>
  <sheetViews>
    <sheetView showGridLines="0" zoomScaleNormal="100" workbookViewId="0"/>
  </sheetViews>
  <sheetFormatPr defaultRowHeight="12.75" x14ac:dyDescent="0.2"/>
  <cols>
    <col min="1" max="1" width="4.140625" customWidth="1"/>
    <col min="2" max="2" width="10.5703125" customWidth="1"/>
    <col min="3" max="3" width="10.7109375" customWidth="1"/>
    <col min="4" max="4" width="14.7109375" customWidth="1"/>
    <col min="5" max="5" width="25.28515625" customWidth="1"/>
    <col min="6" max="6" width="15" customWidth="1"/>
    <col min="7" max="7" width="16.5703125" customWidth="1"/>
    <col min="8" max="8" width="16.28515625" customWidth="1"/>
    <col min="9" max="9" width="11" customWidth="1"/>
    <col min="10" max="10" width="10.85546875" customWidth="1"/>
    <col min="11" max="11" width="12.85546875" customWidth="1"/>
    <col min="12" max="12" width="10.5703125" customWidth="1"/>
    <col min="13" max="13" width="11.5703125" customWidth="1"/>
    <col min="14" max="14" width="10.7109375" customWidth="1"/>
    <col min="15" max="15" width="11.42578125" customWidth="1"/>
    <col min="16" max="16" width="10.42578125" customWidth="1"/>
    <col min="17" max="17" width="11.28515625" customWidth="1"/>
    <col min="18" max="18" width="11.7109375" customWidth="1"/>
    <col min="19" max="21" width="11.140625" customWidth="1"/>
    <col min="22" max="22" width="22.5703125" customWidth="1"/>
  </cols>
  <sheetData>
    <row r="2" spans="2:22" ht="18.75" x14ac:dyDescent="0.25">
      <c r="B2" s="18" t="s">
        <v>892</v>
      </c>
      <c r="C2" s="147"/>
      <c r="D2" s="147"/>
      <c r="E2" s="147"/>
      <c r="F2" s="147"/>
      <c r="G2" s="147"/>
      <c r="H2" s="147"/>
      <c r="I2" s="147"/>
      <c r="J2" s="147"/>
      <c r="K2" s="147"/>
      <c r="L2" s="147"/>
      <c r="M2" s="147"/>
      <c r="N2" s="147"/>
      <c r="O2" s="148"/>
      <c r="P2" s="148"/>
      <c r="Q2" s="148"/>
      <c r="R2" s="148"/>
      <c r="S2" s="148"/>
      <c r="T2" s="148"/>
      <c r="U2" s="148"/>
      <c r="V2" s="148"/>
    </row>
    <row r="3" spans="2:22" ht="18.75" x14ac:dyDescent="0.25">
      <c r="B3" s="19" t="s">
        <v>651</v>
      </c>
      <c r="C3" s="148"/>
      <c r="D3" s="148"/>
      <c r="E3" s="148"/>
      <c r="F3" s="148"/>
      <c r="G3" s="148"/>
      <c r="H3" s="148"/>
      <c r="I3" s="148"/>
      <c r="J3" s="148"/>
      <c r="K3" s="148"/>
      <c r="L3" s="148"/>
      <c r="M3" s="148"/>
      <c r="N3" s="148"/>
      <c r="O3" s="148"/>
      <c r="P3" s="148"/>
      <c r="Q3" s="148"/>
      <c r="R3" s="148"/>
      <c r="S3" s="148"/>
      <c r="T3" s="148"/>
      <c r="U3" s="148"/>
      <c r="V3" s="148"/>
    </row>
    <row r="4" spans="2:22" ht="15.75" x14ac:dyDescent="0.25">
      <c r="B4" s="149"/>
      <c r="C4" s="148"/>
      <c r="D4" s="148"/>
      <c r="E4" s="148"/>
      <c r="F4" s="148"/>
      <c r="G4" s="148"/>
      <c r="H4" s="148"/>
      <c r="I4" s="148"/>
      <c r="J4" s="148"/>
      <c r="K4" s="148"/>
      <c r="L4" s="148"/>
      <c r="M4" s="148"/>
      <c r="N4" s="148"/>
      <c r="O4" s="148"/>
      <c r="P4" s="148"/>
      <c r="Q4" s="148"/>
      <c r="R4" s="148"/>
      <c r="S4" s="148"/>
      <c r="T4" s="148"/>
      <c r="U4" s="148"/>
      <c r="V4" s="148"/>
    </row>
    <row r="5" spans="2:22" ht="38.25" x14ac:dyDescent="0.2">
      <c r="B5" s="20" t="s">
        <v>158</v>
      </c>
      <c r="C5" s="20" t="s">
        <v>160</v>
      </c>
      <c r="D5" s="20" t="s">
        <v>769</v>
      </c>
      <c r="E5" s="21" t="s">
        <v>161</v>
      </c>
      <c r="F5" s="21" t="s">
        <v>616</v>
      </c>
      <c r="G5" s="21" t="s">
        <v>768</v>
      </c>
      <c r="H5" s="21" t="s">
        <v>652</v>
      </c>
      <c r="I5" s="21" t="s">
        <v>162</v>
      </c>
      <c r="J5" s="21" t="s">
        <v>397</v>
      </c>
      <c r="K5" s="21" t="s">
        <v>164</v>
      </c>
      <c r="L5" s="21" t="s">
        <v>165</v>
      </c>
      <c r="M5" s="21" t="s">
        <v>166</v>
      </c>
      <c r="N5" s="21" t="s">
        <v>167</v>
      </c>
      <c r="O5" s="21" t="s">
        <v>168</v>
      </c>
      <c r="P5" s="21" t="s">
        <v>169</v>
      </c>
      <c r="Q5" s="21" t="s">
        <v>170</v>
      </c>
      <c r="R5" s="21" t="s">
        <v>171</v>
      </c>
      <c r="S5" s="21" t="s">
        <v>653</v>
      </c>
      <c r="T5" s="21" t="s">
        <v>738</v>
      </c>
      <c r="U5" s="21" t="s">
        <v>807</v>
      </c>
      <c r="V5" s="20" t="s">
        <v>654</v>
      </c>
    </row>
    <row r="6" spans="2:22" ht="66.75" customHeight="1" x14ac:dyDescent="0.2">
      <c r="B6" s="128" t="s">
        <v>406</v>
      </c>
      <c r="C6" s="128" t="s">
        <v>407</v>
      </c>
      <c r="D6" s="128" t="s">
        <v>408</v>
      </c>
      <c r="E6" s="128" t="s">
        <v>1039</v>
      </c>
      <c r="F6" s="128" t="s">
        <v>67</v>
      </c>
      <c r="G6" s="128" t="s">
        <v>56</v>
      </c>
      <c r="H6" s="141" t="s">
        <v>662</v>
      </c>
      <c r="I6" s="23" t="s">
        <v>154</v>
      </c>
      <c r="J6" s="128">
        <v>14000</v>
      </c>
      <c r="K6" s="23">
        <v>238</v>
      </c>
      <c r="L6" s="23">
        <v>1225</v>
      </c>
      <c r="M6" s="23">
        <v>471</v>
      </c>
      <c r="N6" s="23">
        <v>261</v>
      </c>
      <c r="O6" s="23" t="s">
        <v>260</v>
      </c>
      <c r="P6" s="23" t="s">
        <v>260</v>
      </c>
      <c r="Q6" s="23" t="s">
        <v>260</v>
      </c>
      <c r="R6" s="23" t="s">
        <v>260</v>
      </c>
      <c r="S6" s="23" t="s">
        <v>260</v>
      </c>
      <c r="T6" s="23" t="s">
        <v>260</v>
      </c>
      <c r="U6" s="23" t="s">
        <v>260</v>
      </c>
      <c r="V6" s="23" t="s">
        <v>893</v>
      </c>
    </row>
    <row r="7" spans="2:22" ht="66.75" customHeight="1" x14ac:dyDescent="0.2">
      <c r="B7" s="128" t="s">
        <v>401</v>
      </c>
      <c r="C7" s="128" t="s">
        <v>402</v>
      </c>
      <c r="D7" s="23" t="s">
        <v>196</v>
      </c>
      <c r="E7" s="128" t="s">
        <v>1040</v>
      </c>
      <c r="F7" s="23" t="s">
        <v>123</v>
      </c>
      <c r="G7" s="128" t="s">
        <v>196</v>
      </c>
      <c r="H7" s="145" t="s">
        <v>675</v>
      </c>
      <c r="I7" s="23" t="s">
        <v>72</v>
      </c>
      <c r="J7" s="23">
        <v>8355</v>
      </c>
      <c r="K7" s="23" t="s">
        <v>260</v>
      </c>
      <c r="L7" s="23" t="s">
        <v>260</v>
      </c>
      <c r="M7" s="23" t="s">
        <v>260</v>
      </c>
      <c r="N7" s="23" t="s">
        <v>260</v>
      </c>
      <c r="O7" s="23" t="s">
        <v>260</v>
      </c>
      <c r="P7" s="23" t="s">
        <v>260</v>
      </c>
      <c r="Q7" s="23" t="s">
        <v>260</v>
      </c>
      <c r="R7" s="23" t="s">
        <v>260</v>
      </c>
      <c r="S7" s="23" t="s">
        <v>260</v>
      </c>
      <c r="T7" s="23" t="s">
        <v>260</v>
      </c>
      <c r="U7" s="23" t="s">
        <v>260</v>
      </c>
      <c r="V7" s="23" t="s">
        <v>403</v>
      </c>
    </row>
    <row r="8" spans="2:22" ht="66.75" customHeight="1" x14ac:dyDescent="0.2">
      <c r="B8" s="23" t="s">
        <v>404</v>
      </c>
      <c r="C8" s="128" t="s">
        <v>254</v>
      </c>
      <c r="D8" s="128" t="s">
        <v>405</v>
      </c>
      <c r="E8" s="128" t="s">
        <v>1041</v>
      </c>
      <c r="F8" s="128" t="s">
        <v>123</v>
      </c>
      <c r="G8" s="128" t="s">
        <v>196</v>
      </c>
      <c r="H8" s="146" t="s">
        <v>675</v>
      </c>
      <c r="I8" s="128" t="s">
        <v>154</v>
      </c>
      <c r="J8" s="128">
        <v>42748</v>
      </c>
      <c r="K8" s="23" t="s">
        <v>260</v>
      </c>
      <c r="L8" s="23" t="s">
        <v>260</v>
      </c>
      <c r="M8" s="23" t="s">
        <v>260</v>
      </c>
      <c r="N8" s="130" t="s">
        <v>260</v>
      </c>
      <c r="O8" s="130" t="s">
        <v>260</v>
      </c>
      <c r="P8" s="23" t="s">
        <v>260</v>
      </c>
      <c r="Q8" s="23" t="s">
        <v>260</v>
      </c>
      <c r="R8" s="23" t="s">
        <v>260</v>
      </c>
      <c r="S8" s="23" t="s">
        <v>260</v>
      </c>
      <c r="T8" s="23" t="s">
        <v>260</v>
      </c>
      <c r="U8" s="23" t="s">
        <v>260</v>
      </c>
      <c r="V8" s="133" t="s">
        <v>400</v>
      </c>
    </row>
    <row r="9" spans="2:22" ht="66.75" customHeight="1" x14ac:dyDescent="0.2">
      <c r="B9" s="128" t="s">
        <v>247</v>
      </c>
      <c r="C9" s="128" t="s">
        <v>241</v>
      </c>
      <c r="D9" s="128"/>
      <c r="E9" s="136" t="s">
        <v>1042</v>
      </c>
      <c r="F9" s="128" t="s">
        <v>119</v>
      </c>
      <c r="G9" s="128" t="s">
        <v>248</v>
      </c>
      <c r="H9" s="145" t="s">
        <v>684</v>
      </c>
      <c r="I9" s="128" t="s">
        <v>154</v>
      </c>
      <c r="J9" s="128">
        <v>50000</v>
      </c>
      <c r="K9" s="23">
        <v>21025</v>
      </c>
      <c r="L9" s="23">
        <v>22493</v>
      </c>
      <c r="M9" s="23" t="s">
        <v>249</v>
      </c>
      <c r="N9" s="23">
        <v>19039</v>
      </c>
      <c r="O9" s="23">
        <v>20991</v>
      </c>
      <c r="P9" s="23">
        <v>22045</v>
      </c>
      <c r="Q9" s="23">
        <v>28276</v>
      </c>
      <c r="R9" s="23">
        <v>29652</v>
      </c>
      <c r="S9" s="23">
        <v>25321</v>
      </c>
      <c r="T9" s="23">
        <v>16338</v>
      </c>
      <c r="U9" s="23" t="s">
        <v>260</v>
      </c>
      <c r="V9" s="23" t="s">
        <v>897</v>
      </c>
    </row>
    <row r="10" spans="2:22" ht="66.75" customHeight="1" x14ac:dyDescent="0.2">
      <c r="B10" s="23" t="s">
        <v>280</v>
      </c>
      <c r="C10" s="23" t="s">
        <v>281</v>
      </c>
      <c r="D10" s="23" t="s">
        <v>282</v>
      </c>
      <c r="E10" s="141" t="s">
        <v>1043</v>
      </c>
      <c r="F10" s="23" t="s">
        <v>120</v>
      </c>
      <c r="G10" s="23" t="s">
        <v>252</v>
      </c>
      <c r="H10" s="145" t="s">
        <v>679</v>
      </c>
      <c r="I10" s="128" t="s">
        <v>133</v>
      </c>
      <c r="J10" s="23">
        <v>15000</v>
      </c>
      <c r="K10" s="23">
        <v>5130</v>
      </c>
      <c r="L10" s="23">
        <v>1856</v>
      </c>
      <c r="M10" s="23">
        <v>525</v>
      </c>
      <c r="N10" s="23">
        <v>1065</v>
      </c>
      <c r="O10" s="23">
        <v>1056.8</v>
      </c>
      <c r="P10" s="23">
        <v>1093</v>
      </c>
      <c r="Q10" s="23">
        <v>1078</v>
      </c>
      <c r="R10" s="23" t="s">
        <v>260</v>
      </c>
      <c r="S10" s="23" t="s">
        <v>260</v>
      </c>
      <c r="T10" s="23" t="s">
        <v>260</v>
      </c>
      <c r="U10" s="23" t="s">
        <v>260</v>
      </c>
      <c r="V10" s="23"/>
    </row>
    <row r="11" spans="2:22" ht="66.75" customHeight="1" x14ac:dyDescent="0.2">
      <c r="B11" s="128" t="s">
        <v>398</v>
      </c>
      <c r="C11" s="128" t="s">
        <v>287</v>
      </c>
      <c r="D11" s="128" t="s">
        <v>399</v>
      </c>
      <c r="E11" s="128" t="s">
        <v>1044</v>
      </c>
      <c r="F11" s="128" t="s">
        <v>125</v>
      </c>
      <c r="G11" s="128" t="s">
        <v>290</v>
      </c>
      <c r="H11" s="146" t="s">
        <v>674</v>
      </c>
      <c r="I11" s="128" t="s">
        <v>153</v>
      </c>
      <c r="J11" s="128">
        <v>60000</v>
      </c>
      <c r="K11" s="130">
        <v>39885</v>
      </c>
      <c r="L11" s="130">
        <v>33732</v>
      </c>
      <c r="M11" s="130">
        <v>18902</v>
      </c>
      <c r="N11" s="130">
        <v>5104</v>
      </c>
      <c r="O11" s="23" t="s">
        <v>260</v>
      </c>
      <c r="P11" s="23" t="s">
        <v>260</v>
      </c>
      <c r="Q11" s="23" t="s">
        <v>260</v>
      </c>
      <c r="R11" s="23" t="s">
        <v>260</v>
      </c>
      <c r="S11" s="23" t="s">
        <v>260</v>
      </c>
      <c r="T11" s="23" t="s">
        <v>260</v>
      </c>
      <c r="U11" s="23" t="s">
        <v>260</v>
      </c>
      <c r="V11" s="132" t="s">
        <v>400</v>
      </c>
    </row>
    <row r="12" spans="2:22" ht="66.75" customHeight="1" x14ac:dyDescent="0.2">
      <c r="B12" s="151" t="s">
        <v>291</v>
      </c>
      <c r="C12" s="151" t="s">
        <v>281</v>
      </c>
      <c r="D12" s="151" t="s">
        <v>292</v>
      </c>
      <c r="E12" s="128" t="s">
        <v>1045</v>
      </c>
      <c r="F12" s="151" t="s">
        <v>125</v>
      </c>
      <c r="G12" s="151" t="s">
        <v>220</v>
      </c>
      <c r="H12" s="145" t="s">
        <v>678</v>
      </c>
      <c r="I12" s="150" t="s">
        <v>133</v>
      </c>
      <c r="J12" s="151">
        <v>31250</v>
      </c>
      <c r="K12" s="151">
        <v>5130</v>
      </c>
      <c r="L12" s="151">
        <v>3322</v>
      </c>
      <c r="M12" s="151">
        <v>1999</v>
      </c>
      <c r="N12" s="151">
        <v>827</v>
      </c>
      <c r="O12" s="151">
        <v>100</v>
      </c>
      <c r="P12" s="23">
        <v>1121</v>
      </c>
      <c r="Q12" s="23">
        <v>207</v>
      </c>
      <c r="R12" s="23">
        <v>232</v>
      </c>
      <c r="S12" s="23" t="s">
        <v>260</v>
      </c>
      <c r="T12" s="23" t="s">
        <v>260</v>
      </c>
      <c r="U12" s="23" t="s">
        <v>260</v>
      </c>
      <c r="V12" s="23" t="s">
        <v>898</v>
      </c>
    </row>
    <row r="13" spans="2:22" ht="66.75" customHeight="1" x14ac:dyDescent="0.2">
      <c r="B13" s="23" t="s">
        <v>732</v>
      </c>
      <c r="C13" s="23" t="s">
        <v>733</v>
      </c>
      <c r="D13" s="23" t="s">
        <v>336</v>
      </c>
      <c r="E13" s="128" t="s">
        <v>1046</v>
      </c>
      <c r="F13" s="23" t="s">
        <v>125</v>
      </c>
      <c r="G13" s="23" t="s">
        <v>337</v>
      </c>
      <c r="H13" s="128" t="s">
        <v>674</v>
      </c>
      <c r="I13" s="23" t="s">
        <v>76</v>
      </c>
      <c r="J13" s="23">
        <v>38000</v>
      </c>
      <c r="K13" s="23" t="s">
        <v>338</v>
      </c>
      <c r="L13" s="23" t="s">
        <v>338</v>
      </c>
      <c r="M13" s="23" t="s">
        <v>338</v>
      </c>
      <c r="N13" s="23">
        <v>12420</v>
      </c>
      <c r="O13" s="130">
        <v>9540</v>
      </c>
      <c r="P13" s="130">
        <v>20147</v>
      </c>
      <c r="Q13" s="23">
        <v>16047</v>
      </c>
      <c r="R13" s="23">
        <v>19905</v>
      </c>
      <c r="S13" s="23">
        <v>19097</v>
      </c>
      <c r="T13" s="23">
        <v>16983</v>
      </c>
      <c r="U13" s="23" t="s">
        <v>260</v>
      </c>
      <c r="V13" s="133" t="s">
        <v>767</v>
      </c>
    </row>
    <row r="14" spans="2:22" ht="66.75" customHeight="1" x14ac:dyDescent="0.2">
      <c r="B14" s="23" t="s">
        <v>413</v>
      </c>
      <c r="C14" s="23" t="s">
        <v>414</v>
      </c>
      <c r="D14" s="23" t="s">
        <v>415</v>
      </c>
      <c r="E14" s="128" t="s">
        <v>1047</v>
      </c>
      <c r="F14" s="23" t="s">
        <v>122</v>
      </c>
      <c r="G14" s="23" t="s">
        <v>301</v>
      </c>
      <c r="H14" s="128" t="s">
        <v>677</v>
      </c>
      <c r="I14" s="23" t="s">
        <v>19</v>
      </c>
      <c r="J14" s="23">
        <v>15000</v>
      </c>
      <c r="K14" s="23" t="s">
        <v>260</v>
      </c>
      <c r="L14" s="23" t="s">
        <v>260</v>
      </c>
      <c r="M14" s="23" t="s">
        <v>260</v>
      </c>
      <c r="N14" s="130" t="s">
        <v>260</v>
      </c>
      <c r="O14" s="130" t="s">
        <v>260</v>
      </c>
      <c r="P14" s="130" t="s">
        <v>260</v>
      </c>
      <c r="Q14" s="130" t="s">
        <v>260</v>
      </c>
      <c r="R14" s="23" t="s">
        <v>260</v>
      </c>
      <c r="S14" s="23" t="s">
        <v>260</v>
      </c>
      <c r="T14" s="23" t="s">
        <v>260</v>
      </c>
      <c r="U14" s="23" t="s">
        <v>260</v>
      </c>
      <c r="V14" s="133" t="s">
        <v>400</v>
      </c>
    </row>
    <row r="15" spans="2:22" ht="66.75" customHeight="1" x14ac:dyDescent="0.2">
      <c r="B15" s="23" t="s">
        <v>410</v>
      </c>
      <c r="C15" s="23" t="s">
        <v>411</v>
      </c>
      <c r="D15" s="23" t="s">
        <v>412</v>
      </c>
      <c r="E15" s="128" t="s">
        <v>1048</v>
      </c>
      <c r="F15" s="128" t="s">
        <v>122</v>
      </c>
      <c r="G15" s="128" t="s">
        <v>276</v>
      </c>
      <c r="H15" s="128" t="s">
        <v>676</v>
      </c>
      <c r="I15" s="23" t="s">
        <v>19</v>
      </c>
      <c r="J15" s="23">
        <v>40000</v>
      </c>
      <c r="K15" s="23" t="s">
        <v>260</v>
      </c>
      <c r="L15" s="23" t="s">
        <v>260</v>
      </c>
      <c r="M15" s="23" t="s">
        <v>260</v>
      </c>
      <c r="N15" s="130" t="s">
        <v>260</v>
      </c>
      <c r="O15" s="130" t="s">
        <v>260</v>
      </c>
      <c r="P15" s="130" t="s">
        <v>260</v>
      </c>
      <c r="Q15" s="130" t="s">
        <v>260</v>
      </c>
      <c r="R15" s="131" t="s">
        <v>260</v>
      </c>
      <c r="S15" s="23" t="s">
        <v>260</v>
      </c>
      <c r="T15" s="23" t="s">
        <v>260</v>
      </c>
      <c r="U15" s="23" t="s">
        <v>260</v>
      </c>
      <c r="V15" s="133" t="s">
        <v>400</v>
      </c>
    </row>
    <row r="16" spans="2:22" ht="66.75" customHeight="1" x14ac:dyDescent="0.2">
      <c r="B16" s="128" t="s">
        <v>277</v>
      </c>
      <c r="C16" s="128" t="s">
        <v>278</v>
      </c>
      <c r="D16" s="128" t="s">
        <v>279</v>
      </c>
      <c r="E16" s="128" t="s">
        <v>1049</v>
      </c>
      <c r="F16" s="128" t="s">
        <v>128</v>
      </c>
      <c r="G16" s="128" t="s">
        <v>185</v>
      </c>
      <c r="H16" s="141" t="s">
        <v>661</v>
      </c>
      <c r="I16" s="128" t="s">
        <v>155</v>
      </c>
      <c r="J16" s="128">
        <v>30000</v>
      </c>
      <c r="K16" s="23" t="s">
        <v>260</v>
      </c>
      <c r="L16" s="23" t="s">
        <v>260</v>
      </c>
      <c r="M16" s="23" t="s">
        <v>260</v>
      </c>
      <c r="N16" s="23" t="s">
        <v>260</v>
      </c>
      <c r="O16" s="23">
        <v>5611</v>
      </c>
      <c r="P16" s="23">
        <v>6609</v>
      </c>
      <c r="Q16" s="23" t="s">
        <v>260</v>
      </c>
      <c r="R16" s="23" t="s">
        <v>260</v>
      </c>
      <c r="S16" s="23" t="s">
        <v>260</v>
      </c>
      <c r="T16" s="23" t="s">
        <v>260</v>
      </c>
      <c r="U16" s="23" t="s">
        <v>260</v>
      </c>
      <c r="V16" s="23"/>
    </row>
    <row r="17" spans="2:22" ht="66.75" customHeight="1" x14ac:dyDescent="0.2">
      <c r="B17" s="128" t="s">
        <v>391</v>
      </c>
      <c r="C17" s="128" t="s">
        <v>388</v>
      </c>
      <c r="D17" s="128" t="s">
        <v>392</v>
      </c>
      <c r="E17" s="128" t="s">
        <v>1050</v>
      </c>
      <c r="F17" s="128" t="s">
        <v>128</v>
      </c>
      <c r="G17" s="128" t="s">
        <v>366</v>
      </c>
      <c r="H17" s="141" t="s">
        <v>661</v>
      </c>
      <c r="I17" s="128" t="s">
        <v>19</v>
      </c>
      <c r="J17" s="128">
        <v>16500</v>
      </c>
      <c r="K17" s="23">
        <v>7395</v>
      </c>
      <c r="L17" s="23">
        <v>10451</v>
      </c>
      <c r="M17" s="23">
        <v>12377</v>
      </c>
      <c r="N17" s="23">
        <v>12936</v>
      </c>
      <c r="O17" s="23">
        <v>13020</v>
      </c>
      <c r="P17" s="23">
        <v>13981</v>
      </c>
      <c r="Q17" s="23">
        <v>11612</v>
      </c>
      <c r="R17" s="23">
        <v>9252</v>
      </c>
      <c r="S17" s="23" t="s">
        <v>260</v>
      </c>
      <c r="T17" s="23" t="s">
        <v>260</v>
      </c>
      <c r="U17" s="23" t="s">
        <v>260</v>
      </c>
      <c r="V17" s="23" t="s">
        <v>894</v>
      </c>
    </row>
    <row r="18" spans="2:22" ht="66.75" customHeight="1" x14ac:dyDescent="0.2">
      <c r="B18" s="128" t="s">
        <v>393</v>
      </c>
      <c r="C18" s="128" t="s">
        <v>388</v>
      </c>
      <c r="D18" s="128" t="s">
        <v>394</v>
      </c>
      <c r="E18" s="128" t="s">
        <v>1051</v>
      </c>
      <c r="F18" s="128" t="s">
        <v>128</v>
      </c>
      <c r="G18" s="128" t="s">
        <v>239</v>
      </c>
      <c r="H18" s="128" t="s">
        <v>661</v>
      </c>
      <c r="I18" s="128" t="s">
        <v>19</v>
      </c>
      <c r="J18" s="128">
        <v>18000</v>
      </c>
      <c r="K18" s="23">
        <v>10052</v>
      </c>
      <c r="L18" s="23">
        <v>11913</v>
      </c>
      <c r="M18" s="23">
        <v>13160</v>
      </c>
      <c r="N18" s="130">
        <v>12505</v>
      </c>
      <c r="O18" s="130">
        <v>10310.48</v>
      </c>
      <c r="P18" s="130">
        <v>9617</v>
      </c>
      <c r="Q18" s="130">
        <v>7314</v>
      </c>
      <c r="R18" s="131" t="s">
        <v>260</v>
      </c>
      <c r="S18" s="23" t="s">
        <v>260</v>
      </c>
      <c r="T18" s="23" t="s">
        <v>260</v>
      </c>
      <c r="U18" s="23" t="s">
        <v>260</v>
      </c>
      <c r="V18" s="133" t="s">
        <v>395</v>
      </c>
    </row>
    <row r="19" spans="2:22" ht="66.75" customHeight="1" x14ac:dyDescent="0.2">
      <c r="B19" s="128" t="s">
        <v>387</v>
      </c>
      <c r="C19" s="128" t="s">
        <v>388</v>
      </c>
      <c r="D19" s="128" t="s">
        <v>390</v>
      </c>
      <c r="E19" s="128" t="s">
        <v>1052</v>
      </c>
      <c r="F19" s="128" t="s">
        <v>128</v>
      </c>
      <c r="G19" s="128" t="s">
        <v>239</v>
      </c>
      <c r="H19" s="128" t="s">
        <v>661</v>
      </c>
      <c r="I19" s="128" t="s">
        <v>19</v>
      </c>
      <c r="J19" s="128">
        <v>28500</v>
      </c>
      <c r="K19" s="23">
        <v>22290</v>
      </c>
      <c r="L19" s="23">
        <v>24040</v>
      </c>
      <c r="M19" s="23">
        <v>25064</v>
      </c>
      <c r="N19" s="130">
        <v>22514</v>
      </c>
      <c r="O19" s="130">
        <v>22649.46</v>
      </c>
      <c r="P19" s="130">
        <v>17070</v>
      </c>
      <c r="Q19" s="130">
        <v>5535</v>
      </c>
      <c r="R19" s="23">
        <v>16963</v>
      </c>
      <c r="S19" s="23">
        <v>10522</v>
      </c>
      <c r="T19" s="23">
        <v>12919</v>
      </c>
      <c r="U19" s="23" t="s">
        <v>260</v>
      </c>
      <c r="V19" s="133" t="s">
        <v>895</v>
      </c>
    </row>
    <row r="20" spans="2:22" ht="66.75" customHeight="1" x14ac:dyDescent="0.2">
      <c r="B20" s="128" t="s">
        <v>389</v>
      </c>
      <c r="C20" s="128" t="s">
        <v>388</v>
      </c>
      <c r="D20" s="128" t="s">
        <v>238</v>
      </c>
      <c r="E20" s="128" t="s">
        <v>1053</v>
      </c>
      <c r="F20" s="128" t="s">
        <v>128</v>
      </c>
      <c r="G20" s="128" t="s">
        <v>239</v>
      </c>
      <c r="H20" s="128" t="s">
        <v>661</v>
      </c>
      <c r="I20" s="128" t="s">
        <v>19</v>
      </c>
      <c r="J20" s="128">
        <v>25500</v>
      </c>
      <c r="K20" s="23">
        <v>17256</v>
      </c>
      <c r="L20" s="23">
        <v>14500</v>
      </c>
      <c r="M20" s="23">
        <v>17842</v>
      </c>
      <c r="N20" s="130">
        <v>17253</v>
      </c>
      <c r="O20" s="130">
        <v>15737</v>
      </c>
      <c r="P20" s="130">
        <v>16153</v>
      </c>
      <c r="Q20" s="130">
        <v>16056</v>
      </c>
      <c r="R20" s="23">
        <v>16632</v>
      </c>
      <c r="S20" s="23">
        <v>16191</v>
      </c>
      <c r="T20" s="23">
        <v>7796</v>
      </c>
      <c r="U20" s="23" t="s">
        <v>260</v>
      </c>
      <c r="V20" s="133" t="s">
        <v>896</v>
      </c>
    </row>
    <row r="21" spans="2:22" x14ac:dyDescent="0.2">
      <c r="B21" s="160" t="s">
        <v>33</v>
      </c>
      <c r="C21" s="160"/>
      <c r="D21" s="160"/>
      <c r="E21" s="160"/>
      <c r="F21" s="160"/>
      <c r="G21" s="160"/>
      <c r="H21" s="160"/>
      <c r="I21" s="160"/>
      <c r="J21" s="160">
        <f>SUM(J6:J20)</f>
        <v>432853</v>
      </c>
      <c r="K21" s="160">
        <f t="shared" ref="K21:U21" si="0">SUM(K6:K20)</f>
        <v>128401</v>
      </c>
      <c r="L21" s="160">
        <f t="shared" si="0"/>
        <v>123532</v>
      </c>
      <c r="M21" s="160">
        <f t="shared" si="0"/>
        <v>90340</v>
      </c>
      <c r="N21" s="160">
        <f t="shared" si="0"/>
        <v>103924</v>
      </c>
      <c r="O21" s="160">
        <f t="shared" si="0"/>
        <v>99015.739999999991</v>
      </c>
      <c r="P21" s="160">
        <f t="shared" si="0"/>
        <v>107836</v>
      </c>
      <c r="Q21" s="160">
        <f t="shared" si="0"/>
        <v>86125</v>
      </c>
      <c r="R21" s="160">
        <f t="shared" si="0"/>
        <v>92636</v>
      </c>
      <c r="S21" s="160">
        <f t="shared" si="0"/>
        <v>71131</v>
      </c>
      <c r="T21" s="160">
        <f t="shared" si="0"/>
        <v>54036</v>
      </c>
      <c r="U21" s="160">
        <f t="shared" si="0"/>
        <v>0</v>
      </c>
      <c r="V21" s="160"/>
    </row>
  </sheetData>
  <autoFilter ref="B5:V21">
    <sortState ref="B6:U20">
      <sortCondition ref="I5:I20"/>
    </sortState>
  </autoFilter>
  <pageMargins left="0.70866141732283472" right="0.70866141732283472" top="0.74803149606299213" bottom="0.74803149606299213" header="0.31496062992125984" footer="0.31496062992125984"/>
  <pageSetup paperSize="8" scale="72" fitToHeight="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K56"/>
  <sheetViews>
    <sheetView showGridLines="0" workbookViewId="0"/>
  </sheetViews>
  <sheetFormatPr defaultRowHeight="15" x14ac:dyDescent="0.2"/>
  <cols>
    <col min="1" max="1" width="1.7109375" style="25" customWidth="1"/>
    <col min="2" max="2" width="11.85546875" style="25" customWidth="1"/>
    <col min="3" max="3" width="14" style="25" customWidth="1"/>
    <col min="4" max="4" width="20.28515625" style="25" customWidth="1"/>
    <col min="5" max="5" width="36.5703125" style="25" customWidth="1"/>
    <col min="6" max="6" width="11.5703125" style="25" customWidth="1"/>
    <col min="7" max="7" width="15.85546875" style="25" customWidth="1"/>
    <col min="8" max="8" width="18.140625" style="25" customWidth="1"/>
    <col min="9" max="9" width="23.7109375" style="25" customWidth="1"/>
    <col min="10" max="10" width="18.5703125" style="25" customWidth="1"/>
    <col min="11" max="11" width="36.42578125" style="25" customWidth="1"/>
    <col min="12" max="16384" width="9.140625" style="25"/>
  </cols>
  <sheetData>
    <row r="1" spans="2:11" x14ac:dyDescent="0.2">
      <c r="B1" s="26"/>
      <c r="C1" s="26"/>
      <c r="D1" s="26"/>
      <c r="E1" s="26"/>
      <c r="F1" s="26"/>
      <c r="G1" s="26"/>
      <c r="H1" s="26"/>
      <c r="I1" s="26"/>
      <c r="J1" s="26"/>
    </row>
    <row r="2" spans="2:11" ht="15.75" customHeight="1" x14ac:dyDescent="0.25">
      <c r="B2" s="18" t="s">
        <v>957</v>
      </c>
      <c r="C2" s="24"/>
      <c r="D2" s="24"/>
      <c r="E2" s="24"/>
      <c r="F2" s="24"/>
      <c r="G2" s="24"/>
      <c r="H2" s="24"/>
      <c r="I2" s="24"/>
      <c r="J2" s="24"/>
    </row>
    <row r="3" spans="2:11" ht="18.75" x14ac:dyDescent="0.2">
      <c r="B3" s="28" t="s">
        <v>651</v>
      </c>
      <c r="C3" s="29"/>
      <c r="D3" s="29"/>
      <c r="E3" s="29"/>
      <c r="F3" s="29"/>
      <c r="G3" s="29"/>
      <c r="H3" s="29"/>
      <c r="I3" s="27"/>
      <c r="J3" s="27"/>
    </row>
    <row r="5" spans="2:11" ht="38.25" x14ac:dyDescent="0.2">
      <c r="B5" s="30" t="s">
        <v>158</v>
      </c>
      <c r="C5" s="30" t="s">
        <v>160</v>
      </c>
      <c r="D5" s="30" t="s">
        <v>769</v>
      </c>
      <c r="E5" s="21" t="s">
        <v>161</v>
      </c>
      <c r="F5" s="31" t="s">
        <v>616</v>
      </c>
      <c r="G5" s="31" t="s">
        <v>768</v>
      </c>
      <c r="H5" s="31" t="s">
        <v>652</v>
      </c>
      <c r="I5" s="31" t="s">
        <v>162</v>
      </c>
      <c r="J5" s="31" t="s">
        <v>397</v>
      </c>
      <c r="K5" s="20" t="s">
        <v>654</v>
      </c>
    </row>
    <row r="6" spans="2:11" ht="42" customHeight="1" x14ac:dyDescent="0.2">
      <c r="B6" s="23" t="s">
        <v>497</v>
      </c>
      <c r="C6" s="23" t="s">
        <v>498</v>
      </c>
      <c r="D6" s="23" t="s">
        <v>499</v>
      </c>
      <c r="E6" s="128" t="s">
        <v>988</v>
      </c>
      <c r="F6" s="23" t="s">
        <v>740</v>
      </c>
      <c r="G6" s="23" t="s">
        <v>474</v>
      </c>
      <c r="H6" s="145" t="s">
        <v>675</v>
      </c>
      <c r="I6" s="128" t="s">
        <v>76</v>
      </c>
      <c r="J6" s="23">
        <v>94000</v>
      </c>
      <c r="K6" s="23" t="s">
        <v>500</v>
      </c>
    </row>
    <row r="7" spans="2:11" ht="38.25" x14ac:dyDescent="0.2">
      <c r="B7" s="154" t="s">
        <v>465</v>
      </c>
      <c r="C7" s="154" t="s">
        <v>466</v>
      </c>
      <c r="D7" s="154" t="s">
        <v>467</v>
      </c>
      <c r="E7" s="128" t="s">
        <v>989</v>
      </c>
      <c r="F7" s="155" t="s">
        <v>67</v>
      </c>
      <c r="G7" s="133" t="s">
        <v>57</v>
      </c>
      <c r="H7" s="145" t="s">
        <v>662</v>
      </c>
      <c r="I7" s="128" t="s">
        <v>76</v>
      </c>
      <c r="J7" s="157">
        <v>300000</v>
      </c>
      <c r="K7" s="23" t="s">
        <v>741</v>
      </c>
    </row>
    <row r="8" spans="2:11" ht="38.25" x14ac:dyDescent="0.2">
      <c r="B8" s="128" t="s">
        <v>479</v>
      </c>
      <c r="C8" s="128" t="s">
        <v>480</v>
      </c>
      <c r="D8" s="128" t="s">
        <v>481</v>
      </c>
      <c r="E8" s="128" t="s">
        <v>1007</v>
      </c>
      <c r="F8" s="128" t="s">
        <v>67</v>
      </c>
      <c r="G8" s="128" t="s">
        <v>56</v>
      </c>
      <c r="H8" s="145" t="s">
        <v>662</v>
      </c>
      <c r="I8" s="128" t="s">
        <v>76</v>
      </c>
      <c r="J8" s="128">
        <v>200000</v>
      </c>
      <c r="K8" s="23" t="s">
        <v>959</v>
      </c>
    </row>
    <row r="9" spans="2:11" ht="38.25" x14ac:dyDescent="0.2">
      <c r="B9" s="23" t="s">
        <v>521</v>
      </c>
      <c r="C9" s="23" t="s">
        <v>522</v>
      </c>
      <c r="D9" s="23" t="s">
        <v>523</v>
      </c>
      <c r="E9" s="128" t="s">
        <v>990</v>
      </c>
      <c r="F9" s="23" t="s">
        <v>67</v>
      </c>
      <c r="G9" s="23" t="s">
        <v>60</v>
      </c>
      <c r="H9" s="145" t="s">
        <v>662</v>
      </c>
      <c r="I9" s="128" t="s">
        <v>76</v>
      </c>
      <c r="J9" s="23">
        <v>75000</v>
      </c>
      <c r="K9" s="133" t="s">
        <v>960</v>
      </c>
    </row>
    <row r="10" spans="2:11" ht="38.25" x14ac:dyDescent="0.2">
      <c r="B10" s="128" t="s">
        <v>524</v>
      </c>
      <c r="C10" s="128" t="s">
        <v>525</v>
      </c>
      <c r="D10" s="128" t="s">
        <v>526</v>
      </c>
      <c r="E10" s="128" t="s">
        <v>1008</v>
      </c>
      <c r="F10" s="128" t="s">
        <v>67</v>
      </c>
      <c r="G10" s="128" t="s">
        <v>56</v>
      </c>
      <c r="H10" s="145" t="s">
        <v>662</v>
      </c>
      <c r="I10" s="128" t="s">
        <v>527</v>
      </c>
      <c r="J10" s="128">
        <v>30000</v>
      </c>
      <c r="K10" s="23" t="s">
        <v>961</v>
      </c>
    </row>
    <row r="11" spans="2:11" ht="38.25" x14ac:dyDescent="0.2">
      <c r="B11" s="128" t="s">
        <v>742</v>
      </c>
      <c r="C11" s="128" t="s">
        <v>743</v>
      </c>
      <c r="D11" s="128" t="s">
        <v>744</v>
      </c>
      <c r="E11" s="128" t="s">
        <v>1009</v>
      </c>
      <c r="F11" s="128" t="s">
        <v>67</v>
      </c>
      <c r="G11" s="128" t="s">
        <v>60</v>
      </c>
      <c r="H11" s="145" t="s">
        <v>662</v>
      </c>
      <c r="I11" s="128" t="s">
        <v>76</v>
      </c>
      <c r="J11" s="128">
        <v>160000</v>
      </c>
      <c r="K11" s="133" t="s">
        <v>958</v>
      </c>
    </row>
    <row r="12" spans="2:11" ht="38.25" x14ac:dyDescent="0.2">
      <c r="B12" s="128" t="s">
        <v>695</v>
      </c>
      <c r="C12" s="128" t="s">
        <v>696</v>
      </c>
      <c r="D12" s="128" t="s">
        <v>697</v>
      </c>
      <c r="E12" s="141" t="s">
        <v>699</v>
      </c>
      <c r="F12" s="128" t="s">
        <v>67</v>
      </c>
      <c r="G12" s="128" t="s">
        <v>698</v>
      </c>
      <c r="H12" s="145" t="s">
        <v>680</v>
      </c>
      <c r="I12" s="128" t="s">
        <v>76</v>
      </c>
      <c r="J12" s="128">
        <v>53600</v>
      </c>
      <c r="K12" s="133" t="s">
        <v>755</v>
      </c>
    </row>
    <row r="13" spans="2:11" ht="38.25" x14ac:dyDescent="0.2">
      <c r="B13" s="179" t="s">
        <v>899</v>
      </c>
      <c r="C13" s="179" t="s">
        <v>900</v>
      </c>
      <c r="D13" s="179" t="s">
        <v>901</v>
      </c>
      <c r="E13" s="180" t="s">
        <v>1021</v>
      </c>
      <c r="F13" s="128" t="s">
        <v>67</v>
      </c>
      <c r="G13" s="133" t="s">
        <v>59</v>
      </c>
      <c r="H13" s="145" t="s">
        <v>680</v>
      </c>
      <c r="I13" s="128" t="s">
        <v>76</v>
      </c>
      <c r="J13" s="128">
        <v>72000</v>
      </c>
      <c r="K13" s="133" t="s">
        <v>964</v>
      </c>
    </row>
    <row r="14" spans="2:11" ht="38.25" x14ac:dyDescent="0.2">
      <c r="B14" s="138" t="s">
        <v>902</v>
      </c>
      <c r="C14" s="138" t="s">
        <v>903</v>
      </c>
      <c r="D14" s="138" t="s">
        <v>904</v>
      </c>
      <c r="E14" s="128" t="s">
        <v>962</v>
      </c>
      <c r="F14" s="128" t="s">
        <v>67</v>
      </c>
      <c r="G14" s="138" t="s">
        <v>60</v>
      </c>
      <c r="H14" s="145" t="s">
        <v>662</v>
      </c>
      <c r="I14" s="133" t="s">
        <v>76</v>
      </c>
      <c r="J14" s="139">
        <v>70000</v>
      </c>
      <c r="K14" s="133" t="s">
        <v>963</v>
      </c>
    </row>
    <row r="15" spans="2:11" ht="38.25" x14ac:dyDescent="0.2">
      <c r="B15" s="23" t="s">
        <v>416</v>
      </c>
      <c r="C15" s="23" t="s">
        <v>417</v>
      </c>
      <c r="D15" s="23" t="s">
        <v>418</v>
      </c>
      <c r="E15" s="128" t="s">
        <v>1010</v>
      </c>
      <c r="F15" s="23" t="s">
        <v>123</v>
      </c>
      <c r="G15" s="23" t="s">
        <v>196</v>
      </c>
      <c r="H15" s="145" t="s">
        <v>675</v>
      </c>
      <c r="I15" s="128" t="s">
        <v>76</v>
      </c>
      <c r="J15" s="23">
        <v>85000</v>
      </c>
      <c r="K15" s="133" t="s">
        <v>419</v>
      </c>
    </row>
    <row r="16" spans="2:11" ht="38.25" x14ac:dyDescent="0.2">
      <c r="B16" s="128" t="s">
        <v>704</v>
      </c>
      <c r="C16" s="128" t="s">
        <v>705</v>
      </c>
      <c r="D16" s="128" t="s">
        <v>706</v>
      </c>
      <c r="E16" s="128" t="s">
        <v>707</v>
      </c>
      <c r="F16" s="128" t="s">
        <v>123</v>
      </c>
      <c r="G16" s="128" t="s">
        <v>513</v>
      </c>
      <c r="H16" s="145" t="s">
        <v>686</v>
      </c>
      <c r="I16" s="128" t="s">
        <v>708</v>
      </c>
      <c r="J16" s="128">
        <v>86000</v>
      </c>
      <c r="K16" s="133" t="s">
        <v>905</v>
      </c>
    </row>
    <row r="17" spans="2:11" ht="25.5" x14ac:dyDescent="0.2">
      <c r="B17" s="138" t="s">
        <v>906</v>
      </c>
      <c r="C17" s="138" t="s">
        <v>907</v>
      </c>
      <c r="D17" s="138" t="s">
        <v>908</v>
      </c>
      <c r="E17" s="128" t="s">
        <v>909</v>
      </c>
      <c r="F17" s="128" t="s">
        <v>123</v>
      </c>
      <c r="G17" s="138" t="s">
        <v>910</v>
      </c>
      <c r="H17" s="145" t="s">
        <v>666</v>
      </c>
      <c r="I17" s="133" t="s">
        <v>911</v>
      </c>
      <c r="J17" s="139">
        <v>535000</v>
      </c>
      <c r="K17" s="133" t="s">
        <v>912</v>
      </c>
    </row>
    <row r="18" spans="2:11" ht="25.5" x14ac:dyDescent="0.2">
      <c r="B18" s="128" t="s">
        <v>913</v>
      </c>
      <c r="C18" s="128" t="s">
        <v>914</v>
      </c>
      <c r="D18" s="128" t="s">
        <v>915</v>
      </c>
      <c r="E18" s="128" t="s">
        <v>1011</v>
      </c>
      <c r="F18" s="128" t="s">
        <v>123</v>
      </c>
      <c r="G18" s="128" t="s">
        <v>513</v>
      </c>
      <c r="H18" s="145" t="s">
        <v>686</v>
      </c>
      <c r="I18" s="128" t="s">
        <v>76</v>
      </c>
      <c r="J18" s="128">
        <v>112915</v>
      </c>
      <c r="K18" s="23" t="s">
        <v>916</v>
      </c>
    </row>
    <row r="19" spans="2:11" ht="38.25" x14ac:dyDescent="0.2">
      <c r="B19" s="138" t="s">
        <v>440</v>
      </c>
      <c r="C19" s="138" t="s">
        <v>441</v>
      </c>
      <c r="D19" s="138" t="s">
        <v>442</v>
      </c>
      <c r="E19" s="128" t="s">
        <v>991</v>
      </c>
      <c r="F19" s="152" t="s">
        <v>124</v>
      </c>
      <c r="G19" s="138" t="s">
        <v>383</v>
      </c>
      <c r="H19" s="145" t="s">
        <v>686</v>
      </c>
      <c r="I19" s="128" t="s">
        <v>76</v>
      </c>
      <c r="J19" s="139">
        <v>120000</v>
      </c>
      <c r="K19" s="133" t="s">
        <v>965</v>
      </c>
    </row>
    <row r="20" spans="2:11" ht="25.5" x14ac:dyDescent="0.2">
      <c r="B20" s="154" t="s">
        <v>447</v>
      </c>
      <c r="C20" s="154" t="s">
        <v>448</v>
      </c>
      <c r="D20" s="154" t="s">
        <v>383</v>
      </c>
      <c r="E20" s="128" t="s">
        <v>992</v>
      </c>
      <c r="F20" s="181" t="s">
        <v>124</v>
      </c>
      <c r="G20" s="138" t="s">
        <v>383</v>
      </c>
      <c r="H20" s="145" t="s">
        <v>686</v>
      </c>
      <c r="I20" s="158" t="s">
        <v>76</v>
      </c>
      <c r="J20" s="157">
        <v>105000</v>
      </c>
      <c r="K20" s="23" t="s">
        <v>966</v>
      </c>
    </row>
    <row r="21" spans="2:11" ht="25.5" x14ac:dyDescent="0.2">
      <c r="B21" s="154" t="s">
        <v>450</v>
      </c>
      <c r="C21" s="154" t="s">
        <v>451</v>
      </c>
      <c r="D21" s="154" t="s">
        <v>452</v>
      </c>
      <c r="E21" s="128" t="s">
        <v>993</v>
      </c>
      <c r="F21" s="181" t="s">
        <v>124</v>
      </c>
      <c r="G21" s="138" t="s">
        <v>203</v>
      </c>
      <c r="H21" s="145" t="s">
        <v>686</v>
      </c>
      <c r="I21" s="128" t="s">
        <v>265</v>
      </c>
      <c r="J21" s="159">
        <v>60000</v>
      </c>
      <c r="K21" s="23" t="s">
        <v>967</v>
      </c>
    </row>
    <row r="22" spans="2:11" ht="51" x14ac:dyDescent="0.2">
      <c r="B22" s="23" t="s">
        <v>506</v>
      </c>
      <c r="C22" s="23" t="s">
        <v>507</v>
      </c>
      <c r="D22" s="23" t="s">
        <v>508</v>
      </c>
      <c r="E22" s="128" t="s">
        <v>1012</v>
      </c>
      <c r="F22" s="153" t="s">
        <v>760</v>
      </c>
      <c r="G22" s="23" t="s">
        <v>509</v>
      </c>
      <c r="H22" s="145" t="s">
        <v>677</v>
      </c>
      <c r="I22" s="128" t="s">
        <v>76</v>
      </c>
      <c r="J22" s="23">
        <v>190000</v>
      </c>
      <c r="K22" s="23" t="s">
        <v>917</v>
      </c>
    </row>
    <row r="23" spans="2:11" ht="51" x14ac:dyDescent="0.2">
      <c r="B23" s="23" t="s">
        <v>443</v>
      </c>
      <c r="C23" s="23" t="s">
        <v>444</v>
      </c>
      <c r="D23" s="23" t="s">
        <v>445</v>
      </c>
      <c r="E23" s="128" t="s">
        <v>994</v>
      </c>
      <c r="F23" s="153" t="s">
        <v>119</v>
      </c>
      <c r="G23" s="23" t="s">
        <v>320</v>
      </c>
      <c r="H23" s="145" t="s">
        <v>684</v>
      </c>
      <c r="I23" s="128" t="s">
        <v>76</v>
      </c>
      <c r="J23" s="23">
        <v>385000</v>
      </c>
      <c r="K23" s="133" t="s">
        <v>968</v>
      </c>
    </row>
    <row r="24" spans="2:11" ht="38.25" x14ac:dyDescent="0.2">
      <c r="B24" s="138" t="s">
        <v>723</v>
      </c>
      <c r="C24" s="138" t="s">
        <v>724</v>
      </c>
      <c r="D24" s="138" t="s">
        <v>725</v>
      </c>
      <c r="E24" s="128" t="s">
        <v>726</v>
      </c>
      <c r="F24" s="152" t="s">
        <v>119</v>
      </c>
      <c r="G24" s="138" t="s">
        <v>320</v>
      </c>
      <c r="H24" s="145" t="s">
        <v>684</v>
      </c>
      <c r="I24" s="133" t="s">
        <v>76</v>
      </c>
      <c r="J24" s="139">
        <v>385000</v>
      </c>
      <c r="K24" s="133" t="s">
        <v>969</v>
      </c>
    </row>
    <row r="25" spans="2:11" ht="38.25" x14ac:dyDescent="0.2">
      <c r="B25" s="138" t="s">
        <v>756</v>
      </c>
      <c r="C25" s="138" t="s">
        <v>757</v>
      </c>
      <c r="D25" s="138" t="s">
        <v>758</v>
      </c>
      <c r="E25" s="241" t="s">
        <v>995</v>
      </c>
      <c r="F25" s="152" t="s">
        <v>119</v>
      </c>
      <c r="G25" s="138" t="s">
        <v>759</v>
      </c>
      <c r="H25" s="145" t="s">
        <v>684</v>
      </c>
      <c r="I25" s="128" t="s">
        <v>76</v>
      </c>
      <c r="J25" s="139">
        <v>52800</v>
      </c>
      <c r="K25" s="133" t="s">
        <v>970</v>
      </c>
    </row>
    <row r="26" spans="2:11" ht="38.25" x14ac:dyDescent="0.2">
      <c r="B26" s="138" t="s">
        <v>518</v>
      </c>
      <c r="C26" s="138" t="s">
        <v>498</v>
      </c>
      <c r="D26" s="138" t="s">
        <v>519</v>
      </c>
      <c r="E26" s="128" t="s">
        <v>1013</v>
      </c>
      <c r="F26" s="182" t="s">
        <v>119</v>
      </c>
      <c r="G26" s="133" t="s">
        <v>427</v>
      </c>
      <c r="H26" s="145" t="s">
        <v>661</v>
      </c>
      <c r="I26" s="128" t="s">
        <v>76</v>
      </c>
      <c r="J26" s="157">
        <v>320000</v>
      </c>
      <c r="K26" s="23" t="s">
        <v>690</v>
      </c>
    </row>
    <row r="27" spans="2:11" ht="38.25" x14ac:dyDescent="0.2">
      <c r="B27" s="133" t="s">
        <v>918</v>
      </c>
      <c r="C27" s="133" t="s">
        <v>919</v>
      </c>
      <c r="D27" s="133" t="s">
        <v>920</v>
      </c>
      <c r="E27" s="133" t="s">
        <v>921</v>
      </c>
      <c r="F27" s="152" t="s">
        <v>119</v>
      </c>
      <c r="G27" s="133" t="s">
        <v>320</v>
      </c>
      <c r="H27" s="145" t="s">
        <v>684</v>
      </c>
      <c r="I27" s="128" t="s">
        <v>922</v>
      </c>
      <c r="J27" s="128">
        <v>395000</v>
      </c>
      <c r="K27" s="133" t="s">
        <v>923</v>
      </c>
    </row>
    <row r="28" spans="2:11" ht="38.25" x14ac:dyDescent="0.2">
      <c r="B28" s="128" t="s">
        <v>456</v>
      </c>
      <c r="C28" s="128" t="s">
        <v>457</v>
      </c>
      <c r="D28" s="128" t="s">
        <v>458</v>
      </c>
      <c r="E28" s="128" t="s">
        <v>996</v>
      </c>
      <c r="F28" s="152" t="s">
        <v>120</v>
      </c>
      <c r="G28" s="128" t="s">
        <v>205</v>
      </c>
      <c r="H28" s="145" t="s">
        <v>669</v>
      </c>
      <c r="I28" s="128" t="s">
        <v>265</v>
      </c>
      <c r="J28" s="128">
        <v>200000</v>
      </c>
      <c r="K28" s="23" t="s">
        <v>747</v>
      </c>
    </row>
    <row r="29" spans="2:11" ht="38.25" x14ac:dyDescent="0.2">
      <c r="B29" s="138" t="s">
        <v>468</v>
      </c>
      <c r="C29" s="138" t="s">
        <v>469</v>
      </c>
      <c r="D29" s="138" t="s">
        <v>470</v>
      </c>
      <c r="E29" s="128" t="s">
        <v>997</v>
      </c>
      <c r="F29" s="182" t="s">
        <v>120</v>
      </c>
      <c r="G29" s="133" t="s">
        <v>182</v>
      </c>
      <c r="H29" s="145" t="s">
        <v>669</v>
      </c>
      <c r="I29" s="128" t="s">
        <v>76</v>
      </c>
      <c r="J29" s="157">
        <v>670000</v>
      </c>
      <c r="K29" s="23" t="s">
        <v>971</v>
      </c>
    </row>
    <row r="30" spans="2:11" ht="38.25" x14ac:dyDescent="0.2">
      <c r="B30" s="179" t="s">
        <v>492</v>
      </c>
      <c r="C30" s="179" t="s">
        <v>493</v>
      </c>
      <c r="D30" s="179" t="s">
        <v>494</v>
      </c>
      <c r="E30" s="180" t="s">
        <v>998</v>
      </c>
      <c r="F30" s="152" t="s">
        <v>120</v>
      </c>
      <c r="G30" s="133" t="s">
        <v>386</v>
      </c>
      <c r="H30" s="145" t="s">
        <v>669</v>
      </c>
      <c r="I30" s="128" t="s">
        <v>76</v>
      </c>
      <c r="J30" s="128">
        <v>96000</v>
      </c>
      <c r="K30" s="133" t="s">
        <v>972</v>
      </c>
    </row>
    <row r="31" spans="2:11" ht="38.25" x14ac:dyDescent="0.2">
      <c r="B31" s="133" t="s">
        <v>748</v>
      </c>
      <c r="C31" s="133" t="s">
        <v>749</v>
      </c>
      <c r="D31" s="133" t="s">
        <v>501</v>
      </c>
      <c r="E31" s="133" t="s">
        <v>1014</v>
      </c>
      <c r="F31" s="152" t="s">
        <v>120</v>
      </c>
      <c r="G31" s="128" t="s">
        <v>386</v>
      </c>
      <c r="H31" s="145" t="s">
        <v>669</v>
      </c>
      <c r="I31" s="128" t="s">
        <v>502</v>
      </c>
      <c r="J31" s="128">
        <v>147000</v>
      </c>
      <c r="K31" s="133" t="s">
        <v>973</v>
      </c>
    </row>
    <row r="32" spans="2:11" ht="51" x14ac:dyDescent="0.2">
      <c r="B32" s="133" t="s">
        <v>750</v>
      </c>
      <c r="C32" s="133" t="s">
        <v>751</v>
      </c>
      <c r="D32" s="133" t="s">
        <v>520</v>
      </c>
      <c r="E32" s="133" t="s">
        <v>1015</v>
      </c>
      <c r="F32" s="152" t="s">
        <v>120</v>
      </c>
      <c r="G32" s="133" t="s">
        <v>182</v>
      </c>
      <c r="H32" s="145" t="s">
        <v>669</v>
      </c>
      <c r="I32" s="128" t="s">
        <v>76</v>
      </c>
      <c r="J32" s="128">
        <v>600000</v>
      </c>
      <c r="K32" s="133" t="s">
        <v>500</v>
      </c>
    </row>
    <row r="33" spans="2:11" ht="38.25" x14ac:dyDescent="0.2">
      <c r="B33" s="23" t="s">
        <v>924</v>
      </c>
      <c r="C33" s="23" t="s">
        <v>925</v>
      </c>
      <c r="D33" s="23" t="s">
        <v>926</v>
      </c>
      <c r="E33" s="23" t="s">
        <v>927</v>
      </c>
      <c r="F33" s="128" t="s">
        <v>928</v>
      </c>
      <c r="G33" s="183" t="s">
        <v>182</v>
      </c>
      <c r="H33" s="145" t="s">
        <v>929</v>
      </c>
      <c r="I33" s="128" t="s">
        <v>930</v>
      </c>
      <c r="J33" s="128">
        <v>266000</v>
      </c>
      <c r="K33" s="133" t="s">
        <v>974</v>
      </c>
    </row>
    <row r="34" spans="2:11" ht="38.25" x14ac:dyDescent="0.2">
      <c r="B34" s="138" t="s">
        <v>931</v>
      </c>
      <c r="C34" s="138" t="s">
        <v>932</v>
      </c>
      <c r="D34" s="138" t="s">
        <v>933</v>
      </c>
      <c r="E34" s="128" t="s">
        <v>934</v>
      </c>
      <c r="F34" s="128" t="s">
        <v>928</v>
      </c>
      <c r="G34" s="138" t="s">
        <v>182</v>
      </c>
      <c r="H34" s="145" t="s">
        <v>929</v>
      </c>
      <c r="I34" s="128" t="s">
        <v>527</v>
      </c>
      <c r="J34" s="139">
        <v>176500</v>
      </c>
      <c r="K34" s="23" t="s">
        <v>975</v>
      </c>
    </row>
    <row r="35" spans="2:11" ht="25.5" x14ac:dyDescent="0.2">
      <c r="B35" s="133" t="s">
        <v>475</v>
      </c>
      <c r="C35" s="133" t="s">
        <v>476</v>
      </c>
      <c r="D35" s="132" t="s">
        <v>477</v>
      </c>
      <c r="E35" s="133" t="s">
        <v>999</v>
      </c>
      <c r="F35" s="128" t="s">
        <v>125</v>
      </c>
      <c r="G35" s="128" t="s">
        <v>212</v>
      </c>
      <c r="H35" s="145" t="s">
        <v>686</v>
      </c>
      <c r="I35" s="128" t="s">
        <v>76</v>
      </c>
      <c r="J35" s="128">
        <v>60000</v>
      </c>
      <c r="K35" s="133" t="s">
        <v>478</v>
      </c>
    </row>
    <row r="36" spans="2:11" ht="38.25" x14ac:dyDescent="0.2">
      <c r="B36" s="133" t="s">
        <v>510</v>
      </c>
      <c r="C36" s="133" t="s">
        <v>511</v>
      </c>
      <c r="D36" s="133" t="s">
        <v>512</v>
      </c>
      <c r="E36" s="133" t="s">
        <v>1016</v>
      </c>
      <c r="F36" s="128" t="s">
        <v>125</v>
      </c>
      <c r="G36" s="156" t="s">
        <v>513</v>
      </c>
      <c r="H36" s="145" t="s">
        <v>686</v>
      </c>
      <c r="I36" s="128" t="s">
        <v>76</v>
      </c>
      <c r="J36" s="128">
        <v>290000</v>
      </c>
      <c r="K36" s="133" t="s">
        <v>976</v>
      </c>
    </row>
    <row r="37" spans="2:11" ht="38.25" x14ac:dyDescent="0.2">
      <c r="B37" s="179" t="s">
        <v>462</v>
      </c>
      <c r="C37" s="179" t="s">
        <v>463</v>
      </c>
      <c r="D37" s="179" t="s">
        <v>464</v>
      </c>
      <c r="E37" s="180" t="s">
        <v>1017</v>
      </c>
      <c r="F37" s="128" t="s">
        <v>125</v>
      </c>
      <c r="G37" s="133" t="s">
        <v>220</v>
      </c>
      <c r="H37" s="145" t="s">
        <v>678</v>
      </c>
      <c r="I37" s="128" t="s">
        <v>76</v>
      </c>
      <c r="J37" s="128">
        <v>550000</v>
      </c>
      <c r="K37" s="133" t="s">
        <v>977</v>
      </c>
    </row>
    <row r="38" spans="2:11" ht="38.25" x14ac:dyDescent="0.2">
      <c r="B38" s="128" t="s">
        <v>514</v>
      </c>
      <c r="C38" s="128" t="s">
        <v>515</v>
      </c>
      <c r="D38" s="128" t="s">
        <v>516</v>
      </c>
      <c r="E38" s="128" t="s">
        <v>1018</v>
      </c>
      <c r="F38" s="128" t="s">
        <v>125</v>
      </c>
      <c r="G38" s="128" t="s">
        <v>517</v>
      </c>
      <c r="H38" s="145" t="s">
        <v>678</v>
      </c>
      <c r="I38" s="128" t="s">
        <v>76</v>
      </c>
      <c r="J38" s="128">
        <v>302500</v>
      </c>
      <c r="K38" s="133" t="s">
        <v>978</v>
      </c>
    </row>
    <row r="39" spans="2:11" ht="38.25" x14ac:dyDescent="0.2">
      <c r="B39" s="138" t="s">
        <v>752</v>
      </c>
      <c r="C39" s="138" t="s">
        <v>753</v>
      </c>
      <c r="D39" s="138" t="s">
        <v>754</v>
      </c>
      <c r="E39" s="128" t="s">
        <v>1019</v>
      </c>
      <c r="F39" s="138" t="s">
        <v>125</v>
      </c>
      <c r="G39" s="133" t="s">
        <v>220</v>
      </c>
      <c r="H39" s="145" t="s">
        <v>678</v>
      </c>
      <c r="I39" s="128" t="s">
        <v>76</v>
      </c>
      <c r="J39" s="157">
        <v>48000</v>
      </c>
      <c r="K39" s="133" t="s">
        <v>979</v>
      </c>
    </row>
    <row r="40" spans="2:11" ht="51" x14ac:dyDescent="0.2">
      <c r="B40" s="138" t="s">
        <v>935</v>
      </c>
      <c r="C40" s="138" t="s">
        <v>936</v>
      </c>
      <c r="D40" s="138" t="s">
        <v>937</v>
      </c>
      <c r="E40" s="128" t="s">
        <v>1006</v>
      </c>
      <c r="F40" s="152" t="s">
        <v>125</v>
      </c>
      <c r="G40" s="138" t="s">
        <v>220</v>
      </c>
      <c r="H40" s="145" t="s">
        <v>678</v>
      </c>
      <c r="I40" s="128" t="s">
        <v>76</v>
      </c>
      <c r="J40" s="139">
        <v>37500</v>
      </c>
      <c r="K40" s="133" t="s">
        <v>980</v>
      </c>
    </row>
    <row r="41" spans="2:11" ht="38.25" x14ac:dyDescent="0.2">
      <c r="B41" s="23" t="s">
        <v>745</v>
      </c>
      <c r="C41" s="23" t="s">
        <v>746</v>
      </c>
      <c r="D41" s="23" t="s">
        <v>420</v>
      </c>
      <c r="E41" s="128" t="s">
        <v>1000</v>
      </c>
      <c r="F41" s="152" t="s">
        <v>129</v>
      </c>
      <c r="G41" s="128" t="s">
        <v>229</v>
      </c>
      <c r="H41" s="128" t="s">
        <v>672</v>
      </c>
      <c r="I41" s="128" t="s">
        <v>265</v>
      </c>
      <c r="J41" s="23">
        <v>60000</v>
      </c>
      <c r="K41" s="133" t="s">
        <v>981</v>
      </c>
    </row>
    <row r="42" spans="2:11" ht="25.5" x14ac:dyDescent="0.2">
      <c r="B42" s="151" t="s">
        <v>433</v>
      </c>
      <c r="C42" s="151" t="s">
        <v>425</v>
      </c>
      <c r="D42" s="151" t="s">
        <v>434</v>
      </c>
      <c r="E42" s="201" t="s">
        <v>1020</v>
      </c>
      <c r="F42" s="23" t="s">
        <v>129</v>
      </c>
      <c r="G42" s="151" t="s">
        <v>233</v>
      </c>
      <c r="H42" s="145" t="s">
        <v>672</v>
      </c>
      <c r="I42" s="150" t="s">
        <v>76</v>
      </c>
      <c r="J42" s="151">
        <v>240000</v>
      </c>
      <c r="K42" s="23"/>
    </row>
    <row r="43" spans="2:11" ht="38.25" x14ac:dyDescent="0.2">
      <c r="B43" s="23" t="s">
        <v>424</v>
      </c>
      <c r="C43" s="23" t="s">
        <v>425</v>
      </c>
      <c r="D43" s="23" t="s">
        <v>426</v>
      </c>
      <c r="E43" s="128" t="s">
        <v>681</v>
      </c>
      <c r="F43" s="23" t="s">
        <v>129</v>
      </c>
      <c r="G43" s="23" t="s">
        <v>227</v>
      </c>
      <c r="H43" s="145" t="s">
        <v>667</v>
      </c>
      <c r="I43" s="150" t="s">
        <v>76</v>
      </c>
      <c r="J43" s="23">
        <v>100000</v>
      </c>
      <c r="K43" s="23" t="s">
        <v>982</v>
      </c>
    </row>
    <row r="44" spans="2:11" ht="38.25" x14ac:dyDescent="0.2">
      <c r="B44" s="23" t="s">
        <v>435</v>
      </c>
      <c r="C44" s="23" t="s">
        <v>436</v>
      </c>
      <c r="D44" s="23" t="s">
        <v>437</v>
      </c>
      <c r="E44" s="128" t="s">
        <v>1001</v>
      </c>
      <c r="F44" s="23" t="s">
        <v>129</v>
      </c>
      <c r="G44" s="23" t="s">
        <v>227</v>
      </c>
      <c r="H44" s="145" t="s">
        <v>667</v>
      </c>
      <c r="I44" s="128" t="s">
        <v>76</v>
      </c>
      <c r="J44" s="23">
        <v>350000</v>
      </c>
      <c r="K44" s="23" t="s">
        <v>983</v>
      </c>
    </row>
    <row r="45" spans="2:11" ht="38.25" x14ac:dyDescent="0.2">
      <c r="B45" s="133" t="s">
        <v>495</v>
      </c>
      <c r="C45" s="133" t="s">
        <v>425</v>
      </c>
      <c r="D45" s="133" t="s">
        <v>496</v>
      </c>
      <c r="E45" s="133" t="s">
        <v>689</v>
      </c>
      <c r="F45" s="128" t="s">
        <v>129</v>
      </c>
      <c r="G45" s="133" t="s">
        <v>227</v>
      </c>
      <c r="H45" s="145" t="s">
        <v>667</v>
      </c>
      <c r="I45" s="128" t="s">
        <v>76</v>
      </c>
      <c r="J45" s="128">
        <v>400000</v>
      </c>
      <c r="K45" s="133" t="s">
        <v>938</v>
      </c>
    </row>
    <row r="46" spans="2:11" ht="25.5" x14ac:dyDescent="0.2">
      <c r="B46" s="133" t="s">
        <v>714</v>
      </c>
      <c r="C46" s="133" t="s">
        <v>715</v>
      </c>
      <c r="D46" s="133" t="s">
        <v>716</v>
      </c>
      <c r="E46" s="133" t="s">
        <v>717</v>
      </c>
      <c r="F46" s="128" t="s">
        <v>129</v>
      </c>
      <c r="G46" s="133" t="s">
        <v>227</v>
      </c>
      <c r="H46" s="145" t="s">
        <v>667</v>
      </c>
      <c r="I46" s="128" t="s">
        <v>718</v>
      </c>
      <c r="J46" s="128">
        <v>250000</v>
      </c>
      <c r="K46" s="133" t="s">
        <v>687</v>
      </c>
    </row>
    <row r="47" spans="2:11" ht="51" x14ac:dyDescent="0.2">
      <c r="B47" s="138" t="s">
        <v>489</v>
      </c>
      <c r="C47" s="138" t="s">
        <v>490</v>
      </c>
      <c r="D47" s="138" t="s">
        <v>491</v>
      </c>
      <c r="E47" s="183" t="s">
        <v>1002</v>
      </c>
      <c r="F47" s="128" t="s">
        <v>122</v>
      </c>
      <c r="G47" s="138" t="s">
        <v>236</v>
      </c>
      <c r="H47" s="145" t="s">
        <v>677</v>
      </c>
      <c r="I47" s="128" t="s">
        <v>76</v>
      </c>
      <c r="J47" s="139">
        <v>200000</v>
      </c>
      <c r="K47" s="133" t="s">
        <v>984</v>
      </c>
    </row>
    <row r="48" spans="2:11" ht="38.25" x14ac:dyDescent="0.2">
      <c r="B48" s="128" t="s">
        <v>421</v>
      </c>
      <c r="C48" s="128" t="s">
        <v>422</v>
      </c>
      <c r="D48" s="128" t="s">
        <v>423</v>
      </c>
      <c r="E48" s="128" t="s">
        <v>1003</v>
      </c>
      <c r="F48" s="23" t="s">
        <v>122</v>
      </c>
      <c r="G48" s="128" t="s">
        <v>301</v>
      </c>
      <c r="H48" s="145" t="s">
        <v>676</v>
      </c>
      <c r="I48" s="23" t="s">
        <v>76</v>
      </c>
      <c r="J48" s="128">
        <v>85000</v>
      </c>
      <c r="K48" s="133" t="s">
        <v>985</v>
      </c>
    </row>
    <row r="49" spans="2:11" ht="38.25" x14ac:dyDescent="0.2">
      <c r="B49" s="138" t="s">
        <v>939</v>
      </c>
      <c r="C49" s="138" t="s">
        <v>940</v>
      </c>
      <c r="D49" s="138" t="s">
        <v>941</v>
      </c>
      <c r="E49" s="128" t="s">
        <v>1004</v>
      </c>
      <c r="F49" s="138" t="s">
        <v>122</v>
      </c>
      <c r="G49" s="138" t="s">
        <v>301</v>
      </c>
      <c r="H49" s="141" t="s">
        <v>676</v>
      </c>
      <c r="I49" s="128" t="s">
        <v>76</v>
      </c>
      <c r="J49" s="157">
        <v>240000</v>
      </c>
      <c r="K49" s="184" t="s">
        <v>942</v>
      </c>
    </row>
    <row r="50" spans="2:11" ht="38.25" x14ac:dyDescent="0.2">
      <c r="B50" s="133" t="s">
        <v>709</v>
      </c>
      <c r="C50" s="133" t="s">
        <v>710</v>
      </c>
      <c r="D50" s="133" t="s">
        <v>711</v>
      </c>
      <c r="E50" s="133" t="s">
        <v>712</v>
      </c>
      <c r="F50" s="133" t="s">
        <v>128</v>
      </c>
      <c r="G50" s="128" t="s">
        <v>185</v>
      </c>
      <c r="H50" s="141" t="s">
        <v>680</v>
      </c>
      <c r="I50" s="128" t="s">
        <v>713</v>
      </c>
      <c r="J50" s="128">
        <v>28000</v>
      </c>
      <c r="K50" s="185" t="s">
        <v>986</v>
      </c>
    </row>
    <row r="51" spans="2:11" ht="38.25" x14ac:dyDescent="0.2">
      <c r="B51" s="133" t="s">
        <v>453</v>
      </c>
      <c r="C51" s="133" t="s">
        <v>454</v>
      </c>
      <c r="D51" s="133" t="s">
        <v>455</v>
      </c>
      <c r="E51" s="133" t="s">
        <v>1005</v>
      </c>
      <c r="F51" s="152" t="s">
        <v>128</v>
      </c>
      <c r="G51" s="133" t="s">
        <v>366</v>
      </c>
      <c r="H51" s="145" t="s">
        <v>661</v>
      </c>
      <c r="I51" s="128" t="s">
        <v>265</v>
      </c>
      <c r="J51" s="128">
        <v>200000</v>
      </c>
      <c r="K51" s="133" t="s">
        <v>987</v>
      </c>
    </row>
    <row r="52" spans="2:11" ht="38.25" x14ac:dyDescent="0.2">
      <c r="B52" s="133" t="s">
        <v>691</v>
      </c>
      <c r="C52" s="133" t="s">
        <v>692</v>
      </c>
      <c r="D52" s="133" t="s">
        <v>693</v>
      </c>
      <c r="E52" s="133" t="s">
        <v>694</v>
      </c>
      <c r="F52" s="128" t="s">
        <v>128</v>
      </c>
      <c r="G52" s="133" t="s">
        <v>366</v>
      </c>
      <c r="H52" s="141" t="s">
        <v>661</v>
      </c>
      <c r="I52" s="128" t="s">
        <v>76</v>
      </c>
      <c r="J52" s="128">
        <v>45000</v>
      </c>
      <c r="K52" s="133" t="s">
        <v>987</v>
      </c>
    </row>
    <row r="53" spans="2:11" ht="51" x14ac:dyDescent="0.2">
      <c r="B53" s="133" t="s">
        <v>943</v>
      </c>
      <c r="C53" s="133" t="s">
        <v>944</v>
      </c>
      <c r="D53" s="133" t="s">
        <v>945</v>
      </c>
      <c r="E53" s="133" t="s">
        <v>946</v>
      </c>
      <c r="F53" s="128" t="s">
        <v>123</v>
      </c>
      <c r="G53" s="133" t="s">
        <v>196</v>
      </c>
      <c r="H53" s="141" t="s">
        <v>675</v>
      </c>
      <c r="I53" s="128" t="s">
        <v>502</v>
      </c>
      <c r="J53" s="128">
        <v>49000</v>
      </c>
      <c r="K53" s="133" t="s">
        <v>947</v>
      </c>
    </row>
    <row r="54" spans="2:11" ht="25.5" x14ac:dyDescent="0.2">
      <c r="B54" s="133" t="s">
        <v>948</v>
      </c>
      <c r="C54" s="133" t="s">
        <v>949</v>
      </c>
      <c r="D54" s="133" t="s">
        <v>950</v>
      </c>
      <c r="E54" s="133" t="s">
        <v>951</v>
      </c>
      <c r="F54" s="128" t="s">
        <v>124</v>
      </c>
      <c r="G54" s="133" t="s">
        <v>312</v>
      </c>
      <c r="H54" s="141" t="s">
        <v>678</v>
      </c>
      <c r="I54" s="128" t="s">
        <v>911</v>
      </c>
      <c r="J54" s="128">
        <v>100000</v>
      </c>
      <c r="K54" s="133" t="s">
        <v>947</v>
      </c>
    </row>
    <row r="55" spans="2:11" ht="38.25" x14ac:dyDescent="0.2">
      <c r="B55" s="133" t="s">
        <v>952</v>
      </c>
      <c r="C55" s="133" t="s">
        <v>953</v>
      </c>
      <c r="D55" s="133" t="s">
        <v>954</v>
      </c>
      <c r="E55" s="133" t="s">
        <v>955</v>
      </c>
      <c r="F55" s="128" t="s">
        <v>125</v>
      </c>
      <c r="G55" s="133" t="s">
        <v>409</v>
      </c>
      <c r="H55" s="141" t="s">
        <v>673</v>
      </c>
      <c r="I55" s="128" t="s">
        <v>911</v>
      </c>
      <c r="J55" s="128">
        <v>7884</v>
      </c>
      <c r="K55" s="133" t="s">
        <v>956</v>
      </c>
    </row>
    <row r="56" spans="2:11" ht="23.25" customHeight="1" x14ac:dyDescent="0.2">
      <c r="B56" s="160" t="s">
        <v>33</v>
      </c>
      <c r="C56" s="160"/>
      <c r="D56" s="160"/>
      <c r="E56" s="160"/>
      <c r="F56" s="160"/>
      <c r="G56" s="160"/>
      <c r="H56" s="160"/>
      <c r="I56" s="160"/>
      <c r="J56" s="160">
        <f>SUM(J6:J55)</f>
        <v>9684699</v>
      </c>
      <c r="K56" s="160"/>
    </row>
  </sheetData>
  <autoFilter ref="B5:K56"/>
  <pageMargins left="0.74803149606299213" right="0.74803149606299213" top="0.98425196850393704" bottom="0.98425196850393704" header="0.51181102362204722" footer="0.51181102362204722"/>
  <pageSetup paperSize="8" scale="58" orientation="portrait" verticalDpi="12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O21"/>
  <sheetViews>
    <sheetView showGridLines="0" workbookViewId="0"/>
  </sheetViews>
  <sheetFormatPr defaultRowHeight="12.75" x14ac:dyDescent="0.2"/>
  <cols>
    <col min="1" max="1" width="5.7109375" style="78" customWidth="1"/>
    <col min="2" max="2" width="17.140625" style="78" customWidth="1"/>
    <col min="3" max="3" width="8.85546875" style="78" customWidth="1"/>
    <col min="4" max="4" width="10.42578125" style="78" customWidth="1"/>
    <col min="5" max="5" width="11.7109375" style="78" customWidth="1"/>
    <col min="6" max="7" width="11.85546875" style="78" customWidth="1"/>
    <col min="8" max="8" width="11.7109375" style="78" customWidth="1"/>
    <col min="9" max="9" width="11.28515625" style="78" customWidth="1"/>
    <col min="10" max="10" width="9.5703125" style="78" customWidth="1"/>
    <col min="11" max="11" width="9.7109375" style="78" customWidth="1"/>
    <col min="12" max="12" width="14.42578125" style="78" customWidth="1"/>
    <col min="13" max="16384" width="9.140625" style="78"/>
  </cols>
  <sheetData>
    <row r="1" spans="1:12" x14ac:dyDescent="0.2">
      <c r="A1" s="242"/>
    </row>
    <row r="2" spans="1:12" ht="18.75" x14ac:dyDescent="0.2">
      <c r="B2" s="86" t="s">
        <v>1022</v>
      </c>
    </row>
    <row r="3" spans="1:12" ht="18.75" x14ac:dyDescent="0.2">
      <c r="B3" s="244" t="s">
        <v>16</v>
      </c>
    </row>
    <row r="5" spans="1:12" x14ac:dyDescent="0.2">
      <c r="B5" s="790" t="s">
        <v>12</v>
      </c>
      <c r="C5" s="827" t="s">
        <v>117</v>
      </c>
      <c r="D5" s="765"/>
      <c r="E5" s="765"/>
      <c r="F5" s="765"/>
      <c r="G5" s="765"/>
      <c r="H5" s="765"/>
      <c r="I5" s="765"/>
      <c r="J5" s="765"/>
      <c r="K5" s="765"/>
      <c r="L5" s="825" t="s">
        <v>118</v>
      </c>
    </row>
    <row r="6" spans="1:12" ht="29.25" customHeight="1" x14ac:dyDescent="0.2">
      <c r="B6" s="791"/>
      <c r="C6" s="48" t="s">
        <v>119</v>
      </c>
      <c r="D6" s="48" t="s">
        <v>120</v>
      </c>
      <c r="E6" s="48" t="s">
        <v>121</v>
      </c>
      <c r="F6" s="48" t="s">
        <v>67</v>
      </c>
      <c r="G6" s="48" t="s">
        <v>122</v>
      </c>
      <c r="H6" s="48" t="s">
        <v>123</v>
      </c>
      <c r="I6" s="48" t="s">
        <v>124</v>
      </c>
      <c r="J6" s="48" t="s">
        <v>125</v>
      </c>
      <c r="K6" s="49" t="s">
        <v>126</v>
      </c>
      <c r="L6" s="826"/>
    </row>
    <row r="7" spans="1:12" ht="20.100000000000001" customHeight="1" x14ac:dyDescent="0.2">
      <c r="B7" s="349" t="s">
        <v>14</v>
      </c>
      <c r="C7" s="579" t="s">
        <v>260</v>
      </c>
      <c r="D7" s="476">
        <v>6.9720000000000004</v>
      </c>
      <c r="E7" s="580" t="s">
        <v>260</v>
      </c>
      <c r="F7" s="580" t="s">
        <v>260</v>
      </c>
      <c r="G7" s="580" t="s">
        <v>260</v>
      </c>
      <c r="H7" s="580" t="s">
        <v>260</v>
      </c>
      <c r="I7" s="580" t="s">
        <v>260</v>
      </c>
      <c r="J7" s="580" t="s">
        <v>260</v>
      </c>
      <c r="K7" s="581" t="s">
        <v>260</v>
      </c>
      <c r="L7" s="582">
        <f>SUM(C7:K7)</f>
        <v>6.9720000000000004</v>
      </c>
    </row>
    <row r="8" spans="1:12" ht="20.100000000000001" customHeight="1" x14ac:dyDescent="0.2">
      <c r="B8" s="350" t="s">
        <v>15</v>
      </c>
      <c r="C8" s="583" t="s">
        <v>260</v>
      </c>
      <c r="D8" s="476">
        <v>7.0006399999999998</v>
      </c>
      <c r="E8" s="476">
        <v>6.45</v>
      </c>
      <c r="F8" s="476">
        <v>10.962109999999999</v>
      </c>
      <c r="G8" s="563" t="s">
        <v>260</v>
      </c>
      <c r="H8" s="476">
        <v>200.5</v>
      </c>
      <c r="I8" s="476">
        <v>12.272</v>
      </c>
      <c r="J8" s="584" t="s">
        <v>260</v>
      </c>
      <c r="K8" s="476">
        <v>70.098619999999997</v>
      </c>
      <c r="L8" s="582">
        <f>SUM(C8:K8)</f>
        <v>307.28336999999999</v>
      </c>
    </row>
    <row r="9" spans="1:12" ht="21" customHeight="1" x14ac:dyDescent="0.2">
      <c r="B9" s="351" t="s">
        <v>33</v>
      </c>
      <c r="C9" s="585" t="s">
        <v>260</v>
      </c>
      <c r="D9" s="523">
        <f t="shared" ref="D9:I9" si="0">SUM(D7:D8)</f>
        <v>13.97264</v>
      </c>
      <c r="E9" s="523">
        <f t="shared" si="0"/>
        <v>6.45</v>
      </c>
      <c r="F9" s="523">
        <f t="shared" si="0"/>
        <v>10.962109999999999</v>
      </c>
      <c r="G9" s="586" t="s">
        <v>260</v>
      </c>
      <c r="H9" s="523">
        <f t="shared" si="0"/>
        <v>200.5</v>
      </c>
      <c r="I9" s="523">
        <f t="shared" si="0"/>
        <v>12.272</v>
      </c>
      <c r="J9" s="586" t="s">
        <v>260</v>
      </c>
      <c r="K9" s="523">
        <f>SUM(K7:K8)</f>
        <v>70.098619999999997</v>
      </c>
      <c r="L9" s="587">
        <f t="shared" ref="L9" si="1">+L8+L7</f>
        <v>314.25536999999997</v>
      </c>
    </row>
    <row r="12" spans="1:12" ht="18.75" x14ac:dyDescent="0.2">
      <c r="B12" s="86" t="s">
        <v>1023</v>
      </c>
      <c r="E12" s="217"/>
      <c r="F12" s="217"/>
      <c r="G12" s="217"/>
      <c r="H12" s="217"/>
      <c r="I12" s="217"/>
      <c r="J12" s="217"/>
    </row>
    <row r="13" spans="1:12" ht="18.75" x14ac:dyDescent="0.2">
      <c r="B13" s="244" t="s">
        <v>16</v>
      </c>
    </row>
    <row r="15" spans="1:12" ht="12.75" customHeight="1" x14ac:dyDescent="0.2">
      <c r="B15" s="790" t="s">
        <v>12</v>
      </c>
      <c r="C15" s="827" t="s">
        <v>117</v>
      </c>
      <c r="D15" s="765"/>
      <c r="E15" s="765"/>
      <c r="F15" s="765"/>
      <c r="G15" s="765"/>
      <c r="H15" s="765"/>
      <c r="I15" s="765"/>
      <c r="J15" s="765"/>
      <c r="K15" s="765"/>
      <c r="L15" s="825" t="s">
        <v>118</v>
      </c>
    </row>
    <row r="16" spans="1:12" ht="27.75" customHeight="1" x14ac:dyDescent="0.2">
      <c r="B16" s="791"/>
      <c r="C16" s="48" t="s">
        <v>119</v>
      </c>
      <c r="D16" s="48" t="s">
        <v>120</v>
      </c>
      <c r="E16" s="48" t="s">
        <v>121</v>
      </c>
      <c r="F16" s="48" t="s">
        <v>67</v>
      </c>
      <c r="G16" s="48" t="s">
        <v>122</v>
      </c>
      <c r="H16" s="48" t="s">
        <v>123</v>
      </c>
      <c r="I16" s="48" t="s">
        <v>124</v>
      </c>
      <c r="J16" s="48" t="s">
        <v>125</v>
      </c>
      <c r="K16" s="49" t="s">
        <v>126</v>
      </c>
      <c r="L16" s="826"/>
    </row>
    <row r="17" spans="2:15" ht="35.25" customHeight="1" x14ac:dyDescent="0.2">
      <c r="B17" s="162" t="s">
        <v>73</v>
      </c>
      <c r="C17" s="163">
        <v>429.37526500000007</v>
      </c>
      <c r="D17" s="164">
        <v>952.06388099999992</v>
      </c>
      <c r="E17" s="164">
        <v>1560.1658669999997</v>
      </c>
      <c r="F17" s="164">
        <v>610.06558999999993</v>
      </c>
      <c r="G17" s="164">
        <v>807.12334200000009</v>
      </c>
      <c r="H17" s="164">
        <v>2095.757967</v>
      </c>
      <c r="I17" s="164">
        <v>562.27331100000004</v>
      </c>
      <c r="J17" s="164">
        <v>2214.894319</v>
      </c>
      <c r="K17" s="165">
        <v>2628.7683490000022</v>
      </c>
      <c r="L17" s="582">
        <f>SUM(C17:K17)</f>
        <v>11860.487891000001</v>
      </c>
    </row>
    <row r="18" spans="2:15" ht="19.5" customHeight="1" x14ac:dyDescent="0.2">
      <c r="B18" s="351" t="s">
        <v>33</v>
      </c>
      <c r="C18" s="585">
        <f>SUM(C17)</f>
        <v>429.37526500000007</v>
      </c>
      <c r="D18" s="586">
        <f t="shared" ref="D18:L18" si="2">SUM(D17)</f>
        <v>952.06388099999992</v>
      </c>
      <c r="E18" s="586">
        <f t="shared" si="2"/>
        <v>1560.1658669999997</v>
      </c>
      <c r="F18" s="586">
        <f t="shared" si="2"/>
        <v>610.06558999999993</v>
      </c>
      <c r="G18" s="586">
        <f t="shared" si="2"/>
        <v>807.12334200000009</v>
      </c>
      <c r="H18" s="586">
        <f t="shared" si="2"/>
        <v>2095.757967</v>
      </c>
      <c r="I18" s="586">
        <f t="shared" si="2"/>
        <v>562.27331100000004</v>
      </c>
      <c r="J18" s="586">
        <f t="shared" si="2"/>
        <v>2214.894319</v>
      </c>
      <c r="K18" s="588">
        <f t="shared" si="2"/>
        <v>2628.7683490000022</v>
      </c>
      <c r="L18" s="496">
        <f t="shared" si="2"/>
        <v>11860.487891000001</v>
      </c>
      <c r="M18" s="247"/>
      <c r="O18" s="217"/>
    </row>
    <row r="20" spans="2:15" x14ac:dyDescent="0.2">
      <c r="B20" s="78" t="s">
        <v>1024</v>
      </c>
    </row>
    <row r="21" spans="2:15" x14ac:dyDescent="0.2">
      <c r="B21" s="78" t="s">
        <v>74</v>
      </c>
    </row>
  </sheetData>
  <mergeCells count="6">
    <mergeCell ref="L5:L6"/>
    <mergeCell ref="C15:K15"/>
    <mergeCell ref="L15:L16"/>
    <mergeCell ref="B5:B6"/>
    <mergeCell ref="B15:B16"/>
    <mergeCell ref="C5:K5"/>
  </mergeCells>
  <phoneticPr fontId="2" type="noConversion"/>
  <pageMargins left="0.75" right="0.75" top="1" bottom="1" header="0.5" footer="0.5"/>
  <pageSetup paperSize="9" scale="98"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2"/>
  <sheetViews>
    <sheetView showGridLines="0" workbookViewId="0"/>
  </sheetViews>
  <sheetFormatPr defaultRowHeight="12.75" x14ac:dyDescent="0.2"/>
  <cols>
    <col min="1" max="1" width="5.7109375" style="78" customWidth="1"/>
    <col min="2" max="2" width="20.28515625" style="78" customWidth="1"/>
    <col min="3" max="3" width="9.140625" style="78" customWidth="1"/>
    <col min="4" max="4" width="9.85546875" style="78" customWidth="1"/>
    <col min="5" max="5" width="12" style="78" customWidth="1"/>
    <col min="6" max="6" width="11.5703125" style="78" customWidth="1"/>
    <col min="7" max="7" width="12.5703125" style="78" customWidth="1"/>
    <col min="8" max="8" width="14.28515625" style="78" customWidth="1"/>
    <col min="9" max="9" width="9.140625" style="78"/>
    <col min="10" max="10" width="10.7109375" style="78" customWidth="1"/>
    <col min="11" max="11" width="12.28515625" style="78" customWidth="1"/>
    <col min="12" max="12" width="14" style="78" customWidth="1"/>
    <col min="13" max="16384" width="9.140625" style="78"/>
  </cols>
  <sheetData>
    <row r="1" spans="1:12" x14ac:dyDescent="0.2">
      <c r="A1" s="242"/>
    </row>
    <row r="2" spans="1:12" ht="18.75" x14ac:dyDescent="0.2">
      <c r="B2" s="86" t="s">
        <v>1025</v>
      </c>
    </row>
    <row r="3" spans="1:12" ht="18.75" x14ac:dyDescent="0.2">
      <c r="B3" s="244" t="s">
        <v>23</v>
      </c>
    </row>
    <row r="4" spans="1:12" x14ac:dyDescent="0.2">
      <c r="B4" s="294"/>
    </row>
    <row r="5" spans="1:12" ht="12.75" customHeight="1" x14ac:dyDescent="0.2">
      <c r="B5" s="790" t="s">
        <v>12</v>
      </c>
      <c r="C5" s="827" t="s">
        <v>117</v>
      </c>
      <c r="D5" s="765"/>
      <c r="E5" s="765"/>
      <c r="F5" s="765"/>
      <c r="G5" s="765"/>
      <c r="H5" s="765"/>
      <c r="I5" s="765"/>
      <c r="J5" s="765"/>
      <c r="K5" s="765"/>
      <c r="L5" s="792" t="s">
        <v>118</v>
      </c>
    </row>
    <row r="6" spans="1:12" ht="30.75" customHeight="1" x14ac:dyDescent="0.2">
      <c r="B6" s="791"/>
      <c r="C6" s="48" t="s">
        <v>119</v>
      </c>
      <c r="D6" s="48" t="s">
        <v>120</v>
      </c>
      <c r="E6" s="48" t="s">
        <v>121</v>
      </c>
      <c r="F6" s="48" t="s">
        <v>67</v>
      </c>
      <c r="G6" s="48" t="s">
        <v>122</v>
      </c>
      <c r="H6" s="48" t="s">
        <v>123</v>
      </c>
      <c r="I6" s="48" t="s">
        <v>124</v>
      </c>
      <c r="J6" s="48" t="s">
        <v>125</v>
      </c>
      <c r="K6" s="49" t="s">
        <v>126</v>
      </c>
      <c r="L6" s="793"/>
    </row>
    <row r="7" spans="1:12" ht="28.5" customHeight="1" x14ac:dyDescent="0.2">
      <c r="B7" s="50" t="s">
        <v>79</v>
      </c>
      <c r="C7" s="579" t="s">
        <v>260</v>
      </c>
      <c r="D7" s="589">
        <v>163.81826000000004</v>
      </c>
      <c r="E7" s="476">
        <v>76.057000000000002</v>
      </c>
      <c r="F7" s="476">
        <v>72.963660000000004</v>
      </c>
      <c r="G7" s="476">
        <v>13.110939999999999</v>
      </c>
      <c r="H7" s="589">
        <v>26.40624</v>
      </c>
      <c r="I7" s="580" t="s">
        <v>260</v>
      </c>
      <c r="J7" s="476">
        <v>30.786530000000003</v>
      </c>
      <c r="K7" s="476">
        <v>319.46541000000008</v>
      </c>
      <c r="L7" s="582">
        <f>SUM(C7:K7)</f>
        <v>702.60804000000019</v>
      </c>
    </row>
    <row r="8" spans="1:12" ht="25.5" x14ac:dyDescent="0.2">
      <c r="B8" s="51" t="s">
        <v>80</v>
      </c>
      <c r="C8" s="526">
        <v>7.4950800000000006</v>
      </c>
      <c r="D8" s="563">
        <v>190.78183999999999</v>
      </c>
      <c r="E8" s="561">
        <v>15.962</v>
      </c>
      <c r="F8" s="561">
        <v>76.76088</v>
      </c>
      <c r="G8" s="561">
        <v>34.355999999999995</v>
      </c>
      <c r="H8" s="561">
        <v>225.34613100000001</v>
      </c>
      <c r="I8" s="561">
        <v>8.7979000000000003</v>
      </c>
      <c r="J8" s="561">
        <v>86.115750000000006</v>
      </c>
      <c r="K8" s="476">
        <v>138.01400000000001</v>
      </c>
      <c r="L8" s="582">
        <f>SUM(C8:K8)</f>
        <v>783.62958100000014</v>
      </c>
    </row>
    <row r="9" spans="1:12" ht="33.75" customHeight="1" x14ac:dyDescent="0.2">
      <c r="B9" s="52" t="s">
        <v>528</v>
      </c>
      <c r="C9" s="527">
        <v>8.2272800000000004</v>
      </c>
      <c r="D9" s="563" t="s">
        <v>260</v>
      </c>
      <c r="E9" s="429">
        <v>65.685159999999968</v>
      </c>
      <c r="F9" s="563" t="s">
        <v>260</v>
      </c>
      <c r="G9" s="476">
        <v>33.939549999999997</v>
      </c>
      <c r="H9" s="563" t="s">
        <v>260</v>
      </c>
      <c r="I9" s="563" t="s">
        <v>260</v>
      </c>
      <c r="J9" s="563" t="s">
        <v>260</v>
      </c>
      <c r="K9" s="476">
        <v>33.475199999999994</v>
      </c>
      <c r="L9" s="582">
        <f>SUM(C9:K9)</f>
        <v>141.32718999999997</v>
      </c>
    </row>
    <row r="10" spans="1:12" ht="21" customHeight="1" x14ac:dyDescent="0.2">
      <c r="B10" s="53" t="s">
        <v>33</v>
      </c>
      <c r="C10" s="522">
        <f>SUM(C7:C9)</f>
        <v>15.722360000000002</v>
      </c>
      <c r="D10" s="523">
        <f>SUM(D7:D9)</f>
        <v>354.6001</v>
      </c>
      <c r="E10" s="523">
        <f t="shared" ref="E10:L10" si="0">SUM(E7:E9)</f>
        <v>157.70415999999997</v>
      </c>
      <c r="F10" s="523">
        <f t="shared" si="0"/>
        <v>149.72453999999999</v>
      </c>
      <c r="G10" s="523">
        <f t="shared" si="0"/>
        <v>81.406489999999991</v>
      </c>
      <c r="H10" s="523">
        <f t="shared" si="0"/>
        <v>251.75237100000001</v>
      </c>
      <c r="I10" s="523">
        <f t="shared" si="0"/>
        <v>8.7979000000000003</v>
      </c>
      <c r="J10" s="523">
        <f t="shared" si="0"/>
        <v>116.90228</v>
      </c>
      <c r="K10" s="523">
        <f t="shared" si="0"/>
        <v>490.95461000000006</v>
      </c>
      <c r="L10" s="590">
        <f t="shared" si="0"/>
        <v>1627.5648110000002</v>
      </c>
    </row>
    <row r="12" spans="1:12" x14ac:dyDescent="0.2">
      <c r="B12" s="78" t="s">
        <v>81</v>
      </c>
    </row>
  </sheetData>
  <mergeCells count="3">
    <mergeCell ref="B5:B6"/>
    <mergeCell ref="C5:K5"/>
    <mergeCell ref="L5:L6"/>
  </mergeCells>
  <phoneticPr fontId="2" type="noConversion"/>
  <pageMargins left="0.75" right="0.75" top="1" bottom="1" header="0.5" footer="0.5"/>
  <pageSetup paperSize="9" scale="93"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3"/>
  <sheetViews>
    <sheetView workbookViewId="0">
      <selection activeCell="A25" sqref="A25"/>
    </sheetView>
  </sheetViews>
  <sheetFormatPr defaultRowHeight="12.75" x14ac:dyDescent="0.2"/>
  <cols>
    <col min="1" max="1" width="14.85546875" customWidth="1"/>
    <col min="3" max="3" width="19.28515625" customWidth="1"/>
  </cols>
  <sheetData>
    <row r="1" spans="1:18" x14ac:dyDescent="0.2">
      <c r="A1" s="6" t="s">
        <v>40</v>
      </c>
      <c r="B1" s="6" t="s">
        <v>41</v>
      </c>
      <c r="C1" s="6" t="s">
        <v>58</v>
      </c>
      <c r="D1" s="6" t="s">
        <v>59</v>
      </c>
      <c r="E1" s="6" t="s">
        <v>60</v>
      </c>
      <c r="F1" s="6" t="s">
        <v>42</v>
      </c>
      <c r="G1" s="6" t="s">
        <v>42</v>
      </c>
      <c r="H1" s="6" t="s">
        <v>42</v>
      </c>
      <c r="I1" s="6" t="s">
        <v>42</v>
      </c>
      <c r="J1" s="6" t="s">
        <v>42</v>
      </c>
      <c r="K1" s="6" t="s">
        <v>42</v>
      </c>
      <c r="L1" s="6" t="s">
        <v>42</v>
      </c>
      <c r="M1" s="6" t="s">
        <v>42</v>
      </c>
      <c r="N1" s="6" t="s">
        <v>42</v>
      </c>
      <c r="O1" s="6" t="s">
        <v>42</v>
      </c>
      <c r="P1" s="6" t="s">
        <v>42</v>
      </c>
      <c r="Q1" s="6" t="s">
        <v>42</v>
      </c>
      <c r="R1" s="6" t="s">
        <v>42</v>
      </c>
    </row>
    <row r="2" spans="1:18" x14ac:dyDescent="0.2">
      <c r="A2" s="7" t="s">
        <v>14</v>
      </c>
      <c r="B2" s="7" t="s">
        <v>68</v>
      </c>
      <c r="C2" s="8">
        <v>4103.8500061035156</v>
      </c>
      <c r="D2" s="8"/>
      <c r="E2" s="8"/>
      <c r="F2" s="8">
        <v>0</v>
      </c>
      <c r="G2" s="8">
        <v>0</v>
      </c>
      <c r="H2" s="8">
        <v>0</v>
      </c>
      <c r="I2" s="8">
        <v>0</v>
      </c>
      <c r="J2" s="8">
        <v>0</v>
      </c>
      <c r="K2" s="8">
        <v>0</v>
      </c>
      <c r="L2" s="8">
        <v>0</v>
      </c>
      <c r="M2" s="8">
        <v>0</v>
      </c>
      <c r="N2" s="8">
        <v>0</v>
      </c>
      <c r="O2" s="8">
        <v>0</v>
      </c>
      <c r="P2" s="8">
        <v>0</v>
      </c>
      <c r="Q2" s="8">
        <v>0</v>
      </c>
      <c r="R2" s="8">
        <v>0</v>
      </c>
    </row>
    <row r="3" spans="1:18" x14ac:dyDescent="0.2">
      <c r="A3" s="7" t="s">
        <v>15</v>
      </c>
      <c r="B3" s="7" t="s">
        <v>69</v>
      </c>
      <c r="C3" s="9">
        <v>20800.280385613441</v>
      </c>
      <c r="D3" s="9">
        <v>460</v>
      </c>
      <c r="E3" s="9">
        <v>370762</v>
      </c>
      <c r="F3" s="9">
        <v>0</v>
      </c>
      <c r="G3" s="9">
        <v>0</v>
      </c>
      <c r="H3" s="9">
        <v>0</v>
      </c>
      <c r="I3" s="9">
        <v>0</v>
      </c>
      <c r="J3" s="9">
        <v>0</v>
      </c>
      <c r="K3" s="9">
        <v>0</v>
      </c>
      <c r="L3" s="9">
        <v>0</v>
      </c>
      <c r="M3" s="9">
        <v>0</v>
      </c>
      <c r="N3" s="9">
        <v>0</v>
      </c>
      <c r="O3" s="9">
        <v>0</v>
      </c>
      <c r="P3" s="9">
        <v>0</v>
      </c>
      <c r="Q3" s="9">
        <v>0</v>
      </c>
      <c r="R3" s="9">
        <v>0</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60"/>
  <sheetViews>
    <sheetView showGridLines="0" workbookViewId="0"/>
  </sheetViews>
  <sheetFormatPr defaultRowHeight="12.75" x14ac:dyDescent="0.2"/>
  <cols>
    <col min="1" max="1" width="4.5703125" style="78" customWidth="1"/>
    <col min="2" max="2" width="9.140625" style="78"/>
    <col min="3" max="3" width="42.5703125" style="78" customWidth="1"/>
    <col min="4" max="11" width="9.28515625" style="78" bestFit="1" customWidth="1"/>
    <col min="12" max="12" width="10.140625" style="78" customWidth="1"/>
    <col min="13" max="13" width="9.85546875" style="78" customWidth="1"/>
    <col min="14" max="14" width="12.5703125" style="78" customWidth="1"/>
    <col min="15" max="15" width="10" style="78" bestFit="1" customWidth="1"/>
    <col min="16" max="17" width="9.140625" style="78"/>
    <col min="18" max="18" width="10.85546875" style="78" customWidth="1"/>
    <col min="19" max="16384" width="9.140625" style="78"/>
  </cols>
  <sheetData>
    <row r="1" spans="1:19" x14ac:dyDescent="0.2">
      <c r="A1" s="242"/>
    </row>
    <row r="2" spans="1:19" ht="18.75" x14ac:dyDescent="0.2">
      <c r="B2" s="33" t="s">
        <v>1026</v>
      </c>
      <c r="C2" s="37"/>
      <c r="D2" s="37"/>
      <c r="E2" s="37"/>
      <c r="F2" s="37"/>
      <c r="G2" s="37"/>
      <c r="H2" s="37"/>
    </row>
    <row r="4" spans="1:19" ht="36" x14ac:dyDescent="0.2">
      <c r="B4" s="352" t="s">
        <v>529</v>
      </c>
      <c r="C4" s="353" t="s">
        <v>530</v>
      </c>
      <c r="D4" s="353" t="s">
        <v>531</v>
      </c>
      <c r="E4" s="353" t="s">
        <v>532</v>
      </c>
      <c r="F4" s="353" t="s">
        <v>124</v>
      </c>
      <c r="G4" s="353" t="s">
        <v>533</v>
      </c>
      <c r="H4" s="353" t="s">
        <v>120</v>
      </c>
      <c r="I4" s="353" t="s">
        <v>125</v>
      </c>
      <c r="J4" s="353" t="s">
        <v>129</v>
      </c>
      <c r="K4" s="353" t="s">
        <v>122</v>
      </c>
      <c r="L4" s="353" t="s">
        <v>534</v>
      </c>
      <c r="M4" s="354" t="s">
        <v>147</v>
      </c>
      <c r="N4" s="355"/>
      <c r="O4" s="356" t="s">
        <v>446</v>
      </c>
      <c r="P4" s="357" t="s">
        <v>535</v>
      </c>
      <c r="Q4" s="357" t="s">
        <v>536</v>
      </c>
      <c r="R4" s="357" t="s">
        <v>537</v>
      </c>
      <c r="S4" s="358" t="s">
        <v>538</v>
      </c>
    </row>
    <row r="5" spans="1:19" x14ac:dyDescent="0.2">
      <c r="B5" s="359" t="s">
        <v>539</v>
      </c>
      <c r="C5" s="360" t="s">
        <v>540</v>
      </c>
      <c r="D5" s="570">
        <v>1267.251</v>
      </c>
      <c r="E5" s="472">
        <v>2372.1378499999996</v>
      </c>
      <c r="F5" s="472">
        <v>1.0249999999999999</v>
      </c>
      <c r="G5" s="472">
        <v>40.080500000000001</v>
      </c>
      <c r="H5" s="472">
        <v>176.774</v>
      </c>
      <c r="I5" s="472">
        <v>225.715</v>
      </c>
      <c r="J5" s="472">
        <v>84.91</v>
      </c>
      <c r="K5" s="472">
        <v>24.464999999999996</v>
      </c>
      <c r="L5" s="472">
        <v>14.132</v>
      </c>
      <c r="M5" s="610">
        <f>SUM(D5:L5)</f>
        <v>4206.4903499999991</v>
      </c>
      <c r="N5" s="361"/>
      <c r="O5" s="616">
        <v>16.004999999999999</v>
      </c>
      <c r="P5" s="617">
        <v>29038.621809999997</v>
      </c>
      <c r="Q5" s="617">
        <v>29.22</v>
      </c>
      <c r="R5" s="224" t="s">
        <v>260</v>
      </c>
      <c r="S5" s="618">
        <f>SUM(O5:R5)+M5</f>
        <v>33290.337159999995</v>
      </c>
    </row>
    <row r="6" spans="1:19" x14ac:dyDescent="0.2">
      <c r="B6" s="359" t="s">
        <v>541</v>
      </c>
      <c r="C6" s="360" t="s">
        <v>542</v>
      </c>
      <c r="D6" s="572">
        <v>189.8134</v>
      </c>
      <c r="E6" s="472">
        <v>82.437129999999996</v>
      </c>
      <c r="F6" s="472">
        <v>7.7052499999999995</v>
      </c>
      <c r="G6" s="472">
        <v>22.896750000000004</v>
      </c>
      <c r="H6" s="472">
        <v>53.41675</v>
      </c>
      <c r="I6" s="472">
        <v>49.958349999999989</v>
      </c>
      <c r="J6" s="472">
        <v>11.0162</v>
      </c>
      <c r="K6" s="472">
        <v>75.408000000000001</v>
      </c>
      <c r="L6" s="472">
        <v>72.140359999999987</v>
      </c>
      <c r="M6" s="611">
        <f t="shared" ref="M6:M24" si="0">SUM(D6:L6)</f>
        <v>564.79219000000001</v>
      </c>
      <c r="N6" s="361"/>
      <c r="O6" s="619">
        <v>96.853000000000009</v>
      </c>
      <c r="P6" s="617">
        <v>8.6717200000000005</v>
      </c>
      <c r="Q6" s="626" t="s">
        <v>260</v>
      </c>
      <c r="R6" s="475">
        <v>3.6999999999999998E-2</v>
      </c>
      <c r="S6" s="620">
        <f t="shared" ref="S6:S24" si="1">SUM(O6:R6)+M6</f>
        <v>670.35391000000004</v>
      </c>
    </row>
    <row r="7" spans="1:19" x14ac:dyDescent="0.2">
      <c r="B7" s="359" t="s">
        <v>543</v>
      </c>
      <c r="C7" s="360" t="s">
        <v>544</v>
      </c>
      <c r="D7" s="572">
        <v>71.594999999999999</v>
      </c>
      <c r="E7" s="472">
        <v>130.74225000000001</v>
      </c>
      <c r="F7" s="472">
        <v>2.625</v>
      </c>
      <c r="G7" s="224" t="s">
        <v>260</v>
      </c>
      <c r="H7" s="472">
        <v>90.189819999999997</v>
      </c>
      <c r="I7" s="472">
        <v>65.948000000000008</v>
      </c>
      <c r="J7" s="472">
        <v>113.23850000000002</v>
      </c>
      <c r="K7" s="472">
        <v>116.85499999999999</v>
      </c>
      <c r="L7" s="472">
        <v>15.048999999999999</v>
      </c>
      <c r="M7" s="611">
        <f t="shared" si="0"/>
        <v>606.24257</v>
      </c>
      <c r="N7" s="361"/>
      <c r="O7" s="619">
        <v>46.944000000000003</v>
      </c>
      <c r="P7" s="617">
        <v>23.12</v>
      </c>
      <c r="Q7" s="626" t="s">
        <v>260</v>
      </c>
      <c r="R7" s="475">
        <v>0.23</v>
      </c>
      <c r="S7" s="620">
        <f t="shared" si="1"/>
        <v>676.53656999999998</v>
      </c>
    </row>
    <row r="8" spans="1:19" x14ac:dyDescent="0.2">
      <c r="B8" s="359" t="s">
        <v>545</v>
      </c>
      <c r="C8" s="360" t="s">
        <v>546</v>
      </c>
      <c r="D8" s="572">
        <v>101.73</v>
      </c>
      <c r="E8" s="472">
        <v>1.1827500000000002</v>
      </c>
      <c r="F8" s="224" t="s">
        <v>260</v>
      </c>
      <c r="G8" s="472">
        <v>0.4</v>
      </c>
      <c r="H8" s="472">
        <v>67.566070000000011</v>
      </c>
      <c r="I8" s="472">
        <v>0.94299999999999995</v>
      </c>
      <c r="J8" s="472">
        <v>55.67199999999999</v>
      </c>
      <c r="K8" s="472">
        <v>10.059999999999999</v>
      </c>
      <c r="L8" s="472">
        <v>34.168500000000002</v>
      </c>
      <c r="M8" s="611">
        <f t="shared" si="0"/>
        <v>271.72232000000002</v>
      </c>
      <c r="N8" s="361"/>
      <c r="O8" s="619">
        <v>31.41</v>
      </c>
      <c r="P8" s="617">
        <v>0.33</v>
      </c>
      <c r="Q8" s="626" t="s">
        <v>260</v>
      </c>
      <c r="R8" s="224" t="s">
        <v>260</v>
      </c>
      <c r="S8" s="620">
        <f>SUM(O8:R8)+M8</f>
        <v>303.46232000000003</v>
      </c>
    </row>
    <row r="9" spans="1:19" x14ac:dyDescent="0.2">
      <c r="B9" s="359" t="s">
        <v>547</v>
      </c>
      <c r="C9" s="360" t="s">
        <v>548</v>
      </c>
      <c r="D9" s="572">
        <v>143.54049999999998</v>
      </c>
      <c r="E9" s="472">
        <v>97.472999999999999</v>
      </c>
      <c r="F9" s="472">
        <v>46.623999999999995</v>
      </c>
      <c r="G9" s="472">
        <v>4406.5829299999996</v>
      </c>
      <c r="H9" s="472">
        <v>1750.5026</v>
      </c>
      <c r="I9" s="472">
        <v>1520.5555200000001</v>
      </c>
      <c r="J9" s="472">
        <v>89.667999999999978</v>
      </c>
      <c r="K9" s="472">
        <v>59.503399999999999</v>
      </c>
      <c r="L9" s="472">
        <v>1960.8969400000005</v>
      </c>
      <c r="M9" s="611">
        <f t="shared" si="0"/>
        <v>10075.346889999999</v>
      </c>
      <c r="N9" s="361"/>
      <c r="O9" s="619">
        <v>675.82853999999998</v>
      </c>
      <c r="P9" s="617">
        <v>383.49765999999994</v>
      </c>
      <c r="Q9" s="626" t="s">
        <v>260</v>
      </c>
      <c r="R9" s="224" t="s">
        <v>260</v>
      </c>
      <c r="S9" s="620">
        <f t="shared" si="1"/>
        <v>11134.673089999998</v>
      </c>
    </row>
    <row r="10" spans="1:19" x14ac:dyDescent="0.2">
      <c r="B10" s="359" t="s">
        <v>549</v>
      </c>
      <c r="C10" s="360" t="s">
        <v>550</v>
      </c>
      <c r="D10" s="572">
        <v>4009.002100000002</v>
      </c>
      <c r="E10" s="472">
        <v>10606.022370000006</v>
      </c>
      <c r="F10" s="472">
        <v>1125.8820799999999</v>
      </c>
      <c r="G10" s="472">
        <v>3498.0558799999994</v>
      </c>
      <c r="H10" s="472">
        <v>15234.687389999999</v>
      </c>
      <c r="I10" s="472">
        <v>4497.8817100000015</v>
      </c>
      <c r="J10" s="472">
        <v>3807.1414499999992</v>
      </c>
      <c r="K10" s="472">
        <v>5864.2362500000045</v>
      </c>
      <c r="L10" s="472">
        <v>19314.718529999987</v>
      </c>
      <c r="M10" s="611">
        <f t="shared" si="0"/>
        <v>67957.627759999988</v>
      </c>
      <c r="N10" s="361"/>
      <c r="O10" s="619">
        <v>5139.200920000002</v>
      </c>
      <c r="P10" s="617">
        <v>1909.2592</v>
      </c>
      <c r="Q10" s="472">
        <v>40.562000000000005</v>
      </c>
      <c r="R10" s="572">
        <v>29.798500000000001</v>
      </c>
      <c r="S10" s="620">
        <f t="shared" si="1"/>
        <v>75076.448379999987</v>
      </c>
    </row>
    <row r="11" spans="1:19" x14ac:dyDescent="0.2">
      <c r="B11" s="359" t="s">
        <v>551</v>
      </c>
      <c r="C11" s="360" t="s">
        <v>552</v>
      </c>
      <c r="D11" s="572">
        <v>5932.6173799999988</v>
      </c>
      <c r="E11" s="472">
        <v>18255.303740000003</v>
      </c>
      <c r="F11" s="472">
        <v>166.83480000000003</v>
      </c>
      <c r="G11" s="472">
        <v>215102.36923999991</v>
      </c>
      <c r="H11" s="472">
        <v>129651.58486</v>
      </c>
      <c r="I11" s="472">
        <v>15139.327389999997</v>
      </c>
      <c r="J11" s="472">
        <v>8204.5150399999984</v>
      </c>
      <c r="K11" s="472">
        <v>11670.18564</v>
      </c>
      <c r="L11" s="472">
        <v>79364.612959999984</v>
      </c>
      <c r="M11" s="611">
        <f t="shared" si="0"/>
        <v>483487.35104999982</v>
      </c>
      <c r="N11" s="361"/>
      <c r="O11" s="619">
        <v>7435.7387200000003</v>
      </c>
      <c r="P11" s="617">
        <v>55369.723460000001</v>
      </c>
      <c r="Q11" s="472">
        <v>1408.4760000000001</v>
      </c>
      <c r="R11" s="572">
        <v>26.1</v>
      </c>
      <c r="S11" s="620">
        <f t="shared" si="1"/>
        <v>547727.38922999986</v>
      </c>
    </row>
    <row r="12" spans="1:19" x14ac:dyDescent="0.2">
      <c r="B12" s="359" t="s">
        <v>553</v>
      </c>
      <c r="C12" s="360" t="s">
        <v>554</v>
      </c>
      <c r="D12" s="572">
        <v>8298.1941599999936</v>
      </c>
      <c r="E12" s="472">
        <v>6939.9666400000015</v>
      </c>
      <c r="F12" s="472">
        <v>1866.9274699999992</v>
      </c>
      <c r="G12" s="472">
        <v>5909.0163000000002</v>
      </c>
      <c r="H12" s="472">
        <v>15496.487669999993</v>
      </c>
      <c r="I12" s="472">
        <v>5277.7306099999978</v>
      </c>
      <c r="J12" s="472">
        <v>5244.5961499999994</v>
      </c>
      <c r="K12" s="472">
        <v>14996.299020000006</v>
      </c>
      <c r="L12" s="472">
        <v>9787.3471000000009</v>
      </c>
      <c r="M12" s="611">
        <f t="shared" si="0"/>
        <v>73816.565119999985</v>
      </c>
      <c r="N12" s="361"/>
      <c r="O12" s="619">
        <v>4476.0044999999964</v>
      </c>
      <c r="P12" s="617">
        <v>2549.1751500000005</v>
      </c>
      <c r="Q12" s="472">
        <v>411.83000000000004</v>
      </c>
      <c r="R12" s="572">
        <v>153.29979999999998</v>
      </c>
      <c r="S12" s="620">
        <f t="shared" si="1"/>
        <v>81406.874569999985</v>
      </c>
    </row>
    <row r="13" spans="1:19" x14ac:dyDescent="0.2">
      <c r="B13" s="359" t="s">
        <v>555</v>
      </c>
      <c r="C13" s="360" t="s">
        <v>556</v>
      </c>
      <c r="D13" s="572">
        <v>375.08939999999996</v>
      </c>
      <c r="E13" s="472">
        <v>456.74263999999994</v>
      </c>
      <c r="F13" s="472">
        <v>1528.7102500000001</v>
      </c>
      <c r="G13" s="472">
        <v>190.93930000000006</v>
      </c>
      <c r="H13" s="472">
        <v>714.13750000000016</v>
      </c>
      <c r="I13" s="472">
        <v>614.4849200000001</v>
      </c>
      <c r="J13" s="472">
        <v>1423.7484999999999</v>
      </c>
      <c r="K13" s="472">
        <v>453.15823000000023</v>
      </c>
      <c r="L13" s="472">
        <v>584.61412000000007</v>
      </c>
      <c r="M13" s="611">
        <f t="shared" si="0"/>
        <v>6341.6248599999999</v>
      </c>
      <c r="N13" s="361"/>
      <c r="O13" s="619">
        <v>169.50774000000004</v>
      </c>
      <c r="P13" s="617">
        <v>117.92999999999998</v>
      </c>
      <c r="Q13" s="472">
        <v>33.404999999999994</v>
      </c>
      <c r="R13" s="572">
        <v>4.0440000000000005</v>
      </c>
      <c r="S13" s="620">
        <f t="shared" si="1"/>
        <v>6666.5115999999998</v>
      </c>
    </row>
    <row r="14" spans="1:19" x14ac:dyDescent="0.2">
      <c r="B14" s="359" t="s">
        <v>557</v>
      </c>
      <c r="C14" s="360" t="s">
        <v>558</v>
      </c>
      <c r="D14" s="572">
        <v>10595.995879999995</v>
      </c>
      <c r="E14" s="472">
        <v>3980.4579999999992</v>
      </c>
      <c r="F14" s="472">
        <v>288.6712</v>
      </c>
      <c r="G14" s="472">
        <v>21899.464999999997</v>
      </c>
      <c r="H14" s="472">
        <v>14600.085589999999</v>
      </c>
      <c r="I14" s="472">
        <v>3031.3155099999999</v>
      </c>
      <c r="J14" s="472">
        <v>2369.9469999999997</v>
      </c>
      <c r="K14" s="472">
        <v>20810.426899999999</v>
      </c>
      <c r="L14" s="472">
        <v>58558.090019999967</v>
      </c>
      <c r="M14" s="611">
        <f t="shared" si="0"/>
        <v>136134.45509999996</v>
      </c>
      <c r="N14" s="361"/>
      <c r="O14" s="619">
        <v>9814.8822899999996</v>
      </c>
      <c r="P14" s="617">
        <v>10.042</v>
      </c>
      <c r="Q14" s="472">
        <v>1496.527</v>
      </c>
      <c r="R14" s="572">
        <v>59.754999999999995</v>
      </c>
      <c r="S14" s="620">
        <f t="shared" si="1"/>
        <v>147515.66138999996</v>
      </c>
    </row>
    <row r="15" spans="1:19" x14ac:dyDescent="0.2">
      <c r="B15" s="359" t="s">
        <v>559</v>
      </c>
      <c r="C15" s="360" t="s">
        <v>560</v>
      </c>
      <c r="D15" s="572">
        <v>10351.215789999997</v>
      </c>
      <c r="E15" s="472">
        <v>4075.267080000001</v>
      </c>
      <c r="F15" s="472">
        <v>3586.2880300000002</v>
      </c>
      <c r="G15" s="472">
        <v>4571.5052499999983</v>
      </c>
      <c r="H15" s="472">
        <v>11004.171799999996</v>
      </c>
      <c r="I15" s="472">
        <v>3405.6794000000004</v>
      </c>
      <c r="J15" s="472">
        <v>5092.9774000000007</v>
      </c>
      <c r="K15" s="472">
        <v>27554.56888000001</v>
      </c>
      <c r="L15" s="472">
        <v>6924.9386799999975</v>
      </c>
      <c r="M15" s="611">
        <f t="shared" si="0"/>
        <v>76566.612309999997</v>
      </c>
      <c r="N15" s="361"/>
      <c r="O15" s="619">
        <v>2726.5098700000003</v>
      </c>
      <c r="P15" s="617">
        <v>2130.8614000000002</v>
      </c>
      <c r="Q15" s="472">
        <v>293.56</v>
      </c>
      <c r="R15" s="572">
        <v>70.796000000000006</v>
      </c>
      <c r="S15" s="620">
        <f t="shared" si="1"/>
        <v>81788.33958</v>
      </c>
    </row>
    <row r="16" spans="1:19" x14ac:dyDescent="0.2">
      <c r="B16" s="359" t="s">
        <v>561</v>
      </c>
      <c r="C16" s="360" t="s">
        <v>562</v>
      </c>
      <c r="D16" s="572">
        <v>12110.490410000004</v>
      </c>
      <c r="E16" s="472">
        <v>3615.4078999999983</v>
      </c>
      <c r="F16" s="472">
        <v>1887.3694999999998</v>
      </c>
      <c r="G16" s="472">
        <v>2833.1714700000016</v>
      </c>
      <c r="H16" s="472">
        <v>3222.8929099999987</v>
      </c>
      <c r="I16" s="472">
        <v>4377.3753199999992</v>
      </c>
      <c r="J16" s="472">
        <v>7664.5596000000014</v>
      </c>
      <c r="K16" s="472">
        <v>25652.009710000002</v>
      </c>
      <c r="L16" s="472">
        <v>8385.065630000001</v>
      </c>
      <c r="M16" s="611">
        <f t="shared" si="0"/>
        <v>69748.342449999996</v>
      </c>
      <c r="N16" s="361"/>
      <c r="O16" s="619">
        <v>3654.026319999999</v>
      </c>
      <c r="P16" s="617">
        <v>410.53829999999999</v>
      </c>
      <c r="Q16" s="472">
        <v>8.5</v>
      </c>
      <c r="R16" s="572">
        <v>789.93999999999994</v>
      </c>
      <c r="S16" s="620">
        <f t="shared" si="1"/>
        <v>74611.347069999989</v>
      </c>
    </row>
    <row r="17" spans="2:19" x14ac:dyDescent="0.2">
      <c r="B17" s="359" t="s">
        <v>563</v>
      </c>
      <c r="C17" s="360" t="s">
        <v>564</v>
      </c>
      <c r="D17" s="572">
        <v>60160.466010000062</v>
      </c>
      <c r="E17" s="472">
        <v>68226.128360000002</v>
      </c>
      <c r="F17" s="472">
        <v>48551.807599999971</v>
      </c>
      <c r="G17" s="472">
        <v>33253.273780000003</v>
      </c>
      <c r="H17" s="472">
        <v>71919.635159999962</v>
      </c>
      <c r="I17" s="472">
        <v>98232.171699999992</v>
      </c>
      <c r="J17" s="472">
        <v>108166.71070000003</v>
      </c>
      <c r="K17" s="472">
        <v>98730.67224</v>
      </c>
      <c r="L17" s="472">
        <v>59683.746879999992</v>
      </c>
      <c r="M17" s="611">
        <f t="shared" si="0"/>
        <v>646924.61242999998</v>
      </c>
      <c r="N17" s="361"/>
      <c r="O17" s="619">
        <v>23645.07044</v>
      </c>
      <c r="P17" s="617">
        <v>21190.55163000002</v>
      </c>
      <c r="Q17" s="472">
        <v>1019.1911600000001</v>
      </c>
      <c r="R17" s="572">
        <v>1341.3509999999994</v>
      </c>
      <c r="S17" s="620">
        <f t="shared" si="1"/>
        <v>694120.77665999997</v>
      </c>
    </row>
    <row r="18" spans="2:19" x14ac:dyDescent="0.2">
      <c r="B18" s="359" t="s">
        <v>565</v>
      </c>
      <c r="C18" s="360" t="s">
        <v>566</v>
      </c>
      <c r="D18" s="572">
        <v>2675.3401699999999</v>
      </c>
      <c r="E18" s="472">
        <v>2012.6067799999996</v>
      </c>
      <c r="F18" s="472">
        <v>997.08861000000047</v>
      </c>
      <c r="G18" s="472">
        <v>1442.4529099999993</v>
      </c>
      <c r="H18" s="472">
        <v>3699.4769300000007</v>
      </c>
      <c r="I18" s="472">
        <v>2462.012189999999</v>
      </c>
      <c r="J18" s="472">
        <v>3925.6758900000018</v>
      </c>
      <c r="K18" s="472">
        <v>3894.911160000001</v>
      </c>
      <c r="L18" s="472">
        <v>3499.9160100000013</v>
      </c>
      <c r="M18" s="611">
        <f t="shared" si="0"/>
        <v>24609.480650000001</v>
      </c>
      <c r="N18" s="361"/>
      <c r="O18" s="619">
        <v>1296.4047</v>
      </c>
      <c r="P18" s="617">
        <v>1045.6918499999999</v>
      </c>
      <c r="Q18" s="472">
        <v>34.532740000000004</v>
      </c>
      <c r="R18" s="572">
        <v>30.105970000000003</v>
      </c>
      <c r="S18" s="620">
        <f>SUM(O18:R18)+M18</f>
        <v>27016.215910000003</v>
      </c>
    </row>
    <row r="19" spans="2:19" x14ac:dyDescent="0.2">
      <c r="B19" s="359" t="s">
        <v>567</v>
      </c>
      <c r="C19" s="360" t="s">
        <v>568</v>
      </c>
      <c r="D19" s="572">
        <v>12637.746480000003</v>
      </c>
      <c r="E19" s="472">
        <v>6757.5959800000001</v>
      </c>
      <c r="F19" s="472">
        <v>3637.1846900000014</v>
      </c>
      <c r="G19" s="472">
        <v>6318.4920599999996</v>
      </c>
      <c r="H19" s="472">
        <v>17292.3295</v>
      </c>
      <c r="I19" s="472">
        <v>8306.8309899999986</v>
      </c>
      <c r="J19" s="472">
        <v>6132.72505</v>
      </c>
      <c r="K19" s="472">
        <v>16795.304240000001</v>
      </c>
      <c r="L19" s="472">
        <v>22151.391540000004</v>
      </c>
      <c r="M19" s="611">
        <f t="shared" si="0"/>
        <v>100029.60053000003</v>
      </c>
      <c r="N19" s="361"/>
      <c r="O19" s="619">
        <v>5623.1633000000002</v>
      </c>
      <c r="P19" s="617">
        <v>1540.3892599999997</v>
      </c>
      <c r="Q19" s="472">
        <v>45.182000000000002</v>
      </c>
      <c r="R19" s="572">
        <v>120.801</v>
      </c>
      <c r="S19" s="620">
        <f t="shared" si="1"/>
        <v>107359.13609000003</v>
      </c>
    </row>
    <row r="20" spans="2:19" x14ac:dyDescent="0.2">
      <c r="B20" s="359" t="s">
        <v>569</v>
      </c>
      <c r="C20" s="360" t="s">
        <v>570</v>
      </c>
      <c r="D20" s="572">
        <v>53352.240700000017</v>
      </c>
      <c r="E20" s="472">
        <v>55077.090170000047</v>
      </c>
      <c r="F20" s="472">
        <v>24600.521270000008</v>
      </c>
      <c r="G20" s="472">
        <v>34479.682900000022</v>
      </c>
      <c r="H20" s="472">
        <v>72100.623939999918</v>
      </c>
      <c r="I20" s="472">
        <v>66117.485849999997</v>
      </c>
      <c r="J20" s="472">
        <v>31721.664719999993</v>
      </c>
      <c r="K20" s="472">
        <v>83971.747770000016</v>
      </c>
      <c r="L20" s="472">
        <v>91539.795910000015</v>
      </c>
      <c r="M20" s="611">
        <f t="shared" si="0"/>
        <v>512960.85323000001</v>
      </c>
      <c r="N20" s="361"/>
      <c r="O20" s="619">
        <v>13814.541340000011</v>
      </c>
      <c r="P20" s="617">
        <v>15089.770649999999</v>
      </c>
      <c r="Q20" s="472">
        <v>6735.8371000000016</v>
      </c>
      <c r="R20" s="572">
        <v>2500.318389999999</v>
      </c>
      <c r="S20" s="620">
        <f t="shared" si="1"/>
        <v>551101.32071</v>
      </c>
    </row>
    <row r="21" spans="2:19" x14ac:dyDescent="0.2">
      <c r="B21" s="359" t="s">
        <v>571</v>
      </c>
      <c r="C21" s="360" t="s">
        <v>572</v>
      </c>
      <c r="D21" s="572">
        <v>61596.157710000014</v>
      </c>
      <c r="E21" s="472">
        <v>84388.515619999962</v>
      </c>
      <c r="F21" s="472">
        <v>190143.50661000004</v>
      </c>
      <c r="G21" s="472">
        <v>58373.578979999991</v>
      </c>
      <c r="H21" s="472">
        <v>67515.32097999999</v>
      </c>
      <c r="I21" s="472">
        <v>172316.02779999992</v>
      </c>
      <c r="J21" s="472">
        <v>69580.379130000016</v>
      </c>
      <c r="K21" s="472">
        <v>57347.983309999996</v>
      </c>
      <c r="L21" s="472">
        <v>74181.492160000009</v>
      </c>
      <c r="M21" s="611">
        <f t="shared" si="0"/>
        <v>835442.96230000001</v>
      </c>
      <c r="N21" s="361"/>
      <c r="O21" s="619">
        <v>16671.018240000001</v>
      </c>
      <c r="P21" s="617">
        <v>3970.79576</v>
      </c>
      <c r="Q21" s="472">
        <v>35450.899999999987</v>
      </c>
      <c r="R21" s="572">
        <v>3327.48693</v>
      </c>
      <c r="S21" s="620">
        <f t="shared" si="1"/>
        <v>894863.16323000006</v>
      </c>
    </row>
    <row r="22" spans="2:19" x14ac:dyDescent="0.2">
      <c r="B22" s="359" t="s">
        <v>573</v>
      </c>
      <c r="C22" s="360" t="s">
        <v>574</v>
      </c>
      <c r="D22" s="572">
        <v>14061.597689999988</v>
      </c>
      <c r="E22" s="472">
        <v>17979.583279999992</v>
      </c>
      <c r="F22" s="472">
        <v>34251.477899999969</v>
      </c>
      <c r="G22" s="472">
        <v>9203.3824600000062</v>
      </c>
      <c r="H22" s="472">
        <v>21701.031730000021</v>
      </c>
      <c r="I22" s="472">
        <v>32262.045089999996</v>
      </c>
      <c r="J22" s="472">
        <v>13580.063419999995</v>
      </c>
      <c r="K22" s="472">
        <v>20615.429779999977</v>
      </c>
      <c r="L22" s="472">
        <v>15163.88135</v>
      </c>
      <c r="M22" s="611">
        <f t="shared" si="0"/>
        <v>178818.49269999997</v>
      </c>
      <c r="N22" s="361"/>
      <c r="O22" s="619">
        <v>2490.2659599999997</v>
      </c>
      <c r="P22" s="617">
        <v>624.87049999999999</v>
      </c>
      <c r="Q22" s="472">
        <v>35.173450000000003</v>
      </c>
      <c r="R22" s="572">
        <v>60.662229999999994</v>
      </c>
      <c r="S22" s="620">
        <f t="shared" si="1"/>
        <v>182029.46483999997</v>
      </c>
    </row>
    <row r="23" spans="2:19" x14ac:dyDescent="0.2">
      <c r="B23" s="359" t="s">
        <v>575</v>
      </c>
      <c r="C23" s="360" t="s">
        <v>576</v>
      </c>
      <c r="D23" s="572">
        <v>169567.91699000003</v>
      </c>
      <c r="E23" s="472">
        <v>30293.461500000012</v>
      </c>
      <c r="F23" s="472">
        <v>57631.319000000018</v>
      </c>
      <c r="G23" s="472">
        <v>111516.35532</v>
      </c>
      <c r="H23" s="472">
        <v>132696.74156999998</v>
      </c>
      <c r="I23" s="472">
        <v>160568.33134000003</v>
      </c>
      <c r="J23" s="472">
        <v>78421.089300000007</v>
      </c>
      <c r="K23" s="472">
        <v>77235.719929999992</v>
      </c>
      <c r="L23" s="472">
        <v>131029.8535</v>
      </c>
      <c r="M23" s="611">
        <f t="shared" si="0"/>
        <v>948960.78844999999</v>
      </c>
      <c r="N23" s="361"/>
      <c r="O23" s="619">
        <v>42516.555800000009</v>
      </c>
      <c r="P23" s="617">
        <v>7112.4503000000004</v>
      </c>
      <c r="Q23" s="472">
        <v>983.04499999999996</v>
      </c>
      <c r="R23" s="572">
        <v>2818.88</v>
      </c>
      <c r="S23" s="620">
        <f t="shared" si="1"/>
        <v>1002391.71955</v>
      </c>
    </row>
    <row r="24" spans="2:19" x14ac:dyDescent="0.2">
      <c r="B24" s="359" t="s">
        <v>577</v>
      </c>
      <c r="C24" s="360" t="s">
        <v>578</v>
      </c>
      <c r="D24" s="575">
        <v>34164.860390000016</v>
      </c>
      <c r="E24" s="472">
        <v>46132.150469999971</v>
      </c>
      <c r="F24" s="472">
        <v>26811.064310000005</v>
      </c>
      <c r="G24" s="472">
        <v>14233.831000000007</v>
      </c>
      <c r="H24" s="472">
        <v>63273.47593000003</v>
      </c>
      <c r="I24" s="472">
        <v>69007.28949999997</v>
      </c>
      <c r="J24" s="472">
        <v>40388.861899999996</v>
      </c>
      <c r="K24" s="472">
        <v>48559.463740000028</v>
      </c>
      <c r="L24" s="472">
        <v>37981.719109999998</v>
      </c>
      <c r="M24" s="612">
        <f t="shared" si="0"/>
        <v>380552.71635000006</v>
      </c>
      <c r="N24" s="361"/>
      <c r="O24" s="619">
        <v>14760.277850000008</v>
      </c>
      <c r="P24" s="621">
        <v>9584.1833300000035</v>
      </c>
      <c r="Q24" s="472">
        <v>346.96004999999991</v>
      </c>
      <c r="R24" s="575">
        <v>315.45930000000004</v>
      </c>
      <c r="S24" s="622">
        <f t="shared" si="1"/>
        <v>405559.59688000008</v>
      </c>
    </row>
    <row r="25" spans="2:19" x14ac:dyDescent="0.2">
      <c r="B25" s="362" t="s">
        <v>33</v>
      </c>
      <c r="C25" s="363"/>
      <c r="D25" s="613">
        <f>SUM(D5:D24)</f>
        <v>461662.86116000009</v>
      </c>
      <c r="E25" s="614">
        <f t="shared" ref="E25:P25" si="2">SUM(E5:E24)</f>
        <v>361480.27351000003</v>
      </c>
      <c r="F25" s="614">
        <f t="shared" si="2"/>
        <v>397132.63256999996</v>
      </c>
      <c r="G25" s="614">
        <f t="shared" si="2"/>
        <v>527295.53202999989</v>
      </c>
      <c r="H25" s="614">
        <f t="shared" si="2"/>
        <v>642261.13269999996</v>
      </c>
      <c r="I25" s="614">
        <f t="shared" si="2"/>
        <v>647479.10918999987</v>
      </c>
      <c r="J25" s="614">
        <f t="shared" si="2"/>
        <v>386079.15995000006</v>
      </c>
      <c r="K25" s="614">
        <f t="shared" si="2"/>
        <v>514438.40820000006</v>
      </c>
      <c r="L25" s="614">
        <f t="shared" si="2"/>
        <v>620247.5702999999</v>
      </c>
      <c r="M25" s="615">
        <f>SUM(M5:M24)</f>
        <v>4558076.6796099991</v>
      </c>
      <c r="N25" s="364"/>
      <c r="O25" s="623">
        <f>SUM(O5:O24)</f>
        <v>155100.20853000003</v>
      </c>
      <c r="P25" s="613">
        <f t="shared" si="2"/>
        <v>152110.47397999998</v>
      </c>
      <c r="Q25" s="624">
        <f>SUM(Q5:Q24)</f>
        <v>48372.901499999985</v>
      </c>
      <c r="R25" s="614">
        <f>SUM(R5:R24)</f>
        <v>11649.065119999997</v>
      </c>
      <c r="S25" s="625">
        <f>SUM(S5:S24)</f>
        <v>4925309.3287399998</v>
      </c>
    </row>
    <row r="26" spans="2:19" x14ac:dyDescent="0.2">
      <c r="O26" s="116"/>
    </row>
    <row r="27" spans="2:19" x14ac:dyDescent="0.2">
      <c r="B27" s="254" t="s">
        <v>579</v>
      </c>
      <c r="O27" s="116"/>
    </row>
    <row r="28" spans="2:19" x14ac:dyDescent="0.2">
      <c r="B28" s="78" t="s">
        <v>581</v>
      </c>
    </row>
    <row r="29" spans="2:19" x14ac:dyDescent="0.2">
      <c r="B29" s="365" t="s">
        <v>580</v>
      </c>
    </row>
    <row r="32" spans="2:19" ht="18.75" x14ac:dyDescent="0.2">
      <c r="B32" s="34" t="s">
        <v>1027</v>
      </c>
      <c r="C32" s="38"/>
      <c r="D32" s="38"/>
      <c r="E32" s="38"/>
      <c r="F32" s="38"/>
      <c r="G32" s="38"/>
      <c r="H32" s="38"/>
      <c r="I32" s="38"/>
      <c r="J32" s="38"/>
      <c r="K32" s="38"/>
      <c r="L32" s="38"/>
      <c r="M32" s="38"/>
      <c r="N32" s="38"/>
      <c r="O32" s="38"/>
    </row>
    <row r="33" spans="2:15" x14ac:dyDescent="0.2">
      <c r="B33" s="366"/>
      <c r="C33" s="366"/>
      <c r="D33" s="366"/>
      <c r="E33" s="366"/>
      <c r="F33" s="366"/>
      <c r="G33" s="366"/>
      <c r="H33" s="366"/>
      <c r="I33" s="366"/>
      <c r="J33" s="366"/>
      <c r="K33" s="366"/>
      <c r="L33" s="366"/>
      <c r="M33" s="366"/>
      <c r="N33" s="366"/>
      <c r="O33" s="366"/>
    </row>
    <row r="34" spans="2:15" ht="38.25" x14ac:dyDescent="0.2">
      <c r="B34" s="367" t="s">
        <v>529</v>
      </c>
      <c r="C34" s="221" t="s">
        <v>530</v>
      </c>
      <c r="D34" s="221" t="s">
        <v>531</v>
      </c>
      <c r="E34" s="221" t="s">
        <v>532</v>
      </c>
      <c r="F34" s="221" t="s">
        <v>124</v>
      </c>
      <c r="G34" s="221" t="s">
        <v>533</v>
      </c>
      <c r="H34" s="221" t="s">
        <v>120</v>
      </c>
      <c r="I34" s="221" t="s">
        <v>125</v>
      </c>
      <c r="J34" s="221" t="s">
        <v>129</v>
      </c>
      <c r="K34" s="221" t="s">
        <v>122</v>
      </c>
      <c r="L34" s="221" t="s">
        <v>534</v>
      </c>
      <c r="M34" s="221" t="s">
        <v>582</v>
      </c>
      <c r="N34" s="375" t="s">
        <v>537</v>
      </c>
      <c r="O34" s="219" t="s">
        <v>147</v>
      </c>
    </row>
    <row r="35" spans="2:15" x14ac:dyDescent="0.2">
      <c r="B35" s="368" t="s">
        <v>539</v>
      </c>
      <c r="C35" s="369" t="s">
        <v>540</v>
      </c>
      <c r="D35" s="591">
        <v>144.22</v>
      </c>
      <c r="E35" s="473">
        <v>536.27</v>
      </c>
      <c r="F35" s="473">
        <v>7.825E-2</v>
      </c>
      <c r="G35" s="473">
        <v>7590.4488000000001</v>
      </c>
      <c r="H35" s="473">
        <v>24639.905510000001</v>
      </c>
      <c r="I35" s="473">
        <v>27.097999999999999</v>
      </c>
      <c r="J35" s="473">
        <v>277.80599999999998</v>
      </c>
      <c r="K35" s="473">
        <v>61.747599999999991</v>
      </c>
      <c r="L35" s="592">
        <v>12.763</v>
      </c>
      <c r="M35" s="593">
        <f>SUM(D35:L35)</f>
        <v>33290.337159999995</v>
      </c>
      <c r="N35" s="594"/>
      <c r="O35" s="595">
        <f>SUM(M35:N35)</f>
        <v>33290.337159999995</v>
      </c>
    </row>
    <row r="36" spans="2:15" x14ac:dyDescent="0.2">
      <c r="B36" s="370" t="s">
        <v>541</v>
      </c>
      <c r="C36" s="371" t="s">
        <v>542</v>
      </c>
      <c r="D36" s="596">
        <v>1.4499700000000002</v>
      </c>
      <c r="E36" s="573">
        <v>45.101450000000007</v>
      </c>
      <c r="F36" s="573">
        <v>6.5688999999999993</v>
      </c>
      <c r="G36" s="573">
        <v>29.028679999999998</v>
      </c>
      <c r="H36" s="573">
        <v>195.20441</v>
      </c>
      <c r="I36" s="573">
        <v>94.098950000000002</v>
      </c>
      <c r="J36" s="573">
        <v>10.080349999999999</v>
      </c>
      <c r="K36" s="573">
        <v>160.19119999999998</v>
      </c>
      <c r="L36" s="574">
        <v>128.63</v>
      </c>
      <c r="M36" s="597">
        <f t="shared" ref="M36:M54" si="3">SUM(D36:L36)</f>
        <v>670.35390999999993</v>
      </c>
      <c r="N36" s="594"/>
      <c r="O36" s="598">
        <f t="shared" ref="O36:O54" si="4">SUM(M36:N36)</f>
        <v>670.35390999999993</v>
      </c>
    </row>
    <row r="37" spans="2:15" x14ac:dyDescent="0.2">
      <c r="B37" s="370" t="s">
        <v>543</v>
      </c>
      <c r="C37" s="371" t="s">
        <v>544</v>
      </c>
      <c r="D37" s="596">
        <v>1.135</v>
      </c>
      <c r="E37" s="573">
        <v>21.472250000000003</v>
      </c>
      <c r="F37" s="573">
        <v>0.08</v>
      </c>
      <c r="G37" s="573">
        <v>0.72</v>
      </c>
      <c r="H37" s="573">
        <v>113.71081999999997</v>
      </c>
      <c r="I37" s="573">
        <v>34.806000000000004</v>
      </c>
      <c r="J37" s="573">
        <v>12.075500000000002</v>
      </c>
      <c r="K37" s="573">
        <v>491.90499999999997</v>
      </c>
      <c r="L37" s="574">
        <v>0.63200000000000001</v>
      </c>
      <c r="M37" s="597">
        <f t="shared" si="3"/>
        <v>676.53656999999987</v>
      </c>
      <c r="N37" s="594"/>
      <c r="O37" s="598">
        <f t="shared" si="4"/>
        <v>676.53656999999987</v>
      </c>
    </row>
    <row r="38" spans="2:15" x14ac:dyDescent="0.2">
      <c r="B38" s="370" t="s">
        <v>545</v>
      </c>
      <c r="C38" s="371" t="s">
        <v>546</v>
      </c>
      <c r="D38" s="596">
        <v>3.4869999999999997</v>
      </c>
      <c r="E38" s="224" t="s">
        <v>260</v>
      </c>
      <c r="F38" s="573">
        <v>4.0250000000000001E-2</v>
      </c>
      <c r="G38" s="224" t="s">
        <v>260</v>
      </c>
      <c r="H38" s="573">
        <v>90.453569999999985</v>
      </c>
      <c r="I38" s="573">
        <v>10.984999999999999</v>
      </c>
      <c r="J38" s="573">
        <v>29.35</v>
      </c>
      <c r="K38" s="573">
        <v>15.453500000000002</v>
      </c>
      <c r="L38" s="574">
        <v>153.69300000000004</v>
      </c>
      <c r="M38" s="597">
        <f t="shared" si="3"/>
        <v>303.46231999999998</v>
      </c>
      <c r="N38" s="594"/>
      <c r="O38" s="598">
        <f t="shared" si="4"/>
        <v>303.46231999999998</v>
      </c>
    </row>
    <row r="39" spans="2:15" x14ac:dyDescent="0.2">
      <c r="B39" s="370" t="s">
        <v>547</v>
      </c>
      <c r="C39" s="371" t="s">
        <v>548</v>
      </c>
      <c r="D39" s="596">
        <v>468.06</v>
      </c>
      <c r="E39" s="573">
        <v>333.702</v>
      </c>
      <c r="F39" s="573">
        <v>4.3</v>
      </c>
      <c r="G39" s="573">
        <v>3257.7157999999999</v>
      </c>
      <c r="H39" s="573">
        <v>3529.8607499999989</v>
      </c>
      <c r="I39" s="573">
        <v>569.36399999999992</v>
      </c>
      <c r="J39" s="573">
        <v>423.50903999999997</v>
      </c>
      <c r="K39" s="573">
        <v>812.21449999999993</v>
      </c>
      <c r="L39" s="574">
        <v>1735.9470000000001</v>
      </c>
      <c r="M39" s="597">
        <f t="shared" si="3"/>
        <v>11134.673089999998</v>
      </c>
      <c r="N39" s="594"/>
      <c r="O39" s="598">
        <f t="shared" si="4"/>
        <v>11134.673089999998</v>
      </c>
    </row>
    <row r="40" spans="2:15" x14ac:dyDescent="0.2">
      <c r="B40" s="370" t="s">
        <v>549</v>
      </c>
      <c r="C40" s="371" t="s">
        <v>550</v>
      </c>
      <c r="D40" s="596">
        <v>5483.6108600000025</v>
      </c>
      <c r="E40" s="573">
        <v>3362.2554199999995</v>
      </c>
      <c r="F40" s="573">
        <v>60.293179999999992</v>
      </c>
      <c r="G40" s="573">
        <v>8077.3958999999977</v>
      </c>
      <c r="H40" s="573">
        <v>25173.764740000017</v>
      </c>
      <c r="I40" s="573">
        <v>870.41351999999949</v>
      </c>
      <c r="J40" s="573">
        <v>1391.4151300000001</v>
      </c>
      <c r="K40" s="573">
        <v>14607.351909999999</v>
      </c>
      <c r="L40" s="574">
        <v>16049.947720000002</v>
      </c>
      <c r="M40" s="597">
        <f t="shared" si="3"/>
        <v>75076.448380000016</v>
      </c>
      <c r="N40" s="594"/>
      <c r="O40" s="598">
        <f t="shared" si="4"/>
        <v>75076.448380000016</v>
      </c>
    </row>
    <row r="41" spans="2:15" x14ac:dyDescent="0.2">
      <c r="B41" s="370" t="s">
        <v>551</v>
      </c>
      <c r="C41" s="371" t="s">
        <v>552</v>
      </c>
      <c r="D41" s="596">
        <v>40516.081290000009</v>
      </c>
      <c r="E41" s="573">
        <v>2765.2556000000009</v>
      </c>
      <c r="F41" s="573">
        <v>71.846699999999998</v>
      </c>
      <c r="G41" s="573">
        <v>230702.89377</v>
      </c>
      <c r="H41" s="573">
        <v>117359.4889299999</v>
      </c>
      <c r="I41" s="573">
        <v>26041.601350000019</v>
      </c>
      <c r="J41" s="573">
        <v>5883.5279699999983</v>
      </c>
      <c r="K41" s="573">
        <v>21003.11564</v>
      </c>
      <c r="L41" s="574">
        <v>103383.57797999993</v>
      </c>
      <c r="M41" s="597">
        <f t="shared" si="3"/>
        <v>547727.38922999974</v>
      </c>
      <c r="N41" s="594"/>
      <c r="O41" s="598">
        <f t="shared" si="4"/>
        <v>547727.38922999974</v>
      </c>
    </row>
    <row r="42" spans="2:15" x14ac:dyDescent="0.2">
      <c r="B42" s="370" t="s">
        <v>553</v>
      </c>
      <c r="C42" s="371" t="s">
        <v>554</v>
      </c>
      <c r="D42" s="596">
        <v>4507.8658300000016</v>
      </c>
      <c r="E42" s="573">
        <v>2462.4038499999979</v>
      </c>
      <c r="F42" s="573">
        <v>725.38821999999993</v>
      </c>
      <c r="G42" s="573">
        <v>2524.614860000001</v>
      </c>
      <c r="H42" s="573">
        <v>25501.668449999979</v>
      </c>
      <c r="I42" s="573">
        <v>6109.0825099999993</v>
      </c>
      <c r="J42" s="573">
        <v>6093.3877399999983</v>
      </c>
      <c r="K42" s="573">
        <v>17769.788600000007</v>
      </c>
      <c r="L42" s="574">
        <v>15712.67451000001</v>
      </c>
      <c r="M42" s="597">
        <f t="shared" si="3"/>
        <v>81406.874569999985</v>
      </c>
      <c r="N42" s="594"/>
      <c r="O42" s="598">
        <f t="shared" si="4"/>
        <v>81406.874569999985</v>
      </c>
    </row>
    <row r="43" spans="2:15" x14ac:dyDescent="0.2">
      <c r="B43" s="370" t="s">
        <v>555</v>
      </c>
      <c r="C43" s="371" t="s">
        <v>556</v>
      </c>
      <c r="D43" s="596">
        <v>53.580399999999997</v>
      </c>
      <c r="E43" s="573">
        <v>251.82421000000005</v>
      </c>
      <c r="F43" s="573">
        <v>125.19599999999998</v>
      </c>
      <c r="G43" s="573">
        <v>8.9533000000000023</v>
      </c>
      <c r="H43" s="573">
        <v>4076.5638800000006</v>
      </c>
      <c r="I43" s="573">
        <v>108.72149999999999</v>
      </c>
      <c r="J43" s="573">
        <v>1063.3017600000005</v>
      </c>
      <c r="K43" s="573">
        <v>458.08695000000017</v>
      </c>
      <c r="L43" s="574">
        <v>520.28359999999998</v>
      </c>
      <c r="M43" s="597">
        <f t="shared" si="3"/>
        <v>6666.5115999999998</v>
      </c>
      <c r="N43" s="594"/>
      <c r="O43" s="598">
        <f t="shared" si="4"/>
        <v>6666.5115999999998</v>
      </c>
    </row>
    <row r="44" spans="2:15" x14ac:dyDescent="0.2">
      <c r="B44" s="370" t="s">
        <v>557</v>
      </c>
      <c r="C44" s="371" t="s">
        <v>558</v>
      </c>
      <c r="D44" s="596">
        <v>31512.352999999992</v>
      </c>
      <c r="E44" s="573">
        <v>2276.7819</v>
      </c>
      <c r="F44" s="573">
        <v>8.58901</v>
      </c>
      <c r="G44" s="573">
        <v>17157.448020000003</v>
      </c>
      <c r="H44" s="573">
        <v>21247.16476</v>
      </c>
      <c r="I44" s="573">
        <v>3725.4369999999999</v>
      </c>
      <c r="J44" s="573">
        <v>4893.6099999999997</v>
      </c>
      <c r="K44" s="573">
        <v>28961.048699999999</v>
      </c>
      <c r="L44" s="574">
        <v>37733.228999999985</v>
      </c>
      <c r="M44" s="597">
        <f t="shared" si="3"/>
        <v>147515.66138999999</v>
      </c>
      <c r="N44" s="594"/>
      <c r="O44" s="598">
        <f t="shared" si="4"/>
        <v>147515.66138999999</v>
      </c>
    </row>
    <row r="45" spans="2:15" x14ac:dyDescent="0.2">
      <c r="B45" s="370" t="s">
        <v>559</v>
      </c>
      <c r="C45" s="371" t="s">
        <v>560</v>
      </c>
      <c r="D45" s="596">
        <v>3068.914929999999</v>
      </c>
      <c r="E45" s="573">
        <v>5717.5906000000014</v>
      </c>
      <c r="F45" s="573">
        <v>83.66749999999999</v>
      </c>
      <c r="G45" s="573">
        <v>5474.431450000001</v>
      </c>
      <c r="H45" s="573">
        <v>18728.926250000004</v>
      </c>
      <c r="I45" s="573">
        <v>1284.9605999999997</v>
      </c>
      <c r="J45" s="573">
        <v>2119.9943500000004</v>
      </c>
      <c r="K45" s="573">
        <v>28660.148150000019</v>
      </c>
      <c r="L45" s="574">
        <v>16649.705749999994</v>
      </c>
      <c r="M45" s="597">
        <f t="shared" si="3"/>
        <v>81788.339580000014</v>
      </c>
      <c r="N45" s="594"/>
      <c r="O45" s="598">
        <f t="shared" si="4"/>
        <v>81788.339580000014</v>
      </c>
    </row>
    <row r="46" spans="2:15" x14ac:dyDescent="0.2">
      <c r="B46" s="370" t="s">
        <v>561</v>
      </c>
      <c r="C46" s="371" t="s">
        <v>562</v>
      </c>
      <c r="D46" s="596">
        <v>4240.9707500000013</v>
      </c>
      <c r="E46" s="573">
        <v>2026.9260000000008</v>
      </c>
      <c r="F46" s="573">
        <v>3712.9680000000012</v>
      </c>
      <c r="G46" s="573">
        <v>3915.6389999999997</v>
      </c>
      <c r="H46" s="573">
        <v>5090.4133400000028</v>
      </c>
      <c r="I46" s="573">
        <v>826.33814999999981</v>
      </c>
      <c r="J46" s="573">
        <v>10605.453599999997</v>
      </c>
      <c r="K46" s="573">
        <v>36674.812879999998</v>
      </c>
      <c r="L46" s="574">
        <v>7517.8253499999992</v>
      </c>
      <c r="M46" s="597">
        <f t="shared" si="3"/>
        <v>74611.347069999989</v>
      </c>
      <c r="N46" s="594"/>
      <c r="O46" s="598">
        <f t="shared" si="4"/>
        <v>74611.347069999989</v>
      </c>
    </row>
    <row r="47" spans="2:15" x14ac:dyDescent="0.2">
      <c r="B47" s="370" t="s">
        <v>563</v>
      </c>
      <c r="C47" s="371" t="s">
        <v>564</v>
      </c>
      <c r="D47" s="596">
        <v>52855.321189999966</v>
      </c>
      <c r="E47" s="573">
        <v>64019.201350000025</v>
      </c>
      <c r="F47" s="573">
        <v>22729.400510000014</v>
      </c>
      <c r="G47" s="573">
        <v>30295.469639999988</v>
      </c>
      <c r="H47" s="573">
        <v>116291.95618999994</v>
      </c>
      <c r="I47" s="573">
        <v>81890.350879999998</v>
      </c>
      <c r="J47" s="573">
        <v>99930.480590000108</v>
      </c>
      <c r="K47" s="573">
        <v>149389.70346000005</v>
      </c>
      <c r="L47" s="574">
        <v>76718.892850000018</v>
      </c>
      <c r="M47" s="597">
        <f t="shared" si="3"/>
        <v>694120.77666000009</v>
      </c>
      <c r="N47" s="594"/>
      <c r="O47" s="598">
        <f t="shared" si="4"/>
        <v>694120.77666000009</v>
      </c>
    </row>
    <row r="48" spans="2:15" x14ac:dyDescent="0.2">
      <c r="B48" s="370" t="s">
        <v>565</v>
      </c>
      <c r="C48" s="371" t="s">
        <v>566</v>
      </c>
      <c r="D48" s="596">
        <v>2401.7094499999994</v>
      </c>
      <c r="E48" s="573">
        <v>450.62423999999999</v>
      </c>
      <c r="F48" s="573">
        <v>753.12423999999999</v>
      </c>
      <c r="G48" s="573">
        <v>694.03410000000008</v>
      </c>
      <c r="H48" s="573">
        <v>10517.170639999998</v>
      </c>
      <c r="I48" s="573">
        <v>1463.2930599999997</v>
      </c>
      <c r="J48" s="573">
        <v>4239.7466700000014</v>
      </c>
      <c r="K48" s="573">
        <v>3811.3863200000001</v>
      </c>
      <c r="L48" s="574">
        <v>2685.1271899999997</v>
      </c>
      <c r="M48" s="597">
        <f t="shared" si="3"/>
        <v>27016.215909999999</v>
      </c>
      <c r="N48" s="594"/>
      <c r="O48" s="598">
        <f t="shared" si="4"/>
        <v>27016.215909999999</v>
      </c>
    </row>
    <row r="49" spans="2:15" x14ac:dyDescent="0.2">
      <c r="B49" s="370" t="s">
        <v>567</v>
      </c>
      <c r="C49" s="371" t="s">
        <v>568</v>
      </c>
      <c r="D49" s="596">
        <v>8907.4700099999973</v>
      </c>
      <c r="E49" s="573">
        <v>4141.2291700000005</v>
      </c>
      <c r="F49" s="573">
        <v>1762.7396900000001</v>
      </c>
      <c r="G49" s="573">
        <v>4611.7358799999993</v>
      </c>
      <c r="H49" s="573">
        <v>32637.908180000006</v>
      </c>
      <c r="I49" s="573">
        <v>4796.159419999999</v>
      </c>
      <c r="J49" s="573">
        <v>5348.2924600000024</v>
      </c>
      <c r="K49" s="573">
        <v>30947.842590000011</v>
      </c>
      <c r="L49" s="574">
        <v>14205.758689999997</v>
      </c>
      <c r="M49" s="597">
        <f t="shared" si="3"/>
        <v>107359.13609000001</v>
      </c>
      <c r="N49" s="594"/>
      <c r="O49" s="598">
        <f t="shared" si="4"/>
        <v>107359.13609000001</v>
      </c>
    </row>
    <row r="50" spans="2:15" x14ac:dyDescent="0.2">
      <c r="B50" s="370" t="s">
        <v>569</v>
      </c>
      <c r="C50" s="371" t="s">
        <v>570</v>
      </c>
      <c r="D50" s="596">
        <v>135006.85626999993</v>
      </c>
      <c r="E50" s="573">
        <v>39220.841440000033</v>
      </c>
      <c r="F50" s="573">
        <v>18385.831950000003</v>
      </c>
      <c r="G50" s="573">
        <v>36412.116000000009</v>
      </c>
      <c r="H50" s="573">
        <v>86327.911730000109</v>
      </c>
      <c r="I50" s="573">
        <v>45232.079719999994</v>
      </c>
      <c r="J50" s="573">
        <v>26105.985279999975</v>
      </c>
      <c r="K50" s="573">
        <v>80877.709969999967</v>
      </c>
      <c r="L50" s="574">
        <v>83531.98835</v>
      </c>
      <c r="M50" s="597">
        <f t="shared" si="3"/>
        <v>551101.32071</v>
      </c>
      <c r="N50" s="594"/>
      <c r="O50" s="598">
        <f t="shared" si="4"/>
        <v>551101.32071</v>
      </c>
    </row>
    <row r="51" spans="2:15" x14ac:dyDescent="0.2">
      <c r="B51" s="370" t="s">
        <v>571</v>
      </c>
      <c r="C51" s="371" t="s">
        <v>572</v>
      </c>
      <c r="D51" s="596">
        <v>125538.01123000005</v>
      </c>
      <c r="E51" s="573">
        <v>138916.26707</v>
      </c>
      <c r="F51" s="573">
        <v>76470.532069999987</v>
      </c>
      <c r="G51" s="573">
        <v>133313.85874</v>
      </c>
      <c r="H51" s="573">
        <v>26696.024590000008</v>
      </c>
      <c r="I51" s="573">
        <v>118073.23321999989</v>
      </c>
      <c r="J51" s="573">
        <v>88352.74374000002</v>
      </c>
      <c r="K51" s="573">
        <v>100660.69463999997</v>
      </c>
      <c r="L51" s="574">
        <v>86841.797930000044</v>
      </c>
      <c r="M51" s="599">
        <f t="shared" si="3"/>
        <v>894863.16323000006</v>
      </c>
      <c r="N51" s="594"/>
      <c r="O51" s="597">
        <f t="shared" si="4"/>
        <v>894863.16323000006</v>
      </c>
    </row>
    <row r="52" spans="2:15" x14ac:dyDescent="0.2">
      <c r="B52" s="370" t="s">
        <v>573</v>
      </c>
      <c r="C52" s="371" t="s">
        <v>574</v>
      </c>
      <c r="D52" s="596">
        <v>9656.4055100000132</v>
      </c>
      <c r="E52" s="573">
        <v>9810.4082799999869</v>
      </c>
      <c r="F52" s="573">
        <v>21203.466670000009</v>
      </c>
      <c r="G52" s="573">
        <v>9494.3005600000033</v>
      </c>
      <c r="H52" s="573">
        <v>19866.126200000046</v>
      </c>
      <c r="I52" s="573">
        <v>47132.299070000008</v>
      </c>
      <c r="J52" s="573">
        <v>15904.971559999994</v>
      </c>
      <c r="K52" s="573">
        <v>29487.096589999972</v>
      </c>
      <c r="L52" s="574">
        <v>19474.390399999989</v>
      </c>
      <c r="M52" s="597">
        <f t="shared" si="3"/>
        <v>182029.46484000003</v>
      </c>
      <c r="N52" s="594"/>
      <c r="O52" s="598">
        <f t="shared" si="4"/>
        <v>182029.46484000003</v>
      </c>
    </row>
    <row r="53" spans="2:15" x14ac:dyDescent="0.2">
      <c r="B53" s="370" t="s">
        <v>575</v>
      </c>
      <c r="C53" s="371" t="s">
        <v>576</v>
      </c>
      <c r="D53" s="596">
        <v>290884.71400000009</v>
      </c>
      <c r="E53" s="573">
        <v>31350.862000000005</v>
      </c>
      <c r="F53" s="573">
        <v>475.07239999999996</v>
      </c>
      <c r="G53" s="573">
        <v>123788.91200000001</v>
      </c>
      <c r="H53" s="573">
        <v>100944.94503999998</v>
      </c>
      <c r="I53" s="573">
        <v>48741.679010000007</v>
      </c>
      <c r="J53" s="573">
        <v>127504.72210000001</v>
      </c>
      <c r="K53" s="573">
        <v>98311.795499999993</v>
      </c>
      <c r="L53" s="574">
        <v>180389.01749999993</v>
      </c>
      <c r="M53" s="597">
        <f t="shared" si="3"/>
        <v>1002391.71955</v>
      </c>
      <c r="N53" s="594"/>
      <c r="O53" s="598">
        <f t="shared" si="4"/>
        <v>1002391.71955</v>
      </c>
    </row>
    <row r="54" spans="2:15" x14ac:dyDescent="0.2">
      <c r="B54" s="370" t="s">
        <v>577</v>
      </c>
      <c r="C54" s="371" t="s">
        <v>578</v>
      </c>
      <c r="D54" s="600">
        <v>60801.058580000034</v>
      </c>
      <c r="E54" s="576">
        <v>18246.288349999995</v>
      </c>
      <c r="F54" s="576">
        <v>23828.634639999993</v>
      </c>
      <c r="G54" s="576">
        <v>6467.7588500000029</v>
      </c>
      <c r="H54" s="576">
        <v>112608.11449999997</v>
      </c>
      <c r="I54" s="576">
        <v>68732.516800000041</v>
      </c>
      <c r="J54" s="576">
        <v>20498.419529999999</v>
      </c>
      <c r="K54" s="576">
        <v>51142.564650000015</v>
      </c>
      <c r="L54" s="601">
        <v>43234.24098000001</v>
      </c>
      <c r="M54" s="597">
        <f t="shared" si="3"/>
        <v>405559.59688000008</v>
      </c>
      <c r="N54" s="602"/>
      <c r="O54" s="603">
        <f t="shared" si="4"/>
        <v>405559.59688000008</v>
      </c>
    </row>
    <row r="55" spans="2:15" x14ac:dyDescent="0.2">
      <c r="B55" s="372" t="s">
        <v>33</v>
      </c>
      <c r="C55" s="373"/>
      <c r="D55" s="604">
        <f>SUM(D35:D54)</f>
        <v>776053.2752700001</v>
      </c>
      <c r="E55" s="605">
        <f t="shared" ref="E55:M55" si="5">SUM(E35:E54)</f>
        <v>325955.30518000002</v>
      </c>
      <c r="F55" s="605">
        <f t="shared" si="5"/>
        <v>170407.81818</v>
      </c>
      <c r="G55" s="605">
        <f t="shared" si="5"/>
        <v>623817.47534999985</v>
      </c>
      <c r="H55" s="605">
        <f t="shared" si="5"/>
        <v>751637.28248000005</v>
      </c>
      <c r="I55" s="605">
        <f t="shared" si="5"/>
        <v>455764.51775999996</v>
      </c>
      <c r="J55" s="605">
        <f t="shared" si="5"/>
        <v>420688.8733700001</v>
      </c>
      <c r="K55" s="605">
        <f t="shared" si="5"/>
        <v>694304.65834999993</v>
      </c>
      <c r="L55" s="606">
        <f t="shared" si="5"/>
        <v>706680.1227999999</v>
      </c>
      <c r="M55" s="607">
        <f t="shared" si="5"/>
        <v>4925309.3287400007</v>
      </c>
      <c r="N55" s="608"/>
      <c r="O55" s="609">
        <f>SUM(O35:O54)</f>
        <v>4925309.3287400007</v>
      </c>
    </row>
    <row r="56" spans="2:15" x14ac:dyDescent="0.2">
      <c r="B56" s="374"/>
      <c r="C56" s="366"/>
      <c r="D56" s="366"/>
      <c r="E56" s="366"/>
      <c r="F56" s="366"/>
      <c r="G56" s="366"/>
      <c r="H56" s="366"/>
      <c r="I56" s="366"/>
      <c r="J56" s="366"/>
      <c r="K56" s="366"/>
      <c r="L56" s="366"/>
      <c r="M56" s="366"/>
      <c r="N56" s="366"/>
      <c r="O56" s="366"/>
    </row>
    <row r="57" spans="2:15" x14ac:dyDescent="0.2">
      <c r="B57" s="254" t="s">
        <v>579</v>
      </c>
      <c r="C57" s="366"/>
      <c r="D57" s="366"/>
      <c r="E57" s="366"/>
      <c r="F57" s="366"/>
      <c r="G57" s="366"/>
      <c r="H57" s="366"/>
      <c r="I57" s="366"/>
      <c r="J57" s="366"/>
      <c r="K57" s="366"/>
      <c r="L57" s="366"/>
      <c r="M57" s="366"/>
      <c r="N57" s="366"/>
      <c r="O57" s="366"/>
    </row>
    <row r="58" spans="2:15" x14ac:dyDescent="0.2">
      <c r="B58" s="78" t="s">
        <v>583</v>
      </c>
      <c r="C58" s="366"/>
      <c r="D58" s="366"/>
      <c r="E58" s="366"/>
      <c r="F58" s="366"/>
      <c r="G58" s="366"/>
      <c r="H58" s="366"/>
      <c r="I58" s="366"/>
      <c r="J58" s="366"/>
      <c r="K58" s="366"/>
      <c r="L58" s="366"/>
      <c r="M58" s="366"/>
      <c r="N58" s="366"/>
      <c r="O58" s="366"/>
    </row>
    <row r="59" spans="2:15" x14ac:dyDescent="0.2">
      <c r="B59" s="78" t="s">
        <v>584</v>
      </c>
      <c r="C59" s="366"/>
      <c r="D59" s="366"/>
      <c r="E59" s="366"/>
      <c r="F59" s="366"/>
      <c r="G59" s="366"/>
      <c r="H59" s="366"/>
      <c r="I59" s="366"/>
      <c r="J59" s="366"/>
      <c r="K59" s="366"/>
      <c r="L59" s="366"/>
      <c r="M59" s="366"/>
      <c r="N59" s="366"/>
      <c r="O59" s="366"/>
    </row>
    <row r="60" spans="2:15" x14ac:dyDescent="0.2">
      <c r="B60" s="365" t="s">
        <v>585</v>
      </c>
      <c r="C60" s="366"/>
      <c r="D60" s="366"/>
      <c r="E60" s="366"/>
      <c r="F60" s="366"/>
      <c r="G60" s="366"/>
      <c r="H60" s="366"/>
      <c r="I60" s="366"/>
      <c r="J60" s="366"/>
      <c r="K60" s="366"/>
      <c r="L60" s="366"/>
      <c r="M60" s="366"/>
      <c r="N60" s="366"/>
      <c r="O60" s="366"/>
    </row>
  </sheetData>
  <pageMargins left="0.7" right="0.7" top="0.75" bottom="0.75" header="0.3" footer="0.3"/>
  <pageSetup paperSize="8" scale="91"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2"/>
  <sheetViews>
    <sheetView showGridLines="0" workbookViewId="0"/>
  </sheetViews>
  <sheetFormatPr defaultRowHeight="12.75" x14ac:dyDescent="0.2"/>
  <cols>
    <col min="1" max="1" width="4" style="264" customWidth="1"/>
    <col min="2" max="2" width="31.85546875" style="264" customWidth="1"/>
    <col min="3" max="3" width="12.5703125" style="264" customWidth="1"/>
    <col min="4" max="4" width="13.7109375" style="264" customWidth="1"/>
    <col min="5" max="5" width="9.5703125" style="264" customWidth="1"/>
    <col min="6" max="6" width="10.28515625" style="264" customWidth="1"/>
    <col min="7" max="7" width="10.42578125" style="264" customWidth="1"/>
    <col min="8" max="8" width="10.28515625" style="264" customWidth="1"/>
    <col min="9" max="9" width="11" style="264" customWidth="1"/>
    <col min="10" max="10" width="11.140625" style="264" customWidth="1"/>
    <col min="11" max="11" width="12.85546875" style="264" customWidth="1"/>
    <col min="12" max="12" width="11.7109375" style="264" customWidth="1"/>
    <col min="13" max="13" width="11.85546875" style="264" customWidth="1"/>
    <col min="14" max="14" width="11.5703125" style="264" customWidth="1"/>
    <col min="15" max="15" width="10.28515625" style="264" bestFit="1" customWidth="1"/>
    <col min="16" max="16384" width="9.140625" style="264"/>
  </cols>
  <sheetData>
    <row r="1" spans="1:16" x14ac:dyDescent="0.2">
      <c r="A1" s="242"/>
    </row>
    <row r="2" spans="1:16" ht="18.75" x14ac:dyDescent="0.2">
      <c r="B2" s="35" t="s">
        <v>1028</v>
      </c>
      <c r="C2" s="78"/>
      <c r="D2" s="78"/>
      <c r="E2" s="78"/>
      <c r="F2" s="78"/>
      <c r="G2" s="78"/>
      <c r="H2" s="78"/>
      <c r="I2" s="78"/>
      <c r="J2" s="78"/>
      <c r="K2" s="78"/>
      <c r="L2" s="78"/>
      <c r="M2" s="78"/>
      <c r="N2" s="78"/>
    </row>
    <row r="3" spans="1:16" x14ac:dyDescent="0.2">
      <c r="B3" s="78"/>
      <c r="C3" s="78"/>
      <c r="D3" s="78"/>
      <c r="E3" s="78"/>
      <c r="F3" s="78"/>
      <c r="G3" s="78"/>
      <c r="H3" s="78"/>
      <c r="I3" s="78"/>
      <c r="J3" s="78"/>
      <c r="K3" s="78"/>
      <c r="L3" s="78"/>
      <c r="M3" s="78"/>
      <c r="N3" s="78"/>
    </row>
    <row r="4" spans="1:16" ht="25.5" x14ac:dyDescent="0.2">
      <c r="B4" s="376" t="s">
        <v>586</v>
      </c>
      <c r="C4" s="375" t="s">
        <v>531</v>
      </c>
      <c r="D4" s="375" t="s">
        <v>532</v>
      </c>
      <c r="E4" s="375" t="s">
        <v>124</v>
      </c>
      <c r="F4" s="375" t="s">
        <v>533</v>
      </c>
      <c r="G4" s="375" t="s">
        <v>120</v>
      </c>
      <c r="H4" s="375" t="s">
        <v>125</v>
      </c>
      <c r="I4" s="375" t="s">
        <v>129</v>
      </c>
      <c r="J4" s="375" t="s">
        <v>122</v>
      </c>
      <c r="K4" s="375" t="s">
        <v>534</v>
      </c>
      <c r="L4" s="377" t="s">
        <v>537</v>
      </c>
      <c r="M4" s="375" t="s">
        <v>582</v>
      </c>
      <c r="N4" s="78"/>
    </row>
    <row r="5" spans="1:16" x14ac:dyDescent="0.2">
      <c r="B5" s="368" t="s">
        <v>587</v>
      </c>
      <c r="C5" s="163">
        <v>51135.957999999999</v>
      </c>
      <c r="D5" s="477" t="s">
        <v>260</v>
      </c>
      <c r="E5" s="164">
        <v>0.1</v>
      </c>
      <c r="F5" s="477" t="s">
        <v>260</v>
      </c>
      <c r="G5" s="164">
        <v>25171.884000000002</v>
      </c>
      <c r="H5" s="164">
        <v>5614.7500000000009</v>
      </c>
      <c r="I5" s="164">
        <v>0.625</v>
      </c>
      <c r="J5" s="164">
        <v>9123.4648399999969</v>
      </c>
      <c r="K5" s="165">
        <v>39702.07</v>
      </c>
      <c r="L5" s="627"/>
      <c r="M5" s="582">
        <f>SUM(C5:L5)</f>
        <v>130748.85183999999</v>
      </c>
      <c r="N5" s="78"/>
      <c r="O5" s="378"/>
      <c r="P5" s="379"/>
    </row>
    <row r="6" spans="1:16" x14ac:dyDescent="0.2">
      <c r="B6" s="370" t="s">
        <v>588</v>
      </c>
      <c r="C6" s="450">
        <v>5.47</v>
      </c>
      <c r="D6" s="288">
        <v>7352.3220399999918</v>
      </c>
      <c r="E6" s="288">
        <v>10187.999300000001</v>
      </c>
      <c r="F6" s="288">
        <v>23944.094000000005</v>
      </c>
      <c r="G6" s="288">
        <v>64866.566629999994</v>
      </c>
      <c r="H6" s="288">
        <v>32763.267489999991</v>
      </c>
      <c r="I6" s="288">
        <v>8534.4587899999951</v>
      </c>
      <c r="J6" s="288">
        <v>6926.6203900000055</v>
      </c>
      <c r="K6" s="289">
        <v>7336.976190000003</v>
      </c>
      <c r="L6" s="628"/>
      <c r="M6" s="582">
        <f t="shared" ref="M6:M14" si="0">SUM(C6:L6)</f>
        <v>161917.77483000001</v>
      </c>
      <c r="N6" s="78"/>
      <c r="O6" s="378"/>
      <c r="P6" s="379"/>
    </row>
    <row r="7" spans="1:16" x14ac:dyDescent="0.2">
      <c r="B7" s="370" t="s">
        <v>589</v>
      </c>
      <c r="C7" s="450">
        <v>149110.78300000005</v>
      </c>
      <c r="D7" s="288">
        <v>80239.901560000013</v>
      </c>
      <c r="E7" s="288">
        <v>40.636899999999997</v>
      </c>
      <c r="F7" s="288">
        <v>123636.60000000003</v>
      </c>
      <c r="G7" s="288">
        <v>43708.329799999992</v>
      </c>
      <c r="H7" s="288">
        <v>80972.59053999999</v>
      </c>
      <c r="I7" s="288">
        <v>118128.34755000002</v>
      </c>
      <c r="J7" s="288">
        <v>30039.461009999992</v>
      </c>
      <c r="K7" s="289">
        <v>91704.456000000006</v>
      </c>
      <c r="L7" s="628"/>
      <c r="M7" s="582">
        <f>SUM(C7:L7)</f>
        <v>717581.10636000009</v>
      </c>
      <c r="N7" s="78"/>
      <c r="O7" s="378"/>
      <c r="P7" s="379"/>
    </row>
    <row r="8" spans="1:16" x14ac:dyDescent="0.2">
      <c r="B8" s="634" t="s">
        <v>590</v>
      </c>
      <c r="C8" s="477" t="s">
        <v>260</v>
      </c>
      <c r="D8" s="477" t="s">
        <v>260</v>
      </c>
      <c r="E8" s="477" t="s">
        <v>260</v>
      </c>
      <c r="F8" s="477" t="s">
        <v>260</v>
      </c>
      <c r="G8" s="288">
        <v>15765.800000000001</v>
      </c>
      <c r="H8" s="288">
        <v>0.59</v>
      </c>
      <c r="I8" s="288">
        <v>12.2</v>
      </c>
      <c r="J8" s="477" t="s">
        <v>260</v>
      </c>
      <c r="K8" s="477" t="s">
        <v>260</v>
      </c>
      <c r="L8" s="628"/>
      <c r="M8" s="582">
        <f t="shared" si="0"/>
        <v>15778.590000000002</v>
      </c>
      <c r="N8" s="78"/>
      <c r="O8" s="378"/>
      <c r="P8" s="379"/>
    </row>
    <row r="9" spans="1:16" x14ac:dyDescent="0.2">
      <c r="B9" s="370" t="s">
        <v>591</v>
      </c>
      <c r="C9" s="450">
        <v>0.3</v>
      </c>
      <c r="D9" s="288">
        <v>22.31334</v>
      </c>
      <c r="E9" s="288">
        <v>6.0949999999999998</v>
      </c>
      <c r="F9" s="288">
        <v>76.05</v>
      </c>
      <c r="G9" s="477" t="s">
        <v>260</v>
      </c>
      <c r="H9" s="288">
        <v>2.532</v>
      </c>
      <c r="I9" s="288">
        <v>46674.888699999996</v>
      </c>
      <c r="J9" s="288">
        <v>0.32500000000000001</v>
      </c>
      <c r="K9" s="289">
        <v>30.92</v>
      </c>
      <c r="L9" s="628"/>
      <c r="M9" s="582">
        <f t="shared" si="0"/>
        <v>46813.424039999991</v>
      </c>
      <c r="N9" s="78"/>
      <c r="O9" s="378"/>
      <c r="P9" s="379"/>
    </row>
    <row r="10" spans="1:16" x14ac:dyDescent="0.2">
      <c r="B10" s="370" t="s">
        <v>592</v>
      </c>
      <c r="C10" s="450">
        <v>253932.63788000026</v>
      </c>
      <c r="D10" s="288">
        <v>89384.432520000002</v>
      </c>
      <c r="E10" s="288">
        <v>100570.92374000003</v>
      </c>
      <c r="F10" s="288">
        <v>74977.33590999998</v>
      </c>
      <c r="G10" s="288">
        <v>242393.43229999999</v>
      </c>
      <c r="H10" s="288">
        <v>115006.31391000004</v>
      </c>
      <c r="I10" s="288">
        <v>97904.319060000009</v>
      </c>
      <c r="J10" s="288">
        <v>228278.18824000043</v>
      </c>
      <c r="K10" s="289">
        <v>223808.68006000004</v>
      </c>
      <c r="L10" s="628"/>
      <c r="M10" s="582">
        <f t="shared" si="0"/>
        <v>1426256.2636200008</v>
      </c>
      <c r="N10" s="78"/>
      <c r="O10" s="378"/>
      <c r="P10" s="379"/>
    </row>
    <row r="11" spans="1:16" x14ac:dyDescent="0.2">
      <c r="B11" s="370" t="s">
        <v>593</v>
      </c>
      <c r="C11" s="450">
        <v>905.71660000000008</v>
      </c>
      <c r="D11" s="288">
        <v>44.006799999999998</v>
      </c>
      <c r="E11" s="288">
        <v>28.5</v>
      </c>
      <c r="F11" s="288">
        <v>39.754999999999995</v>
      </c>
      <c r="G11" s="288">
        <v>355.94100000000003</v>
      </c>
      <c r="H11" s="288">
        <v>109.21080000000001</v>
      </c>
      <c r="I11" s="288">
        <v>282.44899999999996</v>
      </c>
      <c r="J11" s="288">
        <v>302.00049999999982</v>
      </c>
      <c r="K11" s="289">
        <v>421.77368000000007</v>
      </c>
      <c r="L11" s="628"/>
      <c r="M11" s="582">
        <f t="shared" si="0"/>
        <v>2489.35338</v>
      </c>
      <c r="N11" s="78"/>
    </row>
    <row r="12" spans="1:16" x14ac:dyDescent="0.2">
      <c r="B12" s="370" t="s">
        <v>594</v>
      </c>
      <c r="C12" s="450">
        <v>44987.695619999948</v>
      </c>
      <c r="D12" s="288">
        <v>32722.863629999974</v>
      </c>
      <c r="E12" s="288">
        <v>6618.4616900000019</v>
      </c>
      <c r="F12" s="288">
        <v>22985.34726000002</v>
      </c>
      <c r="G12" s="288">
        <v>40061.367919999975</v>
      </c>
      <c r="H12" s="288">
        <v>23894.552510000016</v>
      </c>
      <c r="I12" s="288">
        <v>36466.366509999971</v>
      </c>
      <c r="J12" s="288">
        <v>52810.699630000083</v>
      </c>
      <c r="K12" s="289">
        <v>23142.004589999993</v>
      </c>
      <c r="L12" s="628"/>
      <c r="M12" s="582">
        <f t="shared" si="0"/>
        <v>283689.35935999994</v>
      </c>
      <c r="N12" s="78"/>
      <c r="O12" s="380" t="s">
        <v>78</v>
      </c>
    </row>
    <row r="13" spans="1:16" x14ac:dyDescent="0.2">
      <c r="B13" s="370" t="s">
        <v>595</v>
      </c>
      <c r="C13" s="450">
        <v>115755.09397000012</v>
      </c>
      <c r="D13" s="288">
        <v>64974.502399999998</v>
      </c>
      <c r="E13" s="288">
        <v>40185.194549999957</v>
      </c>
      <c r="F13" s="288">
        <v>23318.455599999998</v>
      </c>
      <c r="G13" s="288">
        <v>202443.70197999969</v>
      </c>
      <c r="H13" s="288">
        <v>91322.431370000035</v>
      </c>
      <c r="I13" s="288">
        <v>48046.739759999989</v>
      </c>
      <c r="J13" s="288">
        <v>171366.84310000009</v>
      </c>
      <c r="K13" s="289">
        <v>111258.19551000003</v>
      </c>
      <c r="L13" s="628"/>
      <c r="M13" s="582">
        <f t="shared" si="0"/>
        <v>868671.15823999979</v>
      </c>
      <c r="N13" s="78"/>
    </row>
    <row r="14" spans="1:16" x14ac:dyDescent="0.2">
      <c r="B14" s="370" t="s">
        <v>99</v>
      </c>
      <c r="C14" s="452">
        <v>160219.62020000003</v>
      </c>
      <c r="D14" s="290">
        <v>51214.962889999981</v>
      </c>
      <c r="E14" s="290">
        <v>12769.907000000001</v>
      </c>
      <c r="F14" s="290">
        <v>354839.83758000034</v>
      </c>
      <c r="G14" s="290">
        <v>116870.25885000011</v>
      </c>
      <c r="H14" s="290">
        <v>106078.27914000001</v>
      </c>
      <c r="I14" s="290">
        <v>64638.478999999978</v>
      </c>
      <c r="J14" s="290">
        <v>195457.05563999992</v>
      </c>
      <c r="K14" s="445">
        <v>209275.04676999978</v>
      </c>
      <c r="L14" s="629"/>
      <c r="M14" s="582">
        <f t="shared" si="0"/>
        <v>1271363.4470700002</v>
      </c>
      <c r="N14" s="78"/>
    </row>
    <row r="15" spans="1:16" ht="19.5" customHeight="1" x14ac:dyDescent="0.2">
      <c r="B15" s="372" t="s">
        <v>33</v>
      </c>
      <c r="C15" s="630">
        <f>SUM(C5:C14)</f>
        <v>776053.27527000045</v>
      </c>
      <c r="D15" s="631">
        <f t="shared" ref="D15:M15" si="1">SUM(D5:D14)</f>
        <v>325955.30517999991</v>
      </c>
      <c r="E15" s="631">
        <f t="shared" si="1"/>
        <v>170407.81818</v>
      </c>
      <c r="F15" s="631">
        <f t="shared" si="1"/>
        <v>623817.47535000043</v>
      </c>
      <c r="G15" s="631">
        <f t="shared" si="1"/>
        <v>751637.2824799997</v>
      </c>
      <c r="H15" s="631">
        <f t="shared" si="1"/>
        <v>455764.51776000008</v>
      </c>
      <c r="I15" s="631">
        <f t="shared" si="1"/>
        <v>420688.87336999993</v>
      </c>
      <c r="J15" s="631">
        <f t="shared" si="1"/>
        <v>694304.65835000051</v>
      </c>
      <c r="K15" s="632">
        <f t="shared" si="1"/>
        <v>706680.12279999978</v>
      </c>
      <c r="L15" s="633"/>
      <c r="M15" s="631">
        <f t="shared" si="1"/>
        <v>4925309.3287400007</v>
      </c>
      <c r="N15" s="78"/>
    </row>
    <row r="16" spans="1:16" x14ac:dyDescent="0.2">
      <c r="B16" s="78"/>
      <c r="C16" s="78"/>
      <c r="D16" s="78"/>
      <c r="E16" s="78"/>
      <c r="F16" s="78"/>
      <c r="G16" s="78"/>
      <c r="H16" s="78"/>
      <c r="I16" s="78"/>
      <c r="J16" s="78"/>
      <c r="K16" s="78"/>
      <c r="L16" s="78"/>
      <c r="M16" s="78"/>
      <c r="N16" s="78"/>
    </row>
    <row r="17" spans="2:14" x14ac:dyDescent="0.2">
      <c r="B17" s="254" t="s">
        <v>579</v>
      </c>
      <c r="C17" s="366"/>
      <c r="D17" s="78"/>
      <c r="E17" s="78"/>
      <c r="F17" s="78"/>
      <c r="G17" s="78"/>
      <c r="H17" s="78"/>
      <c r="I17" s="78"/>
      <c r="J17" s="78"/>
      <c r="K17" s="78"/>
      <c r="L17" s="78"/>
      <c r="M17" s="78"/>
      <c r="N17" s="78"/>
    </row>
    <row r="18" spans="2:14" x14ac:dyDescent="0.2">
      <c r="B18" s="78" t="s">
        <v>583</v>
      </c>
      <c r="C18" s="366"/>
      <c r="D18" s="78"/>
      <c r="E18" s="78"/>
      <c r="F18" s="78"/>
      <c r="G18" s="78"/>
      <c r="H18" s="78"/>
      <c r="I18" s="78"/>
      <c r="J18" s="78"/>
      <c r="K18" s="78"/>
      <c r="L18" s="78"/>
      <c r="M18" s="78"/>
      <c r="N18" s="78"/>
    </row>
    <row r="19" spans="2:14" x14ac:dyDescent="0.2">
      <c r="B19" s="78" t="s">
        <v>584</v>
      </c>
      <c r="C19" s="366"/>
      <c r="D19" s="78"/>
      <c r="E19" s="78"/>
      <c r="F19" s="78"/>
      <c r="G19" s="78"/>
      <c r="H19" s="78"/>
      <c r="I19" s="78"/>
      <c r="J19" s="78"/>
      <c r="K19" s="78"/>
      <c r="L19" s="78"/>
      <c r="M19" s="78"/>
      <c r="N19" s="78"/>
    </row>
    <row r="20" spans="2:14" x14ac:dyDescent="0.2">
      <c r="B20" s="78" t="s">
        <v>596</v>
      </c>
      <c r="C20" s="78"/>
      <c r="D20" s="78"/>
      <c r="E20" s="78"/>
      <c r="F20" s="78"/>
      <c r="G20" s="78"/>
      <c r="H20" s="78"/>
      <c r="I20" s="78"/>
      <c r="J20" s="78"/>
      <c r="K20" s="78"/>
      <c r="L20" s="78"/>
      <c r="M20" s="78"/>
      <c r="N20" s="78"/>
    </row>
    <row r="21" spans="2:14" x14ac:dyDescent="0.2">
      <c r="B21" s="78" t="s">
        <v>597</v>
      </c>
      <c r="C21" s="78"/>
      <c r="D21" s="78"/>
      <c r="E21" s="78"/>
      <c r="F21" s="78"/>
      <c r="G21" s="78"/>
      <c r="H21" s="78"/>
      <c r="I21" s="78"/>
      <c r="J21" s="78"/>
      <c r="K21" s="78"/>
      <c r="L21" s="78"/>
      <c r="M21" s="78"/>
      <c r="N21" s="78"/>
    </row>
    <row r="22" spans="2:14" x14ac:dyDescent="0.2">
      <c r="B22" s="78" t="s">
        <v>598</v>
      </c>
      <c r="C22" s="78"/>
      <c r="D22" s="78"/>
      <c r="E22" s="78"/>
      <c r="F22" s="78"/>
      <c r="G22" s="78"/>
      <c r="H22" s="78"/>
      <c r="I22" s="78"/>
      <c r="J22" s="78"/>
      <c r="K22" s="78"/>
      <c r="L22" s="78"/>
      <c r="M22" s="78"/>
      <c r="N22" s="78"/>
    </row>
  </sheetData>
  <pageMargins left="0.7" right="0.7" top="0.75" bottom="0.75" header="0.3" footer="0.3"/>
  <pageSetup paperSize="9" scale="73"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94"/>
  <sheetViews>
    <sheetView showGridLines="0" workbookViewId="0"/>
  </sheetViews>
  <sheetFormatPr defaultRowHeight="12.75" x14ac:dyDescent="0.2"/>
  <cols>
    <col min="1" max="1" width="5.42578125" style="78" customWidth="1"/>
    <col min="2" max="2" width="9.140625" style="78"/>
    <col min="3" max="3" width="51.7109375" style="78" customWidth="1"/>
    <col min="4" max="4" width="10" style="78" customWidth="1"/>
    <col min="5" max="5" width="11" style="78" customWidth="1"/>
    <col min="6" max="6" width="9.7109375" style="78" customWidth="1"/>
    <col min="7" max="7" width="10.85546875" style="78" customWidth="1"/>
    <col min="8" max="8" width="10.140625" style="78" customWidth="1"/>
    <col min="9" max="9" width="10" style="78" customWidth="1"/>
    <col min="10" max="10" width="9.85546875" style="78" customWidth="1"/>
    <col min="11" max="11" width="10.42578125" style="78" customWidth="1"/>
    <col min="12" max="12" width="10" style="78" customWidth="1"/>
    <col min="13" max="13" width="10.7109375" style="78" customWidth="1"/>
    <col min="14" max="15" width="10.140625" style="78" customWidth="1"/>
    <col min="16" max="16" width="10.85546875" style="78" customWidth="1"/>
    <col min="17" max="19" width="12.140625" style="78" customWidth="1"/>
    <col min="20" max="16384" width="9.140625" style="78"/>
  </cols>
  <sheetData>
    <row r="1" spans="1:16" x14ac:dyDescent="0.2">
      <c r="A1" s="242"/>
    </row>
    <row r="2" spans="1:16" ht="18.75" x14ac:dyDescent="0.2">
      <c r="B2" s="381" t="s">
        <v>1029</v>
      </c>
      <c r="C2" s="382"/>
      <c r="D2" s="382"/>
      <c r="E2" s="382"/>
      <c r="F2" s="382"/>
      <c r="G2" s="382"/>
      <c r="H2" s="382"/>
      <c r="I2" s="382"/>
      <c r="J2" s="382"/>
      <c r="K2" s="382"/>
      <c r="L2" s="382"/>
      <c r="M2" s="382"/>
      <c r="N2" s="382"/>
      <c r="O2" s="382"/>
      <c r="P2" s="382"/>
    </row>
    <row r="3" spans="1:16" x14ac:dyDescent="0.2">
      <c r="B3" s="383"/>
      <c r="C3" s="382"/>
      <c r="D3" s="382"/>
      <c r="E3" s="382"/>
      <c r="F3" s="382"/>
      <c r="G3" s="382"/>
      <c r="H3" s="382"/>
      <c r="I3" s="382"/>
      <c r="J3" s="382"/>
      <c r="K3" s="382"/>
      <c r="L3" s="382"/>
      <c r="M3" s="382"/>
      <c r="N3" s="382"/>
      <c r="O3" s="382"/>
      <c r="P3" s="382"/>
    </row>
    <row r="4" spans="1:16" x14ac:dyDescent="0.2">
      <c r="B4" s="384" t="s">
        <v>727</v>
      </c>
      <c r="C4" s="382"/>
      <c r="D4" s="382"/>
      <c r="E4" s="382"/>
      <c r="F4" s="382"/>
      <c r="G4" s="382"/>
      <c r="H4" s="382"/>
      <c r="I4" s="382"/>
      <c r="J4" s="382"/>
      <c r="K4" s="382"/>
      <c r="L4" s="382"/>
      <c r="M4" s="382"/>
      <c r="N4" s="382"/>
      <c r="O4" s="382"/>
      <c r="P4" s="382"/>
    </row>
    <row r="5" spans="1:16" x14ac:dyDescent="0.2">
      <c r="B5" s="384" t="s">
        <v>766</v>
      </c>
      <c r="C5" s="382"/>
      <c r="D5" s="382"/>
      <c r="E5" s="382"/>
      <c r="F5" s="382"/>
      <c r="G5" s="382"/>
      <c r="H5" s="382"/>
      <c r="I5" s="382"/>
      <c r="J5" s="382"/>
      <c r="K5" s="382"/>
      <c r="L5" s="382"/>
      <c r="M5" s="382"/>
      <c r="N5" s="382"/>
      <c r="O5" s="382"/>
      <c r="P5" s="382"/>
    </row>
    <row r="6" spans="1:16" x14ac:dyDescent="0.2">
      <c r="B6" s="383"/>
      <c r="C6" s="382"/>
      <c r="D6" s="382"/>
      <c r="E6" s="382"/>
      <c r="F6" s="382"/>
      <c r="G6" s="382"/>
      <c r="H6" s="382"/>
      <c r="I6" s="382"/>
      <c r="J6" s="382"/>
      <c r="K6" s="382"/>
      <c r="L6" s="382"/>
      <c r="M6" s="382"/>
      <c r="N6" s="382"/>
      <c r="O6" s="382"/>
      <c r="P6" s="382"/>
    </row>
    <row r="7" spans="1:16" x14ac:dyDescent="0.2">
      <c r="B7" s="254" t="s">
        <v>579</v>
      </c>
      <c r="C7" s="382"/>
      <c r="D7" s="382"/>
      <c r="E7" s="382"/>
      <c r="F7" s="382"/>
      <c r="G7" s="382"/>
      <c r="H7" s="382"/>
      <c r="I7" s="382"/>
      <c r="J7" s="382"/>
      <c r="K7" s="382"/>
      <c r="L7" s="382"/>
      <c r="M7" s="382"/>
      <c r="N7" s="382"/>
      <c r="O7" s="382"/>
      <c r="P7" s="382"/>
    </row>
    <row r="8" spans="1:16" x14ac:dyDescent="0.2">
      <c r="B8" s="78" t="s">
        <v>581</v>
      </c>
      <c r="C8" s="382"/>
      <c r="D8" s="382"/>
      <c r="E8" s="382"/>
      <c r="F8" s="382"/>
      <c r="G8" s="382"/>
      <c r="H8" s="382"/>
      <c r="I8" s="382"/>
      <c r="J8" s="382"/>
      <c r="K8" s="382"/>
      <c r="L8" s="382"/>
      <c r="M8" s="382"/>
      <c r="N8" s="382"/>
      <c r="O8" s="382"/>
      <c r="P8" s="382"/>
    </row>
    <row r="9" spans="1:16" x14ac:dyDescent="0.2">
      <c r="B9" s="78" t="s">
        <v>599</v>
      </c>
      <c r="C9" s="382"/>
      <c r="D9" s="382"/>
      <c r="E9" s="382"/>
      <c r="F9" s="382"/>
      <c r="G9" s="382"/>
      <c r="H9" s="382"/>
      <c r="I9" s="382"/>
      <c r="J9" s="382"/>
      <c r="K9" s="382"/>
      <c r="L9" s="382"/>
      <c r="M9" s="382"/>
      <c r="N9" s="382"/>
      <c r="O9" s="382"/>
      <c r="P9" s="382"/>
    </row>
    <row r="10" spans="1:16" x14ac:dyDescent="0.2">
      <c r="B10" s="385" t="s">
        <v>585</v>
      </c>
      <c r="C10" s="382"/>
      <c r="D10" s="382"/>
      <c r="E10" s="382"/>
      <c r="F10" s="382"/>
      <c r="G10" s="382"/>
      <c r="H10" s="382"/>
      <c r="I10" s="382"/>
      <c r="J10" s="382"/>
      <c r="K10" s="382"/>
      <c r="L10" s="382"/>
      <c r="M10" s="382"/>
      <c r="N10" s="382"/>
      <c r="O10" s="382"/>
      <c r="P10" s="382"/>
    </row>
    <row r="11" spans="1:16" x14ac:dyDescent="0.2">
      <c r="B11" s="386" t="s">
        <v>600</v>
      </c>
      <c r="C11" s="382"/>
      <c r="D11" s="382"/>
      <c r="E11" s="382"/>
      <c r="F11" s="382"/>
      <c r="G11" s="382"/>
      <c r="H11" s="382"/>
      <c r="I11" s="382"/>
      <c r="J11" s="382"/>
      <c r="K11" s="382"/>
      <c r="L11" s="382"/>
      <c r="M11" s="382"/>
      <c r="N11" s="382"/>
      <c r="O11" s="382"/>
      <c r="P11" s="382"/>
    </row>
    <row r="12" spans="1:16" x14ac:dyDescent="0.2">
      <c r="B12" s="385" t="s">
        <v>601</v>
      </c>
      <c r="C12" s="382"/>
      <c r="D12" s="382"/>
      <c r="E12" s="382"/>
      <c r="F12" s="382"/>
      <c r="G12" s="382"/>
      <c r="H12" s="382"/>
      <c r="I12" s="382"/>
      <c r="J12" s="382"/>
      <c r="K12" s="382"/>
      <c r="L12" s="382"/>
      <c r="M12" s="382"/>
      <c r="N12" s="382"/>
      <c r="O12" s="382"/>
      <c r="P12" s="382"/>
    </row>
    <row r="13" spans="1:16" x14ac:dyDescent="0.2">
      <c r="B13" s="78" t="s">
        <v>597</v>
      </c>
      <c r="C13" s="382"/>
      <c r="D13" s="382"/>
      <c r="E13" s="382"/>
      <c r="F13" s="382"/>
      <c r="G13" s="382"/>
      <c r="H13" s="382"/>
      <c r="I13" s="382"/>
      <c r="J13" s="382"/>
      <c r="K13" s="382"/>
      <c r="L13" s="382"/>
      <c r="M13" s="382"/>
      <c r="N13" s="382"/>
      <c r="O13" s="382"/>
      <c r="P13" s="382"/>
    </row>
    <row r="14" spans="1:16" x14ac:dyDescent="0.2">
      <c r="B14" s="78" t="s">
        <v>598</v>
      </c>
      <c r="C14" s="382"/>
      <c r="D14" s="382"/>
      <c r="E14" s="382"/>
      <c r="F14" s="382"/>
      <c r="G14" s="382"/>
      <c r="H14" s="382"/>
      <c r="I14" s="382"/>
      <c r="J14" s="382"/>
      <c r="K14" s="382"/>
      <c r="L14" s="382"/>
      <c r="M14" s="382"/>
      <c r="N14" s="382"/>
      <c r="O14" s="382"/>
      <c r="P14" s="382"/>
    </row>
    <row r="16" spans="1:16" ht="15.75" x14ac:dyDescent="0.2">
      <c r="B16" s="36" t="s">
        <v>609</v>
      </c>
      <c r="C16" s="387"/>
      <c r="D16" s="387"/>
      <c r="E16" s="387"/>
      <c r="F16" s="387"/>
      <c r="G16" s="387"/>
      <c r="H16" s="387"/>
      <c r="I16" s="387"/>
      <c r="J16" s="387"/>
      <c r="K16" s="388"/>
      <c r="L16" s="388"/>
      <c r="M16" s="388"/>
      <c r="N16" s="388"/>
      <c r="O16" s="388"/>
      <c r="P16" s="388"/>
    </row>
    <row r="17" spans="2:19" x14ac:dyDescent="0.2">
      <c r="B17" s="828" t="s">
        <v>529</v>
      </c>
      <c r="C17" s="830" t="s">
        <v>530</v>
      </c>
      <c r="D17" s="867" t="s">
        <v>87</v>
      </c>
      <c r="E17" s="868"/>
      <c r="F17" s="868"/>
      <c r="G17" s="868"/>
      <c r="H17" s="868"/>
      <c r="I17" s="868"/>
      <c r="J17" s="868"/>
      <c r="K17" s="868"/>
      <c r="L17" s="868"/>
      <c r="M17" s="868"/>
      <c r="N17" s="868"/>
      <c r="O17" s="868"/>
      <c r="P17" s="868"/>
      <c r="Q17" s="868"/>
      <c r="R17" s="868"/>
      <c r="S17" s="868"/>
    </row>
    <row r="18" spans="2:19" x14ac:dyDescent="0.2">
      <c r="B18" s="829"/>
      <c r="C18" s="831"/>
      <c r="D18" s="43">
        <v>2000</v>
      </c>
      <c r="E18" s="44">
        <v>2001</v>
      </c>
      <c r="F18" s="44">
        <v>2002</v>
      </c>
      <c r="G18" s="44">
        <v>2003</v>
      </c>
      <c r="H18" s="44">
        <v>2004</v>
      </c>
      <c r="I18" s="44">
        <v>2006</v>
      </c>
      <c r="J18" s="45">
        <v>2007</v>
      </c>
      <c r="K18" s="45">
        <v>2008</v>
      </c>
      <c r="L18" s="45">
        <v>2009</v>
      </c>
      <c r="M18" s="45">
        <v>2010</v>
      </c>
      <c r="N18" s="45">
        <v>2011</v>
      </c>
      <c r="O18" s="45">
        <v>2012</v>
      </c>
      <c r="P18" s="124">
        <v>2013</v>
      </c>
      <c r="Q18" s="126">
        <v>2014</v>
      </c>
      <c r="R18" s="126">
        <v>2015</v>
      </c>
      <c r="S18" s="126">
        <v>2016</v>
      </c>
    </row>
    <row r="19" spans="2:19" x14ac:dyDescent="0.2">
      <c r="B19" s="389" t="s">
        <v>539</v>
      </c>
      <c r="C19" s="390" t="s">
        <v>540</v>
      </c>
      <c r="D19" s="635">
        <v>10400.599903756753</v>
      </c>
      <c r="E19" s="636">
        <v>5397.510740250349</v>
      </c>
      <c r="F19" s="636">
        <v>7827.3848777115345</v>
      </c>
      <c r="G19" s="636">
        <v>10482.060890000001</v>
      </c>
      <c r="H19" s="636">
        <v>9325.1243099719286</v>
      </c>
      <c r="I19" s="636">
        <v>27858.439770000001</v>
      </c>
      <c r="J19" s="391">
        <v>18944.592189999999</v>
      </c>
      <c r="K19" s="391">
        <v>7685.0441999999994</v>
      </c>
      <c r="L19" s="391">
        <v>10425.791529999999</v>
      </c>
      <c r="M19" s="295">
        <v>12700.359600000002</v>
      </c>
      <c r="N19" s="391">
        <v>5936.8342300000013</v>
      </c>
      <c r="O19" s="295">
        <v>13057.502699999997</v>
      </c>
      <c r="P19" s="288">
        <v>18026.979500000001</v>
      </c>
      <c r="Q19" s="288">
        <v>14219.135270000001</v>
      </c>
      <c r="R19" s="289">
        <v>7640.6699499999995</v>
      </c>
      <c r="S19" s="392">
        <v>4206.4903499999991</v>
      </c>
    </row>
    <row r="20" spans="2:19" x14ac:dyDescent="0.2">
      <c r="B20" s="389" t="s">
        <v>541</v>
      </c>
      <c r="C20" s="390" t="s">
        <v>542</v>
      </c>
      <c r="D20" s="635">
        <v>8925.5612348907016</v>
      </c>
      <c r="E20" s="636">
        <v>5524.5083460596361</v>
      </c>
      <c r="F20" s="636">
        <v>3683.0417608906137</v>
      </c>
      <c r="G20" s="636">
        <v>2590.6934199999996</v>
      </c>
      <c r="H20" s="636">
        <v>2756.9750798889945</v>
      </c>
      <c r="I20" s="636">
        <v>1319.8248800000001</v>
      </c>
      <c r="J20" s="391">
        <v>929.79001999999991</v>
      </c>
      <c r="K20" s="391">
        <v>1359.7086400000001</v>
      </c>
      <c r="L20" s="391">
        <v>813.4835599999999</v>
      </c>
      <c r="M20" s="295">
        <v>1423.2063999999998</v>
      </c>
      <c r="N20" s="391">
        <v>813.04989</v>
      </c>
      <c r="O20" s="295">
        <v>509.14722999999998</v>
      </c>
      <c r="P20" s="288">
        <v>670.3608099999999</v>
      </c>
      <c r="Q20" s="288">
        <v>749.89404999999999</v>
      </c>
      <c r="R20" s="289">
        <v>556.83064000000002</v>
      </c>
      <c r="S20" s="392">
        <v>564.79219000000001</v>
      </c>
    </row>
    <row r="21" spans="2:19" x14ac:dyDescent="0.2">
      <c r="B21" s="389" t="s">
        <v>543</v>
      </c>
      <c r="C21" s="390" t="s">
        <v>544</v>
      </c>
      <c r="D21" s="635">
        <v>7305.0547485230491</v>
      </c>
      <c r="E21" s="636">
        <v>4508.5225957665825</v>
      </c>
      <c r="F21" s="636">
        <v>2983.4925302844495</v>
      </c>
      <c r="G21" s="636">
        <v>4951.4577399999998</v>
      </c>
      <c r="H21" s="636">
        <v>5273.0975132128224</v>
      </c>
      <c r="I21" s="636">
        <v>3738.0329199999996</v>
      </c>
      <c r="J21" s="391">
        <v>2163.7665499999994</v>
      </c>
      <c r="K21" s="391">
        <v>2277.0016000000001</v>
      </c>
      <c r="L21" s="391">
        <v>1226.4186</v>
      </c>
      <c r="M21" s="295">
        <v>1123.4699000000003</v>
      </c>
      <c r="N21" s="391">
        <v>561.73646999999994</v>
      </c>
      <c r="O21" s="295">
        <v>536.17275000000006</v>
      </c>
      <c r="P21" s="288">
        <v>307.27776</v>
      </c>
      <c r="Q21" s="288">
        <v>431.46549999999996</v>
      </c>
      <c r="R21" s="289">
        <v>701.48725000000002</v>
      </c>
      <c r="S21" s="392">
        <v>606.24257</v>
      </c>
    </row>
    <row r="22" spans="2:19" x14ac:dyDescent="0.2">
      <c r="B22" s="389" t="s">
        <v>545</v>
      </c>
      <c r="C22" s="390" t="s">
        <v>546</v>
      </c>
      <c r="D22" s="635">
        <v>2750.4675589893013</v>
      </c>
      <c r="E22" s="636">
        <v>3060.7240009550005</v>
      </c>
      <c r="F22" s="636">
        <v>3707.5433162283152</v>
      </c>
      <c r="G22" s="636">
        <v>5141.4038</v>
      </c>
      <c r="H22" s="636">
        <v>6492.9700316818053</v>
      </c>
      <c r="I22" s="636">
        <v>2549.8046999999997</v>
      </c>
      <c r="J22" s="391">
        <v>1211.1195</v>
      </c>
      <c r="K22" s="391">
        <v>1217.9513300000001</v>
      </c>
      <c r="L22" s="391">
        <v>255.42350000000002</v>
      </c>
      <c r="M22" s="295">
        <v>421.18410000000011</v>
      </c>
      <c r="N22" s="391">
        <v>277.29309999999998</v>
      </c>
      <c r="O22" s="295">
        <v>378.03617000000003</v>
      </c>
      <c r="P22" s="288">
        <v>318.69300000000004</v>
      </c>
      <c r="Q22" s="288">
        <v>261.97074999999995</v>
      </c>
      <c r="R22" s="289">
        <v>144.34532999999996</v>
      </c>
      <c r="S22" s="392">
        <v>271.72232000000002</v>
      </c>
    </row>
    <row r="23" spans="2:19" x14ac:dyDescent="0.2">
      <c r="B23" s="389" t="s">
        <v>547</v>
      </c>
      <c r="C23" s="390" t="s">
        <v>548</v>
      </c>
      <c r="D23" s="635">
        <v>86608.086915393826</v>
      </c>
      <c r="E23" s="636">
        <v>125588.17193764076</v>
      </c>
      <c r="F23" s="636">
        <v>67698.538897577935</v>
      </c>
      <c r="G23" s="636">
        <v>64058.290639999999</v>
      </c>
      <c r="H23" s="636">
        <v>76120.203636481659</v>
      </c>
      <c r="I23" s="636">
        <v>26996.58743</v>
      </c>
      <c r="J23" s="391">
        <v>19136.18518</v>
      </c>
      <c r="K23" s="391">
        <v>25037.539049999999</v>
      </c>
      <c r="L23" s="391">
        <v>27869.026449999998</v>
      </c>
      <c r="M23" s="295">
        <v>26789.899089999995</v>
      </c>
      <c r="N23" s="391">
        <v>26421.776259999999</v>
      </c>
      <c r="O23" s="295">
        <v>24589.253789999999</v>
      </c>
      <c r="P23" s="288">
        <v>8756.0213200000017</v>
      </c>
      <c r="Q23" s="288">
        <v>8631.9283700000015</v>
      </c>
      <c r="R23" s="289">
        <v>5138.19787</v>
      </c>
      <c r="S23" s="392">
        <v>10075.346889999999</v>
      </c>
    </row>
    <row r="24" spans="2:19" x14ac:dyDescent="0.2">
      <c r="B24" s="389" t="s">
        <v>549</v>
      </c>
      <c r="C24" s="390" t="s">
        <v>550</v>
      </c>
      <c r="D24" s="635">
        <v>288337.35000712529</v>
      </c>
      <c r="E24" s="636">
        <v>222650.23277424526</v>
      </c>
      <c r="F24" s="636">
        <v>222093.89670604956</v>
      </c>
      <c r="G24" s="636">
        <v>177063.14681999999</v>
      </c>
      <c r="H24" s="636">
        <v>120093.4006649308</v>
      </c>
      <c r="I24" s="636">
        <v>128121.67055000004</v>
      </c>
      <c r="J24" s="391">
        <v>94335.182290000012</v>
      </c>
      <c r="K24" s="391">
        <v>82579.683810000046</v>
      </c>
      <c r="L24" s="391">
        <v>81594.218300000008</v>
      </c>
      <c r="M24" s="295">
        <v>77864.174879999977</v>
      </c>
      <c r="N24" s="391">
        <v>106939.43644999998</v>
      </c>
      <c r="O24" s="295">
        <v>91781.919009999998</v>
      </c>
      <c r="P24" s="288">
        <v>60104.750099999983</v>
      </c>
      <c r="Q24" s="288">
        <v>57411.182629999996</v>
      </c>
      <c r="R24" s="289">
        <v>72571.372569999992</v>
      </c>
      <c r="S24" s="392">
        <v>67957.627760000003</v>
      </c>
    </row>
    <row r="25" spans="2:19" x14ac:dyDescent="0.2">
      <c r="B25" s="389" t="s">
        <v>551</v>
      </c>
      <c r="C25" s="390" t="s">
        <v>552</v>
      </c>
      <c r="D25" s="635">
        <v>545617.66894588352</v>
      </c>
      <c r="E25" s="636">
        <v>572550.92172930809</v>
      </c>
      <c r="F25" s="636">
        <v>551864.58319310786</v>
      </c>
      <c r="G25" s="636">
        <v>492969.30799000029</v>
      </c>
      <c r="H25" s="636">
        <v>495818.94191544881</v>
      </c>
      <c r="I25" s="636">
        <v>2060020.8767199982</v>
      </c>
      <c r="J25" s="391">
        <v>2393820.3251999989</v>
      </c>
      <c r="K25" s="391">
        <v>2100604.2645099987</v>
      </c>
      <c r="L25" s="391">
        <v>1042234.3967500004</v>
      </c>
      <c r="M25" s="295">
        <v>244976.77734999999</v>
      </c>
      <c r="N25" s="391">
        <v>270630.37196000002</v>
      </c>
      <c r="O25" s="295">
        <v>272244.98815000005</v>
      </c>
      <c r="P25" s="288">
        <v>300745.18170000007</v>
      </c>
      <c r="Q25" s="288">
        <v>455909.71811000002</v>
      </c>
      <c r="R25" s="289">
        <v>499791.82862000004</v>
      </c>
      <c r="S25" s="392">
        <v>483487.35104999982</v>
      </c>
    </row>
    <row r="26" spans="2:19" x14ac:dyDescent="0.2">
      <c r="B26" s="389" t="s">
        <v>553</v>
      </c>
      <c r="C26" s="390" t="s">
        <v>554</v>
      </c>
      <c r="D26" s="635">
        <v>138054.87554294421</v>
      </c>
      <c r="E26" s="636">
        <v>129894.31562517726</v>
      </c>
      <c r="F26" s="636">
        <v>113258.99209437349</v>
      </c>
      <c r="G26" s="636">
        <v>100243.00076000001</v>
      </c>
      <c r="H26" s="636">
        <v>103805.21910386908</v>
      </c>
      <c r="I26" s="636">
        <v>111078.83197999996</v>
      </c>
      <c r="J26" s="391">
        <v>100934.27491000001</v>
      </c>
      <c r="K26" s="391">
        <v>94329.206370000073</v>
      </c>
      <c r="L26" s="391">
        <v>79440.290910000011</v>
      </c>
      <c r="M26" s="295">
        <v>81020.857139999935</v>
      </c>
      <c r="N26" s="391">
        <v>77929.004739999975</v>
      </c>
      <c r="O26" s="295">
        <v>74849.67641</v>
      </c>
      <c r="P26" s="288">
        <v>74742.295469999983</v>
      </c>
      <c r="Q26" s="288">
        <v>70119.371369999993</v>
      </c>
      <c r="R26" s="289">
        <v>72789.171050000004</v>
      </c>
      <c r="S26" s="392">
        <v>73816.565119999985</v>
      </c>
    </row>
    <row r="27" spans="2:19" x14ac:dyDescent="0.2">
      <c r="B27" s="389" t="s">
        <v>555</v>
      </c>
      <c r="C27" s="390" t="s">
        <v>610</v>
      </c>
      <c r="D27" s="635">
        <v>21446.359930578095</v>
      </c>
      <c r="E27" s="636">
        <v>42107.557925936038</v>
      </c>
      <c r="F27" s="636">
        <v>39010.064092045977</v>
      </c>
      <c r="G27" s="636">
        <v>51500.469820000006</v>
      </c>
      <c r="H27" s="636">
        <v>44196.754458127776</v>
      </c>
      <c r="I27" s="636">
        <v>19904.03671</v>
      </c>
      <c r="J27" s="391">
        <v>15340.197579999993</v>
      </c>
      <c r="K27" s="391">
        <v>13439.496049999991</v>
      </c>
      <c r="L27" s="391">
        <v>10874.433210000001</v>
      </c>
      <c r="M27" s="295">
        <v>9451.0112999999947</v>
      </c>
      <c r="N27" s="391">
        <v>10331.409590000001</v>
      </c>
      <c r="O27" s="295">
        <v>10979.247960000002</v>
      </c>
      <c r="P27" s="288">
        <v>9149.475349999997</v>
      </c>
      <c r="Q27" s="288">
        <v>7928.3408900000004</v>
      </c>
      <c r="R27" s="289">
        <v>7232.1540099999993</v>
      </c>
      <c r="S27" s="392">
        <v>6341.6248599999999</v>
      </c>
    </row>
    <row r="28" spans="2:19" x14ac:dyDescent="0.2">
      <c r="B28" s="389" t="s">
        <v>557</v>
      </c>
      <c r="C28" s="390" t="s">
        <v>558</v>
      </c>
      <c r="D28" s="635">
        <v>174690.29663480725</v>
      </c>
      <c r="E28" s="636">
        <v>214732.17968360474</v>
      </c>
      <c r="F28" s="636">
        <v>190598.41977356945</v>
      </c>
      <c r="G28" s="636">
        <v>203973.16906000001</v>
      </c>
      <c r="H28" s="636">
        <v>190000.24219015456</v>
      </c>
      <c r="I28" s="636">
        <v>155470.24411</v>
      </c>
      <c r="J28" s="391">
        <v>156021.90326000002</v>
      </c>
      <c r="K28" s="391">
        <v>124996.46791000002</v>
      </c>
      <c r="L28" s="391">
        <v>140834.71921000001</v>
      </c>
      <c r="M28" s="295">
        <v>141899.43303000001</v>
      </c>
      <c r="N28" s="391">
        <v>158659.69188</v>
      </c>
      <c r="O28" s="295">
        <v>165384.14292000001</v>
      </c>
      <c r="P28" s="288">
        <v>125717.84877999997</v>
      </c>
      <c r="Q28" s="288">
        <v>104095.99222999997</v>
      </c>
      <c r="R28" s="289">
        <v>121228.73828999999</v>
      </c>
      <c r="S28" s="392">
        <v>136134.45509999999</v>
      </c>
    </row>
    <row r="29" spans="2:19" x14ac:dyDescent="0.2">
      <c r="B29" s="389" t="s">
        <v>559</v>
      </c>
      <c r="C29" s="390" t="s">
        <v>560</v>
      </c>
      <c r="D29" s="635">
        <v>115176.03261327582</v>
      </c>
      <c r="E29" s="636">
        <v>123780.84128880913</v>
      </c>
      <c r="F29" s="636">
        <v>114546.51726912234</v>
      </c>
      <c r="G29" s="636">
        <v>132707.97382000001</v>
      </c>
      <c r="H29" s="636">
        <v>123750.39595058891</v>
      </c>
      <c r="I29" s="636">
        <v>133595.94369999997</v>
      </c>
      <c r="J29" s="391">
        <v>135546.19186000002</v>
      </c>
      <c r="K29" s="391">
        <v>126072.84348000005</v>
      </c>
      <c r="L29" s="391">
        <v>101389.83945999999</v>
      </c>
      <c r="M29" s="295">
        <v>88722.784939999954</v>
      </c>
      <c r="N29" s="391">
        <v>91750.385779999997</v>
      </c>
      <c r="O29" s="295">
        <v>90194.751900000003</v>
      </c>
      <c r="P29" s="288">
        <v>76023.406299999988</v>
      </c>
      <c r="Q29" s="288">
        <v>81702.801190000013</v>
      </c>
      <c r="R29" s="289">
        <v>78136.602970000007</v>
      </c>
      <c r="S29" s="392">
        <v>76566.612310000011</v>
      </c>
    </row>
    <row r="30" spans="2:19" x14ac:dyDescent="0.2">
      <c r="B30" s="389" t="s">
        <v>561</v>
      </c>
      <c r="C30" s="390" t="s">
        <v>562</v>
      </c>
      <c r="D30" s="635">
        <v>96290.380904501304</v>
      </c>
      <c r="E30" s="636">
        <v>96450.511523492285</v>
      </c>
      <c r="F30" s="636">
        <v>94004.588910191247</v>
      </c>
      <c r="G30" s="636">
        <v>104462.88688000002</v>
      </c>
      <c r="H30" s="636">
        <v>95530.504307543975</v>
      </c>
      <c r="I30" s="636">
        <v>72489.501289999986</v>
      </c>
      <c r="J30" s="391">
        <v>79921.758649999989</v>
      </c>
      <c r="K30" s="391">
        <v>80963.996360000019</v>
      </c>
      <c r="L30" s="391">
        <v>60501.270919999995</v>
      </c>
      <c r="M30" s="295">
        <v>64615.533990000004</v>
      </c>
      <c r="N30" s="391">
        <v>67006.519619999992</v>
      </c>
      <c r="O30" s="295">
        <v>74591.16373</v>
      </c>
      <c r="P30" s="288">
        <v>68879.704110000006</v>
      </c>
      <c r="Q30" s="288">
        <v>74334.615949999992</v>
      </c>
      <c r="R30" s="289">
        <v>74228.63046</v>
      </c>
      <c r="S30" s="392">
        <v>69748.342449999996</v>
      </c>
    </row>
    <row r="31" spans="2:19" x14ac:dyDescent="0.2">
      <c r="B31" s="389" t="s">
        <v>563</v>
      </c>
      <c r="C31" s="390" t="s">
        <v>564</v>
      </c>
      <c r="D31" s="635">
        <v>1094092.200506577</v>
      </c>
      <c r="E31" s="636">
        <v>1039894.283616468</v>
      </c>
      <c r="F31" s="636">
        <v>1002016.4403009557</v>
      </c>
      <c r="G31" s="636">
        <v>919410.74761000089</v>
      </c>
      <c r="H31" s="636">
        <v>1020783.6692198837</v>
      </c>
      <c r="I31" s="636">
        <v>860929.51034999907</v>
      </c>
      <c r="J31" s="391">
        <v>844411.56875000033</v>
      </c>
      <c r="K31" s="391">
        <v>1008001.7598999996</v>
      </c>
      <c r="L31" s="391">
        <v>715029.44094500027</v>
      </c>
      <c r="M31" s="295">
        <v>706125.45549999969</v>
      </c>
      <c r="N31" s="391">
        <v>717026.97465000034</v>
      </c>
      <c r="O31" s="295">
        <v>760683.16799000022</v>
      </c>
      <c r="P31" s="288">
        <v>673040.07380999997</v>
      </c>
      <c r="Q31" s="288">
        <v>687948.03255</v>
      </c>
      <c r="R31" s="289">
        <v>653320.65828000056</v>
      </c>
      <c r="S31" s="392">
        <v>646924.6124300001</v>
      </c>
    </row>
    <row r="32" spans="2:19" x14ac:dyDescent="0.2">
      <c r="B32" s="389" t="s">
        <v>565</v>
      </c>
      <c r="C32" s="390" t="s">
        <v>566</v>
      </c>
      <c r="D32" s="635">
        <v>136027.65494566411</v>
      </c>
      <c r="E32" s="636">
        <v>105288.27588686903</v>
      </c>
      <c r="F32" s="636">
        <v>57960.36782671501</v>
      </c>
      <c r="G32" s="636">
        <v>45803.063760000012</v>
      </c>
      <c r="H32" s="636">
        <v>46535.037231420327</v>
      </c>
      <c r="I32" s="636">
        <v>21438.265079999994</v>
      </c>
      <c r="J32" s="391">
        <v>20741.240000000002</v>
      </c>
      <c r="K32" s="391">
        <v>20783.034099999993</v>
      </c>
      <c r="L32" s="391">
        <v>16569.572629999999</v>
      </c>
      <c r="M32" s="295">
        <v>17240.208859999992</v>
      </c>
      <c r="N32" s="391">
        <v>30346.045559999999</v>
      </c>
      <c r="O32" s="295">
        <v>29343.744680000003</v>
      </c>
      <c r="P32" s="288">
        <v>27489.923779999997</v>
      </c>
      <c r="Q32" s="288">
        <v>28057.108379999998</v>
      </c>
      <c r="R32" s="289">
        <v>27275.337269999989</v>
      </c>
      <c r="S32" s="392">
        <v>24609.480650000001</v>
      </c>
    </row>
    <row r="33" spans="2:19" x14ac:dyDescent="0.2">
      <c r="B33" s="389" t="s">
        <v>567</v>
      </c>
      <c r="C33" s="390" t="s">
        <v>568</v>
      </c>
      <c r="D33" s="635">
        <v>63617.219860788813</v>
      </c>
      <c r="E33" s="636">
        <v>68917.769252650876</v>
      </c>
      <c r="F33" s="636">
        <v>51214.679292147717</v>
      </c>
      <c r="G33" s="636">
        <v>54541.775339999993</v>
      </c>
      <c r="H33" s="636">
        <v>62679.163463873207</v>
      </c>
      <c r="I33" s="636">
        <v>59187.773759999996</v>
      </c>
      <c r="J33" s="391">
        <v>66915.208309999987</v>
      </c>
      <c r="K33" s="391">
        <v>69210.205589999983</v>
      </c>
      <c r="L33" s="391">
        <v>63341.720630000003</v>
      </c>
      <c r="M33" s="295">
        <v>64036.98460999997</v>
      </c>
      <c r="N33" s="391">
        <v>66902.04899000001</v>
      </c>
      <c r="O33" s="295">
        <v>75415.601330000005</v>
      </c>
      <c r="P33" s="288">
        <v>71523.801199999987</v>
      </c>
      <c r="Q33" s="288">
        <v>84380.481090000001</v>
      </c>
      <c r="R33" s="289">
        <v>98803.899389999991</v>
      </c>
      <c r="S33" s="392">
        <v>100029.60053000001</v>
      </c>
    </row>
    <row r="34" spans="2:19" x14ac:dyDescent="0.2">
      <c r="B34" s="389" t="s">
        <v>569</v>
      </c>
      <c r="C34" s="390" t="s">
        <v>603</v>
      </c>
      <c r="D34" s="635">
        <v>741937.53868400352</v>
      </c>
      <c r="E34" s="636">
        <v>572575.47550660919</v>
      </c>
      <c r="F34" s="636">
        <v>664103.78823780234</v>
      </c>
      <c r="G34" s="636">
        <v>538938.76933000016</v>
      </c>
      <c r="H34" s="636">
        <v>492646.01582145161</v>
      </c>
      <c r="I34" s="636">
        <v>538933.88858999999</v>
      </c>
      <c r="J34" s="391">
        <v>538190.91180000012</v>
      </c>
      <c r="K34" s="391">
        <v>555377.77180000045</v>
      </c>
      <c r="L34" s="391">
        <v>534436.93056500005</v>
      </c>
      <c r="M34" s="295">
        <v>560513.9671800005</v>
      </c>
      <c r="N34" s="391">
        <v>583890.55277000018</v>
      </c>
      <c r="O34" s="295">
        <v>582249.65170000005</v>
      </c>
      <c r="P34" s="288">
        <v>503980.04678000015</v>
      </c>
      <c r="Q34" s="288">
        <v>467474.13066000002</v>
      </c>
      <c r="R34" s="289">
        <v>500890.30823000008</v>
      </c>
      <c r="S34" s="392">
        <v>512960.85323000007</v>
      </c>
    </row>
    <row r="35" spans="2:19" x14ac:dyDescent="0.2">
      <c r="B35" s="389" t="s">
        <v>571</v>
      </c>
      <c r="C35" s="390" t="s">
        <v>572</v>
      </c>
      <c r="D35" s="635">
        <v>1063644.3188205971</v>
      </c>
      <c r="E35" s="636">
        <v>1384267.6490542493</v>
      </c>
      <c r="F35" s="636">
        <v>1241400.6096044378</v>
      </c>
      <c r="G35" s="636">
        <v>1139397.2831999995</v>
      </c>
      <c r="H35" s="636">
        <v>1682565.2453472475</v>
      </c>
      <c r="I35" s="636">
        <v>680987.00513000006</v>
      </c>
      <c r="J35" s="391">
        <v>701675.45720999979</v>
      </c>
      <c r="K35" s="391">
        <v>849421.24919999985</v>
      </c>
      <c r="L35" s="391">
        <v>457094.82091000013</v>
      </c>
      <c r="M35" s="295">
        <v>524520.66640999971</v>
      </c>
      <c r="N35" s="391">
        <v>951844.43988999992</v>
      </c>
      <c r="O35" s="295">
        <v>796008.09682999994</v>
      </c>
      <c r="P35" s="288">
        <v>564313.74630000023</v>
      </c>
      <c r="Q35" s="288">
        <v>829193.84911000018</v>
      </c>
      <c r="R35" s="289">
        <v>982854.94347000029</v>
      </c>
      <c r="S35" s="392">
        <v>835442.96230000001</v>
      </c>
    </row>
    <row r="36" spans="2:19" x14ac:dyDescent="0.2">
      <c r="B36" s="389" t="s">
        <v>573</v>
      </c>
      <c r="C36" s="390" t="s">
        <v>574</v>
      </c>
      <c r="D36" s="635">
        <v>16456.374982200865</v>
      </c>
      <c r="E36" s="636">
        <v>19966.105486222914</v>
      </c>
      <c r="F36" s="636">
        <v>19667.369410581545</v>
      </c>
      <c r="G36" s="636">
        <v>16727.512589999991</v>
      </c>
      <c r="H36" s="636">
        <v>33436.435384992306</v>
      </c>
      <c r="I36" s="636">
        <v>141233.06552000021</v>
      </c>
      <c r="J36" s="391">
        <v>163807.85559000008</v>
      </c>
      <c r="K36" s="391">
        <v>176701.70811000018</v>
      </c>
      <c r="L36" s="391">
        <v>179948.25014000016</v>
      </c>
      <c r="M36" s="295">
        <v>177311.66965999993</v>
      </c>
      <c r="N36" s="391">
        <v>177328.65675999998</v>
      </c>
      <c r="O36" s="295">
        <v>178019.11051</v>
      </c>
      <c r="P36" s="288">
        <v>173714.80942000009</v>
      </c>
      <c r="Q36" s="288">
        <v>173779.08534000002</v>
      </c>
      <c r="R36" s="289">
        <v>165373.40428000008</v>
      </c>
      <c r="S36" s="392">
        <v>178818.49269999997</v>
      </c>
    </row>
    <row r="37" spans="2:19" x14ac:dyDescent="0.2">
      <c r="B37" s="389" t="s">
        <v>575</v>
      </c>
      <c r="C37" s="390" t="s">
        <v>611</v>
      </c>
      <c r="D37" s="635">
        <v>304208.82230783603</v>
      </c>
      <c r="E37" s="636">
        <v>278130.46785006765</v>
      </c>
      <c r="F37" s="636">
        <v>345473.82753544464</v>
      </c>
      <c r="G37" s="636">
        <v>373296.29327999998</v>
      </c>
      <c r="H37" s="636">
        <v>431223.24521981081</v>
      </c>
      <c r="I37" s="636">
        <v>640320.14593000012</v>
      </c>
      <c r="J37" s="391">
        <v>695014.18048999982</v>
      </c>
      <c r="K37" s="391">
        <v>875478.27589000005</v>
      </c>
      <c r="L37" s="391">
        <v>567453.70464999997</v>
      </c>
      <c r="M37" s="295">
        <v>603188.32432999997</v>
      </c>
      <c r="N37" s="391">
        <v>627006.84169999999</v>
      </c>
      <c r="O37" s="295">
        <v>834280.54026999988</v>
      </c>
      <c r="P37" s="288">
        <v>747689.65480000037</v>
      </c>
      <c r="Q37" s="288">
        <v>764669.92374000011</v>
      </c>
      <c r="R37" s="289">
        <v>853628.34241999988</v>
      </c>
      <c r="S37" s="392">
        <v>948960.78844999999</v>
      </c>
    </row>
    <row r="38" spans="2:19" x14ac:dyDescent="0.2">
      <c r="B38" s="389" t="s">
        <v>577</v>
      </c>
      <c r="C38" s="390" t="s">
        <v>578</v>
      </c>
      <c r="D38" s="635">
        <v>127668.56227606622</v>
      </c>
      <c r="E38" s="636">
        <v>47488.42036230908</v>
      </c>
      <c r="F38" s="636">
        <v>92048.445392424328</v>
      </c>
      <c r="G38" s="636">
        <v>79914.60986000004</v>
      </c>
      <c r="H38" s="636">
        <v>45424.442136556871</v>
      </c>
      <c r="I38" s="636">
        <v>205862.70764000024</v>
      </c>
      <c r="J38" s="391">
        <v>256381.25511000035</v>
      </c>
      <c r="K38" s="391">
        <v>264781.08789000032</v>
      </c>
      <c r="L38" s="391">
        <v>213844.08160000003</v>
      </c>
      <c r="M38" s="295">
        <v>206831.61557000014</v>
      </c>
      <c r="N38" s="391">
        <v>221615.04026000004</v>
      </c>
      <c r="O38" s="295">
        <v>185265.32091000001</v>
      </c>
      <c r="P38" s="288">
        <v>158793.96681000004</v>
      </c>
      <c r="Q38" s="288">
        <v>291921.35393000004</v>
      </c>
      <c r="R38" s="289">
        <v>385220.28139000002</v>
      </c>
      <c r="S38" s="392">
        <v>380552.71635</v>
      </c>
    </row>
    <row r="39" spans="2:19" x14ac:dyDescent="0.2">
      <c r="B39" s="393" t="s">
        <v>612</v>
      </c>
      <c r="C39" s="394" t="s">
        <v>604</v>
      </c>
      <c r="D39" s="640">
        <v>62981.887183350744</v>
      </c>
      <c r="E39" s="641">
        <v>75677.617570283881</v>
      </c>
      <c r="F39" s="641">
        <v>91000.493223601588</v>
      </c>
      <c r="G39" s="641">
        <v>165612.95523999989</v>
      </c>
      <c r="H39" s="641">
        <v>64650.482361446098</v>
      </c>
      <c r="I39" s="641">
        <v>0</v>
      </c>
      <c r="J39" s="409">
        <v>0</v>
      </c>
      <c r="K39" s="409">
        <v>0</v>
      </c>
      <c r="L39" s="409">
        <v>0</v>
      </c>
      <c r="M39" s="409">
        <v>0</v>
      </c>
      <c r="N39" s="409">
        <v>0</v>
      </c>
      <c r="O39" s="409">
        <v>0</v>
      </c>
      <c r="P39" s="391">
        <v>0</v>
      </c>
      <c r="Q39" s="409">
        <v>0</v>
      </c>
      <c r="R39" s="649">
        <v>0</v>
      </c>
      <c r="S39" s="649">
        <v>0</v>
      </c>
    </row>
    <row r="40" spans="2:19" x14ac:dyDescent="0.2">
      <c r="B40" s="832" t="s">
        <v>157</v>
      </c>
      <c r="C40" s="833"/>
      <c r="D40" s="421">
        <f>SUM(D19:D39)</f>
        <v>5106237.3145077536</v>
      </c>
      <c r="E40" s="421">
        <f t="shared" ref="E40:Q40" si="0">SUM(E19:E39)</f>
        <v>5138452.0627569743</v>
      </c>
      <c r="F40" s="421">
        <f t="shared" si="0"/>
        <v>4976163.0842452645</v>
      </c>
      <c r="G40" s="421">
        <f t="shared" si="0"/>
        <v>4683786.8718500007</v>
      </c>
      <c r="H40" s="421">
        <f t="shared" si="0"/>
        <v>5153107.5653485833</v>
      </c>
      <c r="I40" s="421">
        <f t="shared" si="0"/>
        <v>5892036.1567599988</v>
      </c>
      <c r="J40" s="421">
        <f t="shared" si="0"/>
        <v>6305442.9644500008</v>
      </c>
      <c r="K40" s="421">
        <f t="shared" si="0"/>
        <v>6480318.295789999</v>
      </c>
      <c r="L40" s="421">
        <f t="shared" si="0"/>
        <v>4305177.834470001</v>
      </c>
      <c r="M40" s="421">
        <f t="shared" si="0"/>
        <v>3610777.5838400004</v>
      </c>
      <c r="N40" s="421">
        <f t="shared" si="0"/>
        <v>4193218.1105500013</v>
      </c>
      <c r="O40" s="421">
        <f t="shared" si="0"/>
        <v>4260361.2369400002</v>
      </c>
      <c r="P40" s="421">
        <f t="shared" si="0"/>
        <v>3663988.0171000008</v>
      </c>
      <c r="Q40" s="421">
        <f t="shared" si="0"/>
        <v>4203220.3811100004</v>
      </c>
      <c r="R40" s="422">
        <f>SUM(R19:R39)</f>
        <v>4607527.2037400007</v>
      </c>
      <c r="S40" s="669">
        <f>SUM(S19:S39)</f>
        <v>4558076.67961</v>
      </c>
    </row>
    <row r="41" spans="2:19" ht="15.75" x14ac:dyDescent="0.2">
      <c r="B41" s="395"/>
      <c r="C41" s="388"/>
      <c r="D41" s="396"/>
      <c r="E41" s="396"/>
      <c r="F41" s="396"/>
      <c r="G41" s="396"/>
      <c r="H41" s="396"/>
      <c r="I41" s="396"/>
      <c r="J41" s="388"/>
      <c r="K41" s="388"/>
      <c r="L41" s="388"/>
      <c r="M41" s="388"/>
      <c r="N41" s="388"/>
      <c r="O41" s="388"/>
      <c r="P41" s="388"/>
    </row>
    <row r="42" spans="2:19" ht="15.75" x14ac:dyDescent="0.2">
      <c r="B42" s="36" t="s">
        <v>613</v>
      </c>
      <c r="C42" s="36"/>
      <c r="D42" s="387"/>
      <c r="E42" s="387"/>
      <c r="F42" s="387"/>
      <c r="G42" s="387"/>
      <c r="H42" s="387"/>
      <c r="I42" s="387"/>
      <c r="J42" s="387"/>
      <c r="K42" s="388"/>
      <c r="L42" s="388"/>
      <c r="M42" s="388"/>
      <c r="N42" s="388"/>
      <c r="O42" s="388"/>
      <c r="P42" s="388"/>
    </row>
    <row r="43" spans="2:19" x14ac:dyDescent="0.2">
      <c r="B43" s="836" t="s">
        <v>614</v>
      </c>
      <c r="C43" s="837"/>
      <c r="D43" s="859" t="s">
        <v>87</v>
      </c>
      <c r="E43" s="860"/>
      <c r="F43" s="860"/>
      <c r="G43" s="860"/>
      <c r="H43" s="860"/>
      <c r="I43" s="860"/>
      <c r="J43" s="860"/>
      <c r="K43" s="860"/>
      <c r="L43" s="860"/>
      <c r="M43" s="860"/>
      <c r="N43" s="860"/>
      <c r="O43" s="860"/>
      <c r="P43" s="860"/>
      <c r="Q43" s="860"/>
      <c r="R43" s="860"/>
      <c r="S43" s="860"/>
    </row>
    <row r="44" spans="2:19" x14ac:dyDescent="0.2">
      <c r="B44" s="838"/>
      <c r="C44" s="839"/>
      <c r="D44" s="39">
        <v>2000</v>
      </c>
      <c r="E44" s="40">
        <v>2001</v>
      </c>
      <c r="F44" s="40">
        <v>2002</v>
      </c>
      <c r="G44" s="40">
        <v>2003</v>
      </c>
      <c r="H44" s="40">
        <v>2004</v>
      </c>
      <c r="I44" s="40">
        <v>2006</v>
      </c>
      <c r="J44" s="41">
        <v>2007</v>
      </c>
      <c r="K44" s="40">
        <v>2008</v>
      </c>
      <c r="L44" s="40">
        <v>2009</v>
      </c>
      <c r="M44" s="42">
        <v>2010</v>
      </c>
      <c r="N44" s="41">
        <v>2011</v>
      </c>
      <c r="O44" s="45">
        <v>2012</v>
      </c>
      <c r="P44" s="124">
        <v>2013</v>
      </c>
      <c r="Q44" s="126">
        <v>2014</v>
      </c>
      <c r="R44" s="126">
        <v>2015</v>
      </c>
      <c r="S44" s="126">
        <v>2016</v>
      </c>
    </row>
    <row r="45" spans="2:19" x14ac:dyDescent="0.2">
      <c r="B45" s="840" t="s">
        <v>587</v>
      </c>
      <c r="C45" s="841"/>
      <c r="D45" s="661">
        <v>55806.69659620303</v>
      </c>
      <c r="E45" s="661">
        <v>93486.96657789711</v>
      </c>
      <c r="F45" s="661">
        <v>129205.87811399775</v>
      </c>
      <c r="G45" s="661">
        <v>120527.47253000001</v>
      </c>
      <c r="H45" s="661">
        <v>127389.79822694696</v>
      </c>
      <c r="I45" s="661">
        <v>208745.02585000003</v>
      </c>
      <c r="J45" s="662">
        <v>208525.69356999992</v>
      </c>
      <c r="K45" s="397">
        <v>179858.77397999991</v>
      </c>
      <c r="L45" s="398">
        <v>143688.10042999996</v>
      </c>
      <c r="M45" s="397">
        <v>138927.66437999991</v>
      </c>
      <c r="N45" s="397">
        <v>128779.42718999994</v>
      </c>
      <c r="O45" s="663">
        <v>144276.70970999997</v>
      </c>
      <c r="P45" s="399">
        <v>137164.53805000003</v>
      </c>
      <c r="Q45" s="399">
        <v>107446.29115999999</v>
      </c>
      <c r="R45" s="427">
        <v>139437.17236000003</v>
      </c>
      <c r="S45" s="400">
        <v>130748.85183999999</v>
      </c>
    </row>
    <row r="46" spans="2:19" x14ac:dyDescent="0.2">
      <c r="B46" s="834" t="s">
        <v>588</v>
      </c>
      <c r="C46" s="835"/>
      <c r="D46" s="661">
        <v>100351.12256727308</v>
      </c>
      <c r="E46" s="661">
        <v>92863.220739634373</v>
      </c>
      <c r="F46" s="661">
        <v>94767.04073806887</v>
      </c>
      <c r="G46" s="661">
        <v>89408.064179999943</v>
      </c>
      <c r="H46" s="661">
        <v>98082.850267405651</v>
      </c>
      <c r="I46" s="661">
        <v>171803.08550999995</v>
      </c>
      <c r="J46" s="662">
        <v>184859.60286000004</v>
      </c>
      <c r="K46" s="397">
        <v>182151.14309999981</v>
      </c>
      <c r="L46" s="398">
        <v>186754.24223000003</v>
      </c>
      <c r="M46" s="397">
        <v>188815.63225</v>
      </c>
      <c r="N46" s="397">
        <v>179505.85280999989</v>
      </c>
      <c r="O46" s="663">
        <v>168001.65016999998</v>
      </c>
      <c r="P46" s="399">
        <v>162718.2489199999</v>
      </c>
      <c r="Q46" s="399">
        <v>182274.64894000004</v>
      </c>
      <c r="R46" s="427">
        <v>170814.50974000004</v>
      </c>
      <c r="S46" s="400">
        <v>161917.77483000001</v>
      </c>
    </row>
    <row r="47" spans="2:19" x14ac:dyDescent="0.2">
      <c r="B47" s="834" t="s">
        <v>589</v>
      </c>
      <c r="C47" s="835"/>
      <c r="D47" s="661">
        <v>2041222.5267610359</v>
      </c>
      <c r="E47" s="661">
        <v>2306972.5776573215</v>
      </c>
      <c r="F47" s="661">
        <v>1986387.1181656606</v>
      </c>
      <c r="G47" s="661">
        <v>1800905.2550899996</v>
      </c>
      <c r="H47" s="661">
        <v>2294169.7000220241</v>
      </c>
      <c r="I47" s="661">
        <v>873899.69144000253</v>
      </c>
      <c r="J47" s="662">
        <v>852841.51429999969</v>
      </c>
      <c r="K47" s="397">
        <v>1074338.0149900001</v>
      </c>
      <c r="L47" s="398">
        <v>558431.61847999983</v>
      </c>
      <c r="M47" s="397">
        <v>514002.77414000011</v>
      </c>
      <c r="N47" s="397">
        <v>923881.92897000012</v>
      </c>
      <c r="O47" s="664">
        <v>872436.22144999995</v>
      </c>
      <c r="P47" s="399">
        <v>754508.24536999967</v>
      </c>
      <c r="Q47" s="399">
        <v>853955.13690999988</v>
      </c>
      <c r="R47" s="427">
        <v>880415.61375999986</v>
      </c>
      <c r="S47" s="400">
        <v>717581.10636000009</v>
      </c>
    </row>
    <row r="48" spans="2:19" x14ac:dyDescent="0.2">
      <c r="B48" s="834" t="s">
        <v>590</v>
      </c>
      <c r="C48" s="835"/>
      <c r="D48" s="661">
        <v>13059.613767586648</v>
      </c>
      <c r="E48" s="661">
        <v>8350.2215677550994</v>
      </c>
      <c r="F48" s="661">
        <v>11952.135832832662</v>
      </c>
      <c r="G48" s="661">
        <v>5448.7678399999995</v>
      </c>
      <c r="H48" s="661">
        <v>3596.7117921398603</v>
      </c>
      <c r="I48" s="661">
        <v>9273.3569800000005</v>
      </c>
      <c r="J48" s="662">
        <v>16008.388999999999</v>
      </c>
      <c r="K48" s="397">
        <v>19238.29148</v>
      </c>
      <c r="L48" s="398">
        <v>27712.341999999997</v>
      </c>
      <c r="M48" s="397">
        <v>28634.906000000003</v>
      </c>
      <c r="N48" s="397">
        <v>41229.550999999992</v>
      </c>
      <c r="O48" s="664">
        <v>34896.707999999999</v>
      </c>
      <c r="P48" s="399">
        <v>31554.898000000001</v>
      </c>
      <c r="Q48" s="399">
        <v>30838.733</v>
      </c>
      <c r="R48" s="427">
        <v>24682.724999999999</v>
      </c>
      <c r="S48" s="400">
        <v>15778.590000000002</v>
      </c>
    </row>
    <row r="49" spans="2:19" x14ac:dyDescent="0.2">
      <c r="B49" s="834" t="s">
        <v>592</v>
      </c>
      <c r="C49" s="835"/>
      <c r="D49" s="661">
        <v>970407.02487433306</v>
      </c>
      <c r="E49" s="661">
        <v>965890.77177999169</v>
      </c>
      <c r="F49" s="661">
        <v>1033696.6950409398</v>
      </c>
      <c r="G49" s="661">
        <v>920213.8124099999</v>
      </c>
      <c r="H49" s="661">
        <v>857402.78281145869</v>
      </c>
      <c r="I49" s="661">
        <v>1330521.5270800025</v>
      </c>
      <c r="J49" s="662">
        <v>1240933.8338399997</v>
      </c>
      <c r="K49" s="397">
        <v>1169243.3866399997</v>
      </c>
      <c r="L49" s="398">
        <v>1021682.6903599997</v>
      </c>
      <c r="M49" s="397">
        <v>1135690.1634599986</v>
      </c>
      <c r="N49" s="397">
        <v>1207284.9266199993</v>
      </c>
      <c r="O49" s="664">
        <v>1388206.6616399996</v>
      </c>
      <c r="P49" s="399">
        <v>1267938.7197099989</v>
      </c>
      <c r="Q49" s="399">
        <v>1355766.9234</v>
      </c>
      <c r="R49" s="427">
        <v>1497411.9568200002</v>
      </c>
      <c r="S49" s="400">
        <v>1426256.2636200008</v>
      </c>
    </row>
    <row r="50" spans="2:19" x14ac:dyDescent="0.2">
      <c r="B50" s="834" t="s">
        <v>97</v>
      </c>
      <c r="C50" s="835"/>
      <c r="D50" s="661">
        <v>390374.22971134761</v>
      </c>
      <c r="E50" s="661">
        <v>460007.68249038677</v>
      </c>
      <c r="F50" s="661">
        <v>472539.37167982006</v>
      </c>
      <c r="G50" s="661">
        <v>501078.26683000068</v>
      </c>
      <c r="H50" s="661">
        <v>495010.41875811177</v>
      </c>
      <c r="I50" s="397">
        <v>876631.10023999959</v>
      </c>
      <c r="J50" s="661">
        <v>997931.27422000142</v>
      </c>
      <c r="K50" s="397">
        <v>1316246.0024099993</v>
      </c>
      <c r="L50" s="398">
        <v>966412.24473999999</v>
      </c>
      <c r="M50" s="397">
        <v>923452.91716000042</v>
      </c>
      <c r="N50" s="397">
        <v>961333.44562999986</v>
      </c>
      <c r="O50" s="664">
        <v>932614.24342000089</v>
      </c>
      <c r="P50" s="401">
        <v>807258.5806700004</v>
      </c>
      <c r="Q50" s="399">
        <v>972294.29180000012</v>
      </c>
      <c r="R50" s="427">
        <v>1116786.7791900001</v>
      </c>
      <c r="S50" s="400">
        <v>1152360.5175999997</v>
      </c>
    </row>
    <row r="51" spans="2:19" x14ac:dyDescent="0.2">
      <c r="B51" s="834" t="s">
        <v>99</v>
      </c>
      <c r="C51" s="835"/>
      <c r="D51" s="661">
        <v>1555918.9976372654</v>
      </c>
      <c r="E51" s="661">
        <v>1203420.3881820943</v>
      </c>
      <c r="F51" s="661">
        <v>1329678.1149568264</v>
      </c>
      <c r="G51" s="661">
        <v>1334719.8752200005</v>
      </c>
      <c r="H51" s="661">
        <v>1409791.3920063179</v>
      </c>
      <c r="I51" s="661">
        <v>2564480.1741799996</v>
      </c>
      <c r="J51" s="662">
        <v>2926271.4373499984</v>
      </c>
      <c r="K51" s="397">
        <v>2707096.2245699996</v>
      </c>
      <c r="L51" s="398">
        <v>1530964.2850499996</v>
      </c>
      <c r="M51" s="397">
        <v>803240.60262999998</v>
      </c>
      <c r="N51" s="397">
        <v>903551.35223000043</v>
      </c>
      <c r="O51" s="664">
        <v>867420.61800000083</v>
      </c>
      <c r="P51" s="399">
        <v>883101.3723599998</v>
      </c>
      <c r="Q51" s="399">
        <v>1053826.3128900002</v>
      </c>
      <c r="R51" s="427">
        <v>1103849.36099</v>
      </c>
      <c r="S51" s="400">
        <v>1271363.4470700002</v>
      </c>
    </row>
    <row r="52" spans="2:19" x14ac:dyDescent="0.2">
      <c r="B52" s="834" t="s">
        <v>591</v>
      </c>
      <c r="C52" s="835"/>
      <c r="D52" s="397">
        <v>0</v>
      </c>
      <c r="E52" s="397">
        <v>0</v>
      </c>
      <c r="F52" s="397">
        <v>0</v>
      </c>
      <c r="G52" s="397">
        <v>0</v>
      </c>
      <c r="H52" s="397">
        <v>0</v>
      </c>
      <c r="I52" s="661">
        <v>204.15263999999996</v>
      </c>
      <c r="J52" s="662">
        <v>65.582999999999998</v>
      </c>
      <c r="K52" s="397">
        <v>526.92179999999996</v>
      </c>
      <c r="L52" s="398">
        <v>0.62644</v>
      </c>
      <c r="M52" s="397">
        <v>34910.73648</v>
      </c>
      <c r="N52" s="397">
        <v>15273.852049999998</v>
      </c>
      <c r="O52" s="663">
        <v>18560.263139999999</v>
      </c>
      <c r="P52" s="399">
        <v>18167.928700000004</v>
      </c>
      <c r="Q52" s="399">
        <v>1998.6885600000001</v>
      </c>
      <c r="R52" s="427">
        <v>30843.040080000002</v>
      </c>
      <c r="S52" s="400">
        <v>46813.424039999991</v>
      </c>
    </row>
    <row r="53" spans="2:19" x14ac:dyDescent="0.2">
      <c r="B53" s="855" t="s">
        <v>593</v>
      </c>
      <c r="C53" s="856"/>
      <c r="D53" s="397">
        <v>0</v>
      </c>
      <c r="E53" s="397">
        <v>0</v>
      </c>
      <c r="F53" s="397">
        <v>0</v>
      </c>
      <c r="G53" s="397">
        <v>0</v>
      </c>
      <c r="H53" s="397">
        <v>0</v>
      </c>
      <c r="I53" s="665">
        <v>1510.55303</v>
      </c>
      <c r="J53" s="662">
        <v>3727.8539099999998</v>
      </c>
      <c r="K53" s="397">
        <v>2821.4754099999996</v>
      </c>
      <c r="L53" s="402">
        <v>1566.0953900000002</v>
      </c>
      <c r="M53" s="397">
        <v>1357.5929299999998</v>
      </c>
      <c r="N53" s="397">
        <v>1450.1156599999993</v>
      </c>
      <c r="O53" s="663">
        <v>1667.6403599999999</v>
      </c>
      <c r="P53" s="399">
        <v>1963.2157599999998</v>
      </c>
      <c r="Q53" s="428">
        <v>25785.906000000003</v>
      </c>
      <c r="R53" s="427">
        <v>2302.2261999999996</v>
      </c>
      <c r="S53" s="400">
        <v>2489.35338</v>
      </c>
    </row>
    <row r="54" spans="2:19" x14ac:dyDescent="0.2">
      <c r="B54" s="857" t="s">
        <v>157</v>
      </c>
      <c r="C54" s="858"/>
      <c r="D54" s="666">
        <f t="shared" ref="D54:N54" si="1">SUM(D45:D53)</f>
        <v>5127140.2119150441</v>
      </c>
      <c r="E54" s="666">
        <f t="shared" si="1"/>
        <v>5130991.8289950807</v>
      </c>
      <c r="F54" s="666">
        <f t="shared" si="1"/>
        <v>5058226.3545281459</v>
      </c>
      <c r="G54" s="666">
        <f t="shared" si="1"/>
        <v>4772301.5141000003</v>
      </c>
      <c r="H54" s="666">
        <f t="shared" si="1"/>
        <v>5285443.6538844053</v>
      </c>
      <c r="I54" s="666">
        <f t="shared" si="1"/>
        <v>6037068.6669500042</v>
      </c>
      <c r="J54" s="666">
        <f t="shared" si="1"/>
        <v>6431165.182049999</v>
      </c>
      <c r="K54" s="666">
        <f t="shared" si="1"/>
        <v>6651520.2343799984</v>
      </c>
      <c r="L54" s="666">
        <f t="shared" si="1"/>
        <v>4437212.2451199992</v>
      </c>
      <c r="M54" s="666">
        <f t="shared" si="1"/>
        <v>3769032.9894299987</v>
      </c>
      <c r="N54" s="666">
        <f t="shared" si="1"/>
        <v>4362290.4521599989</v>
      </c>
      <c r="O54" s="667">
        <f>SUM(O45:O53)</f>
        <v>4428080.7158900015</v>
      </c>
      <c r="P54" s="667">
        <f>SUM(P45:P53)</f>
        <v>4064375.747539999</v>
      </c>
      <c r="Q54" s="667">
        <f>SUM(Q45:Q53)</f>
        <v>4584186.9326600004</v>
      </c>
      <c r="R54" s="668">
        <f>SUM(R45:R53)</f>
        <v>4966543.3841400007</v>
      </c>
      <c r="S54" s="668">
        <f>SUM(S45:S53)</f>
        <v>4925309.3287400017</v>
      </c>
    </row>
    <row r="55" spans="2:19" ht="15.75" x14ac:dyDescent="0.2">
      <c r="B55" s="388"/>
      <c r="C55" s="388"/>
      <c r="D55" s="388"/>
      <c r="E55" s="388"/>
      <c r="F55" s="388"/>
      <c r="G55" s="403"/>
      <c r="H55" s="403"/>
      <c r="I55" s="404"/>
      <c r="J55" s="388"/>
      <c r="K55" s="388"/>
      <c r="L55" s="405"/>
      <c r="M55" s="406" t="s">
        <v>78</v>
      </c>
      <c r="N55" s="405"/>
      <c r="O55" s="388"/>
      <c r="P55" s="388"/>
    </row>
    <row r="56" spans="2:19" ht="15.75" x14ac:dyDescent="0.2">
      <c r="B56" s="854" t="s">
        <v>615</v>
      </c>
      <c r="C56" s="854"/>
      <c r="D56" s="854"/>
      <c r="E56" s="854"/>
      <c r="F56" s="854"/>
      <c r="G56" s="854"/>
      <c r="H56" s="854"/>
      <c r="I56" s="854"/>
      <c r="J56" s="854"/>
      <c r="K56" s="405"/>
      <c r="L56" s="405"/>
      <c r="M56" s="406"/>
      <c r="N56" s="405"/>
      <c r="O56" s="388"/>
      <c r="P56" s="388"/>
    </row>
    <row r="57" spans="2:19" x14ac:dyDescent="0.2">
      <c r="B57" s="836" t="s">
        <v>616</v>
      </c>
      <c r="C57" s="846"/>
      <c r="D57" s="859" t="s">
        <v>87</v>
      </c>
      <c r="E57" s="860"/>
      <c r="F57" s="860"/>
      <c r="G57" s="860"/>
      <c r="H57" s="860"/>
      <c r="I57" s="860"/>
      <c r="J57" s="860"/>
      <c r="K57" s="860"/>
      <c r="L57" s="860"/>
      <c r="M57" s="860"/>
      <c r="N57" s="860"/>
      <c r="O57" s="860"/>
      <c r="P57" s="860"/>
      <c r="Q57" s="860"/>
      <c r="R57" s="860"/>
      <c r="S57" s="860"/>
    </row>
    <row r="58" spans="2:19" x14ac:dyDescent="0.2">
      <c r="B58" s="838"/>
      <c r="C58" s="847"/>
      <c r="D58" s="39">
        <v>2000</v>
      </c>
      <c r="E58" s="40">
        <v>2001</v>
      </c>
      <c r="F58" s="40">
        <v>2002</v>
      </c>
      <c r="G58" s="40">
        <v>2003</v>
      </c>
      <c r="H58" s="40">
        <v>2004</v>
      </c>
      <c r="I58" s="40">
        <v>2006</v>
      </c>
      <c r="J58" s="41">
        <v>2007</v>
      </c>
      <c r="K58" s="40">
        <v>2008</v>
      </c>
      <c r="L58" s="40">
        <v>2009</v>
      </c>
      <c r="M58" s="42">
        <v>2010</v>
      </c>
      <c r="N58" s="41">
        <v>2011</v>
      </c>
      <c r="O58" s="45">
        <v>2012</v>
      </c>
      <c r="P58" s="126">
        <v>2013</v>
      </c>
      <c r="Q58" s="126">
        <v>2014</v>
      </c>
      <c r="R58" s="199">
        <v>2015</v>
      </c>
      <c r="S58" s="199">
        <v>2016</v>
      </c>
    </row>
    <row r="59" spans="2:19" x14ac:dyDescent="0.2">
      <c r="B59" s="842" t="s">
        <v>67</v>
      </c>
      <c r="C59" s="843"/>
      <c r="D59" s="636">
        <v>325785.03974012833</v>
      </c>
      <c r="E59" s="636">
        <v>434683.4786944316</v>
      </c>
      <c r="F59" s="636">
        <v>400420.57388346584</v>
      </c>
      <c r="G59" s="636">
        <v>531387.43660999998</v>
      </c>
      <c r="H59" s="636">
        <v>742495</v>
      </c>
      <c r="I59" s="636">
        <v>508020.70128000097</v>
      </c>
      <c r="J59" s="391">
        <v>592302.30701999972</v>
      </c>
      <c r="K59" s="407">
        <v>642685.04055000003</v>
      </c>
      <c r="L59" s="408">
        <v>462547.94916999998</v>
      </c>
      <c r="M59" s="408">
        <v>557514.37102999922</v>
      </c>
      <c r="N59" s="408">
        <v>582643.12579999992</v>
      </c>
      <c r="O59" s="408">
        <v>588812.44003999978</v>
      </c>
      <c r="P59" s="288">
        <v>666739.39184999978</v>
      </c>
      <c r="Q59" s="288">
        <v>688568.47620000015</v>
      </c>
      <c r="R59" s="289">
        <v>799982.56100999983</v>
      </c>
      <c r="S59" s="392">
        <v>776053.27526999952</v>
      </c>
    </row>
    <row r="60" spans="2:19" x14ac:dyDescent="0.2">
      <c r="B60" s="842" t="s">
        <v>123</v>
      </c>
      <c r="C60" s="843"/>
      <c r="D60" s="636">
        <v>772353.40145949658</v>
      </c>
      <c r="E60" s="636">
        <v>887519.53945929417</v>
      </c>
      <c r="F60" s="636">
        <v>878069.8908311188</v>
      </c>
      <c r="G60" s="636">
        <v>515540.45597999956</v>
      </c>
      <c r="H60" s="636">
        <v>531487.97687072947</v>
      </c>
      <c r="I60" s="636">
        <v>378707.0426599994</v>
      </c>
      <c r="J60" s="391">
        <v>381458.47512999986</v>
      </c>
      <c r="K60" s="407">
        <v>330956.44670999952</v>
      </c>
      <c r="L60" s="391">
        <v>303168.78327999997</v>
      </c>
      <c r="M60" s="391">
        <v>214151.86577000003</v>
      </c>
      <c r="N60" s="391">
        <v>231100.26481999992</v>
      </c>
      <c r="O60" s="391">
        <v>260475.68334000002</v>
      </c>
      <c r="P60" s="288">
        <v>257016.90917000006</v>
      </c>
      <c r="Q60" s="288">
        <v>306890.24928000005</v>
      </c>
      <c r="R60" s="289">
        <v>284779.70622000005</v>
      </c>
      <c r="S60" s="392">
        <v>325955.30517999973</v>
      </c>
    </row>
    <row r="61" spans="2:19" x14ac:dyDescent="0.2">
      <c r="B61" s="842" t="s">
        <v>124</v>
      </c>
      <c r="C61" s="843"/>
      <c r="D61" s="636">
        <v>89131.171350150078</v>
      </c>
      <c r="E61" s="636">
        <v>92238.364709183836</v>
      </c>
      <c r="F61" s="636">
        <v>56364.26252435537</v>
      </c>
      <c r="G61" s="636">
        <v>56646.693929999994</v>
      </c>
      <c r="H61" s="636">
        <v>44060.212208829311</v>
      </c>
      <c r="I61" s="636">
        <v>126925.13214000016</v>
      </c>
      <c r="J61" s="391">
        <v>140118.31699999992</v>
      </c>
      <c r="K61" s="407">
        <v>415605.50179999915</v>
      </c>
      <c r="L61" s="391">
        <v>150420.57135999997</v>
      </c>
      <c r="M61" s="391">
        <v>136027.01833000002</v>
      </c>
      <c r="N61" s="391">
        <v>116408.92050000002</v>
      </c>
      <c r="O61" s="391">
        <v>117415.63721</v>
      </c>
      <c r="P61" s="288">
        <v>128459.33207999996</v>
      </c>
      <c r="Q61" s="288">
        <v>148237.15051000006</v>
      </c>
      <c r="R61" s="289">
        <v>144490.12644999998</v>
      </c>
      <c r="S61" s="392">
        <v>170407.81818</v>
      </c>
    </row>
    <row r="62" spans="2:19" x14ac:dyDescent="0.2">
      <c r="B62" s="842" t="s">
        <v>119</v>
      </c>
      <c r="C62" s="843"/>
      <c r="D62" s="636">
        <v>363193.57215571578</v>
      </c>
      <c r="E62" s="636">
        <v>246841.67029011261</v>
      </c>
      <c r="F62" s="636">
        <v>222580.21703056779</v>
      </c>
      <c r="G62" s="636">
        <v>223680.17595999991</v>
      </c>
      <c r="H62" s="636">
        <v>232586.00168367225</v>
      </c>
      <c r="I62" s="636">
        <v>2233098.896449999</v>
      </c>
      <c r="J62" s="391">
        <v>2520965.0352300014</v>
      </c>
      <c r="K62" s="407">
        <v>2434472.8070099987</v>
      </c>
      <c r="L62" s="391">
        <v>1097464.4473300001</v>
      </c>
      <c r="M62" s="391">
        <v>264840.5471400001</v>
      </c>
      <c r="N62" s="391">
        <v>282206.46535000007</v>
      </c>
      <c r="O62" s="391">
        <v>348281.65721999999</v>
      </c>
      <c r="P62" s="288">
        <v>404095.85831999982</v>
      </c>
      <c r="Q62" s="288">
        <v>563163.27074000041</v>
      </c>
      <c r="R62" s="289">
        <v>616426.93775000027</v>
      </c>
      <c r="S62" s="392">
        <v>623817.47534999985</v>
      </c>
    </row>
    <row r="63" spans="2:19" x14ac:dyDescent="0.2">
      <c r="B63" s="842" t="s">
        <v>120</v>
      </c>
      <c r="C63" s="843"/>
      <c r="D63" s="636">
        <v>829765.44433238078</v>
      </c>
      <c r="E63" s="636">
        <v>743433.38938986429</v>
      </c>
      <c r="F63" s="636">
        <v>837157.43657490902</v>
      </c>
      <c r="G63" s="636">
        <v>852422.21003000077</v>
      </c>
      <c r="H63" s="636">
        <v>960289.06966024172</v>
      </c>
      <c r="I63" s="636">
        <v>728015.11806000036</v>
      </c>
      <c r="J63" s="391">
        <v>690179.43733999995</v>
      </c>
      <c r="K63" s="407">
        <v>611026.12347000011</v>
      </c>
      <c r="L63" s="391">
        <v>577190.93468000006</v>
      </c>
      <c r="M63" s="391">
        <v>648858.94063999981</v>
      </c>
      <c r="N63" s="391">
        <v>758522.70217999979</v>
      </c>
      <c r="O63" s="391">
        <v>716463.10910000023</v>
      </c>
      <c r="P63" s="288">
        <v>758536.80702999968</v>
      </c>
      <c r="Q63" s="288">
        <v>739793.3263099998</v>
      </c>
      <c r="R63" s="289">
        <v>759191.2747300003</v>
      </c>
      <c r="S63" s="392">
        <v>751637.2824800004</v>
      </c>
    </row>
    <row r="64" spans="2:19" x14ac:dyDescent="0.2">
      <c r="B64" s="842" t="s">
        <v>125</v>
      </c>
      <c r="C64" s="843"/>
      <c r="D64" s="636">
        <v>461747.12337151956</v>
      </c>
      <c r="E64" s="636">
        <v>548073.19102841895</v>
      </c>
      <c r="F64" s="636">
        <v>432559.29255037883</v>
      </c>
      <c r="G64" s="636">
        <v>387621</v>
      </c>
      <c r="H64" s="636">
        <v>390029.22758571705</v>
      </c>
      <c r="I64" s="636">
        <v>264359.01262999978</v>
      </c>
      <c r="J64" s="391">
        <v>330711.45573000034</v>
      </c>
      <c r="K64" s="407">
        <v>365015.00383000018</v>
      </c>
      <c r="L64" s="391">
        <v>341785.09558000008</v>
      </c>
      <c r="M64" s="391">
        <v>367925.86026000016</v>
      </c>
      <c r="N64" s="391">
        <v>386027.91434000031</v>
      </c>
      <c r="O64" s="391">
        <v>389824.14918999991</v>
      </c>
      <c r="P64" s="288">
        <v>388441.8834400003</v>
      </c>
      <c r="Q64" s="288">
        <v>485588.9128500002</v>
      </c>
      <c r="R64" s="289">
        <v>444478.32262999995</v>
      </c>
      <c r="S64" s="392">
        <v>455764.5177600006</v>
      </c>
    </row>
    <row r="65" spans="2:19" x14ac:dyDescent="0.2">
      <c r="B65" s="842" t="s">
        <v>129</v>
      </c>
      <c r="C65" s="843"/>
      <c r="D65" s="636">
        <v>295915.19602110184</v>
      </c>
      <c r="E65" s="636">
        <v>292577.02144760231</v>
      </c>
      <c r="F65" s="636">
        <v>321419.78296737431</v>
      </c>
      <c r="G65" s="636">
        <v>284025.21761000005</v>
      </c>
      <c r="H65" s="636">
        <v>315560.32279259281</v>
      </c>
      <c r="I65" s="636">
        <v>353127.34141000005</v>
      </c>
      <c r="J65" s="391">
        <v>417343.51424999989</v>
      </c>
      <c r="K65" s="407">
        <v>421697.13694000029</v>
      </c>
      <c r="L65" s="391">
        <v>355310.91924999998</v>
      </c>
      <c r="M65" s="391">
        <v>345062.44547000009</v>
      </c>
      <c r="N65" s="391">
        <v>365190.58349000016</v>
      </c>
      <c r="O65" s="391">
        <v>560821.22799000004</v>
      </c>
      <c r="P65" s="288">
        <v>306796.84886999987</v>
      </c>
      <c r="Q65" s="288">
        <v>357527.5357999999</v>
      </c>
      <c r="R65" s="289">
        <v>433719.15986999997</v>
      </c>
      <c r="S65" s="392">
        <v>420688.87337000074</v>
      </c>
    </row>
    <row r="66" spans="2:19" x14ac:dyDescent="0.2">
      <c r="B66" s="842" t="s">
        <v>122</v>
      </c>
      <c r="C66" s="843"/>
      <c r="D66" s="636">
        <v>541220.48640466202</v>
      </c>
      <c r="E66" s="636">
        <v>612202.64355395781</v>
      </c>
      <c r="F66" s="636">
        <v>591283.86358761508</v>
      </c>
      <c r="G66" s="636">
        <v>707702.75252999982</v>
      </c>
      <c r="H66" s="636">
        <v>672276.8128357809</v>
      </c>
      <c r="I66" s="636">
        <v>560609.3321299986</v>
      </c>
      <c r="J66" s="391">
        <v>567496.4469600002</v>
      </c>
      <c r="K66" s="407">
        <v>656795.41616999987</v>
      </c>
      <c r="L66" s="391">
        <v>544085.60962000012</v>
      </c>
      <c r="M66" s="391">
        <v>542849.80821999989</v>
      </c>
      <c r="N66" s="391">
        <v>881843.30838000018</v>
      </c>
      <c r="O66" s="391">
        <v>644690.96737999981</v>
      </c>
      <c r="P66" s="288">
        <v>626699.49757000024</v>
      </c>
      <c r="Q66" s="288">
        <v>698133.88990999968</v>
      </c>
      <c r="R66" s="289">
        <v>701887.57796000002</v>
      </c>
      <c r="S66" s="392">
        <v>694304.65834999969</v>
      </c>
    </row>
    <row r="67" spans="2:19" x14ac:dyDescent="0.2">
      <c r="B67" s="842" t="s">
        <v>128</v>
      </c>
      <c r="C67" s="843"/>
      <c r="D67" s="636">
        <v>703121.81918185367</v>
      </c>
      <c r="E67" s="636">
        <v>637444.29024914815</v>
      </c>
      <c r="F67" s="636">
        <v>664191.31755554245</v>
      </c>
      <c r="G67" s="636">
        <v>631139.86200000055</v>
      </c>
      <c r="H67" s="636">
        <v>744454.02292528749</v>
      </c>
      <c r="I67" s="636">
        <v>533967.21051999938</v>
      </c>
      <c r="J67" s="391">
        <v>499755.96349999995</v>
      </c>
      <c r="K67" s="407">
        <v>427578.18803999998</v>
      </c>
      <c r="L67" s="391">
        <v>348339.43562999996</v>
      </c>
      <c r="M67" s="391">
        <v>371441.86603000021</v>
      </c>
      <c r="N67" s="391">
        <v>420568.50338000018</v>
      </c>
      <c r="O67" s="391">
        <v>472831.85486000031</v>
      </c>
      <c r="P67" s="288">
        <v>522501.89921000018</v>
      </c>
      <c r="Q67" s="288">
        <v>593877.00106000004</v>
      </c>
      <c r="R67" s="289">
        <v>779062.96751999971</v>
      </c>
      <c r="S67" s="392">
        <v>706680.12280000036</v>
      </c>
    </row>
    <row r="68" spans="2:19" x14ac:dyDescent="0.2">
      <c r="B68" s="842" t="s">
        <v>446</v>
      </c>
      <c r="C68" s="843"/>
      <c r="D68" s="636">
        <v>744906.95789803611</v>
      </c>
      <c r="E68" s="636">
        <v>635978.24017306732</v>
      </c>
      <c r="F68" s="636">
        <v>654179.71702281898</v>
      </c>
      <c r="G68" s="636">
        <v>582135.51743999997</v>
      </c>
      <c r="H68" s="636">
        <v>652205.10308294487</v>
      </c>
      <c r="I68" s="636">
        <v>350238.03267000004</v>
      </c>
      <c r="J68" s="391">
        <v>286967.23329000006</v>
      </c>
      <c r="K68" s="407">
        <v>305886.93985999993</v>
      </c>
      <c r="L68" s="391">
        <v>254634.37922</v>
      </c>
      <c r="M68" s="391">
        <v>318772.34654</v>
      </c>
      <c r="N68" s="391">
        <v>324553.74691999995</v>
      </c>
      <c r="O68" s="391">
        <v>324578.16956000001</v>
      </c>
      <c r="P68" s="658" t="s">
        <v>617</v>
      </c>
      <c r="Q68" s="658" t="s">
        <v>617</v>
      </c>
      <c r="R68" s="659" t="s">
        <v>617</v>
      </c>
      <c r="S68" s="660" t="s">
        <v>617</v>
      </c>
    </row>
    <row r="69" spans="2:19" x14ac:dyDescent="0.2">
      <c r="B69" s="844" t="s">
        <v>537</v>
      </c>
      <c r="C69" s="845"/>
      <c r="D69" s="641">
        <v>0</v>
      </c>
      <c r="E69" s="641">
        <v>0</v>
      </c>
      <c r="F69" s="641">
        <v>0</v>
      </c>
      <c r="G69" s="641">
        <v>0</v>
      </c>
      <c r="H69" s="641">
        <v>0</v>
      </c>
      <c r="I69" s="641">
        <v>0</v>
      </c>
      <c r="J69" s="409">
        <v>3866.9965999999995</v>
      </c>
      <c r="K69" s="410">
        <v>39801.629999999997</v>
      </c>
      <c r="L69" s="409">
        <v>2264.12</v>
      </c>
      <c r="M69" s="409">
        <v>1587.92</v>
      </c>
      <c r="N69" s="391">
        <v>13224.917000000001</v>
      </c>
      <c r="O69" s="391">
        <v>3885.82</v>
      </c>
      <c r="P69" s="288">
        <v>5087.32</v>
      </c>
      <c r="Q69" s="429">
        <v>2407.12</v>
      </c>
      <c r="R69" s="431">
        <v>2524</v>
      </c>
      <c r="S69" s="411"/>
    </row>
    <row r="70" spans="2:19" x14ac:dyDescent="0.2">
      <c r="B70" s="832" t="s">
        <v>157</v>
      </c>
      <c r="C70" s="833"/>
      <c r="D70" s="421">
        <f>SUM(D59:D69)</f>
        <v>5127140.2119150441</v>
      </c>
      <c r="E70" s="421">
        <f t="shared" ref="E70:Q70" si="2">SUM(E59:E69)</f>
        <v>5130991.8289950807</v>
      </c>
      <c r="F70" s="421">
        <f t="shared" si="2"/>
        <v>5058226.3545281459</v>
      </c>
      <c r="G70" s="421">
        <f t="shared" si="2"/>
        <v>4772301.3220900008</v>
      </c>
      <c r="H70" s="421">
        <f t="shared" si="2"/>
        <v>5285443.7496457966</v>
      </c>
      <c r="I70" s="421">
        <f t="shared" si="2"/>
        <v>6037067.8199499967</v>
      </c>
      <c r="J70" s="421">
        <f t="shared" si="2"/>
        <v>6431165.1820500018</v>
      </c>
      <c r="K70" s="421">
        <f t="shared" si="2"/>
        <v>6651520.2343799984</v>
      </c>
      <c r="L70" s="421">
        <f t="shared" si="2"/>
        <v>4437212.245120001</v>
      </c>
      <c r="M70" s="421">
        <f t="shared" si="2"/>
        <v>3769032.9894299991</v>
      </c>
      <c r="N70" s="421">
        <f t="shared" si="2"/>
        <v>4362290.4521600008</v>
      </c>
      <c r="O70" s="421">
        <f t="shared" si="2"/>
        <v>4428080.7158900006</v>
      </c>
      <c r="P70" s="421">
        <f t="shared" si="2"/>
        <v>4064375.7475399994</v>
      </c>
      <c r="Q70" s="421">
        <f t="shared" si="2"/>
        <v>4584186.9326599995</v>
      </c>
      <c r="R70" s="422">
        <f>SUM(R59:R69)</f>
        <v>4966542.6341399997</v>
      </c>
      <c r="S70" s="422">
        <f>SUM(S59:S69)</f>
        <v>4925309.3287400007</v>
      </c>
    </row>
    <row r="71" spans="2:19" ht="15.75" x14ac:dyDescent="0.2">
      <c r="B71" s="388"/>
      <c r="C71" s="388"/>
      <c r="D71" s="405"/>
      <c r="E71" s="405"/>
      <c r="F71" s="405"/>
      <c r="G71" s="405"/>
      <c r="H71" s="405"/>
      <c r="I71" s="405"/>
      <c r="J71" s="405"/>
      <c r="K71" s="405"/>
      <c r="L71" s="388"/>
      <c r="M71" s="388"/>
      <c r="N71" s="388"/>
      <c r="O71" s="388"/>
      <c r="P71" s="388"/>
    </row>
    <row r="72" spans="2:19" ht="15.75" x14ac:dyDescent="0.2">
      <c r="B72" s="36" t="s">
        <v>618</v>
      </c>
      <c r="C72" s="387"/>
      <c r="D72" s="387"/>
      <c r="E72" s="387"/>
      <c r="F72" s="387"/>
      <c r="G72" s="387"/>
      <c r="H72" s="387"/>
      <c r="I72" s="387"/>
      <c r="J72" s="387"/>
      <c r="K72" s="405"/>
      <c r="L72" s="388"/>
      <c r="M72" s="388"/>
      <c r="N72" s="388"/>
      <c r="O72" s="388"/>
      <c r="P72" s="388"/>
    </row>
    <row r="73" spans="2:19" x14ac:dyDescent="0.2">
      <c r="B73" s="836" t="s">
        <v>616</v>
      </c>
      <c r="C73" s="846"/>
      <c r="D73" s="859" t="s">
        <v>87</v>
      </c>
      <c r="E73" s="860"/>
      <c r="F73" s="860"/>
      <c r="G73" s="860"/>
      <c r="H73" s="860"/>
      <c r="I73" s="860"/>
      <c r="J73" s="860"/>
      <c r="K73" s="860"/>
      <c r="L73" s="860"/>
      <c r="M73" s="860"/>
      <c r="N73" s="860"/>
      <c r="O73" s="860"/>
      <c r="P73" s="860"/>
      <c r="Q73" s="860"/>
      <c r="R73" s="860"/>
      <c r="S73" s="860"/>
    </row>
    <row r="74" spans="2:19" x14ac:dyDescent="0.2">
      <c r="B74" s="838"/>
      <c r="C74" s="847"/>
      <c r="D74" s="39">
        <v>2000</v>
      </c>
      <c r="E74" s="40">
        <v>2001</v>
      </c>
      <c r="F74" s="40">
        <v>2002</v>
      </c>
      <c r="G74" s="40">
        <v>2003</v>
      </c>
      <c r="H74" s="40">
        <v>2004</v>
      </c>
      <c r="I74" s="40">
        <v>2006</v>
      </c>
      <c r="J74" s="41">
        <v>2007</v>
      </c>
      <c r="K74" s="40">
        <v>2008</v>
      </c>
      <c r="L74" s="40">
        <v>2009</v>
      </c>
      <c r="M74" s="42">
        <v>2010</v>
      </c>
      <c r="N74" s="41">
        <v>2011</v>
      </c>
      <c r="O74" s="45">
        <v>2012</v>
      </c>
      <c r="P74" s="126">
        <v>2013</v>
      </c>
      <c r="Q74" s="126">
        <v>2014</v>
      </c>
      <c r="R74" s="199">
        <v>2015</v>
      </c>
      <c r="S74" s="199">
        <v>2016</v>
      </c>
    </row>
    <row r="75" spans="2:19" x14ac:dyDescent="0.2">
      <c r="B75" s="842" t="s">
        <v>67</v>
      </c>
      <c r="C75" s="843"/>
      <c r="D75" s="656">
        <v>257128.06802970899</v>
      </c>
      <c r="E75" s="656">
        <v>340895.484422874</v>
      </c>
      <c r="F75" s="656">
        <v>253317.44598812499</v>
      </c>
      <c r="G75" s="656">
        <v>267949.82267000002</v>
      </c>
      <c r="H75" s="636">
        <v>292496.86136071198</v>
      </c>
      <c r="I75" s="636">
        <v>353015.70081000024</v>
      </c>
      <c r="J75" s="391">
        <v>362709.50848000008</v>
      </c>
      <c r="K75" s="407">
        <v>352974.90638000017</v>
      </c>
      <c r="L75" s="391">
        <v>226280.30259000001</v>
      </c>
      <c r="M75" s="391">
        <v>277878.64938000008</v>
      </c>
      <c r="N75" s="391">
        <v>306682.25064000004</v>
      </c>
      <c r="O75" s="657">
        <v>371248.32433999999</v>
      </c>
      <c r="P75" s="288">
        <v>433163.89794000011</v>
      </c>
      <c r="Q75" s="288">
        <v>467587.42806999991</v>
      </c>
      <c r="R75" s="289">
        <v>514334.46138000017</v>
      </c>
      <c r="S75" s="426">
        <v>461662.86115999974</v>
      </c>
    </row>
    <row r="76" spans="2:19" x14ac:dyDescent="0.2">
      <c r="B76" s="842" t="s">
        <v>123</v>
      </c>
      <c r="C76" s="843"/>
      <c r="D76" s="656">
        <v>426823.514915679</v>
      </c>
      <c r="E76" s="656">
        <v>520920.14342232898</v>
      </c>
      <c r="F76" s="656">
        <v>425163.85774227499</v>
      </c>
      <c r="G76" s="656">
        <v>377815.59727000003</v>
      </c>
      <c r="H76" s="636">
        <v>422109.93120345299</v>
      </c>
      <c r="I76" s="636">
        <v>392220.44956999976</v>
      </c>
      <c r="J76" s="391">
        <v>393247.43179999996</v>
      </c>
      <c r="K76" s="407">
        <v>349167.79055999988</v>
      </c>
      <c r="L76" s="391">
        <v>308679.47591999994</v>
      </c>
      <c r="M76" s="391">
        <v>312047.28083999985</v>
      </c>
      <c r="N76" s="391">
        <v>344369.22801999998</v>
      </c>
      <c r="O76" s="657">
        <v>349816.43137000001</v>
      </c>
      <c r="P76" s="288">
        <v>308583.61707999994</v>
      </c>
      <c r="Q76" s="288">
        <v>366019.86156999983</v>
      </c>
      <c r="R76" s="289">
        <v>376631.86690000014</v>
      </c>
      <c r="S76" s="426">
        <v>361480.27351000078</v>
      </c>
    </row>
    <row r="77" spans="2:19" x14ac:dyDescent="0.2">
      <c r="B77" s="842" t="s">
        <v>124</v>
      </c>
      <c r="C77" s="843"/>
      <c r="D77" s="656">
        <v>359216.35917634203</v>
      </c>
      <c r="E77" s="656">
        <v>497055.99900077301</v>
      </c>
      <c r="F77" s="656">
        <v>458578.57724897203</v>
      </c>
      <c r="G77" s="656">
        <v>286322.36849999998</v>
      </c>
      <c r="H77" s="636">
        <v>283968.63335536298</v>
      </c>
      <c r="I77" s="636">
        <v>288973.99091000011</v>
      </c>
      <c r="J77" s="391">
        <v>306319.19873000018</v>
      </c>
      <c r="K77" s="407">
        <v>765873.20464000048</v>
      </c>
      <c r="L77" s="391">
        <v>309936.50864499994</v>
      </c>
      <c r="M77" s="391">
        <v>310881.41898999992</v>
      </c>
      <c r="N77" s="391">
        <v>360103.65911999991</v>
      </c>
      <c r="O77" s="657">
        <v>354685.19277000002</v>
      </c>
      <c r="P77" s="288">
        <v>306812.41521999991</v>
      </c>
      <c r="Q77" s="288">
        <v>380444.39233000006</v>
      </c>
      <c r="R77" s="289">
        <v>347303.10170999996</v>
      </c>
      <c r="S77" s="426">
        <v>397132.63257000054</v>
      </c>
    </row>
    <row r="78" spans="2:19" x14ac:dyDescent="0.2">
      <c r="B78" s="842" t="s">
        <v>119</v>
      </c>
      <c r="C78" s="843"/>
      <c r="D78" s="656">
        <v>463798.624420245</v>
      </c>
      <c r="E78" s="636">
        <v>351521.66954437498</v>
      </c>
      <c r="F78" s="656">
        <v>313073.73314413201</v>
      </c>
      <c r="G78" s="656">
        <v>305730.96042999998</v>
      </c>
      <c r="H78" s="636">
        <v>264481.074888742</v>
      </c>
      <c r="I78" s="636">
        <v>1908163.5721599981</v>
      </c>
      <c r="J78" s="391">
        <v>2344548.6070699985</v>
      </c>
      <c r="K78" s="407">
        <v>2162232.9836299988</v>
      </c>
      <c r="L78" s="391">
        <v>1058740.4555400007</v>
      </c>
      <c r="M78" s="391">
        <v>245388.48554000002</v>
      </c>
      <c r="N78" s="391">
        <v>233051.6686</v>
      </c>
      <c r="O78" s="657">
        <v>291660.36683000001</v>
      </c>
      <c r="P78" s="288">
        <v>306593.25325000001</v>
      </c>
      <c r="Q78" s="288">
        <v>436071.29241000005</v>
      </c>
      <c r="R78" s="289">
        <v>488497.6170400001</v>
      </c>
      <c r="S78" s="426">
        <v>527295.53203000175</v>
      </c>
    </row>
    <row r="79" spans="2:19" x14ac:dyDescent="0.2">
      <c r="B79" s="842" t="s">
        <v>120</v>
      </c>
      <c r="C79" s="843"/>
      <c r="D79" s="656">
        <v>697840.09878183098</v>
      </c>
      <c r="E79" s="656">
        <v>602698.20793494605</v>
      </c>
      <c r="F79" s="656">
        <v>644807.07217538601</v>
      </c>
      <c r="G79" s="656">
        <v>691016.94687999994</v>
      </c>
      <c r="H79" s="636">
        <v>774792.72471337102</v>
      </c>
      <c r="I79" s="636">
        <v>727824.35353999992</v>
      </c>
      <c r="J79" s="391">
        <v>584098.37596999994</v>
      </c>
      <c r="K79" s="407">
        <v>543970.46326999995</v>
      </c>
      <c r="L79" s="391">
        <v>476748.59697000007</v>
      </c>
      <c r="M79" s="391">
        <v>473832.38782999996</v>
      </c>
      <c r="N79" s="391">
        <v>521403.48987000011</v>
      </c>
      <c r="O79" s="657">
        <v>497974.81510999997</v>
      </c>
      <c r="P79" s="288">
        <v>564562.59489000018</v>
      </c>
      <c r="Q79" s="288">
        <v>613487.10493999999</v>
      </c>
      <c r="R79" s="289">
        <v>660116.38161999988</v>
      </c>
      <c r="S79" s="426">
        <v>642261.13270000136</v>
      </c>
    </row>
    <row r="80" spans="2:19" x14ac:dyDescent="0.2">
      <c r="B80" s="842" t="s">
        <v>125</v>
      </c>
      <c r="C80" s="843"/>
      <c r="D80" s="656">
        <v>559027.56400662696</v>
      </c>
      <c r="E80" s="656">
        <v>576852.76920151606</v>
      </c>
      <c r="F80" s="656">
        <v>578678.22808193404</v>
      </c>
      <c r="G80" s="656">
        <v>443673.34086</v>
      </c>
      <c r="H80" s="636">
        <v>449412.305840349</v>
      </c>
      <c r="I80" s="636">
        <v>477042.48870999989</v>
      </c>
      <c r="J80" s="391">
        <v>532115.61482000013</v>
      </c>
      <c r="K80" s="407">
        <v>587635.13125999935</v>
      </c>
      <c r="L80" s="391">
        <v>505869.64223000017</v>
      </c>
      <c r="M80" s="391">
        <v>500764.67805000005</v>
      </c>
      <c r="N80" s="391">
        <v>620789.96362000017</v>
      </c>
      <c r="O80" s="657">
        <v>540811.07959000021</v>
      </c>
      <c r="P80" s="288">
        <v>505050.24857</v>
      </c>
      <c r="Q80" s="288">
        <v>577256.64105000056</v>
      </c>
      <c r="R80" s="289">
        <v>578490.67856000015</v>
      </c>
      <c r="S80" s="426">
        <v>647479.10919000162</v>
      </c>
    </row>
    <row r="81" spans="2:19" x14ac:dyDescent="0.2">
      <c r="B81" s="842" t="s">
        <v>129</v>
      </c>
      <c r="C81" s="843"/>
      <c r="D81" s="656">
        <v>310800.50851771497</v>
      </c>
      <c r="E81" s="656">
        <v>310671.52479834697</v>
      </c>
      <c r="F81" s="656">
        <v>279798.38223126699</v>
      </c>
      <c r="G81" s="656">
        <v>271126.01152</v>
      </c>
      <c r="H81" s="636">
        <v>443457.523413127</v>
      </c>
      <c r="I81" s="636">
        <v>345580.45513000013</v>
      </c>
      <c r="J81" s="391">
        <v>402014.16167000023</v>
      </c>
      <c r="K81" s="407">
        <v>444572.73784000002</v>
      </c>
      <c r="L81" s="391">
        <v>373303.64772499999</v>
      </c>
      <c r="M81" s="391">
        <v>370926.23609000002</v>
      </c>
      <c r="N81" s="391">
        <v>400934.36188999994</v>
      </c>
      <c r="O81" s="657">
        <v>585891.48528000002</v>
      </c>
      <c r="P81" s="288">
        <v>312575.78527000005</v>
      </c>
      <c r="Q81" s="288">
        <v>358483.20251000015</v>
      </c>
      <c r="R81" s="289">
        <v>417434.5747</v>
      </c>
      <c r="S81" s="426">
        <v>386079.15995000047</v>
      </c>
    </row>
    <row r="82" spans="2:19" x14ac:dyDescent="0.2">
      <c r="B82" s="842" t="s">
        <v>122</v>
      </c>
      <c r="C82" s="843"/>
      <c r="D82" s="656">
        <v>566604.41889680503</v>
      </c>
      <c r="E82" s="656">
        <v>580878.33611088595</v>
      </c>
      <c r="F82" s="656">
        <v>541574.72862412105</v>
      </c>
      <c r="G82" s="656">
        <v>664534.81795000006</v>
      </c>
      <c r="H82" s="636">
        <v>527565.45998327702</v>
      </c>
      <c r="I82" s="636">
        <v>543746.45380999963</v>
      </c>
      <c r="J82" s="391">
        <v>523970.01051000005</v>
      </c>
      <c r="K82" s="407">
        <v>558941.78481000056</v>
      </c>
      <c r="L82" s="391">
        <v>448433.07284000021</v>
      </c>
      <c r="M82" s="391">
        <v>429119.11126000009</v>
      </c>
      <c r="N82" s="391">
        <v>653925.23888000043</v>
      </c>
      <c r="O82" s="657">
        <v>484544.81141999998</v>
      </c>
      <c r="P82" s="288">
        <v>471067.01542000007</v>
      </c>
      <c r="Q82" s="288">
        <v>482336.30743000004</v>
      </c>
      <c r="R82" s="289">
        <v>500625.00311000017</v>
      </c>
      <c r="S82" s="426">
        <v>514438.40820000076</v>
      </c>
    </row>
    <row r="83" spans="2:19" x14ac:dyDescent="0.2">
      <c r="B83" s="842" t="s">
        <v>128</v>
      </c>
      <c r="C83" s="843"/>
      <c r="D83" s="656">
        <v>629569.57122789498</v>
      </c>
      <c r="E83" s="656">
        <v>584238.71955576702</v>
      </c>
      <c r="F83" s="656">
        <v>617390.63237339002</v>
      </c>
      <c r="G83" s="656">
        <v>571627.31986000005</v>
      </c>
      <c r="H83" s="636">
        <v>801354.74502545595</v>
      </c>
      <c r="I83" s="636">
        <v>486602.22502000007</v>
      </c>
      <c r="J83" s="391">
        <v>499782.94949000009</v>
      </c>
      <c r="K83" s="407">
        <v>457934.08592000004</v>
      </c>
      <c r="L83" s="391">
        <v>387485.1698700001</v>
      </c>
      <c r="M83" s="391">
        <v>435238.52368999994</v>
      </c>
      <c r="N83" s="391">
        <v>460333.18931000005</v>
      </c>
      <c r="O83" s="657">
        <v>509092.33902000001</v>
      </c>
      <c r="P83" s="288">
        <v>455579.18946000014</v>
      </c>
      <c r="Q83" s="288">
        <v>521534.15079999989</v>
      </c>
      <c r="R83" s="289">
        <v>724093.51872000005</v>
      </c>
      <c r="S83" s="426">
        <v>620247.57029999979</v>
      </c>
    </row>
    <row r="84" spans="2:19" x14ac:dyDescent="0.2">
      <c r="B84" s="842" t="s">
        <v>446</v>
      </c>
      <c r="C84" s="843"/>
      <c r="D84" s="656">
        <v>767738.25603042205</v>
      </c>
      <c r="E84" s="656">
        <v>630324.71838233306</v>
      </c>
      <c r="F84" s="656">
        <v>682090.75608974404</v>
      </c>
      <c r="G84" s="656">
        <v>591904.29625000001</v>
      </c>
      <c r="H84" s="636">
        <v>653620.71263660898</v>
      </c>
      <c r="I84" s="636">
        <v>368866.4670999996</v>
      </c>
      <c r="J84" s="391">
        <v>297708.77460999996</v>
      </c>
      <c r="K84" s="407">
        <v>257015.20747999998</v>
      </c>
      <c r="L84" s="391">
        <v>209700.96213999999</v>
      </c>
      <c r="M84" s="391">
        <v>254700.81217000011</v>
      </c>
      <c r="N84" s="391">
        <v>291625.06060000003</v>
      </c>
      <c r="O84" s="657">
        <v>274636.39121000003</v>
      </c>
      <c r="P84" s="288">
        <v>206032.79670999997</v>
      </c>
      <c r="Q84" s="288">
        <v>190304.27144000004</v>
      </c>
      <c r="R84" s="289">
        <v>164233.54015000004</v>
      </c>
      <c r="S84" s="426">
        <v>155100.20852999997</v>
      </c>
    </row>
    <row r="85" spans="2:19" x14ac:dyDescent="0.2">
      <c r="B85" s="861" t="s">
        <v>537</v>
      </c>
      <c r="C85" s="862"/>
      <c r="D85" s="391">
        <v>0</v>
      </c>
      <c r="E85" s="391">
        <v>0</v>
      </c>
      <c r="F85" s="391">
        <v>0</v>
      </c>
      <c r="G85" s="391">
        <v>0</v>
      </c>
      <c r="H85" s="658">
        <v>239847.592928125</v>
      </c>
      <c r="I85" s="636">
        <v>15605.694829999997</v>
      </c>
      <c r="J85" s="391">
        <v>58928.331299999998</v>
      </c>
      <c r="K85" s="407">
        <v>28720.985990000005</v>
      </c>
      <c r="L85" s="391">
        <v>17299.874899999999</v>
      </c>
      <c r="M85" s="391">
        <v>21569.190409999996</v>
      </c>
      <c r="N85" s="391">
        <v>13908.773540000002</v>
      </c>
      <c r="O85" s="657">
        <v>14476.241849999999</v>
      </c>
      <c r="P85" s="288">
        <v>18666.498319999999</v>
      </c>
      <c r="Q85" s="288">
        <v>22768.376419999997</v>
      </c>
      <c r="R85" s="289">
        <v>11086.336579999999</v>
      </c>
      <c r="S85" s="426">
        <v>11649.065120000027</v>
      </c>
    </row>
    <row r="86" spans="2:19" x14ac:dyDescent="0.2">
      <c r="B86" s="863" t="s">
        <v>535</v>
      </c>
      <c r="C86" s="864"/>
      <c r="D86" s="391">
        <v>0</v>
      </c>
      <c r="E86" s="391">
        <v>0</v>
      </c>
      <c r="F86" s="391">
        <v>0</v>
      </c>
      <c r="G86" s="391">
        <v>0</v>
      </c>
      <c r="H86" s="391">
        <v>0</v>
      </c>
      <c r="I86" s="636">
        <v>109994.50157000002</v>
      </c>
      <c r="J86" s="391">
        <v>103378.38629000002</v>
      </c>
      <c r="K86" s="407">
        <v>126280.44561000001</v>
      </c>
      <c r="L86" s="391">
        <v>104001.31178000002</v>
      </c>
      <c r="M86" s="391">
        <v>117316.74548000003</v>
      </c>
      <c r="N86" s="391">
        <v>136426.22130000006</v>
      </c>
      <c r="O86" s="657">
        <v>136741.63354000001</v>
      </c>
      <c r="P86" s="288">
        <v>156317.11076000001</v>
      </c>
      <c r="Q86" s="288">
        <v>134317.63720999996</v>
      </c>
      <c r="R86" s="289">
        <v>161791.54701000004</v>
      </c>
      <c r="S86" s="426">
        <v>152110.47397999975</v>
      </c>
    </row>
    <row r="87" spans="2:19" x14ac:dyDescent="0.2">
      <c r="B87" s="863" t="s">
        <v>619</v>
      </c>
      <c r="C87" s="864"/>
      <c r="D87" s="391">
        <v>0</v>
      </c>
      <c r="E87" s="391">
        <v>0</v>
      </c>
      <c r="F87" s="391">
        <v>0</v>
      </c>
      <c r="G87" s="391">
        <v>0</v>
      </c>
      <c r="H87" s="391">
        <v>0</v>
      </c>
      <c r="I87" s="636">
        <v>19406.996840000003</v>
      </c>
      <c r="J87" s="391">
        <v>22343.831309999998</v>
      </c>
      <c r="K87" s="407">
        <v>16200.506990000005</v>
      </c>
      <c r="L87" s="391">
        <v>10733.223969999999</v>
      </c>
      <c r="M87" s="391">
        <v>19369.469700000005</v>
      </c>
      <c r="N87" s="391">
        <v>18737.34677</v>
      </c>
      <c r="O87" s="657">
        <v>16501.918559999998</v>
      </c>
      <c r="P87" s="288">
        <v>19371.324649999995</v>
      </c>
      <c r="Q87" s="288">
        <v>33576.266480000006</v>
      </c>
      <c r="R87" s="289">
        <v>21904.756660000006</v>
      </c>
      <c r="S87" s="426">
        <v>48372.901499999993</v>
      </c>
    </row>
    <row r="88" spans="2:19" x14ac:dyDescent="0.2">
      <c r="B88" s="863" t="s">
        <v>620</v>
      </c>
      <c r="C88" s="864"/>
      <c r="D88" s="391">
        <v>0</v>
      </c>
      <c r="E88" s="391">
        <v>0</v>
      </c>
      <c r="F88" s="391">
        <v>0</v>
      </c>
      <c r="G88" s="391">
        <v>0</v>
      </c>
      <c r="H88" s="391">
        <v>0</v>
      </c>
      <c r="I88" s="636">
        <v>6.70282</v>
      </c>
      <c r="J88" s="391">
        <v>0</v>
      </c>
      <c r="K88" s="391">
        <v>0</v>
      </c>
      <c r="L88" s="391">
        <v>0</v>
      </c>
      <c r="M88" s="391">
        <v>0</v>
      </c>
      <c r="N88" s="391">
        <v>0</v>
      </c>
      <c r="O88" s="391">
        <v>0</v>
      </c>
      <c r="P88" s="391">
        <v>0</v>
      </c>
      <c r="Q88" s="391">
        <v>0</v>
      </c>
      <c r="R88" s="655">
        <v>0</v>
      </c>
      <c r="S88" s="655">
        <v>0</v>
      </c>
    </row>
    <row r="89" spans="2:19" x14ac:dyDescent="0.2">
      <c r="B89" s="865" t="s">
        <v>621</v>
      </c>
      <c r="C89" s="866"/>
      <c r="D89" s="391">
        <v>0</v>
      </c>
      <c r="E89" s="391">
        <v>0</v>
      </c>
      <c r="F89" s="391">
        <v>0</v>
      </c>
      <c r="G89" s="391">
        <v>0</v>
      </c>
      <c r="H89" s="391">
        <v>0</v>
      </c>
      <c r="I89" s="641">
        <v>17.767130000000002</v>
      </c>
      <c r="J89" s="409">
        <v>0</v>
      </c>
      <c r="K89" s="409">
        <v>0</v>
      </c>
      <c r="L89" s="409">
        <v>0</v>
      </c>
      <c r="M89" s="409">
        <v>0</v>
      </c>
      <c r="N89" s="409">
        <v>0</v>
      </c>
      <c r="O89" s="409">
        <v>0</v>
      </c>
      <c r="P89" s="391">
        <v>0</v>
      </c>
      <c r="Q89" s="409">
        <v>0</v>
      </c>
      <c r="R89" s="655">
        <v>0</v>
      </c>
      <c r="S89" s="655">
        <v>0</v>
      </c>
    </row>
    <row r="90" spans="2:19" x14ac:dyDescent="0.2">
      <c r="B90" s="832" t="s">
        <v>157</v>
      </c>
      <c r="C90" s="833"/>
      <c r="D90" s="421">
        <f>SUM(D75:D89)</f>
        <v>5038546.98400327</v>
      </c>
      <c r="E90" s="421">
        <f t="shared" ref="E90:Q90" si="3">SUM(E75:E89)</f>
        <v>4996057.5723741474</v>
      </c>
      <c r="F90" s="421">
        <f t="shared" si="3"/>
        <v>4794473.4136993466</v>
      </c>
      <c r="G90" s="421">
        <f t="shared" si="3"/>
        <v>4471701.4821899999</v>
      </c>
      <c r="H90" s="421">
        <f t="shared" si="3"/>
        <v>5153107.5653485823</v>
      </c>
      <c r="I90" s="421">
        <f t="shared" si="3"/>
        <v>6037067.8199499985</v>
      </c>
      <c r="J90" s="421">
        <f t="shared" si="3"/>
        <v>6431165.182049999</v>
      </c>
      <c r="K90" s="421">
        <f t="shared" si="3"/>
        <v>6651520.2343799993</v>
      </c>
      <c r="L90" s="421">
        <f t="shared" si="3"/>
        <v>4437212.245120001</v>
      </c>
      <c r="M90" s="421">
        <f t="shared" si="3"/>
        <v>3769032.9894299996</v>
      </c>
      <c r="N90" s="421">
        <f t="shared" si="3"/>
        <v>4362290.4521600008</v>
      </c>
      <c r="O90" s="421">
        <f t="shared" si="3"/>
        <v>4428081.0308900001</v>
      </c>
      <c r="P90" s="421">
        <f t="shared" si="3"/>
        <v>4064375.7475399994</v>
      </c>
      <c r="Q90" s="421">
        <f t="shared" si="3"/>
        <v>4584186.9326600004</v>
      </c>
      <c r="R90" s="421">
        <f>SUM(R75:R89)</f>
        <v>4966543.3841399997</v>
      </c>
      <c r="S90" s="422">
        <f>SUM(S75:S89)</f>
        <v>4925309.3287400063</v>
      </c>
    </row>
    <row r="91" spans="2:19" ht="17.25" customHeight="1" x14ac:dyDescent="0.2"/>
    <row r="92" spans="2:19" ht="15.75" x14ac:dyDescent="0.2">
      <c r="B92" s="36" t="s">
        <v>602</v>
      </c>
      <c r="C92" s="412"/>
      <c r="D92" s="413"/>
      <c r="E92" s="413"/>
      <c r="F92" s="413"/>
      <c r="G92" s="413"/>
      <c r="H92" s="413"/>
      <c r="I92" s="413"/>
      <c r="J92" s="413"/>
      <c r="K92" s="414"/>
      <c r="L92" s="382"/>
      <c r="M92" s="382"/>
      <c r="N92" s="382"/>
      <c r="O92" s="382"/>
      <c r="P92" s="382"/>
    </row>
    <row r="93" spans="2:19" x14ac:dyDescent="0.2">
      <c r="B93" s="828" t="s">
        <v>589</v>
      </c>
      <c r="C93" s="850"/>
      <c r="D93" s="859" t="s">
        <v>87</v>
      </c>
      <c r="E93" s="860"/>
      <c r="F93" s="860"/>
      <c r="G93" s="860"/>
      <c r="H93" s="860"/>
      <c r="I93" s="860"/>
      <c r="J93" s="860"/>
      <c r="K93" s="860"/>
      <c r="L93" s="860"/>
      <c r="M93" s="860"/>
      <c r="N93" s="860"/>
      <c r="O93" s="860"/>
      <c r="P93" s="860"/>
      <c r="Q93" s="860"/>
      <c r="R93" s="860"/>
      <c r="S93" s="860"/>
    </row>
    <row r="94" spans="2:19" x14ac:dyDescent="0.2">
      <c r="B94" s="829"/>
      <c r="C94" s="851"/>
      <c r="D94" s="39">
        <v>2000</v>
      </c>
      <c r="E94" s="40">
        <v>2001</v>
      </c>
      <c r="F94" s="40">
        <v>2002</v>
      </c>
      <c r="G94" s="40">
        <v>2003</v>
      </c>
      <c r="H94" s="40">
        <v>2004</v>
      </c>
      <c r="I94" s="40">
        <v>2006</v>
      </c>
      <c r="J94" s="41">
        <v>2007</v>
      </c>
      <c r="K94" s="40">
        <v>2008</v>
      </c>
      <c r="L94" s="40">
        <v>2009</v>
      </c>
      <c r="M94" s="42">
        <v>2010</v>
      </c>
      <c r="N94" s="41">
        <v>2011</v>
      </c>
      <c r="O94" s="45">
        <v>2012</v>
      </c>
      <c r="P94" s="126">
        <v>2013</v>
      </c>
      <c r="Q94" s="126">
        <v>2014</v>
      </c>
      <c r="R94" s="125">
        <v>2015</v>
      </c>
      <c r="S94" s="125">
        <v>2016</v>
      </c>
    </row>
    <row r="95" spans="2:19" x14ac:dyDescent="0.2">
      <c r="B95" s="415" t="s">
        <v>539</v>
      </c>
      <c r="C95" s="416" t="s">
        <v>540</v>
      </c>
      <c r="D95" s="635">
        <v>4623.3000856041908</v>
      </c>
      <c r="E95" s="636">
        <v>2391.4381378293037</v>
      </c>
      <c r="F95" s="636">
        <v>2982.0735736489296</v>
      </c>
      <c r="G95" s="636">
        <v>2236.7637200000004</v>
      </c>
      <c r="H95" s="636">
        <v>812.97601509094238</v>
      </c>
      <c r="I95" s="636">
        <v>1222.71</v>
      </c>
      <c r="J95" s="638">
        <v>183.49199999999999</v>
      </c>
      <c r="K95" s="639">
        <v>282.66099999999994</v>
      </c>
      <c r="L95" s="407">
        <v>32.040999999999997</v>
      </c>
      <c r="M95" s="295">
        <v>23.8</v>
      </c>
      <c r="N95" s="391">
        <v>148.70400000000001</v>
      </c>
      <c r="O95" s="391">
        <v>400.18299999999999</v>
      </c>
      <c r="P95" s="288">
        <v>33.590000000000003</v>
      </c>
      <c r="Q95" s="288">
        <v>44.33</v>
      </c>
      <c r="R95" s="430">
        <v>12</v>
      </c>
      <c r="S95" s="430">
        <v>152.44</v>
      </c>
    </row>
    <row r="96" spans="2:19" x14ac:dyDescent="0.2">
      <c r="B96" s="417" t="s">
        <v>541</v>
      </c>
      <c r="C96" s="416" t="s">
        <v>542</v>
      </c>
      <c r="D96" s="635">
        <v>3354.6404869258404</v>
      </c>
      <c r="E96" s="636">
        <v>744.6932470947504</v>
      </c>
      <c r="F96" s="636">
        <v>582.24140163917036</v>
      </c>
      <c r="G96" s="636">
        <v>536.26224000000002</v>
      </c>
      <c r="H96" s="636">
        <v>578.3647919036448</v>
      </c>
      <c r="I96" s="391">
        <v>0</v>
      </c>
      <c r="J96" s="391">
        <v>0</v>
      </c>
      <c r="K96" s="391">
        <v>0</v>
      </c>
      <c r="L96" s="391">
        <v>0</v>
      </c>
      <c r="M96" s="391">
        <v>0</v>
      </c>
      <c r="N96" s="391">
        <v>0</v>
      </c>
      <c r="O96" s="391">
        <v>0</v>
      </c>
      <c r="P96" s="391">
        <v>0</v>
      </c>
      <c r="Q96" s="391">
        <v>0</v>
      </c>
      <c r="R96" s="655">
        <v>0</v>
      </c>
      <c r="S96" s="655">
        <v>0</v>
      </c>
    </row>
    <row r="97" spans="2:19" x14ac:dyDescent="0.2">
      <c r="B97" s="417" t="s">
        <v>543</v>
      </c>
      <c r="C97" s="416" t="s">
        <v>544</v>
      </c>
      <c r="D97" s="635">
        <v>718.01560181379318</v>
      </c>
      <c r="E97" s="636">
        <v>628.44594770669937</v>
      </c>
      <c r="F97" s="636">
        <v>972.01017551869154</v>
      </c>
      <c r="G97" s="636">
        <v>2251.5618999999992</v>
      </c>
      <c r="H97" s="636">
        <v>766.62046277523041</v>
      </c>
      <c r="I97" s="636">
        <v>893.68</v>
      </c>
      <c r="J97" s="391">
        <v>0</v>
      </c>
      <c r="K97" s="391">
        <v>0</v>
      </c>
      <c r="L97" s="391">
        <v>0</v>
      </c>
      <c r="M97" s="391">
        <v>0</v>
      </c>
      <c r="N97" s="391">
        <v>0</v>
      </c>
      <c r="O97" s="391">
        <v>0</v>
      </c>
      <c r="P97" s="391">
        <v>0</v>
      </c>
      <c r="Q97" s="391">
        <v>0</v>
      </c>
      <c r="R97" s="655">
        <v>0</v>
      </c>
      <c r="S97" s="655">
        <v>0</v>
      </c>
    </row>
    <row r="98" spans="2:19" x14ac:dyDescent="0.2">
      <c r="B98" s="417" t="s">
        <v>545</v>
      </c>
      <c r="C98" s="416" t="s">
        <v>546</v>
      </c>
      <c r="D98" s="635">
        <v>1086.6582440137863</v>
      </c>
      <c r="E98" s="636">
        <v>986.90652984380722</v>
      </c>
      <c r="F98" s="636">
        <v>878.90946280956268</v>
      </c>
      <c r="G98" s="636">
        <v>3254.7676000000001</v>
      </c>
      <c r="H98" s="636">
        <v>2321.7438153028488</v>
      </c>
      <c r="I98" s="636">
        <v>28.44</v>
      </c>
      <c r="J98" s="638">
        <v>62.18</v>
      </c>
      <c r="K98" s="639">
        <v>57.76</v>
      </c>
      <c r="L98" s="407">
        <v>43.32</v>
      </c>
      <c r="M98" s="295">
        <v>28.52</v>
      </c>
      <c r="N98" s="391">
        <v>23.9</v>
      </c>
      <c r="O98" s="288">
        <v>55.06</v>
      </c>
      <c r="P98" s="288">
        <v>44.98</v>
      </c>
      <c r="Q98" s="288">
        <v>48.34</v>
      </c>
      <c r="R98" s="655">
        <v>0</v>
      </c>
      <c r="S98" s="655">
        <v>0</v>
      </c>
    </row>
    <row r="99" spans="2:19" x14ac:dyDescent="0.2">
      <c r="B99" s="417" t="s">
        <v>547</v>
      </c>
      <c r="C99" s="416" t="s">
        <v>548</v>
      </c>
      <c r="D99" s="635">
        <v>64253.507006980479</v>
      </c>
      <c r="E99" s="636">
        <v>105446.44135948271</v>
      </c>
      <c r="F99" s="636">
        <v>49269.89069888409</v>
      </c>
      <c r="G99" s="636">
        <v>41294.422529999989</v>
      </c>
      <c r="H99" s="636">
        <v>56984.888634473085</v>
      </c>
      <c r="I99" s="636">
        <v>2636.1673999999998</v>
      </c>
      <c r="J99" s="638">
        <v>517.24</v>
      </c>
      <c r="K99" s="639">
        <v>387.1</v>
      </c>
      <c r="L99" s="407">
        <v>379.58099999999996</v>
      </c>
      <c r="M99" s="295">
        <v>69.239999999999995</v>
      </c>
      <c r="N99" s="391">
        <v>458.56</v>
      </c>
      <c r="O99" s="288">
        <v>714.07999999999993</v>
      </c>
      <c r="P99" s="288">
        <v>1143.6299999999999</v>
      </c>
      <c r="Q99" s="288">
        <v>528.44000000000005</v>
      </c>
      <c r="R99" s="426">
        <v>144.78</v>
      </c>
      <c r="S99" s="426">
        <v>3078.1699999999996</v>
      </c>
    </row>
    <row r="100" spans="2:19" x14ac:dyDescent="0.2">
      <c r="B100" s="417" t="s">
        <v>549</v>
      </c>
      <c r="C100" s="416" t="s">
        <v>550</v>
      </c>
      <c r="D100" s="635">
        <v>57725.392271998338</v>
      </c>
      <c r="E100" s="636">
        <v>56829.758811595086</v>
      </c>
      <c r="F100" s="636">
        <v>71525.08609055914</v>
      </c>
      <c r="G100" s="636">
        <v>42202.896280000001</v>
      </c>
      <c r="H100" s="636">
        <v>15434.505538729631</v>
      </c>
      <c r="I100" s="636">
        <v>1921.104</v>
      </c>
      <c r="J100" s="638">
        <v>1273.68</v>
      </c>
      <c r="K100" s="639">
        <v>886.01599999999996</v>
      </c>
      <c r="L100" s="407">
        <v>980.49699999999996</v>
      </c>
      <c r="M100" s="295">
        <v>612.83000000000004</v>
      </c>
      <c r="N100" s="391">
        <v>1630.02</v>
      </c>
      <c r="O100" s="288">
        <v>1246.2444</v>
      </c>
      <c r="P100" s="288">
        <v>1246.9650000000001</v>
      </c>
      <c r="Q100" s="288">
        <v>1208.6980000000001</v>
      </c>
      <c r="R100" s="426">
        <v>1755.4490000000001</v>
      </c>
      <c r="S100" s="426">
        <v>1555.5600000000002</v>
      </c>
    </row>
    <row r="101" spans="2:19" x14ac:dyDescent="0.2">
      <c r="B101" s="417" t="s">
        <v>551</v>
      </c>
      <c r="C101" s="416" t="s">
        <v>552</v>
      </c>
      <c r="D101" s="635">
        <v>98582.224853198044</v>
      </c>
      <c r="E101" s="636">
        <v>110293.0615464471</v>
      </c>
      <c r="F101" s="636">
        <v>62816.632497111808</v>
      </c>
      <c r="G101" s="636">
        <v>32536.803019999988</v>
      </c>
      <c r="H101" s="636">
        <v>57567.52255480364</v>
      </c>
      <c r="I101" s="636">
        <v>1958.9349999999999</v>
      </c>
      <c r="J101" s="638">
        <v>1847.1254099999999</v>
      </c>
      <c r="K101" s="639">
        <v>1531.152</v>
      </c>
      <c r="L101" s="407">
        <v>941.31849999999997</v>
      </c>
      <c r="M101" s="295">
        <v>1036.5410299999999</v>
      </c>
      <c r="N101" s="391">
        <v>956.87599999999998</v>
      </c>
      <c r="O101" s="288">
        <v>1101.5240000000001</v>
      </c>
      <c r="P101" s="288">
        <v>1233.1499999999999</v>
      </c>
      <c r="Q101" s="288">
        <v>1214.4411999999998</v>
      </c>
      <c r="R101" s="426">
        <v>1296.01801</v>
      </c>
      <c r="S101" s="426">
        <v>890.69</v>
      </c>
    </row>
    <row r="102" spans="2:19" x14ac:dyDescent="0.2">
      <c r="B102" s="417" t="s">
        <v>553</v>
      </c>
      <c r="C102" s="416" t="s">
        <v>554</v>
      </c>
      <c r="D102" s="635">
        <v>33367.916726289761</v>
      </c>
      <c r="E102" s="636">
        <v>29103.358736494654</v>
      </c>
      <c r="F102" s="636">
        <v>24112.883138409117</v>
      </c>
      <c r="G102" s="636">
        <v>16622.507420000005</v>
      </c>
      <c r="H102" s="636">
        <v>9681.0800126791</v>
      </c>
      <c r="I102" s="636">
        <v>906.83800000000019</v>
      </c>
      <c r="J102" s="638">
        <v>448.21</v>
      </c>
      <c r="K102" s="639">
        <v>478.76400000000001</v>
      </c>
      <c r="L102" s="407">
        <v>463.72525000000007</v>
      </c>
      <c r="M102" s="295">
        <v>190.62</v>
      </c>
      <c r="N102" s="391">
        <v>524.88</v>
      </c>
      <c r="O102" s="288">
        <v>504.16</v>
      </c>
      <c r="P102" s="288">
        <v>621.29499999999996</v>
      </c>
      <c r="Q102" s="288">
        <v>284.35500000000002</v>
      </c>
      <c r="R102" s="426">
        <v>349.84999999999997</v>
      </c>
      <c r="S102" s="426">
        <v>237.67999999999998</v>
      </c>
    </row>
    <row r="103" spans="2:19" x14ac:dyDescent="0.2">
      <c r="B103" s="417" t="s">
        <v>555</v>
      </c>
      <c r="C103" s="416" t="s">
        <v>556</v>
      </c>
      <c r="D103" s="635">
        <v>12830.865509688854</v>
      </c>
      <c r="E103" s="636">
        <v>13022.929746031761</v>
      </c>
      <c r="F103" s="636">
        <v>1664.5260062180459</v>
      </c>
      <c r="G103" s="636">
        <v>6373.7039999999997</v>
      </c>
      <c r="H103" s="636">
        <v>71.880543392675463</v>
      </c>
      <c r="I103" s="636">
        <v>2.6267</v>
      </c>
      <c r="J103" s="638"/>
      <c r="K103" s="639"/>
      <c r="L103" s="407">
        <v>0.06</v>
      </c>
      <c r="M103" s="391">
        <v>0</v>
      </c>
      <c r="N103" s="391">
        <v>0</v>
      </c>
      <c r="O103" s="391">
        <v>0</v>
      </c>
      <c r="P103" s="288">
        <v>1.52</v>
      </c>
      <c r="Q103" s="391">
        <v>0</v>
      </c>
      <c r="R103" s="655">
        <v>0</v>
      </c>
      <c r="S103" s="655">
        <v>0</v>
      </c>
    </row>
    <row r="104" spans="2:19" x14ac:dyDescent="0.2">
      <c r="B104" s="417" t="s">
        <v>557</v>
      </c>
      <c r="C104" s="416" t="s">
        <v>558</v>
      </c>
      <c r="D104" s="635">
        <v>116501.39838096499</v>
      </c>
      <c r="E104" s="636">
        <v>146610.24798695056</v>
      </c>
      <c r="F104" s="636">
        <v>111662.35318174213</v>
      </c>
      <c r="G104" s="636">
        <v>116936.02282999999</v>
      </c>
      <c r="H104" s="636">
        <v>102463.27468700212</v>
      </c>
      <c r="I104" s="636">
        <v>29473.196959999987</v>
      </c>
      <c r="J104" s="638">
        <v>44874.213000000003</v>
      </c>
      <c r="K104" s="639">
        <v>26087.954579999998</v>
      </c>
      <c r="L104" s="407">
        <v>56645.134540000006</v>
      </c>
      <c r="M104" s="295">
        <v>11560.27</v>
      </c>
      <c r="N104" s="391">
        <v>11568.755999999999</v>
      </c>
      <c r="O104" s="288">
        <v>9623.2300000000014</v>
      </c>
      <c r="P104" s="288">
        <v>54202.704999999994</v>
      </c>
      <c r="Q104" s="288">
        <v>32615.88</v>
      </c>
      <c r="R104" s="426">
        <v>14857.99</v>
      </c>
      <c r="S104" s="426">
        <v>12840.02</v>
      </c>
    </row>
    <row r="105" spans="2:19" x14ac:dyDescent="0.2">
      <c r="B105" s="417" t="s">
        <v>559</v>
      </c>
      <c r="C105" s="416" t="s">
        <v>560</v>
      </c>
      <c r="D105" s="635">
        <v>5852.8986538033932</v>
      </c>
      <c r="E105" s="636">
        <v>5450.3836165070534</v>
      </c>
      <c r="F105" s="636">
        <v>3008.9220943613145</v>
      </c>
      <c r="G105" s="636">
        <v>2521.8329599999997</v>
      </c>
      <c r="H105" s="636">
        <v>3403.6653640568256</v>
      </c>
      <c r="I105" s="636">
        <v>3174.5880000000011</v>
      </c>
      <c r="J105" s="638">
        <v>2363.4699999999998</v>
      </c>
      <c r="K105" s="639">
        <v>1611.93</v>
      </c>
      <c r="L105" s="407">
        <v>1459.5814999999998</v>
      </c>
      <c r="M105" s="295">
        <v>2042.58</v>
      </c>
      <c r="N105" s="391">
        <v>1189.4080000000001</v>
      </c>
      <c r="O105" s="288">
        <v>2050.1089999999999</v>
      </c>
      <c r="P105" s="288">
        <v>1684.6110000000001</v>
      </c>
      <c r="Q105" s="288">
        <v>1699.96</v>
      </c>
      <c r="R105" s="426">
        <v>1999.0950000000003</v>
      </c>
      <c r="S105" s="426">
        <v>2458.62</v>
      </c>
    </row>
    <row r="106" spans="2:19" x14ac:dyDescent="0.2">
      <c r="B106" s="417" t="s">
        <v>561</v>
      </c>
      <c r="C106" s="416" t="s">
        <v>562</v>
      </c>
      <c r="D106" s="635">
        <v>17605.822497971356</v>
      </c>
      <c r="E106" s="636">
        <v>23619.726279452909</v>
      </c>
      <c r="F106" s="636">
        <v>19255.990921790712</v>
      </c>
      <c r="G106" s="636">
        <v>14641.602990000001</v>
      </c>
      <c r="H106" s="636">
        <v>9892.980056643486</v>
      </c>
      <c r="I106" s="636">
        <v>3211.4449999999997</v>
      </c>
      <c r="J106" s="638">
        <v>3195.1116399999992</v>
      </c>
      <c r="K106" s="639">
        <v>3340.25</v>
      </c>
      <c r="L106" s="407">
        <v>3490.6595000000002</v>
      </c>
      <c r="M106" s="295">
        <v>3730.3</v>
      </c>
      <c r="N106" s="391">
        <v>5510.96</v>
      </c>
      <c r="O106" s="288">
        <v>6743.232</v>
      </c>
      <c r="P106" s="288">
        <v>8601.2519999999986</v>
      </c>
      <c r="Q106" s="288">
        <v>6520.5569999999998</v>
      </c>
      <c r="R106" s="426">
        <v>5062.3899999999994</v>
      </c>
      <c r="S106" s="426">
        <v>4484.7449999999999</v>
      </c>
    </row>
    <row r="107" spans="2:19" x14ac:dyDescent="0.2">
      <c r="B107" s="417" t="s">
        <v>563</v>
      </c>
      <c r="C107" s="416" t="s">
        <v>564</v>
      </c>
      <c r="D107" s="635">
        <v>208344.40638657432</v>
      </c>
      <c r="E107" s="636">
        <v>146879.73853691848</v>
      </c>
      <c r="F107" s="636">
        <v>146678.96222391783</v>
      </c>
      <c r="G107" s="636">
        <v>84981.447900000043</v>
      </c>
      <c r="H107" s="636">
        <v>160618.08169986843</v>
      </c>
      <c r="I107" s="636">
        <v>1572.8569999999991</v>
      </c>
      <c r="J107" s="638">
        <v>2630.1350000000002</v>
      </c>
      <c r="K107" s="639">
        <v>1589.3175000000001</v>
      </c>
      <c r="L107" s="407">
        <v>1245.3363899999999</v>
      </c>
      <c r="M107" s="295">
        <v>266.54000000000002</v>
      </c>
      <c r="N107" s="391">
        <v>398.40710000000001</v>
      </c>
      <c r="O107" s="288">
        <v>593.70000000000005</v>
      </c>
      <c r="P107" s="288">
        <v>522.58000000000004</v>
      </c>
      <c r="Q107" s="288">
        <v>378.21999999999997</v>
      </c>
      <c r="R107" s="426">
        <v>378.88499999999999</v>
      </c>
      <c r="S107" s="426">
        <v>190.34</v>
      </c>
    </row>
    <row r="108" spans="2:19" x14ac:dyDescent="0.2">
      <c r="B108" s="417" t="s">
        <v>565</v>
      </c>
      <c r="C108" s="416" t="s">
        <v>566</v>
      </c>
      <c r="D108" s="635">
        <v>47665.082312828948</v>
      </c>
      <c r="E108" s="636">
        <v>18025.712877438171</v>
      </c>
      <c r="F108" s="636">
        <v>12253.742039021105</v>
      </c>
      <c r="G108" s="636">
        <v>7420.905960000001</v>
      </c>
      <c r="H108" s="636">
        <v>2155.5987060070038</v>
      </c>
      <c r="I108" s="636">
        <v>16.645720000000004</v>
      </c>
      <c r="J108" s="638">
        <v>1.7</v>
      </c>
      <c r="K108" s="639">
        <v>79.509</v>
      </c>
      <c r="L108" s="407">
        <v>12.532999999999999</v>
      </c>
      <c r="M108" s="391">
        <v>0</v>
      </c>
      <c r="N108" s="391">
        <v>0</v>
      </c>
      <c r="O108" s="391">
        <v>0</v>
      </c>
      <c r="P108" s="288">
        <v>7.0200000000000005</v>
      </c>
      <c r="Q108" s="391">
        <v>0</v>
      </c>
      <c r="R108" s="655">
        <v>1.7550000000000001</v>
      </c>
      <c r="S108" s="655">
        <v>4.8499999999999996</v>
      </c>
    </row>
    <row r="109" spans="2:19" x14ac:dyDescent="0.2">
      <c r="B109" s="417" t="s">
        <v>567</v>
      </c>
      <c r="C109" s="416" t="s">
        <v>568</v>
      </c>
      <c r="D109" s="635">
        <v>40699.531723108143</v>
      </c>
      <c r="E109" s="636">
        <v>38473.397527219728</v>
      </c>
      <c r="F109" s="636">
        <v>31467.127371859056</v>
      </c>
      <c r="G109" s="636">
        <v>30154.862330000018</v>
      </c>
      <c r="H109" s="636">
        <v>31630.200728405267</v>
      </c>
      <c r="I109" s="636">
        <v>7951.7818599999946</v>
      </c>
      <c r="J109" s="638">
        <v>2836.0901999999996</v>
      </c>
      <c r="K109" s="639">
        <v>2064.7552699999997</v>
      </c>
      <c r="L109" s="407">
        <v>1809.5103799999999</v>
      </c>
      <c r="M109" s="295">
        <v>1671.356</v>
      </c>
      <c r="N109" s="391">
        <v>902.4939999999998</v>
      </c>
      <c r="O109" s="288">
        <v>1055.72</v>
      </c>
      <c r="P109" s="288">
        <v>990.06799999999998</v>
      </c>
      <c r="Q109" s="288">
        <v>379.2611</v>
      </c>
      <c r="R109" s="426">
        <v>465.60800000000006</v>
      </c>
      <c r="S109" s="426">
        <v>942.77599999999995</v>
      </c>
    </row>
    <row r="110" spans="2:19" x14ac:dyDescent="0.2">
      <c r="B110" s="417" t="s">
        <v>569</v>
      </c>
      <c r="C110" s="416" t="s">
        <v>603</v>
      </c>
      <c r="D110" s="635">
        <v>38583.542660905863</v>
      </c>
      <c r="E110" s="636">
        <v>21543.834641831476</v>
      </c>
      <c r="F110" s="636">
        <v>23203.314009408557</v>
      </c>
      <c r="G110" s="636">
        <v>16311.204049999998</v>
      </c>
      <c r="H110" s="636">
        <v>14121.211795325093</v>
      </c>
      <c r="I110" s="636">
        <v>19082.627130000019</v>
      </c>
      <c r="J110" s="638">
        <v>19505.848029999997</v>
      </c>
      <c r="K110" s="639">
        <v>14763.397880000004</v>
      </c>
      <c r="L110" s="407">
        <v>7055.0538199999983</v>
      </c>
      <c r="M110" s="295">
        <v>2764.645</v>
      </c>
      <c r="N110" s="391">
        <v>4294.6102200000005</v>
      </c>
      <c r="O110" s="288">
        <v>2114.9810000000002</v>
      </c>
      <c r="P110" s="288">
        <v>1497.5477000000001</v>
      </c>
      <c r="Q110" s="288">
        <v>1552.8001999999999</v>
      </c>
      <c r="R110" s="426">
        <v>2213.9319999999998</v>
      </c>
      <c r="S110" s="426">
        <v>7261.6760099999992</v>
      </c>
    </row>
    <row r="111" spans="2:19" x14ac:dyDescent="0.2">
      <c r="B111" s="417" t="s">
        <v>571</v>
      </c>
      <c r="C111" s="416" t="s">
        <v>572</v>
      </c>
      <c r="D111" s="635">
        <v>997467.09986143466</v>
      </c>
      <c r="E111" s="636">
        <v>1339963.615872171</v>
      </c>
      <c r="F111" s="636">
        <v>1177179.3415386239</v>
      </c>
      <c r="G111" s="636">
        <v>1100110.142510005</v>
      </c>
      <c r="H111" s="636">
        <v>1609786.7249038364</v>
      </c>
      <c r="I111" s="636">
        <v>643988.82464000257</v>
      </c>
      <c r="J111" s="638">
        <v>642302.82252000121</v>
      </c>
      <c r="K111" s="639">
        <v>771598.87736999942</v>
      </c>
      <c r="L111" s="407">
        <v>372801.06233999989</v>
      </c>
      <c r="M111" s="295">
        <v>328394.59401000012</v>
      </c>
      <c r="N111" s="391">
        <v>733716.03382999962</v>
      </c>
      <c r="O111" s="288">
        <v>519003.72927000007</v>
      </c>
      <c r="P111" s="288">
        <v>350211.85066999996</v>
      </c>
      <c r="Q111" s="288">
        <v>514545.58740999992</v>
      </c>
      <c r="R111" s="426">
        <v>533559.23004999978</v>
      </c>
      <c r="S111" s="426">
        <v>373508.15435000008</v>
      </c>
    </row>
    <row r="112" spans="2:19" x14ac:dyDescent="0.2">
      <c r="B112" s="417" t="s">
        <v>573</v>
      </c>
      <c r="C112" s="416" t="s">
        <v>574</v>
      </c>
      <c r="D112" s="635">
        <v>773.80468211509287</v>
      </c>
      <c r="E112" s="636">
        <v>1486.4073196458048</v>
      </c>
      <c r="F112" s="636">
        <v>1766.3849850567058</v>
      </c>
      <c r="G112" s="636">
        <v>479.48687000000007</v>
      </c>
      <c r="H112" s="636">
        <v>322.43414710462093</v>
      </c>
      <c r="I112" s="636">
        <v>360.87672999999972</v>
      </c>
      <c r="J112" s="638">
        <v>1.5448</v>
      </c>
      <c r="K112" s="639">
        <v>45.34</v>
      </c>
      <c r="L112" s="407">
        <v>0.49970000000000003</v>
      </c>
      <c r="M112" s="391">
        <v>0</v>
      </c>
      <c r="N112" s="391">
        <v>0</v>
      </c>
      <c r="O112" s="391">
        <v>0</v>
      </c>
      <c r="P112" s="288">
        <v>9.0000000000000011E-2</v>
      </c>
      <c r="Q112" s="288">
        <v>0.08</v>
      </c>
      <c r="R112" s="426">
        <v>0.08</v>
      </c>
      <c r="S112" s="426">
        <v>3.06</v>
      </c>
    </row>
    <row r="113" spans="2:19" x14ac:dyDescent="0.2">
      <c r="B113" s="417" t="s">
        <v>575</v>
      </c>
      <c r="C113" s="416" t="s">
        <v>576</v>
      </c>
      <c r="D113" s="635">
        <v>268502.41837389092</v>
      </c>
      <c r="E113" s="636">
        <v>232842.99354027258</v>
      </c>
      <c r="F113" s="636">
        <v>199349.76427750476</v>
      </c>
      <c r="G113" s="636">
        <v>218967.98052999997</v>
      </c>
      <c r="H113" s="636">
        <v>204280.34957440943</v>
      </c>
      <c r="I113" s="636">
        <v>151931.4260199999</v>
      </c>
      <c r="J113" s="638">
        <v>129938.08968999999</v>
      </c>
      <c r="K113" s="639">
        <v>248603.24882000004</v>
      </c>
      <c r="L113" s="407">
        <v>109989.64607999999</v>
      </c>
      <c r="M113" s="295">
        <v>160269.10709999999</v>
      </c>
      <c r="N113" s="391">
        <v>161974.66199999998</v>
      </c>
      <c r="O113" s="288">
        <v>326953.03078000003</v>
      </c>
      <c r="P113" s="288">
        <v>332400.48599999998</v>
      </c>
      <c r="Q113" s="288">
        <v>292930.37699999998</v>
      </c>
      <c r="R113" s="426">
        <v>318306.29840000003</v>
      </c>
      <c r="S113" s="426">
        <v>309960.92500000005</v>
      </c>
    </row>
    <row r="114" spans="2:19" x14ac:dyDescent="0.2">
      <c r="B114" s="417" t="s">
        <v>577</v>
      </c>
      <c r="C114" s="416" t="s">
        <v>578</v>
      </c>
      <c r="D114" s="635">
        <v>24122.240451663398</v>
      </c>
      <c r="E114" s="636">
        <v>12750.275395873236</v>
      </c>
      <c r="F114" s="636">
        <v>16398.823417808628</v>
      </c>
      <c r="G114" s="636">
        <v>5665.8938300000036</v>
      </c>
      <c r="H114" s="636">
        <v>5647.2497878447175</v>
      </c>
      <c r="I114" s="636">
        <v>3564.9212799999968</v>
      </c>
      <c r="J114" s="638">
        <v>860.56200999999999</v>
      </c>
      <c r="K114" s="639">
        <v>929.98156999999992</v>
      </c>
      <c r="L114" s="407">
        <v>1082.0584799999992</v>
      </c>
      <c r="M114" s="295">
        <v>1341.8309999999997</v>
      </c>
      <c r="N114" s="391">
        <v>583.65782000000002</v>
      </c>
      <c r="O114" s="288">
        <v>270.56800000000004</v>
      </c>
      <c r="P114" s="288">
        <v>64.905000000000001</v>
      </c>
      <c r="Q114" s="288">
        <v>3.81</v>
      </c>
      <c r="R114" s="426">
        <v>12.7133</v>
      </c>
      <c r="S114" s="426">
        <v>11.399999999999999</v>
      </c>
    </row>
    <row r="115" spans="2:19" x14ac:dyDescent="0.2">
      <c r="B115" s="417">
        <v>99</v>
      </c>
      <c r="C115" s="416" t="s">
        <v>604</v>
      </c>
      <c r="D115" s="635">
        <v>10939.257428841665</v>
      </c>
      <c r="E115" s="636">
        <v>24733.075649551116</v>
      </c>
      <c r="F115" s="636">
        <v>29378.316818938591</v>
      </c>
      <c r="G115" s="636">
        <v>55409.083619999998</v>
      </c>
      <c r="H115" s="636">
        <v>5649.1062025985448</v>
      </c>
      <c r="I115" s="391">
        <v>0</v>
      </c>
      <c r="J115" s="391">
        <v>0</v>
      </c>
      <c r="K115" s="391">
        <v>0</v>
      </c>
      <c r="L115" s="391">
        <v>0</v>
      </c>
      <c r="M115" s="391">
        <v>0</v>
      </c>
      <c r="N115" s="391">
        <v>0</v>
      </c>
      <c r="O115" s="391">
        <v>0</v>
      </c>
      <c r="P115" s="391">
        <v>0</v>
      </c>
      <c r="Q115" s="391">
        <v>0</v>
      </c>
      <c r="R115" s="655">
        <v>1</v>
      </c>
      <c r="S115" s="643">
        <v>0</v>
      </c>
    </row>
    <row r="116" spans="2:19" x14ac:dyDescent="0.2">
      <c r="B116" s="848" t="s">
        <v>157</v>
      </c>
      <c r="C116" s="849"/>
      <c r="D116" s="420">
        <f t="shared" ref="D116:Q116" si="4">SUM(D95:D115)</f>
        <v>2053600.0242006159</v>
      </c>
      <c r="E116" s="421">
        <f t="shared" si="4"/>
        <v>2331826.4433063576</v>
      </c>
      <c r="F116" s="421">
        <f t="shared" si="4"/>
        <v>1986407.2959248319</v>
      </c>
      <c r="G116" s="421">
        <f t="shared" si="4"/>
        <v>1800910.1550900049</v>
      </c>
      <c r="H116" s="421">
        <f t="shared" si="4"/>
        <v>2294190.460022253</v>
      </c>
      <c r="I116" s="421">
        <f t="shared" si="4"/>
        <v>873899.69144000253</v>
      </c>
      <c r="J116" s="421">
        <f t="shared" si="4"/>
        <v>852841.51430000132</v>
      </c>
      <c r="K116" s="421">
        <f t="shared" si="4"/>
        <v>1074338.0149899996</v>
      </c>
      <c r="L116" s="421">
        <f t="shared" si="4"/>
        <v>558431.61847999995</v>
      </c>
      <c r="M116" s="421">
        <f t="shared" si="4"/>
        <v>514002.77414000011</v>
      </c>
      <c r="N116" s="421">
        <f t="shared" si="4"/>
        <v>923881.92896999954</v>
      </c>
      <c r="O116" s="421">
        <f t="shared" si="4"/>
        <v>872429.55145000003</v>
      </c>
      <c r="P116" s="421">
        <f t="shared" si="4"/>
        <v>754508.2453699999</v>
      </c>
      <c r="Q116" s="421">
        <f t="shared" si="4"/>
        <v>853955.13690999988</v>
      </c>
      <c r="R116" s="422">
        <f t="shared" ref="R116:S116" si="5">SUM(R95:R115)</f>
        <v>880417.07375999982</v>
      </c>
      <c r="S116" s="422">
        <f t="shared" si="5"/>
        <v>717581.10636000021</v>
      </c>
    </row>
    <row r="117" spans="2:19" x14ac:dyDescent="0.2">
      <c r="B117" s="414"/>
      <c r="C117" s="414"/>
      <c r="D117" s="414"/>
      <c r="E117" s="414"/>
      <c r="F117" s="414"/>
      <c r="G117" s="414"/>
      <c r="H117" s="414"/>
      <c r="I117" s="414"/>
      <c r="J117" s="414"/>
      <c r="K117" s="414"/>
      <c r="L117" s="382"/>
      <c r="M117" s="382"/>
      <c r="N117" s="382"/>
      <c r="O117" s="382"/>
      <c r="P117" s="382"/>
    </row>
    <row r="118" spans="2:19" ht="15.75" x14ac:dyDescent="0.2">
      <c r="B118" s="36" t="s">
        <v>605</v>
      </c>
      <c r="C118" s="412"/>
      <c r="D118" s="413"/>
      <c r="E118" s="413"/>
      <c r="F118" s="413"/>
      <c r="G118" s="413"/>
      <c r="H118" s="413"/>
      <c r="I118" s="413"/>
      <c r="J118" s="413"/>
      <c r="K118" s="414"/>
      <c r="L118" s="382"/>
      <c r="M118" s="382"/>
      <c r="N118" s="382"/>
      <c r="O118" s="382"/>
      <c r="P118" s="382"/>
    </row>
    <row r="119" spans="2:19" x14ac:dyDescent="0.2">
      <c r="B119" s="828" t="s">
        <v>84</v>
      </c>
      <c r="C119" s="850"/>
      <c r="D119" s="859" t="s">
        <v>87</v>
      </c>
      <c r="E119" s="860"/>
      <c r="F119" s="860"/>
      <c r="G119" s="860"/>
      <c r="H119" s="860"/>
      <c r="I119" s="860"/>
      <c r="J119" s="860"/>
      <c r="K119" s="860"/>
      <c r="L119" s="860"/>
      <c r="M119" s="860"/>
      <c r="N119" s="860"/>
      <c r="O119" s="860"/>
      <c r="P119" s="860"/>
      <c r="Q119" s="860"/>
      <c r="R119" s="860"/>
      <c r="S119" s="860"/>
    </row>
    <row r="120" spans="2:19" x14ac:dyDescent="0.2">
      <c r="B120" s="829"/>
      <c r="C120" s="851"/>
      <c r="D120" s="39">
        <v>2000</v>
      </c>
      <c r="E120" s="40">
        <v>2001</v>
      </c>
      <c r="F120" s="40">
        <v>2002</v>
      </c>
      <c r="G120" s="40">
        <v>2003</v>
      </c>
      <c r="H120" s="40">
        <v>2004</v>
      </c>
      <c r="I120" s="40">
        <v>2006</v>
      </c>
      <c r="J120" s="41">
        <v>2007</v>
      </c>
      <c r="K120" s="40">
        <v>2008</v>
      </c>
      <c r="L120" s="40">
        <v>2009</v>
      </c>
      <c r="M120" s="42">
        <v>2010</v>
      </c>
      <c r="N120" s="41">
        <v>2011</v>
      </c>
      <c r="O120" s="45">
        <v>2012</v>
      </c>
      <c r="P120" s="126">
        <v>2013</v>
      </c>
      <c r="Q120" s="126">
        <v>2014</v>
      </c>
      <c r="R120" s="125">
        <v>2015</v>
      </c>
      <c r="S120" s="125">
        <v>2016</v>
      </c>
    </row>
    <row r="121" spans="2:19" x14ac:dyDescent="0.2">
      <c r="B121" s="423" t="s">
        <v>539</v>
      </c>
      <c r="C121" s="424" t="s">
        <v>540</v>
      </c>
      <c r="D121" s="635">
        <v>15.059999704360962</v>
      </c>
      <c r="E121" s="636">
        <v>13.649999558925629</v>
      </c>
      <c r="F121" s="636">
        <v>103.35000038146973</v>
      </c>
      <c r="G121" s="636">
        <v>32.06</v>
      </c>
      <c r="H121" s="636">
        <v>4510.2039794921875</v>
      </c>
      <c r="I121" s="636">
        <v>3.585</v>
      </c>
      <c r="J121" s="391">
        <v>3.8069999999999999</v>
      </c>
      <c r="K121" s="638">
        <v>34.024000000000001</v>
      </c>
      <c r="L121" s="407">
        <v>26.8</v>
      </c>
      <c r="M121" s="295">
        <v>41.85</v>
      </c>
      <c r="N121" s="391">
        <v>23.818000000000001</v>
      </c>
      <c r="O121" s="288">
        <v>11.384</v>
      </c>
      <c r="P121" s="288">
        <v>65.233000000000004</v>
      </c>
      <c r="Q121" s="288">
        <v>3.371</v>
      </c>
      <c r="R121" s="165">
        <v>1.361</v>
      </c>
      <c r="S121" s="430">
        <v>2.3539999999999996</v>
      </c>
    </row>
    <row r="122" spans="2:19" x14ac:dyDescent="0.2">
      <c r="B122" s="417" t="s">
        <v>541</v>
      </c>
      <c r="C122" s="416" t="s">
        <v>542</v>
      </c>
      <c r="D122" s="635">
        <v>1476.0788462518249</v>
      </c>
      <c r="E122" s="636">
        <v>1372.6434929980896</v>
      </c>
      <c r="F122" s="636">
        <v>474.47821459174156</v>
      </c>
      <c r="G122" s="636">
        <v>84.260999999999996</v>
      </c>
      <c r="H122" s="636">
        <v>92.728599662128545</v>
      </c>
      <c r="I122" s="636">
        <v>270.38499999999999</v>
      </c>
      <c r="J122" s="391">
        <v>145.22300000000001</v>
      </c>
      <c r="K122" s="638">
        <v>515.50599999999986</v>
      </c>
      <c r="L122" s="407">
        <v>505.14300000000003</v>
      </c>
      <c r="M122" s="295">
        <v>669.6389999999999</v>
      </c>
      <c r="N122" s="391">
        <v>255.74799999999993</v>
      </c>
      <c r="O122" s="288">
        <v>122.95850999999999</v>
      </c>
      <c r="P122" s="288">
        <v>88.623000000000005</v>
      </c>
      <c r="Q122" s="288">
        <v>314.09699999999998</v>
      </c>
      <c r="R122" s="289">
        <v>80.574700000000007</v>
      </c>
      <c r="S122" s="426">
        <v>149.18300000000002</v>
      </c>
    </row>
    <row r="123" spans="2:19" x14ac:dyDescent="0.2">
      <c r="B123" s="417" t="s">
        <v>543</v>
      </c>
      <c r="C123" s="416" t="s">
        <v>544</v>
      </c>
      <c r="D123" s="635">
        <v>82.220002174377441</v>
      </c>
      <c r="E123" s="636">
        <v>13.207999706268311</v>
      </c>
      <c r="F123" s="636">
        <v>87.710002422332764</v>
      </c>
      <c r="G123" s="636">
        <v>21.86</v>
      </c>
      <c r="H123" s="636">
        <v>32.799999237060547</v>
      </c>
      <c r="I123" s="636">
        <v>8.4529999999999994</v>
      </c>
      <c r="J123" s="391">
        <v>72.706999999999994</v>
      </c>
      <c r="K123" s="638">
        <v>164.29150000000001</v>
      </c>
      <c r="L123" s="407">
        <v>129.49</v>
      </c>
      <c r="M123" s="295">
        <v>100.77500000000001</v>
      </c>
      <c r="N123" s="391">
        <v>34.042000000000002</v>
      </c>
      <c r="O123" s="288">
        <v>14.106590000000001</v>
      </c>
      <c r="P123" s="288">
        <v>5.6360000000000001</v>
      </c>
      <c r="Q123" s="288">
        <v>13.914</v>
      </c>
      <c r="R123" s="289">
        <v>13.215</v>
      </c>
      <c r="S123" s="426">
        <v>21.074999999999999</v>
      </c>
    </row>
    <row r="124" spans="2:19" x14ac:dyDescent="0.2">
      <c r="B124" s="417" t="s">
        <v>545</v>
      </c>
      <c r="C124" s="416" t="s">
        <v>546</v>
      </c>
      <c r="D124" s="635">
        <v>13.880000114440918</v>
      </c>
      <c r="E124" s="636">
        <v>14.600000381469727</v>
      </c>
      <c r="F124" s="636">
        <v>0.47999998927116394</v>
      </c>
      <c r="G124" s="636">
        <v>1433.1949999999999</v>
      </c>
      <c r="H124" s="636">
        <v>4.3000001907348633</v>
      </c>
      <c r="I124" s="636">
        <v>1.6</v>
      </c>
      <c r="J124" s="391">
        <v>5.0169999999999995</v>
      </c>
      <c r="K124" s="638">
        <v>8.2000000000000003E-2</v>
      </c>
      <c r="L124" s="407">
        <v>1.24</v>
      </c>
      <c r="M124" s="295">
        <v>18.655000000000001</v>
      </c>
      <c r="N124" s="391">
        <v>4.056</v>
      </c>
      <c r="O124" s="288">
        <v>7.3206699999999998</v>
      </c>
      <c r="P124" s="288">
        <v>12.001000000000001</v>
      </c>
      <c r="Q124" s="288">
        <v>36.448</v>
      </c>
      <c r="R124" s="289">
        <v>3.41</v>
      </c>
      <c r="S124" s="426">
        <v>5.0500000000000007</v>
      </c>
    </row>
    <row r="125" spans="2:19" x14ac:dyDescent="0.2">
      <c r="B125" s="417" t="s">
        <v>547</v>
      </c>
      <c r="C125" s="416" t="s">
        <v>548</v>
      </c>
      <c r="D125" s="635">
        <v>1816.3050051927567</v>
      </c>
      <c r="E125" s="636">
        <v>1319.0966600775719</v>
      </c>
      <c r="F125" s="636">
        <v>2111.204119682312</v>
      </c>
      <c r="G125" s="636">
        <v>881.48905000000013</v>
      </c>
      <c r="H125" s="636">
        <v>1497.3500092998147</v>
      </c>
      <c r="I125" s="636">
        <v>3372.1680000000006</v>
      </c>
      <c r="J125" s="391">
        <v>1050.5629999999999</v>
      </c>
      <c r="K125" s="638">
        <v>2298.2960000000003</v>
      </c>
      <c r="L125" s="407">
        <v>3749.2879999999996</v>
      </c>
      <c r="M125" s="295">
        <v>4410.8320000000003</v>
      </c>
      <c r="N125" s="391">
        <v>4524.3209999999999</v>
      </c>
      <c r="O125" s="288">
        <v>2856.2781599999998</v>
      </c>
      <c r="P125" s="288">
        <v>5535.835</v>
      </c>
      <c r="Q125" s="288">
        <v>4124.35016</v>
      </c>
      <c r="R125" s="289">
        <v>2552.739</v>
      </c>
      <c r="S125" s="426">
        <v>3735.6259999999997</v>
      </c>
    </row>
    <row r="126" spans="2:19" x14ac:dyDescent="0.2">
      <c r="B126" s="417" t="s">
        <v>549</v>
      </c>
      <c r="C126" s="416" t="s">
        <v>550</v>
      </c>
      <c r="D126" s="635">
        <v>1918.7380746098934</v>
      </c>
      <c r="E126" s="636">
        <v>1825.6455423422158</v>
      </c>
      <c r="F126" s="636">
        <v>1910.0974287833087</v>
      </c>
      <c r="G126" s="636">
        <v>65173.81247999995</v>
      </c>
      <c r="H126" s="636">
        <v>1387.248239191249</v>
      </c>
      <c r="I126" s="636">
        <v>3609.5235199999997</v>
      </c>
      <c r="J126" s="391">
        <v>3737.4103599999999</v>
      </c>
      <c r="K126" s="638">
        <v>1698.87535</v>
      </c>
      <c r="L126" s="407">
        <v>1080.0501999999999</v>
      </c>
      <c r="M126" s="295">
        <v>1509.3589499999998</v>
      </c>
      <c r="N126" s="391">
        <v>2160.6247800000006</v>
      </c>
      <c r="O126" s="288">
        <v>1921.57944</v>
      </c>
      <c r="P126" s="288">
        <v>1953.7254500000004</v>
      </c>
      <c r="Q126" s="288">
        <v>2385.1064500000002</v>
      </c>
      <c r="R126" s="289">
        <v>2233.8180199999997</v>
      </c>
      <c r="S126" s="426">
        <v>2545.4695000000006</v>
      </c>
    </row>
    <row r="127" spans="2:19" x14ac:dyDescent="0.2">
      <c r="B127" s="417" t="s">
        <v>551</v>
      </c>
      <c r="C127" s="416" t="s">
        <v>552</v>
      </c>
      <c r="D127" s="635">
        <v>89608.370925746858</v>
      </c>
      <c r="E127" s="636">
        <v>86740.973137499765</v>
      </c>
      <c r="F127" s="636">
        <v>73669.212593356409</v>
      </c>
      <c r="G127" s="636">
        <v>716.71491999999978</v>
      </c>
      <c r="H127" s="636">
        <v>56277.063562730327</v>
      </c>
      <c r="I127" s="636">
        <v>71351.145189999981</v>
      </c>
      <c r="J127" s="391">
        <v>73527.009490000026</v>
      </c>
      <c r="K127" s="638">
        <v>61468.191660000004</v>
      </c>
      <c r="L127" s="407">
        <v>57837.442539999967</v>
      </c>
      <c r="M127" s="295">
        <v>56091.902479999961</v>
      </c>
      <c r="N127" s="391">
        <v>58311.202700000009</v>
      </c>
      <c r="O127" s="288">
        <v>46849.168209999996</v>
      </c>
      <c r="P127" s="288">
        <v>46691.246599999999</v>
      </c>
      <c r="Q127" s="288">
        <v>65227.981089999994</v>
      </c>
      <c r="R127" s="289">
        <v>61047.724940000015</v>
      </c>
      <c r="S127" s="426">
        <v>68181.973720000009</v>
      </c>
    </row>
    <row r="128" spans="2:19" x14ac:dyDescent="0.2">
      <c r="B128" s="417" t="s">
        <v>553</v>
      </c>
      <c r="C128" s="416" t="s">
        <v>554</v>
      </c>
      <c r="D128" s="635">
        <v>642.58453939016908</v>
      </c>
      <c r="E128" s="636">
        <v>1428.9029726664303</v>
      </c>
      <c r="F128" s="636">
        <v>434.23497574776411</v>
      </c>
      <c r="G128" s="636">
        <v>174.61914999999999</v>
      </c>
      <c r="H128" s="636">
        <v>1047.9741688380018</v>
      </c>
      <c r="I128" s="636">
        <v>5220.7501199999997</v>
      </c>
      <c r="J128" s="391">
        <v>4838.5852000000032</v>
      </c>
      <c r="K128" s="638">
        <v>1864.4075599999999</v>
      </c>
      <c r="L128" s="407">
        <v>3048.4774699999989</v>
      </c>
      <c r="M128" s="295">
        <v>3839.3440699999987</v>
      </c>
      <c r="N128" s="391">
        <v>3662.6249999999982</v>
      </c>
      <c r="O128" s="288">
        <v>3103.2180499999999</v>
      </c>
      <c r="P128" s="288">
        <v>2826.9788500000004</v>
      </c>
      <c r="Q128" s="288">
        <v>2929.7609499999999</v>
      </c>
      <c r="R128" s="289">
        <v>2428.69661</v>
      </c>
      <c r="S128" s="426">
        <v>2100.6215799999995</v>
      </c>
    </row>
    <row r="129" spans="2:20" x14ac:dyDescent="0.2">
      <c r="B129" s="417" t="s">
        <v>555</v>
      </c>
      <c r="C129" s="416" t="s">
        <v>556</v>
      </c>
      <c r="D129" s="635">
        <v>43.828500013798475</v>
      </c>
      <c r="E129" s="636">
        <v>121.18330099387094</v>
      </c>
      <c r="F129" s="636">
        <v>120.70807064782639</v>
      </c>
      <c r="G129" s="636">
        <v>3442.9452000000001</v>
      </c>
      <c r="H129" s="636">
        <v>30.21345042064786</v>
      </c>
      <c r="I129" s="636">
        <v>17.30911</v>
      </c>
      <c r="J129" s="391">
        <v>1.4484999999999999</v>
      </c>
      <c r="K129" s="638">
        <v>42.795000000000002</v>
      </c>
      <c r="L129" s="407">
        <v>5.7655000000000003</v>
      </c>
      <c r="M129" s="295">
        <v>6.125</v>
      </c>
      <c r="N129" s="391">
        <v>10.990999999999998</v>
      </c>
      <c r="O129" s="288">
        <v>6.5730000000000004</v>
      </c>
      <c r="P129" s="288">
        <v>5.6905000000000001</v>
      </c>
      <c r="Q129" s="288">
        <v>7.8369499999999999</v>
      </c>
      <c r="R129" s="289">
        <v>0.83499999999999996</v>
      </c>
      <c r="S129" s="426">
        <v>2.7670000000000003</v>
      </c>
    </row>
    <row r="130" spans="2:20" x14ac:dyDescent="0.2">
      <c r="B130" s="417" t="s">
        <v>557</v>
      </c>
      <c r="C130" s="416" t="s">
        <v>558</v>
      </c>
      <c r="D130" s="635">
        <v>87.240000359714031</v>
      </c>
      <c r="E130" s="636">
        <v>165.55591821670532</v>
      </c>
      <c r="F130" s="636">
        <v>16.682299638167024</v>
      </c>
      <c r="G130" s="636">
        <v>86.918999999999997</v>
      </c>
      <c r="H130" s="636">
        <v>1380.8697996139526</v>
      </c>
      <c r="I130" s="636">
        <v>861.10500000000002</v>
      </c>
      <c r="J130" s="391">
        <v>482.50899999999996</v>
      </c>
      <c r="K130" s="638">
        <v>203.54</v>
      </c>
      <c r="L130" s="407">
        <v>199.36</v>
      </c>
      <c r="M130" s="295">
        <v>408.03</v>
      </c>
      <c r="N130" s="391">
        <v>421.45</v>
      </c>
      <c r="O130" s="288">
        <v>243.88429000000002</v>
      </c>
      <c r="P130" s="288">
        <v>329.483</v>
      </c>
      <c r="Q130" s="288">
        <v>594.36800000000005</v>
      </c>
      <c r="R130" s="289">
        <v>14554.133539999999</v>
      </c>
      <c r="S130" s="426">
        <v>14128.549999999997</v>
      </c>
    </row>
    <row r="131" spans="2:20" x14ac:dyDescent="0.2">
      <c r="B131" s="417" t="s">
        <v>559</v>
      </c>
      <c r="C131" s="416" t="s">
        <v>560</v>
      </c>
      <c r="D131" s="635">
        <v>125.08001016212438</v>
      </c>
      <c r="E131" s="636">
        <v>369.24096202850342</v>
      </c>
      <c r="F131" s="636">
        <v>136.08199994266033</v>
      </c>
      <c r="G131" s="636">
        <v>158.05000000000001</v>
      </c>
      <c r="H131" s="636">
        <v>216.06380090117455</v>
      </c>
      <c r="I131" s="636">
        <v>133.74065000000002</v>
      </c>
      <c r="J131" s="391">
        <v>73.382000000000019</v>
      </c>
      <c r="K131" s="638">
        <v>111.57300000000001</v>
      </c>
      <c r="L131" s="407">
        <v>90.615600000000001</v>
      </c>
      <c r="M131" s="295">
        <v>256.87975</v>
      </c>
      <c r="N131" s="391">
        <v>404.60799999999995</v>
      </c>
      <c r="O131" s="288">
        <v>596.17201999999997</v>
      </c>
      <c r="P131" s="288">
        <v>442.10599999999999</v>
      </c>
      <c r="Q131" s="288">
        <v>534.04549999999995</v>
      </c>
      <c r="R131" s="289">
        <v>1063.5596600000001</v>
      </c>
      <c r="S131" s="426">
        <v>1249.2179999999996</v>
      </c>
    </row>
    <row r="132" spans="2:20" x14ac:dyDescent="0.2">
      <c r="B132" s="417" t="s">
        <v>561</v>
      </c>
      <c r="C132" s="416" t="s">
        <v>562</v>
      </c>
      <c r="D132" s="635">
        <v>29.790000729262829</v>
      </c>
      <c r="E132" s="636">
        <v>13.759999960660934</v>
      </c>
      <c r="F132" s="636">
        <v>61.254200756549835</v>
      </c>
      <c r="G132" s="636">
        <v>1081.1171200000001</v>
      </c>
      <c r="H132" s="636">
        <v>41.440999984741211</v>
      </c>
      <c r="I132" s="636">
        <v>491.71619999999967</v>
      </c>
      <c r="J132" s="391">
        <v>257.84039999999999</v>
      </c>
      <c r="K132" s="638">
        <v>325.62400000000002</v>
      </c>
      <c r="L132" s="407">
        <v>453.29500000000002</v>
      </c>
      <c r="M132" s="295">
        <v>737.70799999999997</v>
      </c>
      <c r="N132" s="391">
        <v>795.65899999999988</v>
      </c>
      <c r="O132" s="288">
        <v>740.08756000000017</v>
      </c>
      <c r="P132" s="288">
        <v>236.44749999999999</v>
      </c>
      <c r="Q132" s="288">
        <v>228.63600000000002</v>
      </c>
      <c r="R132" s="289">
        <v>340.64300000000003</v>
      </c>
      <c r="S132" s="426">
        <v>280.59100000000001</v>
      </c>
    </row>
    <row r="133" spans="2:20" x14ac:dyDescent="0.2">
      <c r="B133" s="417" t="s">
        <v>563</v>
      </c>
      <c r="C133" s="416" t="s">
        <v>564</v>
      </c>
      <c r="D133" s="635">
        <v>1952.3383104409731</v>
      </c>
      <c r="E133" s="636">
        <v>37835.180253044295</v>
      </c>
      <c r="F133" s="636">
        <v>3986.0269657447934</v>
      </c>
      <c r="G133" s="636">
        <v>21909.037000000004</v>
      </c>
      <c r="H133" s="636">
        <v>2228.5419711731374</v>
      </c>
      <c r="I133" s="636">
        <v>35614.938670000003</v>
      </c>
      <c r="J133" s="391">
        <v>39036.70879999992</v>
      </c>
      <c r="K133" s="638">
        <v>36963.885330000128</v>
      </c>
      <c r="L133" s="407">
        <v>31407.197479999988</v>
      </c>
      <c r="M133" s="295">
        <v>16762.981950000045</v>
      </c>
      <c r="N133" s="391">
        <v>17327.630059999996</v>
      </c>
      <c r="O133" s="288">
        <v>18711.791079999999</v>
      </c>
      <c r="P133" s="288">
        <v>10218.589</v>
      </c>
      <c r="Q133" s="288">
        <v>7836.481389999999</v>
      </c>
      <c r="R133" s="289">
        <v>6174.5482999999995</v>
      </c>
      <c r="S133" s="426">
        <v>5141.5219999999981</v>
      </c>
    </row>
    <row r="134" spans="2:20" x14ac:dyDescent="0.2">
      <c r="B134" s="417" t="s">
        <v>565</v>
      </c>
      <c r="C134" s="416" t="s">
        <v>566</v>
      </c>
      <c r="D134" s="635">
        <v>35040.835078760982</v>
      </c>
      <c r="E134" s="636">
        <v>28795.68504620716</v>
      </c>
      <c r="F134" s="636">
        <v>14258.316610381007</v>
      </c>
      <c r="G134" s="636">
        <v>314.77265999999997</v>
      </c>
      <c r="H134" s="636">
        <v>22561.175124888308</v>
      </c>
      <c r="I134" s="636">
        <v>7462.5436499999969</v>
      </c>
      <c r="J134" s="391">
        <v>6531.741399999999</v>
      </c>
      <c r="K134" s="638">
        <v>6072.0657299999984</v>
      </c>
      <c r="L134" s="407">
        <v>4604.3135999999995</v>
      </c>
      <c r="M134" s="295">
        <v>4372.9021500000008</v>
      </c>
      <c r="N134" s="391">
        <v>4688.6836999999996</v>
      </c>
      <c r="O134" s="288">
        <v>4397.8601900000003</v>
      </c>
      <c r="P134" s="288">
        <v>4116.3417899999995</v>
      </c>
      <c r="Q134" s="288">
        <v>3449.8604500000001</v>
      </c>
      <c r="R134" s="289">
        <v>1825.4217599999999</v>
      </c>
      <c r="S134" s="426">
        <v>1877.9280999999999</v>
      </c>
    </row>
    <row r="135" spans="2:20" x14ac:dyDescent="0.2">
      <c r="B135" s="417" t="s">
        <v>567</v>
      </c>
      <c r="C135" s="416" t="s">
        <v>568</v>
      </c>
      <c r="D135" s="635">
        <v>131.09665938329999</v>
      </c>
      <c r="E135" s="636">
        <v>717.59065357976942</v>
      </c>
      <c r="F135" s="636">
        <v>273.62641955559957</v>
      </c>
      <c r="G135" s="636">
        <v>2094.0005899999987</v>
      </c>
      <c r="H135" s="636">
        <v>594.71878465870395</v>
      </c>
      <c r="I135" s="636">
        <v>4546.1756399999967</v>
      </c>
      <c r="J135" s="391">
        <v>8247.8252499999999</v>
      </c>
      <c r="K135" s="638">
        <v>7907.1073900000083</v>
      </c>
      <c r="L135" s="407">
        <v>5689.1118099999985</v>
      </c>
      <c r="M135" s="295">
        <v>6655.2448299999969</v>
      </c>
      <c r="N135" s="391">
        <v>6306.1778500000009</v>
      </c>
      <c r="O135" s="288">
        <v>6190.3474299999998</v>
      </c>
      <c r="P135" s="288">
        <v>5100.2958999999992</v>
      </c>
      <c r="Q135" s="288">
        <v>4136.0357600000007</v>
      </c>
      <c r="R135" s="289">
        <v>3921.9475799999996</v>
      </c>
      <c r="S135" s="426">
        <v>3860.2490300000009</v>
      </c>
    </row>
    <row r="136" spans="2:20" x14ac:dyDescent="0.2">
      <c r="B136" s="417" t="s">
        <v>569</v>
      </c>
      <c r="C136" s="416" t="s">
        <v>603</v>
      </c>
      <c r="D136" s="635">
        <v>2997.7416774680605</v>
      </c>
      <c r="E136" s="636">
        <v>2351.531131194788</v>
      </c>
      <c r="F136" s="636">
        <v>2113.5952015660587</v>
      </c>
      <c r="G136" s="636">
        <v>600.36340000000007</v>
      </c>
      <c r="H136" s="636">
        <v>1977.7268313467503</v>
      </c>
      <c r="I136" s="636">
        <v>11568.124910000035</v>
      </c>
      <c r="J136" s="391">
        <v>11263.882930000003</v>
      </c>
      <c r="K136" s="638">
        <v>11677.41325</v>
      </c>
      <c r="L136" s="407">
        <v>7827.3656300000002</v>
      </c>
      <c r="M136" s="295">
        <v>12002.145910000023</v>
      </c>
      <c r="N136" s="391">
        <v>12275.454730000001</v>
      </c>
      <c r="O136" s="288">
        <v>11437.528190000001</v>
      </c>
      <c r="P136" s="288">
        <v>11817.558859999999</v>
      </c>
      <c r="Q136" s="288">
        <v>12691.501990000001</v>
      </c>
      <c r="R136" s="289">
        <v>16377.32703</v>
      </c>
      <c r="S136" s="426">
        <v>11697.62641999999</v>
      </c>
    </row>
    <row r="137" spans="2:20" x14ac:dyDescent="0.2">
      <c r="B137" s="417" t="s">
        <v>571</v>
      </c>
      <c r="C137" s="416" t="s">
        <v>572</v>
      </c>
      <c r="D137" s="635">
        <v>1600.1696235165</v>
      </c>
      <c r="E137" s="636">
        <v>57.361430522054434</v>
      </c>
      <c r="F137" s="636">
        <v>84.480310127109988</v>
      </c>
      <c r="G137" s="636">
        <v>11327.334959999996</v>
      </c>
      <c r="H137" s="636">
        <v>709.07458918169141</v>
      </c>
      <c r="I137" s="636">
        <v>101.18700000000001</v>
      </c>
      <c r="J137" s="391">
        <v>284.22899999999993</v>
      </c>
      <c r="K137" s="638">
        <v>3857.4810100000004</v>
      </c>
      <c r="L137" s="407">
        <v>1013.4388000000001</v>
      </c>
      <c r="M137" s="295">
        <v>3922.5049999999974</v>
      </c>
      <c r="N137" s="391">
        <v>3506.2009999999996</v>
      </c>
      <c r="O137" s="288">
        <v>6509.7488200000007</v>
      </c>
      <c r="P137" s="288">
        <v>8984.4254999999994</v>
      </c>
      <c r="Q137" s="288">
        <v>8607.0040000000008</v>
      </c>
      <c r="R137" s="289">
        <v>8876.3950000000023</v>
      </c>
      <c r="S137" s="426">
        <v>7957.0113999999994</v>
      </c>
    </row>
    <row r="138" spans="2:20" x14ac:dyDescent="0.2">
      <c r="B138" s="417" t="s">
        <v>573</v>
      </c>
      <c r="C138" s="416" t="s">
        <v>574</v>
      </c>
      <c r="D138" s="635">
        <v>11907.04703936127</v>
      </c>
      <c r="E138" s="636">
        <v>13456.054159163003</v>
      </c>
      <c r="F138" s="636">
        <v>12533.67287378804</v>
      </c>
      <c r="G138" s="636">
        <v>60434.404999999984</v>
      </c>
      <c r="H138" s="636">
        <v>26397.084814829141</v>
      </c>
      <c r="I138" s="636">
        <v>72513.853479999976</v>
      </c>
      <c r="J138" s="391">
        <v>87366.43343999995</v>
      </c>
      <c r="K138" s="638">
        <v>83252.607829999863</v>
      </c>
      <c r="L138" s="407">
        <v>93743.721070000058</v>
      </c>
      <c r="M138" s="295">
        <v>88045.347009999954</v>
      </c>
      <c r="N138" s="391">
        <v>85917.130559999961</v>
      </c>
      <c r="O138" s="288">
        <v>82527.680760000003</v>
      </c>
      <c r="P138" s="288">
        <v>77972.364200000011</v>
      </c>
      <c r="Q138" s="288">
        <v>72361.581990000021</v>
      </c>
      <c r="R138" s="289">
        <v>66749.529370000018</v>
      </c>
      <c r="S138" s="426">
        <v>60634.180179999967</v>
      </c>
    </row>
    <row r="139" spans="2:20" x14ac:dyDescent="0.2">
      <c r="B139" s="417" t="s">
        <v>575</v>
      </c>
      <c r="C139" s="416" t="s">
        <v>576</v>
      </c>
      <c r="D139" s="635">
        <v>1955.3131483253092</v>
      </c>
      <c r="E139" s="636">
        <v>166.92999860644341</v>
      </c>
      <c r="F139" s="636">
        <v>66885.639329005033</v>
      </c>
      <c r="G139" s="636">
        <v>32109.57098</v>
      </c>
      <c r="H139" s="636">
        <v>90848.150492662564</v>
      </c>
      <c r="I139" s="636">
        <v>162123.16300000003</v>
      </c>
      <c r="J139" s="391">
        <v>155748.58221999998</v>
      </c>
      <c r="K139" s="638">
        <v>142945.38705000002</v>
      </c>
      <c r="L139" s="407">
        <v>118497.3</v>
      </c>
      <c r="M139" s="295">
        <v>127324.14678000004</v>
      </c>
      <c r="N139" s="391">
        <v>107049.57712999999</v>
      </c>
      <c r="O139" s="288">
        <v>125368.54435</v>
      </c>
      <c r="P139" s="288">
        <v>122739.435</v>
      </c>
      <c r="Q139" s="288">
        <v>103533.212</v>
      </c>
      <c r="R139" s="289">
        <v>121605.39602</v>
      </c>
      <c r="S139" s="426">
        <v>108800.56600000001</v>
      </c>
    </row>
    <row r="140" spans="2:20" x14ac:dyDescent="0.2">
      <c r="B140" s="417" t="s">
        <v>577</v>
      </c>
      <c r="C140" s="416" t="s">
        <v>578</v>
      </c>
      <c r="D140" s="635">
        <v>4714.729721753858</v>
      </c>
      <c r="E140" s="636">
        <v>9604.8146584928472</v>
      </c>
      <c r="F140" s="636">
        <v>31997.687820101797</v>
      </c>
      <c r="G140" s="636">
        <v>7859.0091999999995</v>
      </c>
      <c r="H140" s="636">
        <v>7067.3580937860534</v>
      </c>
      <c r="I140" s="636">
        <v>1276.6442199999997</v>
      </c>
      <c r="J140" s="391">
        <v>710.3914400000001</v>
      </c>
      <c r="K140" s="638">
        <v>606.76342</v>
      </c>
      <c r="L140" s="407">
        <v>532.92696000000001</v>
      </c>
      <c r="M140" s="295">
        <v>566.92375000000004</v>
      </c>
      <c r="N140" s="391">
        <v>605.27949000000001</v>
      </c>
      <c r="O140" s="288">
        <v>662.12856000000011</v>
      </c>
      <c r="P140" s="288">
        <v>740.77082000000007</v>
      </c>
      <c r="Q140" s="288">
        <v>705.34741999999994</v>
      </c>
      <c r="R140" s="289">
        <v>400.40656999999999</v>
      </c>
      <c r="S140" s="426">
        <v>295.06473999999992</v>
      </c>
    </row>
    <row r="141" spans="2:20" x14ac:dyDescent="0.2">
      <c r="B141" s="418">
        <v>99</v>
      </c>
      <c r="C141" s="419" t="s">
        <v>604</v>
      </c>
      <c r="D141" s="640">
        <v>1266.6626664552605</v>
      </c>
      <c r="E141" s="641">
        <v>8825.5371206831187</v>
      </c>
      <c r="F141" s="641">
        <v>12714.379415857373</v>
      </c>
      <c r="G141" s="641"/>
      <c r="H141" s="641">
        <v>6570.5611822642386</v>
      </c>
      <c r="I141" s="391">
        <v>0</v>
      </c>
      <c r="J141" s="391">
        <v>0</v>
      </c>
      <c r="K141" s="391">
        <v>0</v>
      </c>
      <c r="L141" s="391">
        <v>0</v>
      </c>
      <c r="M141" s="391">
        <v>0</v>
      </c>
      <c r="N141" s="391">
        <v>0</v>
      </c>
      <c r="O141" s="391">
        <v>0</v>
      </c>
      <c r="P141" s="391">
        <v>0</v>
      </c>
      <c r="Q141" s="391">
        <v>0</v>
      </c>
      <c r="R141" s="391">
        <v>0</v>
      </c>
      <c r="S141" s="654">
        <v>0</v>
      </c>
      <c r="T141" s="370"/>
    </row>
    <row r="142" spans="2:20" x14ac:dyDescent="0.2">
      <c r="B142" s="848" t="s">
        <v>157</v>
      </c>
      <c r="C142" s="849"/>
      <c r="D142" s="650">
        <f t="shared" ref="D142:Q142" si="6">SUM(D121:D141)</f>
        <v>157425.10982991508</v>
      </c>
      <c r="E142" s="651">
        <f t="shared" si="6"/>
        <v>195209.14443792397</v>
      </c>
      <c r="F142" s="651">
        <f t="shared" si="6"/>
        <v>223972.91885206662</v>
      </c>
      <c r="G142" s="651">
        <f t="shared" si="6"/>
        <v>209935.53670999993</v>
      </c>
      <c r="H142" s="651">
        <f t="shared" si="6"/>
        <v>225472.64849435262</v>
      </c>
      <c r="I142" s="651">
        <f t="shared" si="6"/>
        <v>380548.11135999998</v>
      </c>
      <c r="J142" s="651">
        <f t="shared" si="6"/>
        <v>393385.29642999987</v>
      </c>
      <c r="K142" s="651">
        <f t="shared" si="6"/>
        <v>362009.91707999998</v>
      </c>
      <c r="L142" s="651">
        <f t="shared" si="6"/>
        <v>330442.34266000002</v>
      </c>
      <c r="M142" s="651">
        <f t="shared" si="6"/>
        <v>327743.29663000006</v>
      </c>
      <c r="N142" s="651">
        <f t="shared" si="6"/>
        <v>308285.27999999991</v>
      </c>
      <c r="O142" s="652">
        <f t="shared" si="6"/>
        <v>312278.35987999995</v>
      </c>
      <c r="P142" s="651">
        <f t="shared" si="6"/>
        <v>299882.78697000002</v>
      </c>
      <c r="Q142" s="651">
        <f t="shared" si="6"/>
        <v>289720.94010000001</v>
      </c>
      <c r="R142" s="653">
        <f t="shared" ref="R142:S142" si="7">SUM(R121:R141)</f>
        <v>310251.68209999998</v>
      </c>
      <c r="S142" s="653">
        <f t="shared" si="7"/>
        <v>292666.62666999997</v>
      </c>
    </row>
    <row r="143" spans="2:20" x14ac:dyDescent="0.2">
      <c r="B143" s="414"/>
      <c r="C143" s="414"/>
      <c r="D143" s="414"/>
      <c r="E143" s="414"/>
      <c r="F143" s="414"/>
      <c r="G143" s="414"/>
      <c r="H143" s="414"/>
      <c r="I143" s="414"/>
      <c r="J143" s="414"/>
      <c r="K143" s="414"/>
      <c r="L143" s="382"/>
      <c r="M143" s="382"/>
      <c r="N143" s="382"/>
      <c r="O143" s="382"/>
      <c r="P143" s="382"/>
    </row>
    <row r="144" spans="2:20" ht="15.75" x14ac:dyDescent="0.2">
      <c r="B144" s="36" t="s">
        <v>606</v>
      </c>
      <c r="C144" s="412"/>
      <c r="D144" s="413"/>
      <c r="E144" s="413"/>
      <c r="F144" s="413"/>
      <c r="G144" s="413"/>
      <c r="H144" s="413"/>
      <c r="I144" s="413"/>
      <c r="J144" s="413"/>
      <c r="K144" s="414"/>
      <c r="L144" s="382"/>
      <c r="M144" s="382"/>
      <c r="N144" s="382"/>
      <c r="O144" s="382"/>
      <c r="P144" s="382"/>
    </row>
    <row r="145" spans="2:20" x14ac:dyDescent="0.2">
      <c r="B145" s="828" t="s">
        <v>607</v>
      </c>
      <c r="C145" s="852"/>
      <c r="D145" s="859" t="s">
        <v>87</v>
      </c>
      <c r="E145" s="860"/>
      <c r="F145" s="860"/>
      <c r="G145" s="860"/>
      <c r="H145" s="860"/>
      <c r="I145" s="860"/>
      <c r="J145" s="860"/>
      <c r="K145" s="860"/>
      <c r="L145" s="860"/>
      <c r="M145" s="860"/>
      <c r="N145" s="860"/>
      <c r="O145" s="860"/>
      <c r="P145" s="860"/>
      <c r="Q145" s="860"/>
      <c r="R145" s="860"/>
      <c r="S145" s="860"/>
    </row>
    <row r="146" spans="2:20" x14ac:dyDescent="0.2">
      <c r="B146" s="829"/>
      <c r="C146" s="853"/>
      <c r="D146" s="39">
        <v>2000</v>
      </c>
      <c r="E146" s="40">
        <v>2001</v>
      </c>
      <c r="F146" s="40">
        <v>2002</v>
      </c>
      <c r="G146" s="40">
        <v>2003</v>
      </c>
      <c r="H146" s="40">
        <v>2004</v>
      </c>
      <c r="I146" s="40">
        <v>2006</v>
      </c>
      <c r="J146" s="41">
        <v>2007</v>
      </c>
      <c r="K146" s="40">
        <v>2008</v>
      </c>
      <c r="L146" s="40">
        <v>2009</v>
      </c>
      <c r="M146" s="42">
        <v>2010</v>
      </c>
      <c r="N146" s="41">
        <v>2011</v>
      </c>
      <c r="O146" s="45">
        <v>2012</v>
      </c>
      <c r="P146" s="127">
        <v>2013</v>
      </c>
      <c r="Q146" s="126">
        <v>2014</v>
      </c>
      <c r="R146" s="125">
        <v>2015</v>
      </c>
      <c r="S146" s="125">
        <v>2016</v>
      </c>
    </row>
    <row r="147" spans="2:20" x14ac:dyDescent="0.2">
      <c r="B147" s="423" t="s">
        <v>539</v>
      </c>
      <c r="C147" s="424" t="s">
        <v>540</v>
      </c>
      <c r="D147" s="644">
        <v>3448.7999515533447</v>
      </c>
      <c r="E147" s="645">
        <v>2333.8749809265137</v>
      </c>
      <c r="F147" s="645">
        <v>1169.5200119018555</v>
      </c>
      <c r="G147" s="645">
        <v>126.0565</v>
      </c>
      <c r="H147" s="645">
        <v>3333.9916381835937</v>
      </c>
      <c r="I147" s="645">
        <v>8472.9179299999996</v>
      </c>
      <c r="J147" s="646">
        <v>8514.7330000000002</v>
      </c>
      <c r="K147" s="647">
        <v>5928.1137000000017</v>
      </c>
      <c r="L147" s="425">
        <v>6594.3149000000003</v>
      </c>
      <c r="M147" s="648">
        <v>7261.3839999999991</v>
      </c>
      <c r="N147" s="408">
        <v>10517.36</v>
      </c>
      <c r="O147" s="288">
        <v>12092.729800000001</v>
      </c>
      <c r="P147" s="288">
        <v>24623.707999999999</v>
      </c>
      <c r="Q147" s="288">
        <v>4920.1589999999997</v>
      </c>
      <c r="R147" s="165">
        <v>19690.746999999999</v>
      </c>
      <c r="S147" s="430">
        <v>7496.1350000000002</v>
      </c>
      <c r="T147" s="247"/>
    </row>
    <row r="148" spans="2:20" x14ac:dyDescent="0.2">
      <c r="B148" s="417" t="s">
        <v>541</v>
      </c>
      <c r="C148" s="416" t="s">
        <v>542</v>
      </c>
      <c r="D148" s="635">
        <v>56.771000452339649</v>
      </c>
      <c r="E148" s="636">
        <v>124.61124786175787</v>
      </c>
      <c r="F148" s="636">
        <v>1.5774100255221128</v>
      </c>
      <c r="G148" s="636">
        <v>86.210250000000002</v>
      </c>
      <c r="H148" s="636">
        <v>20.495000001974404</v>
      </c>
      <c r="I148" s="636">
        <v>11.404999999999999</v>
      </c>
      <c r="J148" s="638">
        <v>4.5569999999999995</v>
      </c>
      <c r="K148" s="639">
        <v>6.7938499999999999</v>
      </c>
      <c r="L148" s="407">
        <v>7.98</v>
      </c>
      <c r="M148" s="295">
        <v>18.04</v>
      </c>
      <c r="N148" s="391">
        <v>33.864000000000004</v>
      </c>
      <c r="O148" s="288">
        <v>3.42</v>
      </c>
      <c r="P148" s="288">
        <v>2.0449999999999999</v>
      </c>
      <c r="Q148" s="288">
        <v>4.1959999999999997</v>
      </c>
      <c r="R148" s="289">
        <v>15.76</v>
      </c>
      <c r="S148" s="426">
        <v>2.3327500000000003</v>
      </c>
      <c r="T148" s="247"/>
    </row>
    <row r="149" spans="2:20" x14ac:dyDescent="0.2">
      <c r="B149" s="417" t="s">
        <v>543</v>
      </c>
      <c r="C149" s="416" t="s">
        <v>544</v>
      </c>
      <c r="D149" s="635">
        <v>133.4835844039917</v>
      </c>
      <c r="E149" s="636">
        <v>40.903499379754066</v>
      </c>
      <c r="F149" s="636">
        <v>6.2349001057446003</v>
      </c>
      <c r="G149" s="636">
        <v>8.9595000000000002</v>
      </c>
      <c r="H149" s="636">
        <v>6.4699999764561653</v>
      </c>
      <c r="I149" s="636">
        <v>20.81</v>
      </c>
      <c r="J149" s="638">
        <v>32.695999999999998</v>
      </c>
      <c r="K149" s="639">
        <v>16.035</v>
      </c>
      <c r="L149" s="407">
        <v>0.2</v>
      </c>
      <c r="M149" s="295">
        <v>0.25</v>
      </c>
      <c r="N149" s="391">
        <v>0.30399999999999999</v>
      </c>
      <c r="O149" s="288">
        <v>0.40500000000000003</v>
      </c>
      <c r="P149" s="288">
        <v>27.409999999999997</v>
      </c>
      <c r="Q149" s="288">
        <v>3.9849999999999999</v>
      </c>
      <c r="R149" s="289">
        <v>10.016</v>
      </c>
      <c r="S149" s="426">
        <v>0.23</v>
      </c>
    </row>
    <row r="150" spans="2:20" x14ac:dyDescent="0.2">
      <c r="B150" s="417" t="s">
        <v>545</v>
      </c>
      <c r="C150" s="416" t="s">
        <v>546</v>
      </c>
      <c r="D150" s="635">
        <v>184.14725190401077</v>
      </c>
      <c r="E150" s="636">
        <v>99.919998213648796</v>
      </c>
      <c r="F150" s="636">
        <v>20.663999557495117</v>
      </c>
      <c r="G150" s="636">
        <v>51.66</v>
      </c>
      <c r="H150" s="636">
        <v>82.567002564668655</v>
      </c>
      <c r="I150" s="636">
        <v>201.63499999999999</v>
      </c>
      <c r="J150" s="638">
        <v>165.81300000000002</v>
      </c>
      <c r="K150" s="639">
        <v>162.114</v>
      </c>
      <c r="L150" s="407">
        <v>143.452</v>
      </c>
      <c r="M150" s="295">
        <v>170.48500000000001</v>
      </c>
      <c r="N150" s="391">
        <v>173.97</v>
      </c>
      <c r="O150" s="288">
        <v>149.14599999999999</v>
      </c>
      <c r="P150" s="288">
        <v>187.07499999999999</v>
      </c>
      <c r="Q150" s="288">
        <v>153.952</v>
      </c>
      <c r="R150" s="289">
        <v>87.849530000000001</v>
      </c>
      <c r="S150" s="426">
        <v>90.031000000000006</v>
      </c>
    </row>
    <row r="151" spans="2:20" x14ac:dyDescent="0.2">
      <c r="B151" s="417" t="s">
        <v>547</v>
      </c>
      <c r="C151" s="416" t="s">
        <v>548</v>
      </c>
      <c r="D151" s="635">
        <v>2377.141902923584</v>
      </c>
      <c r="E151" s="636">
        <v>1830.9656313657761</v>
      </c>
      <c r="F151" s="636">
        <v>1117.1980085399337</v>
      </c>
      <c r="G151" s="636">
        <v>1278.7964999999999</v>
      </c>
      <c r="H151" s="636">
        <v>1203.6581573486328</v>
      </c>
      <c r="I151" s="636">
        <v>3682.6825499999995</v>
      </c>
      <c r="J151" s="638">
        <v>1466.9389999999999</v>
      </c>
      <c r="K151" s="639">
        <v>2711.1146999999992</v>
      </c>
      <c r="L151" s="407">
        <v>3390.6375000000007</v>
      </c>
      <c r="M151" s="295">
        <v>4896.3650000000007</v>
      </c>
      <c r="N151" s="391">
        <v>2263.5250000000001</v>
      </c>
      <c r="O151" s="288">
        <v>2258.9720000000002</v>
      </c>
      <c r="P151" s="288">
        <v>3196.8679999999999</v>
      </c>
      <c r="Q151" s="288">
        <v>3650.1646499999997</v>
      </c>
      <c r="R151" s="289">
        <v>1645.7859999999998</v>
      </c>
      <c r="S151" s="426">
        <v>733.97553999999991</v>
      </c>
    </row>
    <row r="152" spans="2:20" x14ac:dyDescent="0.2">
      <c r="B152" s="417" t="s">
        <v>549</v>
      </c>
      <c r="C152" s="416" t="s">
        <v>550</v>
      </c>
      <c r="D152" s="635">
        <v>16433.426120171556</v>
      </c>
      <c r="E152" s="636">
        <v>17957.58648886111</v>
      </c>
      <c r="F152" s="636">
        <v>14512.518157160142</v>
      </c>
      <c r="G152" s="636">
        <v>20797.415860000001</v>
      </c>
      <c r="H152" s="636">
        <v>18659.318462236373</v>
      </c>
      <c r="I152" s="636">
        <v>6983.0050700000029</v>
      </c>
      <c r="J152" s="638">
        <v>4074.9052000000006</v>
      </c>
      <c r="K152" s="639">
        <v>6951.497110000003</v>
      </c>
      <c r="L152" s="407">
        <v>7184.0253699999994</v>
      </c>
      <c r="M152" s="295">
        <v>9109.9712500000005</v>
      </c>
      <c r="N152" s="391">
        <v>10270.61591</v>
      </c>
      <c r="O152" s="288">
        <v>13986.46083</v>
      </c>
      <c r="P152" s="288">
        <v>11843.273109999998</v>
      </c>
      <c r="Q152" s="288">
        <v>10969.39747</v>
      </c>
      <c r="R152" s="289">
        <v>11078.904110000003</v>
      </c>
      <c r="S152" s="426">
        <v>8780.3622600000017</v>
      </c>
    </row>
    <row r="153" spans="2:20" x14ac:dyDescent="0.2">
      <c r="B153" s="417" t="s">
        <v>551</v>
      </c>
      <c r="C153" s="416" t="s">
        <v>552</v>
      </c>
      <c r="D153" s="635">
        <v>127077.61398515571</v>
      </c>
      <c r="E153" s="636">
        <v>138312.73171100207</v>
      </c>
      <c r="F153" s="636">
        <v>129024.45000993686</v>
      </c>
      <c r="G153" s="636">
        <v>119931.17565000006</v>
      </c>
      <c r="H153" s="636">
        <v>141926.42899706925</v>
      </c>
      <c r="I153" s="636">
        <v>180240.92209999991</v>
      </c>
      <c r="J153" s="638">
        <v>110209.53414999999</v>
      </c>
      <c r="K153" s="639">
        <v>99419.699189999999</v>
      </c>
      <c r="L153" s="407">
        <v>94419.763199999987</v>
      </c>
      <c r="M153" s="295">
        <v>135753.69200000004</v>
      </c>
      <c r="N153" s="391">
        <v>151012.86562</v>
      </c>
      <c r="O153" s="288">
        <v>140338.16690000001</v>
      </c>
      <c r="P153" s="288">
        <v>140002.83023000002</v>
      </c>
      <c r="Q153" s="288">
        <v>136255.18117999999</v>
      </c>
      <c r="R153" s="289">
        <v>164853.99103999999</v>
      </c>
      <c r="S153" s="426">
        <v>117783.11312000004</v>
      </c>
    </row>
    <row r="154" spans="2:20" x14ac:dyDescent="0.2">
      <c r="B154" s="417" t="s">
        <v>553</v>
      </c>
      <c r="C154" s="416" t="s">
        <v>554</v>
      </c>
      <c r="D154" s="635">
        <v>19588.039517613368</v>
      </c>
      <c r="E154" s="636">
        <v>22051.707689322415</v>
      </c>
      <c r="F154" s="636">
        <v>20876.450156364357</v>
      </c>
      <c r="G154" s="636">
        <v>12884.563540000001</v>
      </c>
      <c r="H154" s="636">
        <v>10791.608353957999</v>
      </c>
      <c r="I154" s="636">
        <v>49587.201360000166</v>
      </c>
      <c r="J154" s="638">
        <v>28205.532080000081</v>
      </c>
      <c r="K154" s="639">
        <v>27345.378250000045</v>
      </c>
      <c r="L154" s="407">
        <v>22726.167360000003</v>
      </c>
      <c r="M154" s="295">
        <v>33182.101410000032</v>
      </c>
      <c r="N154" s="391">
        <v>34957.633810000014</v>
      </c>
      <c r="O154" s="288">
        <v>31055.083280000003</v>
      </c>
      <c r="P154" s="288">
        <v>29052.707950000011</v>
      </c>
      <c r="Q154" s="288">
        <v>28199.622320000002</v>
      </c>
      <c r="R154" s="289">
        <v>30679.848399999995</v>
      </c>
      <c r="S154" s="426">
        <v>22669.46566999999</v>
      </c>
    </row>
    <row r="155" spans="2:20" x14ac:dyDescent="0.2">
      <c r="B155" s="417" t="s">
        <v>555</v>
      </c>
      <c r="C155" s="416" t="s">
        <v>556</v>
      </c>
      <c r="D155" s="635">
        <v>938.7655290736584</v>
      </c>
      <c r="E155" s="636">
        <v>9261.6730872802436</v>
      </c>
      <c r="F155" s="636">
        <v>3822.5470884264214</v>
      </c>
      <c r="G155" s="636">
        <v>10449.21155</v>
      </c>
      <c r="H155" s="636">
        <v>5676.3738517193124</v>
      </c>
      <c r="I155" s="636">
        <v>8522.8753700000016</v>
      </c>
      <c r="J155" s="638">
        <v>7457.2891200000022</v>
      </c>
      <c r="K155" s="639">
        <v>6345.2912600000063</v>
      </c>
      <c r="L155" s="407">
        <v>5329.2275800000016</v>
      </c>
      <c r="M155" s="295">
        <v>4682.6454099999964</v>
      </c>
      <c r="N155" s="391">
        <v>4849.6341400000001</v>
      </c>
      <c r="O155" s="288">
        <v>5477.4756000000007</v>
      </c>
      <c r="P155" s="288">
        <v>4948.4311599999983</v>
      </c>
      <c r="Q155" s="288">
        <v>4372.2062299999998</v>
      </c>
      <c r="R155" s="289">
        <v>3914.6103500000008</v>
      </c>
      <c r="S155" s="426">
        <v>3177.6675000000009</v>
      </c>
    </row>
    <row r="156" spans="2:20" x14ac:dyDescent="0.2">
      <c r="B156" s="417" t="s">
        <v>557</v>
      </c>
      <c r="C156" s="416" t="s">
        <v>558</v>
      </c>
      <c r="D156" s="635">
        <v>28233.525618076324</v>
      </c>
      <c r="E156" s="636">
        <v>33777.778956377879</v>
      </c>
      <c r="F156" s="636">
        <v>45859.839430660009</v>
      </c>
      <c r="G156" s="636">
        <v>66988.796299999987</v>
      </c>
      <c r="H156" s="636">
        <v>72930.28028678894</v>
      </c>
      <c r="I156" s="636">
        <v>87228.814600000042</v>
      </c>
      <c r="J156" s="638">
        <v>87782.604639999976</v>
      </c>
      <c r="K156" s="639">
        <v>75529.985680000042</v>
      </c>
      <c r="L156" s="407">
        <v>68487.362999999998</v>
      </c>
      <c r="M156" s="295">
        <v>100797.94607000008</v>
      </c>
      <c r="N156" s="391">
        <v>97076.743989999988</v>
      </c>
      <c r="O156" s="288">
        <v>112897.32794999999</v>
      </c>
      <c r="P156" s="288">
        <v>46488.288839999994</v>
      </c>
      <c r="Q156" s="288">
        <v>45981.865279999998</v>
      </c>
      <c r="R156" s="289">
        <v>77138.449600000007</v>
      </c>
      <c r="S156" s="426">
        <v>74728.977899999998</v>
      </c>
    </row>
    <row r="157" spans="2:20" x14ac:dyDescent="0.2">
      <c r="B157" s="417" t="s">
        <v>559</v>
      </c>
      <c r="C157" s="416" t="s">
        <v>560</v>
      </c>
      <c r="D157" s="635">
        <v>11509.278829112183</v>
      </c>
      <c r="E157" s="636">
        <v>9772.321967754513</v>
      </c>
      <c r="F157" s="636">
        <v>10345.659328934271</v>
      </c>
      <c r="G157" s="636">
        <v>10553.95808</v>
      </c>
      <c r="H157" s="636">
        <v>9748.8957223355392</v>
      </c>
      <c r="I157" s="636">
        <v>16765.299900000016</v>
      </c>
      <c r="J157" s="638">
        <v>14171.058999999994</v>
      </c>
      <c r="K157" s="639">
        <v>12680.291500000001</v>
      </c>
      <c r="L157" s="407">
        <v>10691.90338</v>
      </c>
      <c r="M157" s="295">
        <v>12603.706899999977</v>
      </c>
      <c r="N157" s="391">
        <v>8336.258580000007</v>
      </c>
      <c r="O157" s="288">
        <v>8275.8578500000094</v>
      </c>
      <c r="P157" s="288">
        <v>6958.4567399999987</v>
      </c>
      <c r="Q157" s="288">
        <v>7244.8070999999982</v>
      </c>
      <c r="R157" s="289">
        <v>5493.714530000002</v>
      </c>
      <c r="S157" s="426">
        <v>7854.4795900000008</v>
      </c>
    </row>
    <row r="158" spans="2:20" x14ac:dyDescent="0.2">
      <c r="B158" s="417" t="s">
        <v>561</v>
      </c>
      <c r="C158" s="416" t="s">
        <v>562</v>
      </c>
      <c r="D158" s="635">
        <v>21496.065104424953</v>
      </c>
      <c r="E158" s="636">
        <v>26584.525924727321</v>
      </c>
      <c r="F158" s="636">
        <v>25746.269394770265</v>
      </c>
      <c r="G158" s="636">
        <v>23459.597719999998</v>
      </c>
      <c r="H158" s="636">
        <v>22034.467369645834</v>
      </c>
      <c r="I158" s="636">
        <v>23653.868790000026</v>
      </c>
      <c r="J158" s="638">
        <v>23229.152669999989</v>
      </c>
      <c r="K158" s="639">
        <v>21610.785800000016</v>
      </c>
      <c r="L158" s="407">
        <v>12644.373190000006</v>
      </c>
      <c r="M158" s="295">
        <v>20518.636919999994</v>
      </c>
      <c r="N158" s="391">
        <v>24690.526660000007</v>
      </c>
      <c r="O158" s="288">
        <v>36053.997880000003</v>
      </c>
      <c r="P158" s="288">
        <v>37537.654999999999</v>
      </c>
      <c r="Q158" s="288">
        <v>42317.321979999993</v>
      </c>
      <c r="R158" s="289">
        <v>39434.342140000001</v>
      </c>
      <c r="S158" s="426">
        <v>36319.628500000006</v>
      </c>
    </row>
    <row r="159" spans="2:20" x14ac:dyDescent="0.2">
      <c r="B159" s="417" t="s">
        <v>563</v>
      </c>
      <c r="C159" s="416" t="s">
        <v>564</v>
      </c>
      <c r="D159" s="635">
        <v>159360.94608359947</v>
      </c>
      <c r="E159" s="636">
        <v>205037.67526055127</v>
      </c>
      <c r="F159" s="636">
        <v>177704.37434618361</v>
      </c>
      <c r="G159" s="636">
        <v>127673.43476</v>
      </c>
      <c r="H159" s="636">
        <v>116735.318139732</v>
      </c>
      <c r="I159" s="636">
        <v>410564.63605000207</v>
      </c>
      <c r="J159" s="638">
        <v>319157.8884600001</v>
      </c>
      <c r="K159" s="639">
        <v>349527.56481999852</v>
      </c>
      <c r="L159" s="407">
        <v>343053.68163499993</v>
      </c>
      <c r="M159" s="295">
        <v>327739.83864000178</v>
      </c>
      <c r="N159" s="391">
        <v>323389.87178999971</v>
      </c>
      <c r="O159" s="288">
        <v>434979.54062000028</v>
      </c>
      <c r="P159" s="288">
        <v>412283.75077000004</v>
      </c>
      <c r="Q159" s="288">
        <v>413176.83228999993</v>
      </c>
      <c r="R159" s="289">
        <v>358872.00371000019</v>
      </c>
      <c r="S159" s="426">
        <v>278780.42834000057</v>
      </c>
    </row>
    <row r="160" spans="2:20" x14ac:dyDescent="0.2">
      <c r="B160" s="417" t="s">
        <v>565</v>
      </c>
      <c r="C160" s="416" t="s">
        <v>566</v>
      </c>
      <c r="D160" s="635">
        <v>35052.688427014276</v>
      </c>
      <c r="E160" s="636">
        <v>36510.40267634904</v>
      </c>
      <c r="F160" s="636">
        <v>10447.419968813658</v>
      </c>
      <c r="G160" s="636">
        <v>3823.1965100000011</v>
      </c>
      <c r="H160" s="636">
        <v>4267.2270358204842</v>
      </c>
      <c r="I160" s="636">
        <v>7491.7529300000188</v>
      </c>
      <c r="J160" s="638">
        <v>7951.9481400000095</v>
      </c>
      <c r="K160" s="639">
        <v>7802.6556299999993</v>
      </c>
      <c r="L160" s="407">
        <v>5094.9793900000041</v>
      </c>
      <c r="M160" s="295">
        <v>7498.5132200000053</v>
      </c>
      <c r="N160" s="391">
        <v>10378.449740000002</v>
      </c>
      <c r="O160" s="288">
        <v>8906.0095700000002</v>
      </c>
      <c r="P160" s="288">
        <v>8780.408730000001</v>
      </c>
      <c r="Q160" s="288">
        <v>10212.68036</v>
      </c>
      <c r="R160" s="289">
        <v>8207.6046400000014</v>
      </c>
      <c r="S160" s="426">
        <v>6702.121509999999</v>
      </c>
    </row>
    <row r="161" spans="2:19" x14ac:dyDescent="0.2">
      <c r="B161" s="417" t="s">
        <v>567</v>
      </c>
      <c r="C161" s="416" t="s">
        <v>568</v>
      </c>
      <c r="D161" s="635">
        <v>5245.9518648833036</v>
      </c>
      <c r="E161" s="636">
        <v>5982.8419441077858</v>
      </c>
      <c r="F161" s="636">
        <v>5468.7681427793577</v>
      </c>
      <c r="G161" s="636">
        <v>6787.7515899999962</v>
      </c>
      <c r="H161" s="636">
        <v>8013.5951093714684</v>
      </c>
      <c r="I161" s="636">
        <v>2963.49349999999</v>
      </c>
      <c r="J161" s="638">
        <v>3380.2192899999991</v>
      </c>
      <c r="K161" s="639">
        <v>3614.6728399999979</v>
      </c>
      <c r="L161" s="407">
        <v>5253.0977899999998</v>
      </c>
      <c r="M161" s="295">
        <v>7493.602540000008</v>
      </c>
      <c r="N161" s="391">
        <v>7560.9459999999917</v>
      </c>
      <c r="O161" s="288">
        <v>6531.6153400000003</v>
      </c>
      <c r="P161" s="288">
        <v>7454.7284</v>
      </c>
      <c r="Q161" s="288">
        <v>14924.788860000001</v>
      </c>
      <c r="R161" s="289">
        <v>25803.87913999999</v>
      </c>
      <c r="S161" s="426">
        <v>20306.732779999995</v>
      </c>
    </row>
    <row r="162" spans="2:19" x14ac:dyDescent="0.2">
      <c r="B162" s="417" t="s">
        <v>569</v>
      </c>
      <c r="C162" s="416" t="s">
        <v>603</v>
      </c>
      <c r="D162" s="635">
        <v>532949.74248522439</v>
      </c>
      <c r="E162" s="636">
        <v>447097.82931954105</v>
      </c>
      <c r="F162" s="636">
        <v>546765.84931039764</v>
      </c>
      <c r="G162" s="636">
        <v>453350.66274999978</v>
      </c>
      <c r="H162" s="636">
        <v>401493.54586136848</v>
      </c>
      <c r="I162" s="636">
        <v>290865.66710000025</v>
      </c>
      <c r="J162" s="638">
        <v>308726.52218999976</v>
      </c>
      <c r="K162" s="639">
        <v>288335.55176999868</v>
      </c>
      <c r="L162" s="407">
        <v>261105.02274499997</v>
      </c>
      <c r="M162" s="295">
        <v>276246.23339999805</v>
      </c>
      <c r="N162" s="391">
        <v>282393.41182000004</v>
      </c>
      <c r="O162" s="288">
        <v>298374.78130000003</v>
      </c>
      <c r="P162" s="288">
        <v>280982.64525999984</v>
      </c>
      <c r="Q162" s="288">
        <v>250201.12268</v>
      </c>
      <c r="R162" s="289">
        <v>238825.77357999995</v>
      </c>
      <c r="S162" s="426">
        <v>244570.98590999999</v>
      </c>
    </row>
    <row r="163" spans="2:19" x14ac:dyDescent="0.2">
      <c r="B163" s="417" t="s">
        <v>571</v>
      </c>
      <c r="C163" s="416" t="s">
        <v>572</v>
      </c>
      <c r="D163" s="635">
        <v>219.14931920170784</v>
      </c>
      <c r="E163" s="636">
        <v>282.58974838862196</v>
      </c>
      <c r="F163" s="636">
        <v>984.20299318432808</v>
      </c>
      <c r="G163" s="636">
        <v>431.35464000000013</v>
      </c>
      <c r="H163" s="636">
        <v>445.6988465283066</v>
      </c>
      <c r="I163" s="636">
        <v>1522.3789999999999</v>
      </c>
      <c r="J163" s="638">
        <v>538.64197000000013</v>
      </c>
      <c r="K163" s="639">
        <v>828.17331000000001</v>
      </c>
      <c r="L163" s="407">
        <v>734.41647</v>
      </c>
      <c r="M163" s="295">
        <v>1969.7560700000001</v>
      </c>
      <c r="N163" s="391">
        <v>11606.503539999998</v>
      </c>
      <c r="O163" s="288">
        <v>49621.434099999991</v>
      </c>
      <c r="P163" s="288">
        <v>74931.071139999985</v>
      </c>
      <c r="Q163" s="288">
        <v>127997.75734999999</v>
      </c>
      <c r="R163" s="289">
        <v>171099.53781000007</v>
      </c>
      <c r="S163" s="426">
        <v>145161.51702000003</v>
      </c>
    </row>
    <row r="164" spans="2:19" x14ac:dyDescent="0.2">
      <c r="B164" s="417" t="s">
        <v>573</v>
      </c>
      <c r="C164" s="416" t="s">
        <v>574</v>
      </c>
      <c r="D164" s="635">
        <v>2.1250000223517418E-2</v>
      </c>
      <c r="E164" s="636">
        <v>0.10000000149011612</v>
      </c>
      <c r="F164" s="636">
        <v>1.0249999761581421</v>
      </c>
      <c r="G164" s="636">
        <v>21.856900000000003</v>
      </c>
      <c r="H164" s="636">
        <v>48.185750744771212</v>
      </c>
      <c r="I164" s="636">
        <v>911.26447999999834</v>
      </c>
      <c r="J164" s="638">
        <v>603.85480999999982</v>
      </c>
      <c r="K164" s="639">
        <v>4208.8247799999963</v>
      </c>
      <c r="L164" s="407">
        <v>3109.8623900000002</v>
      </c>
      <c r="M164" s="295">
        <v>613.80667000000005</v>
      </c>
      <c r="N164" s="391">
        <v>545.98538000000008</v>
      </c>
      <c r="O164" s="288">
        <v>518.55211999999995</v>
      </c>
      <c r="P164" s="288">
        <v>946.96006999999986</v>
      </c>
      <c r="Q164" s="288">
        <v>8971.4602299999988</v>
      </c>
      <c r="R164" s="289">
        <v>7790.0527600000005</v>
      </c>
      <c r="S164" s="426">
        <v>28010.389650000001</v>
      </c>
    </row>
    <row r="165" spans="2:19" x14ac:dyDescent="0.2">
      <c r="B165" s="417" t="s">
        <v>575</v>
      </c>
      <c r="C165" s="416" t="s">
        <v>576</v>
      </c>
      <c r="D165" s="635">
        <v>597.44979603390675</v>
      </c>
      <c r="E165" s="636">
        <v>2734.2426926791668</v>
      </c>
      <c r="F165" s="636">
        <v>11944.229859784245</v>
      </c>
      <c r="G165" s="636">
        <v>10416.798229999999</v>
      </c>
      <c r="H165" s="636">
        <v>8543.3472038507462</v>
      </c>
      <c r="I165" s="636">
        <v>123996.93784999986</v>
      </c>
      <c r="J165" s="638">
        <v>188182.72669999997</v>
      </c>
      <c r="K165" s="639">
        <v>112681.92799999994</v>
      </c>
      <c r="L165" s="407">
        <v>76940.144969999994</v>
      </c>
      <c r="M165" s="295">
        <v>90653.884800000014</v>
      </c>
      <c r="N165" s="391">
        <v>123152.73187999999</v>
      </c>
      <c r="O165" s="288">
        <v>138434.91457999998</v>
      </c>
      <c r="P165" s="288">
        <v>97285.335910000009</v>
      </c>
      <c r="Q165" s="288">
        <v>99411.461190000002</v>
      </c>
      <c r="R165" s="289">
        <v>106115.35156</v>
      </c>
      <c r="S165" s="426">
        <v>189733.04837999996</v>
      </c>
    </row>
    <row r="166" spans="2:19" x14ac:dyDescent="0.2">
      <c r="B166" s="417" t="s">
        <v>577</v>
      </c>
      <c r="C166" s="416" t="s">
        <v>578</v>
      </c>
      <c r="D166" s="635">
        <v>5545.6072536632419</v>
      </c>
      <c r="E166" s="636">
        <v>6105.7689551524818</v>
      </c>
      <c r="F166" s="636">
        <v>23448.45930287434</v>
      </c>
      <c r="G166" s="636">
        <v>21376.41334000001</v>
      </c>
      <c r="H166" s="636">
        <v>15575.066506737261</v>
      </c>
      <c r="I166" s="636">
        <v>106833.95850000015</v>
      </c>
      <c r="J166" s="638">
        <v>127077.21741999981</v>
      </c>
      <c r="K166" s="639">
        <v>143536.91544999991</v>
      </c>
      <c r="L166" s="407">
        <v>94772.077489999996</v>
      </c>
      <c r="M166" s="295">
        <v>94479.304159999418</v>
      </c>
      <c r="N166" s="391">
        <v>104073.72475999997</v>
      </c>
      <c r="O166" s="288">
        <v>88250.770920000024</v>
      </c>
      <c r="P166" s="288">
        <v>80405.070399999997</v>
      </c>
      <c r="Q166" s="288">
        <v>146797.96223</v>
      </c>
      <c r="R166" s="289">
        <v>226653.73491999996</v>
      </c>
      <c r="S166" s="426">
        <v>233354.64119999995</v>
      </c>
    </row>
    <row r="167" spans="2:19" x14ac:dyDescent="0.2">
      <c r="B167" s="417">
        <v>99</v>
      </c>
      <c r="C167" s="416" t="s">
        <v>604</v>
      </c>
      <c r="D167" s="635">
        <v>18278.611862704158</v>
      </c>
      <c r="E167" s="636">
        <v>950.13692713156343</v>
      </c>
      <c r="F167" s="636">
        <v>4429.4382205638103</v>
      </c>
      <c r="G167" s="636">
        <v>29715.942239999997</v>
      </c>
      <c r="H167" s="636">
        <v>15866.243515476584</v>
      </c>
      <c r="I167" s="391">
        <v>0</v>
      </c>
      <c r="J167" s="391">
        <v>0</v>
      </c>
      <c r="K167" s="391">
        <v>0</v>
      </c>
      <c r="L167" s="391">
        <v>0</v>
      </c>
      <c r="M167" s="391">
        <v>0</v>
      </c>
      <c r="N167" s="391">
        <v>0</v>
      </c>
      <c r="O167" s="391">
        <v>0</v>
      </c>
      <c r="P167" s="391">
        <v>0</v>
      </c>
      <c r="Q167" s="391">
        <v>0</v>
      </c>
      <c r="R167" s="649">
        <v>0</v>
      </c>
      <c r="S167" s="649">
        <v>0</v>
      </c>
    </row>
    <row r="168" spans="2:19" x14ac:dyDescent="0.2">
      <c r="B168" s="848" t="s">
        <v>157</v>
      </c>
      <c r="C168" s="849"/>
      <c r="D168" s="650">
        <f t="shared" ref="D168:Q168" si="8">SUM(D147:D167)</f>
        <v>988727.22673718969</v>
      </c>
      <c r="E168" s="651">
        <f t="shared" si="8"/>
        <v>966850.18870697543</v>
      </c>
      <c r="F168" s="651">
        <f t="shared" si="8"/>
        <v>1033696.6950409401</v>
      </c>
      <c r="G168" s="651">
        <f t="shared" si="8"/>
        <v>920213.8124099999</v>
      </c>
      <c r="H168" s="651">
        <f t="shared" si="8"/>
        <v>857402.78281145869</v>
      </c>
      <c r="I168" s="651">
        <f t="shared" si="8"/>
        <v>1330521.5270800025</v>
      </c>
      <c r="J168" s="651">
        <f t="shared" si="8"/>
        <v>1240933.8338399997</v>
      </c>
      <c r="K168" s="651">
        <f t="shared" si="8"/>
        <v>1169243.3866399974</v>
      </c>
      <c r="L168" s="651">
        <f t="shared" si="8"/>
        <v>1021682.6903600001</v>
      </c>
      <c r="M168" s="651">
        <f t="shared" si="8"/>
        <v>1135690.1634599993</v>
      </c>
      <c r="N168" s="651">
        <f t="shared" si="8"/>
        <v>1207284.9266199996</v>
      </c>
      <c r="O168" s="651">
        <f t="shared" si="8"/>
        <v>1388206.6616400001</v>
      </c>
      <c r="P168" s="652">
        <f t="shared" si="8"/>
        <v>1267938.7197099999</v>
      </c>
      <c r="Q168" s="651">
        <f t="shared" si="8"/>
        <v>1355766.9234</v>
      </c>
      <c r="R168" s="653">
        <f t="shared" ref="R168:S168" si="9">SUM(R147:R167)</f>
        <v>1497411.9568200004</v>
      </c>
      <c r="S168" s="653">
        <f t="shared" si="9"/>
        <v>1426256.2636200006</v>
      </c>
    </row>
    <row r="169" spans="2:19" x14ac:dyDescent="0.2">
      <c r="B169" s="414"/>
      <c r="C169" s="414"/>
      <c r="D169" s="414"/>
      <c r="E169" s="414"/>
      <c r="F169" s="414"/>
      <c r="G169" s="414"/>
      <c r="H169" s="382"/>
      <c r="I169" s="382"/>
      <c r="J169" s="382"/>
      <c r="K169" s="414"/>
      <c r="L169" s="382"/>
      <c r="M169" s="382"/>
      <c r="N169" s="382"/>
      <c r="O169" s="382"/>
      <c r="P169" s="382"/>
      <c r="S169" s="247"/>
    </row>
    <row r="170" spans="2:19" ht="15.75" x14ac:dyDescent="0.2">
      <c r="B170" s="36" t="s">
        <v>608</v>
      </c>
      <c r="C170" s="412"/>
      <c r="D170" s="413"/>
      <c r="E170" s="413"/>
      <c r="F170" s="413"/>
      <c r="G170" s="413"/>
      <c r="H170" s="413"/>
      <c r="I170" s="413"/>
      <c r="J170" s="413"/>
      <c r="K170" s="414"/>
      <c r="L170" s="382"/>
      <c r="M170" s="382"/>
      <c r="N170" s="382"/>
      <c r="O170" s="382"/>
      <c r="P170" s="382"/>
    </row>
    <row r="171" spans="2:19" x14ac:dyDescent="0.2">
      <c r="B171" s="828" t="s">
        <v>99</v>
      </c>
      <c r="C171" s="852"/>
      <c r="D171" s="859" t="s">
        <v>87</v>
      </c>
      <c r="E171" s="860"/>
      <c r="F171" s="860"/>
      <c r="G171" s="860"/>
      <c r="H171" s="860"/>
      <c r="I171" s="860"/>
      <c r="J171" s="860"/>
      <c r="K171" s="860"/>
      <c r="L171" s="860"/>
      <c r="M171" s="860"/>
      <c r="N171" s="860"/>
      <c r="O171" s="860"/>
      <c r="P171" s="860"/>
      <c r="Q171" s="860"/>
      <c r="R171" s="860"/>
      <c r="S171" s="860"/>
    </row>
    <row r="172" spans="2:19" x14ac:dyDescent="0.2">
      <c r="B172" s="829"/>
      <c r="C172" s="853"/>
      <c r="D172" s="39">
        <v>2000</v>
      </c>
      <c r="E172" s="40">
        <v>2001</v>
      </c>
      <c r="F172" s="40">
        <v>2002</v>
      </c>
      <c r="G172" s="40">
        <v>2003</v>
      </c>
      <c r="H172" s="40">
        <v>2004</v>
      </c>
      <c r="I172" s="40">
        <v>2006</v>
      </c>
      <c r="J172" s="41">
        <v>2007</v>
      </c>
      <c r="K172" s="40">
        <v>2008</v>
      </c>
      <c r="L172" s="40">
        <v>2009</v>
      </c>
      <c r="M172" s="42">
        <v>2010</v>
      </c>
      <c r="N172" s="41">
        <v>2011</v>
      </c>
      <c r="O172" s="45">
        <v>2012</v>
      </c>
      <c r="P172" s="126">
        <v>2013</v>
      </c>
      <c r="Q172" s="126">
        <v>2014</v>
      </c>
      <c r="R172" s="125">
        <v>2015</v>
      </c>
      <c r="S172" s="125">
        <v>2016</v>
      </c>
    </row>
    <row r="173" spans="2:19" x14ac:dyDescent="0.2">
      <c r="B173" s="415" t="s">
        <v>539</v>
      </c>
      <c r="C173" s="416" t="s">
        <v>540</v>
      </c>
      <c r="D173" s="635">
        <v>1416.6555979400873</v>
      </c>
      <c r="E173" s="636">
        <v>1499.8431634902954</v>
      </c>
      <c r="F173" s="636">
        <v>3852.2513516843319</v>
      </c>
      <c r="G173" s="636">
        <v>7657.6012199999996</v>
      </c>
      <c r="H173" s="636">
        <v>7159.0145329982042</v>
      </c>
      <c r="I173" s="637">
        <v>19005.253199999996</v>
      </c>
      <c r="J173" s="638">
        <v>7821.6250000000009</v>
      </c>
      <c r="K173" s="639">
        <v>2982.06</v>
      </c>
      <c r="L173" s="407">
        <v>4411.0860000000002</v>
      </c>
      <c r="M173" s="295">
        <v>7042.92</v>
      </c>
      <c r="N173" s="391">
        <v>7421.0481999999993</v>
      </c>
      <c r="O173" s="288">
        <v>5045.2255100000002</v>
      </c>
      <c r="P173" s="288">
        <v>10297.857</v>
      </c>
      <c r="Q173" s="288">
        <v>8493.9700300000004</v>
      </c>
      <c r="R173" s="165">
        <v>14738.573</v>
      </c>
      <c r="S173" s="430">
        <v>24624.495999999999</v>
      </c>
    </row>
    <row r="174" spans="2:19" x14ac:dyDescent="0.2">
      <c r="B174" s="417" t="s">
        <v>541</v>
      </c>
      <c r="C174" s="416" t="s">
        <v>542</v>
      </c>
      <c r="D174" s="635">
        <v>3520.8983779729897</v>
      </c>
      <c r="E174" s="636">
        <v>1903.4338930789381</v>
      </c>
      <c r="F174" s="636">
        <v>1813.9543707834091</v>
      </c>
      <c r="G174" s="636">
        <v>1146.2386900000004</v>
      </c>
      <c r="H174" s="636">
        <v>1172.3105877009802</v>
      </c>
      <c r="I174" s="637">
        <v>917.89989999999989</v>
      </c>
      <c r="J174" s="638">
        <v>593.41692999999998</v>
      </c>
      <c r="K174" s="639">
        <v>632.89959999999996</v>
      </c>
      <c r="L174" s="407">
        <v>85.298000000000002</v>
      </c>
      <c r="M174" s="295">
        <v>602.53285000000017</v>
      </c>
      <c r="N174" s="391">
        <v>315.72000000000003</v>
      </c>
      <c r="O174" s="288">
        <v>232.1651</v>
      </c>
      <c r="P174" s="288">
        <v>425.12110000000001</v>
      </c>
      <c r="Q174" s="288">
        <v>541.68539999999996</v>
      </c>
      <c r="R174" s="289">
        <v>118.13</v>
      </c>
      <c r="S174" s="426">
        <v>77.750999999999991</v>
      </c>
    </row>
    <row r="175" spans="2:19" x14ac:dyDescent="0.2">
      <c r="B175" s="417" t="s">
        <v>543</v>
      </c>
      <c r="C175" s="416" t="s">
        <v>544</v>
      </c>
      <c r="D175" s="635">
        <v>5972.6044304445386</v>
      </c>
      <c r="E175" s="636">
        <v>3507.8347478602082</v>
      </c>
      <c r="F175" s="636">
        <v>1456.7529155164957</v>
      </c>
      <c r="G175" s="636">
        <v>2004.8348800000006</v>
      </c>
      <c r="H175" s="636">
        <v>3702.0160536197945</v>
      </c>
      <c r="I175" s="637">
        <v>1917.4179999999994</v>
      </c>
      <c r="J175" s="638">
        <v>1069.8025</v>
      </c>
      <c r="K175" s="639">
        <v>1833.7650000000001</v>
      </c>
      <c r="L175" s="407">
        <v>665.84500000000003</v>
      </c>
      <c r="M175" s="295">
        <v>571.16700000000003</v>
      </c>
      <c r="N175" s="391">
        <v>200.22</v>
      </c>
      <c r="O175" s="288">
        <v>89.295000000000016</v>
      </c>
      <c r="P175" s="288">
        <v>6.6</v>
      </c>
      <c r="Q175" s="288">
        <v>65.082999999999998</v>
      </c>
      <c r="R175" s="289">
        <v>165.38919999999999</v>
      </c>
      <c r="S175" s="426">
        <v>111.056</v>
      </c>
    </row>
    <row r="176" spans="2:19" x14ac:dyDescent="0.2">
      <c r="B176" s="417" t="s">
        <v>545</v>
      </c>
      <c r="C176" s="416" t="s">
        <v>546</v>
      </c>
      <c r="D176" s="635">
        <v>1211.5935918018222</v>
      </c>
      <c r="E176" s="636">
        <v>1770.6349204611033</v>
      </c>
      <c r="F176" s="636">
        <v>2734.6798911374062</v>
      </c>
      <c r="G176" s="636">
        <v>1753.0405800000001</v>
      </c>
      <c r="H176" s="636">
        <v>3705.326503360644</v>
      </c>
      <c r="I176" s="637">
        <v>2181.4110000000005</v>
      </c>
      <c r="J176" s="638">
        <v>835.60199999999998</v>
      </c>
      <c r="K176" s="639">
        <v>891.69799999999998</v>
      </c>
      <c r="L176" s="407">
        <v>4.3710000000000004</v>
      </c>
      <c r="M176" s="295">
        <v>47.995999999999995</v>
      </c>
      <c r="N176" s="391">
        <v>19.841000000000001</v>
      </c>
      <c r="O176" s="288">
        <v>9.3895</v>
      </c>
      <c r="P176" s="288">
        <v>21.96</v>
      </c>
      <c r="Q176" s="288">
        <v>0.625</v>
      </c>
      <c r="R176" s="289">
        <v>2.4496000000000002</v>
      </c>
      <c r="S176" s="426">
        <v>14.851000000000001</v>
      </c>
    </row>
    <row r="177" spans="2:19" x14ac:dyDescent="0.2">
      <c r="B177" s="417" t="s">
        <v>547</v>
      </c>
      <c r="C177" s="416" t="s">
        <v>548</v>
      </c>
      <c r="D177" s="635">
        <v>17972.732706525363</v>
      </c>
      <c r="E177" s="636">
        <v>15214.87642274797</v>
      </c>
      <c r="F177" s="636">
        <v>13345.624712096527</v>
      </c>
      <c r="G177" s="636">
        <v>16625.812379999999</v>
      </c>
      <c r="H177" s="636">
        <v>12668.186626942828</v>
      </c>
      <c r="I177" s="637">
        <v>4096.7449100000013</v>
      </c>
      <c r="J177" s="638">
        <v>13199.73</v>
      </c>
      <c r="K177" s="639">
        <v>12305.11522</v>
      </c>
      <c r="L177" s="407">
        <v>14268.565000000001</v>
      </c>
      <c r="M177" s="295">
        <v>18811.006639999996</v>
      </c>
      <c r="N177" s="391">
        <v>18295.342059999999</v>
      </c>
      <c r="O177" s="288">
        <v>17520.981769999999</v>
      </c>
      <c r="P177" s="288">
        <v>20175.562000000002</v>
      </c>
      <c r="Q177" s="288">
        <v>10001.651000000002</v>
      </c>
      <c r="R177" s="289">
        <v>1946.7950000000001</v>
      </c>
      <c r="S177" s="426">
        <v>1868.413</v>
      </c>
    </row>
    <row r="178" spans="2:19" x14ac:dyDescent="0.2">
      <c r="B178" s="417" t="s">
        <v>549</v>
      </c>
      <c r="C178" s="416" t="s">
        <v>550</v>
      </c>
      <c r="D178" s="635">
        <v>200870.71027456719</v>
      </c>
      <c r="E178" s="636">
        <v>134689.76622190123</v>
      </c>
      <c r="F178" s="636">
        <v>124038.39182757003</v>
      </c>
      <c r="G178" s="636">
        <v>105685.98260999979</v>
      </c>
      <c r="H178" s="636">
        <v>81808.044020783214</v>
      </c>
      <c r="I178" s="637">
        <v>103890.92681000003</v>
      </c>
      <c r="J178" s="638">
        <v>75336.469960000133</v>
      </c>
      <c r="K178" s="639">
        <v>62442.389480000034</v>
      </c>
      <c r="L178" s="407">
        <v>58482.889410000003</v>
      </c>
      <c r="M178" s="295">
        <v>54200.444970000062</v>
      </c>
      <c r="N178" s="391">
        <v>77271.630339999974</v>
      </c>
      <c r="O178" s="288">
        <v>60584.671320000001</v>
      </c>
      <c r="P178" s="288">
        <v>41903.505149999997</v>
      </c>
      <c r="Q178" s="288">
        <v>37087.540240000002</v>
      </c>
      <c r="R178" s="289">
        <v>41387.013050000001</v>
      </c>
      <c r="S178" s="426">
        <v>50960.469450000011</v>
      </c>
    </row>
    <row r="179" spans="2:19" x14ac:dyDescent="0.2">
      <c r="B179" s="417" t="s">
        <v>551</v>
      </c>
      <c r="C179" s="416" t="s">
        <v>552</v>
      </c>
      <c r="D179" s="635">
        <v>232327.48740443785</v>
      </c>
      <c r="E179" s="636">
        <v>206219.93680721347</v>
      </c>
      <c r="F179" s="636">
        <v>244308.42890315992</v>
      </c>
      <c r="G179" s="636">
        <v>225930.36056000012</v>
      </c>
      <c r="H179" s="636">
        <v>225302.97604500479</v>
      </c>
      <c r="I179" s="637">
        <v>1741369.5166099996</v>
      </c>
      <c r="J179" s="638">
        <v>2145769.7913099998</v>
      </c>
      <c r="K179" s="639">
        <v>1885640.1218800002</v>
      </c>
      <c r="L179" s="407">
        <v>868876.90367000003</v>
      </c>
      <c r="M179" s="295">
        <v>65738.690369999997</v>
      </c>
      <c r="N179" s="391">
        <v>82016.754580000008</v>
      </c>
      <c r="O179" s="288">
        <v>100347.64672000002</v>
      </c>
      <c r="P179" s="288">
        <v>140749.32899000001</v>
      </c>
      <c r="Q179" s="288">
        <v>275327.94595999998</v>
      </c>
      <c r="R179" s="289">
        <v>299430.50264000002</v>
      </c>
      <c r="S179" s="426">
        <v>322098.8395</v>
      </c>
    </row>
    <row r="180" spans="2:19" x14ac:dyDescent="0.2">
      <c r="B180" s="417" t="s">
        <v>553</v>
      </c>
      <c r="C180" s="416" t="s">
        <v>554</v>
      </c>
      <c r="D180" s="635">
        <v>55531.183790452575</v>
      </c>
      <c r="E180" s="636">
        <v>46800.692230046145</v>
      </c>
      <c r="F180" s="636">
        <v>42189.316800080131</v>
      </c>
      <c r="G180" s="636">
        <v>40022.842810000118</v>
      </c>
      <c r="H180" s="636">
        <v>47436.212819342196</v>
      </c>
      <c r="I180" s="637">
        <v>9874.0833500000026</v>
      </c>
      <c r="J180" s="638">
        <v>10010.449799999995</v>
      </c>
      <c r="K180" s="639">
        <v>9482.2854799999986</v>
      </c>
      <c r="L180" s="407">
        <v>8770.0190000000021</v>
      </c>
      <c r="M180" s="295">
        <v>9763.0186800000047</v>
      </c>
      <c r="N180" s="391">
        <v>6286.8242099999989</v>
      </c>
      <c r="O180" s="288">
        <v>6932.1787700000004</v>
      </c>
      <c r="P180" s="288">
        <v>5445.8491299999996</v>
      </c>
      <c r="Q180" s="288">
        <v>4298.788230000001</v>
      </c>
      <c r="R180" s="289">
        <v>4149.6464099999976</v>
      </c>
      <c r="S180" s="426">
        <v>5023.1711299999988</v>
      </c>
    </row>
    <row r="181" spans="2:19" x14ac:dyDescent="0.2">
      <c r="B181" s="417" t="s">
        <v>555</v>
      </c>
      <c r="C181" s="416" t="s">
        <v>556</v>
      </c>
      <c r="D181" s="635">
        <v>6264.1478776030708</v>
      </c>
      <c r="E181" s="636">
        <v>14652.706421821309</v>
      </c>
      <c r="F181" s="636">
        <v>29112.801119520176</v>
      </c>
      <c r="G181" s="636">
        <v>27927.306369999988</v>
      </c>
      <c r="H181" s="636">
        <v>30052.552060977439</v>
      </c>
      <c r="I181" s="637">
        <v>3478.5624999999995</v>
      </c>
      <c r="J181" s="638">
        <v>2861.1631000000002</v>
      </c>
      <c r="K181" s="639">
        <v>2405.3104999999996</v>
      </c>
      <c r="L181" s="407">
        <v>1938.5520000000001</v>
      </c>
      <c r="M181" s="295">
        <v>1115.5019999999993</v>
      </c>
      <c r="N181" s="391">
        <v>2058.6634999999997</v>
      </c>
      <c r="O181" s="288">
        <v>2214.4009999999998</v>
      </c>
      <c r="P181" s="288">
        <v>1860.5272000000002</v>
      </c>
      <c r="Q181" s="288">
        <v>1472.8195000000003</v>
      </c>
      <c r="R181" s="289">
        <v>1368.3023199999998</v>
      </c>
      <c r="S181" s="426">
        <v>1558.0840000000001</v>
      </c>
    </row>
    <row r="182" spans="2:19" x14ac:dyDescent="0.2">
      <c r="B182" s="417" t="s">
        <v>557</v>
      </c>
      <c r="C182" s="416" t="s">
        <v>558</v>
      </c>
      <c r="D182" s="635">
        <v>10249.693719617091</v>
      </c>
      <c r="E182" s="636">
        <v>6946.8747236068266</v>
      </c>
      <c r="F182" s="636">
        <v>12744.38481558417</v>
      </c>
      <c r="G182" s="636">
        <v>12061.612879999991</v>
      </c>
      <c r="H182" s="636">
        <v>11480.847514463909</v>
      </c>
      <c r="I182" s="637">
        <v>23231.087750000002</v>
      </c>
      <c r="J182" s="638">
        <v>5989.0430200000001</v>
      </c>
      <c r="K182" s="639">
        <v>8863.7879999999986</v>
      </c>
      <c r="L182" s="407">
        <v>6258.84</v>
      </c>
      <c r="M182" s="295">
        <v>17905.778160000002</v>
      </c>
      <c r="N182" s="391">
        <v>19635.136590000002</v>
      </c>
      <c r="O182" s="288">
        <v>28591.902120000002</v>
      </c>
      <c r="P182" s="288">
        <v>30157.430039999999</v>
      </c>
      <c r="Q182" s="288">
        <v>24162.7045</v>
      </c>
      <c r="R182" s="289">
        <v>19754.575440000001</v>
      </c>
      <c r="S182" s="426">
        <v>36455.603199999998</v>
      </c>
    </row>
    <row r="183" spans="2:19" x14ac:dyDescent="0.2">
      <c r="B183" s="417" t="s">
        <v>559</v>
      </c>
      <c r="C183" s="416" t="s">
        <v>560</v>
      </c>
      <c r="D183" s="635">
        <v>94455.310508213879</v>
      </c>
      <c r="E183" s="636">
        <v>104131.81209942749</v>
      </c>
      <c r="F183" s="636">
        <v>95852.948758808896</v>
      </c>
      <c r="G183" s="636">
        <v>113869.36818000006</v>
      </c>
      <c r="H183" s="636">
        <v>106084.04523963644</v>
      </c>
      <c r="I183" s="637">
        <v>100914.4017</v>
      </c>
      <c r="J183" s="638">
        <v>99345.320229999867</v>
      </c>
      <c r="K183" s="639">
        <v>92856.709360000008</v>
      </c>
      <c r="L183" s="407">
        <v>69766.199099999998</v>
      </c>
      <c r="M183" s="295">
        <v>60449.953390000082</v>
      </c>
      <c r="N183" s="391">
        <v>67419.199859999993</v>
      </c>
      <c r="O183" s="288">
        <v>64849.001399999994</v>
      </c>
      <c r="P183" s="288">
        <v>55506.948319999996</v>
      </c>
      <c r="Q183" s="288">
        <v>59404.388519999993</v>
      </c>
      <c r="R183" s="289">
        <v>54127.542719999998</v>
      </c>
      <c r="S183" s="426">
        <v>51806.30134000002</v>
      </c>
    </row>
    <row r="184" spans="2:19" x14ac:dyDescent="0.2">
      <c r="B184" s="417" t="s">
        <v>561</v>
      </c>
      <c r="C184" s="416" t="s">
        <v>562</v>
      </c>
      <c r="D184" s="635">
        <v>46437.081051113084</v>
      </c>
      <c r="E184" s="636">
        <v>39321.944778286314</v>
      </c>
      <c r="F184" s="636">
        <v>43246.580290015248</v>
      </c>
      <c r="G184" s="636">
        <v>54756.012879999995</v>
      </c>
      <c r="H184" s="636">
        <v>51630.012422845699</v>
      </c>
      <c r="I184" s="637">
        <v>26545.557210000054</v>
      </c>
      <c r="J184" s="638">
        <v>30321.780080000062</v>
      </c>
      <c r="K184" s="639">
        <v>32357.95719999999</v>
      </c>
      <c r="L184" s="407">
        <v>27807.432000000004</v>
      </c>
      <c r="M184" s="295">
        <v>24434.331750000023</v>
      </c>
      <c r="N184" s="391">
        <v>18911.7346</v>
      </c>
      <c r="O184" s="288">
        <v>10866.750299999998</v>
      </c>
      <c r="P184" s="288">
        <v>6754.1697599999998</v>
      </c>
      <c r="Q184" s="288">
        <v>6260.3392299999996</v>
      </c>
      <c r="R184" s="289">
        <v>7495.8682999999992</v>
      </c>
      <c r="S184" s="426">
        <v>7111.8381299999946</v>
      </c>
    </row>
    <row r="185" spans="2:19" x14ac:dyDescent="0.2">
      <c r="B185" s="417" t="s">
        <v>563</v>
      </c>
      <c r="C185" s="416" t="s">
        <v>564</v>
      </c>
      <c r="D185" s="635">
        <v>587374.21035951155</v>
      </c>
      <c r="E185" s="636">
        <v>466990.51030283223</v>
      </c>
      <c r="F185" s="636">
        <v>501691.10600285407</v>
      </c>
      <c r="G185" s="636">
        <v>511372.52698999899</v>
      </c>
      <c r="H185" s="636">
        <v>559845.5170907533</v>
      </c>
      <c r="I185" s="637">
        <v>182204.35033999998</v>
      </c>
      <c r="J185" s="638">
        <v>191572.50689999998</v>
      </c>
      <c r="K185" s="639">
        <v>163380.06347999902</v>
      </c>
      <c r="L185" s="407">
        <v>139447.02100000001</v>
      </c>
      <c r="M185" s="295">
        <v>143916.23328999992</v>
      </c>
      <c r="N185" s="391">
        <v>145041.85273999997</v>
      </c>
      <c r="O185" s="288">
        <v>123395.96162</v>
      </c>
      <c r="P185" s="288">
        <v>115290.91587</v>
      </c>
      <c r="Q185" s="288">
        <v>106417.55709999999</v>
      </c>
      <c r="R185" s="289">
        <v>99277.378660000017</v>
      </c>
      <c r="S185" s="426">
        <v>110867.21224000007</v>
      </c>
    </row>
    <row r="186" spans="2:19" x14ac:dyDescent="0.2">
      <c r="B186" s="417" t="s">
        <v>565</v>
      </c>
      <c r="C186" s="416" t="s">
        <v>566</v>
      </c>
      <c r="D186" s="635">
        <v>12398.414551537291</v>
      </c>
      <c r="E186" s="636">
        <v>16290.31973655615</v>
      </c>
      <c r="F186" s="636">
        <v>18565.487311175093</v>
      </c>
      <c r="G186" s="636">
        <v>11660.293060000007</v>
      </c>
      <c r="H186" s="636">
        <v>14424.318473572552</v>
      </c>
      <c r="I186" s="637">
        <v>289.78649999999982</v>
      </c>
      <c r="J186" s="638">
        <v>185.23555000000002</v>
      </c>
      <c r="K186" s="639">
        <v>188.59400000000002</v>
      </c>
      <c r="L186" s="407">
        <v>220.00700000000001</v>
      </c>
      <c r="M186" s="295">
        <v>413.45970000000005</v>
      </c>
      <c r="N186" s="391">
        <v>1114.5687500000001</v>
      </c>
      <c r="O186" s="288">
        <v>3071.5862500000003</v>
      </c>
      <c r="P186" s="288">
        <v>694.74515999999994</v>
      </c>
      <c r="Q186" s="288">
        <v>344.92500000000001</v>
      </c>
      <c r="R186" s="289">
        <v>191.13147999999998</v>
      </c>
      <c r="S186" s="426">
        <v>243.90300999999999</v>
      </c>
    </row>
    <row r="187" spans="2:19" x14ac:dyDescent="0.2">
      <c r="B187" s="417" t="s">
        <v>567</v>
      </c>
      <c r="C187" s="416" t="s">
        <v>568</v>
      </c>
      <c r="D187" s="635">
        <v>7567.7885442202314</v>
      </c>
      <c r="E187" s="636">
        <v>10031.301476787943</v>
      </c>
      <c r="F187" s="636">
        <v>3229.2577328135776</v>
      </c>
      <c r="G187" s="636">
        <v>5131.0688400000008</v>
      </c>
      <c r="H187" s="636">
        <v>9415.1729614790529</v>
      </c>
      <c r="I187" s="637">
        <v>10646.615139999989</v>
      </c>
      <c r="J187" s="638">
        <v>6597.2354500000056</v>
      </c>
      <c r="K187" s="639">
        <v>5667.9071799999911</v>
      </c>
      <c r="L187" s="407">
        <v>4325.4319199999982</v>
      </c>
      <c r="M187" s="295">
        <v>5850.6805600000025</v>
      </c>
      <c r="N187" s="391">
        <v>5184.0388400000011</v>
      </c>
      <c r="O187" s="288">
        <v>4699.7863499999994</v>
      </c>
      <c r="P187" s="288">
        <v>3917.1364000000003</v>
      </c>
      <c r="Q187" s="288">
        <v>4351.4604899999995</v>
      </c>
      <c r="R187" s="289">
        <v>3323.1577199999992</v>
      </c>
      <c r="S187" s="426">
        <v>3334.301030000001</v>
      </c>
    </row>
    <row r="188" spans="2:19" x14ac:dyDescent="0.2">
      <c r="B188" s="417" t="s">
        <v>569</v>
      </c>
      <c r="C188" s="416" t="s">
        <v>603</v>
      </c>
      <c r="D188" s="635">
        <v>145404.95668963599</v>
      </c>
      <c r="E188" s="636">
        <v>74935.267815627725</v>
      </c>
      <c r="F188" s="636">
        <v>68883.841029031872</v>
      </c>
      <c r="G188" s="636">
        <v>48691.05632000004</v>
      </c>
      <c r="H188" s="636">
        <v>56970.520586592655</v>
      </c>
      <c r="I188" s="637">
        <v>103462.11870000002</v>
      </c>
      <c r="J188" s="638">
        <v>101411.11474000016</v>
      </c>
      <c r="K188" s="639">
        <v>85229.496309999828</v>
      </c>
      <c r="L188" s="407">
        <v>77765.017269999982</v>
      </c>
      <c r="M188" s="295">
        <v>75105.090899999923</v>
      </c>
      <c r="N188" s="391">
        <v>80913.349400000006</v>
      </c>
      <c r="O188" s="288">
        <v>71242.80611000002</v>
      </c>
      <c r="P188" s="288">
        <v>74778.043770000018</v>
      </c>
      <c r="Q188" s="288">
        <v>57118.810959999995</v>
      </c>
      <c r="R188" s="289">
        <v>59537.814070000008</v>
      </c>
      <c r="S188" s="426">
        <v>61660.908399999986</v>
      </c>
    </row>
    <row r="189" spans="2:19" x14ac:dyDescent="0.2">
      <c r="B189" s="417" t="s">
        <v>571</v>
      </c>
      <c r="C189" s="416" t="s">
        <v>572</v>
      </c>
      <c r="D189" s="635">
        <v>6319.2728752999683</v>
      </c>
      <c r="E189" s="636">
        <v>6364.2832433987642</v>
      </c>
      <c r="F189" s="636">
        <v>18395.221254821907</v>
      </c>
      <c r="G189" s="636">
        <v>5628.3572799999965</v>
      </c>
      <c r="H189" s="636">
        <v>22942.780089308268</v>
      </c>
      <c r="I189" s="637">
        <v>29465.284280000022</v>
      </c>
      <c r="J189" s="638">
        <v>48397.556000000004</v>
      </c>
      <c r="K189" s="639">
        <v>74653.069899999973</v>
      </c>
      <c r="L189" s="407">
        <v>64715.651100000003</v>
      </c>
      <c r="M189" s="295">
        <v>133023.87415999992</v>
      </c>
      <c r="N189" s="391">
        <v>178240.1979</v>
      </c>
      <c r="O189" s="288">
        <v>139852.01321000009</v>
      </c>
      <c r="P189" s="288">
        <v>106751.75300000001</v>
      </c>
      <c r="Q189" s="288">
        <v>122457.74579</v>
      </c>
      <c r="R189" s="289">
        <v>148243.79550000001</v>
      </c>
      <c r="S189" s="426">
        <v>209927.42695000002</v>
      </c>
    </row>
    <row r="190" spans="2:19" x14ac:dyDescent="0.2">
      <c r="B190" s="417" t="s">
        <v>573</v>
      </c>
      <c r="C190" s="416" t="s">
        <v>574</v>
      </c>
      <c r="D190" s="635">
        <v>2093.6863401520532</v>
      </c>
      <c r="E190" s="636">
        <v>1766.4638108464424</v>
      </c>
      <c r="F190" s="636">
        <v>2806.7139600642367</v>
      </c>
      <c r="G190" s="636">
        <v>1803.73055</v>
      </c>
      <c r="H190" s="636">
        <v>1963.8997988828633</v>
      </c>
      <c r="I190" s="637">
        <v>56526.587659999997</v>
      </c>
      <c r="J190" s="638">
        <v>56499.11950000003</v>
      </c>
      <c r="K190" s="639">
        <v>52235.49203999991</v>
      </c>
      <c r="L190" s="407">
        <v>61087.994390000058</v>
      </c>
      <c r="M190" s="295">
        <v>59429.974689999995</v>
      </c>
      <c r="N190" s="391">
        <v>58834.178879999999</v>
      </c>
      <c r="O190" s="288">
        <v>62364.914769999988</v>
      </c>
      <c r="P190" s="288">
        <v>60100.840660000023</v>
      </c>
      <c r="Q190" s="288">
        <v>58172.131430000009</v>
      </c>
      <c r="R190" s="289">
        <v>54591.088479999991</v>
      </c>
      <c r="S190" s="426">
        <v>45117.298069999975</v>
      </c>
    </row>
    <row r="191" spans="2:19" x14ac:dyDescent="0.2">
      <c r="B191" s="417" t="s">
        <v>575</v>
      </c>
      <c r="C191" s="416" t="s">
        <v>576</v>
      </c>
      <c r="D191" s="635">
        <v>33274.416344564408</v>
      </c>
      <c r="E191" s="636">
        <v>40729.208292001858</v>
      </c>
      <c r="F191" s="636">
        <v>61655.324029281968</v>
      </c>
      <c r="G191" s="636">
        <v>78458.90943</v>
      </c>
      <c r="H191" s="636">
        <v>124235.63766334765</v>
      </c>
      <c r="I191" s="637">
        <v>141947.93032999986</v>
      </c>
      <c r="J191" s="638">
        <v>126389.24318000006</v>
      </c>
      <c r="K191" s="639">
        <v>211709.73746000009</v>
      </c>
      <c r="L191" s="407">
        <v>120712.6005</v>
      </c>
      <c r="M191" s="295">
        <v>122308.75787999998</v>
      </c>
      <c r="N191" s="391">
        <v>132397.21794</v>
      </c>
      <c r="O191" s="288">
        <v>163624.91435000001</v>
      </c>
      <c r="P191" s="288">
        <v>207382.59554000001</v>
      </c>
      <c r="Q191" s="288">
        <v>276792.158</v>
      </c>
      <c r="R191" s="289">
        <v>293049.26668</v>
      </c>
      <c r="S191" s="426">
        <v>337077.09050000017</v>
      </c>
    </row>
    <row r="192" spans="2:19" x14ac:dyDescent="0.2">
      <c r="B192" s="417" t="s">
        <v>577</v>
      </c>
      <c r="C192" s="416" t="s">
        <v>578</v>
      </c>
      <c r="D192" s="635">
        <v>87647.172342541424</v>
      </c>
      <c r="E192" s="636">
        <v>14433.877954905161</v>
      </c>
      <c r="F192" s="636">
        <v>16527.660098698409</v>
      </c>
      <c r="G192" s="636">
        <v>14462.287350000002</v>
      </c>
      <c r="H192" s="636">
        <v>13245.601291980027</v>
      </c>
      <c r="I192" s="637">
        <v>2514.6382900000003</v>
      </c>
      <c r="J192" s="638">
        <v>2065.2320999999961</v>
      </c>
      <c r="K192" s="639">
        <v>1337.7644799999998</v>
      </c>
      <c r="L192" s="407">
        <v>1354.5616899999998</v>
      </c>
      <c r="M192" s="295">
        <v>2509.1896400000028</v>
      </c>
      <c r="N192" s="391">
        <v>1973.8328400000003</v>
      </c>
      <c r="O192" s="288">
        <v>1885.0268299999998</v>
      </c>
      <c r="P192" s="288">
        <v>880.48327000000006</v>
      </c>
      <c r="Q192" s="288">
        <v>1053.98351</v>
      </c>
      <c r="R192" s="289">
        <v>950.94071999999983</v>
      </c>
      <c r="S192" s="426">
        <v>1424.4331200000004</v>
      </c>
    </row>
    <row r="193" spans="2:19" x14ac:dyDescent="0.2">
      <c r="B193" s="418">
        <v>99</v>
      </c>
      <c r="C193" s="419" t="s">
        <v>604</v>
      </c>
      <c r="D193" s="640">
        <v>17416.14572063752</v>
      </c>
      <c r="E193" s="641">
        <v>18884.405616724398</v>
      </c>
      <c r="F193" s="641">
        <v>23227.387782128626</v>
      </c>
      <c r="G193" s="641">
        <v>48076.731359999991</v>
      </c>
      <c r="H193" s="641">
        <v>24546.399622725323</v>
      </c>
      <c r="I193" s="391">
        <v>0</v>
      </c>
      <c r="J193" s="391">
        <v>0</v>
      </c>
      <c r="K193" s="391">
        <v>0</v>
      </c>
      <c r="L193" s="391">
        <v>0</v>
      </c>
      <c r="M193" s="391">
        <v>0</v>
      </c>
      <c r="N193" s="391">
        <v>0</v>
      </c>
      <c r="O193" s="391">
        <v>0</v>
      </c>
      <c r="P193" s="391">
        <v>0</v>
      </c>
      <c r="Q193" s="409">
        <v>0</v>
      </c>
      <c r="R193" s="642">
        <v>1</v>
      </c>
      <c r="S193" s="643">
        <v>0</v>
      </c>
    </row>
    <row r="194" spans="2:19" x14ac:dyDescent="0.2">
      <c r="B194" s="848" t="s">
        <v>157</v>
      </c>
      <c r="C194" s="849"/>
      <c r="D194" s="420">
        <f t="shared" ref="D194:Q194" si="10">SUM(D173:D193)</f>
        <v>1575726.1630987898</v>
      </c>
      <c r="E194" s="421">
        <f t="shared" si="10"/>
        <v>1227085.9946796219</v>
      </c>
      <c r="F194" s="421">
        <f t="shared" si="10"/>
        <v>1329678.1149568264</v>
      </c>
      <c r="G194" s="421">
        <f t="shared" si="10"/>
        <v>1334725.9752199992</v>
      </c>
      <c r="H194" s="421">
        <f t="shared" si="10"/>
        <v>1409791.3920063179</v>
      </c>
      <c r="I194" s="421">
        <f t="shared" si="10"/>
        <v>2564480.1741799996</v>
      </c>
      <c r="J194" s="421">
        <f t="shared" si="10"/>
        <v>2926271.4373499998</v>
      </c>
      <c r="K194" s="421">
        <f t="shared" si="10"/>
        <v>2707096.2245699991</v>
      </c>
      <c r="L194" s="421">
        <f t="shared" si="10"/>
        <v>1530964.2850499996</v>
      </c>
      <c r="M194" s="421">
        <f t="shared" si="10"/>
        <v>803240.60262999986</v>
      </c>
      <c r="N194" s="421">
        <f t="shared" si="10"/>
        <v>903551.35223000008</v>
      </c>
      <c r="O194" s="421">
        <f t="shared" si="10"/>
        <v>867420.61800000013</v>
      </c>
      <c r="P194" s="421">
        <f t="shared" si="10"/>
        <v>883101.37236000004</v>
      </c>
      <c r="Q194" s="421">
        <f t="shared" si="10"/>
        <v>1053826.3128899999</v>
      </c>
      <c r="R194" s="422">
        <f t="shared" ref="R194:S194" si="11">SUM(R173:R193)</f>
        <v>1103850.3609900002</v>
      </c>
      <c r="S194" s="422">
        <f t="shared" si="11"/>
        <v>1271363.44707</v>
      </c>
    </row>
  </sheetData>
  <mergeCells count="61">
    <mergeCell ref="D17:S17"/>
    <mergeCell ref="D43:S43"/>
    <mergeCell ref="D57:S57"/>
    <mergeCell ref="D73:S73"/>
    <mergeCell ref="D93:S93"/>
    <mergeCell ref="D119:S119"/>
    <mergeCell ref="D145:S145"/>
    <mergeCell ref="D171:S171"/>
    <mergeCell ref="B90:C90"/>
    <mergeCell ref="B79:C79"/>
    <mergeCell ref="B80:C80"/>
    <mergeCell ref="B81:C81"/>
    <mergeCell ref="B82:C82"/>
    <mergeCell ref="B83:C83"/>
    <mergeCell ref="B84:C84"/>
    <mergeCell ref="B85:C85"/>
    <mergeCell ref="B86:C86"/>
    <mergeCell ref="B87:C87"/>
    <mergeCell ref="B88:C88"/>
    <mergeCell ref="B89:C89"/>
    <mergeCell ref="B63:C63"/>
    <mergeCell ref="B50:C50"/>
    <mergeCell ref="B59:C59"/>
    <mergeCell ref="B60:C60"/>
    <mergeCell ref="B61:C61"/>
    <mergeCell ref="B56:J56"/>
    <mergeCell ref="B57:C58"/>
    <mergeCell ref="B52:C52"/>
    <mergeCell ref="B53:C53"/>
    <mergeCell ref="B54:C54"/>
    <mergeCell ref="B62:C62"/>
    <mergeCell ref="B194:C194"/>
    <mergeCell ref="B93:C94"/>
    <mergeCell ref="B116:C116"/>
    <mergeCell ref="B119:C120"/>
    <mergeCell ref="B142:C142"/>
    <mergeCell ref="B145:C146"/>
    <mergeCell ref="B168:C168"/>
    <mergeCell ref="B171:C172"/>
    <mergeCell ref="B78:C78"/>
    <mergeCell ref="B65:C65"/>
    <mergeCell ref="B66:C66"/>
    <mergeCell ref="B67:C67"/>
    <mergeCell ref="B64:C64"/>
    <mergeCell ref="B77:C77"/>
    <mergeCell ref="B70:C70"/>
    <mergeCell ref="B68:C68"/>
    <mergeCell ref="B69:C69"/>
    <mergeCell ref="B73:C74"/>
    <mergeCell ref="B75:C75"/>
    <mergeCell ref="B76:C76"/>
    <mergeCell ref="B17:B18"/>
    <mergeCell ref="C17:C18"/>
    <mergeCell ref="B40:C40"/>
    <mergeCell ref="B49:C49"/>
    <mergeCell ref="B51:C51"/>
    <mergeCell ref="B43:C44"/>
    <mergeCell ref="B45:C45"/>
    <mergeCell ref="B46:C46"/>
    <mergeCell ref="B47:C47"/>
    <mergeCell ref="B48:C48"/>
  </mergeCells>
  <pageMargins left="0.70866141732283472" right="0.70866141732283472" top="0.74803149606299213" bottom="0.74803149606299213" header="0.31496062992125984" footer="0.31496062992125984"/>
  <pageSetup paperSize="9" scale="57" fitToHeight="4"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DA19"/>
  <sheetViews>
    <sheetView showGridLines="0" zoomScaleNormal="100" workbookViewId="0"/>
  </sheetViews>
  <sheetFormatPr defaultRowHeight="12.75" x14ac:dyDescent="0.2"/>
  <cols>
    <col min="1" max="1" width="5.7109375" style="78" customWidth="1"/>
    <col min="2" max="2" width="33.5703125" style="78" customWidth="1"/>
    <col min="3" max="3" width="16.85546875" style="78" customWidth="1"/>
    <col min="4" max="4" width="16" style="78" customWidth="1"/>
    <col min="5" max="5" width="15.42578125" style="78" customWidth="1"/>
    <col min="6" max="6" width="18.140625" style="78" customWidth="1"/>
    <col min="7" max="7" width="17" style="78" customWidth="1"/>
    <col min="8" max="8" width="15.7109375" style="78" customWidth="1"/>
    <col min="9" max="9" width="15" style="78" customWidth="1"/>
    <col min="10" max="10" width="15.28515625" style="78" customWidth="1"/>
    <col min="11" max="11" width="12.7109375" style="78" customWidth="1"/>
    <col min="12" max="12" width="14.42578125" style="78" customWidth="1"/>
    <col min="13" max="13" width="17.7109375" style="78" customWidth="1"/>
    <col min="14" max="17" width="12" style="78" customWidth="1"/>
    <col min="18" max="18" width="14.28515625" style="78" customWidth="1"/>
    <col min="19" max="19" width="12" style="78" customWidth="1"/>
    <col min="20" max="16384" width="9.140625" style="78"/>
  </cols>
  <sheetData>
    <row r="1" spans="1:105" x14ac:dyDescent="0.2">
      <c r="A1" s="242"/>
    </row>
    <row r="2" spans="1:105" ht="18.75" x14ac:dyDescent="0.2">
      <c r="B2" s="86" t="s">
        <v>795</v>
      </c>
      <c r="D2" s="243"/>
    </row>
    <row r="3" spans="1:105" ht="18.75" x14ac:dyDescent="0.2">
      <c r="B3" s="244" t="s">
        <v>16</v>
      </c>
    </row>
    <row r="4" spans="1:105" ht="15.75" x14ac:dyDescent="0.2">
      <c r="B4" s="77"/>
    </row>
    <row r="5" spans="1:105" ht="12.75" customHeight="1" x14ac:dyDescent="0.2">
      <c r="B5" s="749" t="s">
        <v>22</v>
      </c>
      <c r="C5" s="753" t="s">
        <v>117</v>
      </c>
      <c r="D5" s="754"/>
      <c r="E5" s="754"/>
      <c r="F5" s="754"/>
      <c r="G5" s="754"/>
      <c r="H5" s="754"/>
      <c r="I5" s="754"/>
      <c r="J5" s="754"/>
      <c r="K5" s="754"/>
      <c r="L5" s="747" t="s">
        <v>118</v>
      </c>
    </row>
    <row r="6" spans="1:105" s="15" customFormat="1" ht="37.5" customHeight="1" x14ac:dyDescent="0.2">
      <c r="A6" s="13"/>
      <c r="B6" s="750"/>
      <c r="C6" s="87" t="s">
        <v>119</v>
      </c>
      <c r="D6" s="87" t="s">
        <v>120</v>
      </c>
      <c r="E6" s="87" t="s">
        <v>121</v>
      </c>
      <c r="F6" s="87" t="s">
        <v>67</v>
      </c>
      <c r="G6" s="87" t="s">
        <v>122</v>
      </c>
      <c r="H6" s="87" t="s">
        <v>123</v>
      </c>
      <c r="I6" s="87" t="s">
        <v>124</v>
      </c>
      <c r="J6" s="87" t="s">
        <v>125</v>
      </c>
      <c r="K6" s="218" t="s">
        <v>126</v>
      </c>
      <c r="L6" s="748"/>
      <c r="M6" s="12"/>
      <c r="N6" s="12"/>
      <c r="O6" s="12"/>
      <c r="P6" s="12"/>
      <c r="Q6" s="12"/>
      <c r="R6" s="12"/>
      <c r="S6" s="12"/>
      <c r="T6" s="12"/>
      <c r="U6" s="12"/>
      <c r="V6" s="12"/>
      <c r="W6" s="12"/>
      <c r="X6" s="12"/>
      <c r="Y6" s="12"/>
      <c r="Z6" s="12"/>
      <c r="AA6" s="12"/>
      <c r="AB6" s="12"/>
      <c r="AC6" s="12"/>
      <c r="AD6" s="12"/>
      <c r="AE6" s="14"/>
    </row>
    <row r="7" spans="1:105" ht="24.95" customHeight="1" x14ac:dyDescent="0.2">
      <c r="B7" s="245" t="s">
        <v>24</v>
      </c>
      <c r="C7" s="261">
        <v>107.44264100000001</v>
      </c>
      <c r="D7" s="261">
        <v>38.691094000000007</v>
      </c>
      <c r="E7" s="261">
        <v>90.989729999999994</v>
      </c>
      <c r="F7" s="261">
        <v>131.77367900000002</v>
      </c>
      <c r="G7" s="262" t="s">
        <v>260</v>
      </c>
      <c r="H7" s="262" t="s">
        <v>260</v>
      </c>
      <c r="I7" s="262" t="s">
        <v>260</v>
      </c>
      <c r="J7" s="261">
        <v>13.537940000000001</v>
      </c>
      <c r="K7" s="261">
        <v>147.70524100000003</v>
      </c>
      <c r="L7" s="521">
        <f>SUM(C7:K7)</f>
        <v>530.14032500000008</v>
      </c>
      <c r="M7" s="246"/>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row>
    <row r="8" spans="1:105" ht="24.95" customHeight="1" x14ac:dyDescent="0.2">
      <c r="B8" s="248" t="s">
        <v>25</v>
      </c>
      <c r="C8" s="262" t="s">
        <v>260</v>
      </c>
      <c r="D8" s="262" t="s">
        <v>260</v>
      </c>
      <c r="E8" s="262" t="s">
        <v>260</v>
      </c>
      <c r="F8" s="262" t="s">
        <v>260</v>
      </c>
      <c r="G8" s="262" t="s">
        <v>260</v>
      </c>
      <c r="H8" s="262" t="s">
        <v>260</v>
      </c>
      <c r="I8" s="262" t="s">
        <v>260</v>
      </c>
      <c r="J8" s="261">
        <v>21.221919999999997</v>
      </c>
      <c r="K8" s="262" t="s">
        <v>260</v>
      </c>
      <c r="L8" s="521">
        <f t="shared" ref="L8:L12" si="0">SUM(C8:K8)</f>
        <v>21.221919999999997</v>
      </c>
      <c r="M8" s="246"/>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row>
    <row r="9" spans="1:105" ht="24.95" customHeight="1" x14ac:dyDescent="0.2">
      <c r="B9" s="248" t="s">
        <v>26</v>
      </c>
      <c r="C9" s="261">
        <v>96.694590000000048</v>
      </c>
      <c r="D9" s="261">
        <v>625.66950199999985</v>
      </c>
      <c r="E9" s="261">
        <v>510.23001999999997</v>
      </c>
      <c r="F9" s="261">
        <v>624.19554200000027</v>
      </c>
      <c r="G9" s="261">
        <v>1786.4969789999989</v>
      </c>
      <c r="H9" s="263">
        <v>600</v>
      </c>
      <c r="I9" s="262" t="s">
        <v>260</v>
      </c>
      <c r="J9" s="261">
        <v>2692.1811839999996</v>
      </c>
      <c r="K9" s="261">
        <v>480.51181800000057</v>
      </c>
      <c r="L9" s="521">
        <f t="shared" si="0"/>
        <v>7415.9796349999997</v>
      </c>
      <c r="M9" s="246"/>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row>
    <row r="10" spans="1:105" ht="24.95" customHeight="1" x14ac:dyDescent="0.2">
      <c r="B10" s="248" t="s">
        <v>27</v>
      </c>
      <c r="C10" s="261">
        <v>1851.5635490000013</v>
      </c>
      <c r="D10" s="261">
        <v>2706.4658279999953</v>
      </c>
      <c r="E10" s="261">
        <v>2663.3532150000001</v>
      </c>
      <c r="F10" s="261">
        <v>1136.8209000000011</v>
      </c>
      <c r="G10" s="261">
        <v>1082.8020930000002</v>
      </c>
      <c r="H10" s="261">
        <v>4998.2063200000057</v>
      </c>
      <c r="I10" s="261">
        <v>1513.8132490000014</v>
      </c>
      <c r="J10" s="261">
        <v>2516.8447730000021</v>
      </c>
      <c r="K10" s="261">
        <v>1749.6459689999967</v>
      </c>
      <c r="L10" s="521">
        <f t="shared" si="0"/>
        <v>20219.515896000004</v>
      </c>
      <c r="M10" s="246"/>
      <c r="N10" s="247"/>
      <c r="O10" s="247"/>
      <c r="P10" s="247"/>
      <c r="Q10" s="247"/>
      <c r="R10" s="247"/>
      <c r="S10" s="247"/>
      <c r="T10" s="247"/>
      <c r="U10" s="247"/>
      <c r="V10" s="247"/>
      <c r="W10" s="247"/>
      <c r="X10" s="247"/>
      <c r="Y10" s="247"/>
      <c r="Z10" s="247"/>
      <c r="AA10" s="247"/>
      <c r="AB10" s="247"/>
      <c r="AC10" s="247"/>
      <c r="AD10" s="247"/>
    </row>
    <row r="11" spans="1:105" ht="24.95" customHeight="1" x14ac:dyDescent="0.2">
      <c r="B11" s="249" t="s">
        <v>28</v>
      </c>
      <c r="C11" s="262" t="s">
        <v>260</v>
      </c>
      <c r="D11" s="261">
        <v>4.0074630000000004</v>
      </c>
      <c r="E11" s="261">
        <v>218.30830600000002</v>
      </c>
      <c r="F11" s="261">
        <v>57.856999999999999</v>
      </c>
      <c r="G11" s="261">
        <v>2.10006</v>
      </c>
      <c r="H11" s="262" t="s">
        <v>260</v>
      </c>
      <c r="I11" s="262" t="s">
        <v>260</v>
      </c>
      <c r="J11" s="262" t="s">
        <v>260</v>
      </c>
      <c r="K11" s="262" t="s">
        <v>260</v>
      </c>
      <c r="L11" s="521">
        <f t="shared" si="0"/>
        <v>282.272829</v>
      </c>
      <c r="M11" s="250"/>
    </row>
    <row r="12" spans="1:105" ht="24.95" customHeight="1" x14ac:dyDescent="0.2">
      <c r="B12" s="251" t="s">
        <v>13</v>
      </c>
      <c r="C12" s="261">
        <v>1076.5394470000003</v>
      </c>
      <c r="D12" s="261">
        <v>547.14906999999994</v>
      </c>
      <c r="E12" s="261">
        <v>1266.9073540000004</v>
      </c>
      <c r="F12" s="261">
        <v>2222.0239850000007</v>
      </c>
      <c r="G12" s="261">
        <v>2514.3013590000005</v>
      </c>
      <c r="H12" s="261">
        <v>4409.0098969999999</v>
      </c>
      <c r="I12" s="261">
        <v>757.29299999999989</v>
      </c>
      <c r="J12" s="261">
        <v>2791.8612130000001</v>
      </c>
      <c r="K12" s="261">
        <v>660.43291099999988</v>
      </c>
      <c r="L12" s="521">
        <f t="shared" si="0"/>
        <v>16245.518236000002</v>
      </c>
      <c r="M12" s="250"/>
    </row>
    <row r="13" spans="1:105" ht="21.75" customHeight="1" x14ac:dyDescent="0.2">
      <c r="B13" s="252" t="s">
        <v>33</v>
      </c>
      <c r="C13" s="522">
        <f>SUM(C7:C12)</f>
        <v>3132.2402270000021</v>
      </c>
      <c r="D13" s="523">
        <f t="shared" ref="D13:K13" si="1">SUM(D7:D12)</f>
        <v>3921.9829569999952</v>
      </c>
      <c r="E13" s="523">
        <f t="shared" si="1"/>
        <v>4749.788625000001</v>
      </c>
      <c r="F13" s="523">
        <f t="shared" si="1"/>
        <v>4172.6711060000016</v>
      </c>
      <c r="G13" s="523">
        <f t="shared" si="1"/>
        <v>5385.7004909999996</v>
      </c>
      <c r="H13" s="523">
        <f>SUM(H7:H12)</f>
        <v>10007.216217000005</v>
      </c>
      <c r="I13" s="523">
        <f t="shared" si="1"/>
        <v>2271.1062490000013</v>
      </c>
      <c r="J13" s="523">
        <f t="shared" si="1"/>
        <v>8035.6470300000019</v>
      </c>
      <c r="K13" s="523">
        <f t="shared" si="1"/>
        <v>3038.2959389999974</v>
      </c>
      <c r="L13" s="726">
        <f>+L12+L11+L10+L9+L8+L7</f>
        <v>44714.648841000009</v>
      </c>
      <c r="M13" s="250"/>
    </row>
    <row r="14" spans="1:105" ht="17.25" customHeight="1" x14ac:dyDescent="0.2">
      <c r="H14" s="250"/>
      <c r="L14" s="253"/>
    </row>
    <row r="15" spans="1:105" ht="17.25" customHeight="1" x14ac:dyDescent="0.2">
      <c r="B15" s="254" t="s">
        <v>31</v>
      </c>
      <c r="C15" s="255"/>
      <c r="D15" s="255"/>
      <c r="E15" s="255"/>
      <c r="F15" s="255"/>
      <c r="G15" s="255"/>
      <c r="H15" s="255"/>
      <c r="I15" s="116"/>
      <c r="K15" s="217"/>
    </row>
    <row r="16" spans="1:105" ht="15" customHeight="1" x14ac:dyDescent="0.2">
      <c r="B16" s="116" t="s">
        <v>38</v>
      </c>
      <c r="C16" s="116"/>
      <c r="D16" s="116"/>
      <c r="E16" s="116"/>
      <c r="F16" s="116"/>
      <c r="G16" s="116"/>
      <c r="H16" s="116"/>
      <c r="I16" s="116"/>
    </row>
    <row r="17" spans="2:14" ht="15" customHeight="1" x14ac:dyDescent="0.2">
      <c r="B17" s="78" t="s">
        <v>29</v>
      </c>
    </row>
    <row r="18" spans="2:14" ht="15" customHeight="1" x14ac:dyDescent="0.2">
      <c r="B18" s="751" t="s">
        <v>39</v>
      </c>
      <c r="C18" s="751"/>
      <c r="D18" s="751"/>
      <c r="E18" s="751"/>
      <c r="F18" s="751"/>
      <c r="G18" s="751"/>
      <c r="H18" s="751"/>
      <c r="I18" s="751"/>
      <c r="J18" s="752"/>
      <c r="K18" s="256"/>
      <c r="L18" s="256"/>
      <c r="M18" s="256"/>
      <c r="N18" s="257"/>
    </row>
    <row r="19" spans="2:14" ht="15" customHeight="1" x14ac:dyDescent="0.2">
      <c r="B19" s="755" t="s">
        <v>1055</v>
      </c>
      <c r="C19" s="755"/>
      <c r="D19" s="755"/>
      <c r="E19" s="755"/>
      <c r="F19" s="755"/>
      <c r="G19" s="755"/>
      <c r="H19" s="755"/>
      <c r="I19" s="755"/>
      <c r="K19" s="259"/>
      <c r="L19" s="259"/>
      <c r="M19" s="260"/>
      <c r="N19" s="257"/>
    </row>
  </sheetData>
  <mergeCells count="5">
    <mergeCell ref="L5:L6"/>
    <mergeCell ref="B5:B6"/>
    <mergeCell ref="B18:J18"/>
    <mergeCell ref="C5:K5"/>
    <mergeCell ref="B19:I19"/>
  </mergeCells>
  <phoneticPr fontId="2" type="noConversion"/>
  <pageMargins left="0.75" right="0.75" top="1" bottom="1" header="0.5" footer="0.5"/>
  <pageSetup paperSize="9" scale="71" fitToHeight="0"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45"/>
  <sheetViews>
    <sheetView showGridLines="0" zoomScaleNormal="100" zoomScaleSheetLayoutView="75" workbookViewId="0"/>
  </sheetViews>
  <sheetFormatPr defaultColWidth="9.140625" defaultRowHeight="12" customHeight="1" x14ac:dyDescent="0.2"/>
  <cols>
    <col min="1" max="1" width="5.7109375" style="382" customWidth="1"/>
    <col min="2" max="2" width="40.28515625" style="382" customWidth="1"/>
    <col min="3" max="11" width="10.42578125" style="382" customWidth="1"/>
    <col min="12" max="12" width="12" style="382" customWidth="1"/>
    <col min="13" max="13" width="2.85546875" style="382" customWidth="1"/>
    <col min="14" max="14" width="11" style="382" customWidth="1"/>
    <col min="15" max="15" width="10.28515625" style="382" customWidth="1"/>
    <col min="16" max="256" width="9.140625" style="382"/>
    <col min="257" max="257" width="5.7109375" style="382" customWidth="1"/>
    <col min="258" max="258" width="40.28515625" style="382" customWidth="1"/>
    <col min="259" max="259" width="11.7109375" style="382" bestFit="1" customWidth="1"/>
    <col min="260" max="260" width="9.85546875" style="382" bestFit="1" customWidth="1"/>
    <col min="261" max="261" width="10.28515625" style="382" bestFit="1" customWidth="1"/>
    <col min="262" max="262" width="10.42578125" style="382" bestFit="1" customWidth="1"/>
    <col min="263" max="263" width="11.28515625" style="382" customWidth="1"/>
    <col min="264" max="264" width="9.42578125" style="382" customWidth="1"/>
    <col min="265" max="265" width="14.28515625" style="382" customWidth="1"/>
    <col min="266" max="267" width="10.28515625" style="382" bestFit="1" customWidth="1"/>
    <col min="268" max="268" width="12" style="382" customWidth="1"/>
    <col min="269" max="269" width="2.85546875" style="382" customWidth="1"/>
    <col min="270" max="270" width="11" style="382" customWidth="1"/>
    <col min="271" max="271" width="10.28515625" style="382" customWidth="1"/>
    <col min="272" max="512" width="9.140625" style="382"/>
    <col min="513" max="513" width="5.7109375" style="382" customWidth="1"/>
    <col min="514" max="514" width="40.28515625" style="382" customWidth="1"/>
    <col min="515" max="515" width="11.7109375" style="382" bestFit="1" customWidth="1"/>
    <col min="516" max="516" width="9.85546875" style="382" bestFit="1" customWidth="1"/>
    <col min="517" max="517" width="10.28515625" style="382" bestFit="1" customWidth="1"/>
    <col min="518" max="518" width="10.42578125" style="382" bestFit="1" customWidth="1"/>
    <col min="519" max="519" width="11.28515625" style="382" customWidth="1"/>
    <col min="520" max="520" width="9.42578125" style="382" customWidth="1"/>
    <col min="521" max="521" width="14.28515625" style="382" customWidth="1"/>
    <col min="522" max="523" width="10.28515625" style="382" bestFit="1" customWidth="1"/>
    <col min="524" max="524" width="12" style="382" customWidth="1"/>
    <col min="525" max="525" width="2.85546875" style="382" customWidth="1"/>
    <col min="526" max="526" width="11" style="382" customWidth="1"/>
    <col min="527" max="527" width="10.28515625" style="382" customWidth="1"/>
    <col min="528" max="768" width="9.140625" style="382"/>
    <col min="769" max="769" width="5.7109375" style="382" customWidth="1"/>
    <col min="770" max="770" width="40.28515625" style="382" customWidth="1"/>
    <col min="771" max="771" width="11.7109375" style="382" bestFit="1" customWidth="1"/>
    <col min="772" max="772" width="9.85546875" style="382" bestFit="1" customWidth="1"/>
    <col min="773" max="773" width="10.28515625" style="382" bestFit="1" customWidth="1"/>
    <col min="774" max="774" width="10.42578125" style="382" bestFit="1" customWidth="1"/>
    <col min="775" max="775" width="11.28515625" style="382" customWidth="1"/>
    <col min="776" max="776" width="9.42578125" style="382" customWidth="1"/>
    <col min="777" max="777" width="14.28515625" style="382" customWidth="1"/>
    <col min="778" max="779" width="10.28515625" style="382" bestFit="1" customWidth="1"/>
    <col min="780" max="780" width="12" style="382" customWidth="1"/>
    <col min="781" max="781" width="2.85546875" style="382" customWidth="1"/>
    <col min="782" max="782" width="11" style="382" customWidth="1"/>
    <col min="783" max="783" width="10.28515625" style="382" customWidth="1"/>
    <col min="784" max="1024" width="9.140625" style="382"/>
    <col min="1025" max="1025" width="5.7109375" style="382" customWidth="1"/>
    <col min="1026" max="1026" width="40.28515625" style="382" customWidth="1"/>
    <col min="1027" max="1027" width="11.7109375" style="382" bestFit="1" customWidth="1"/>
    <col min="1028" max="1028" width="9.85546875" style="382" bestFit="1" customWidth="1"/>
    <col min="1029" max="1029" width="10.28515625" style="382" bestFit="1" customWidth="1"/>
    <col min="1030" max="1030" width="10.42578125" style="382" bestFit="1" customWidth="1"/>
    <col min="1031" max="1031" width="11.28515625" style="382" customWidth="1"/>
    <col min="1032" max="1032" width="9.42578125" style="382" customWidth="1"/>
    <col min="1033" max="1033" width="14.28515625" style="382" customWidth="1"/>
    <col min="1034" max="1035" width="10.28515625" style="382" bestFit="1" customWidth="1"/>
    <col min="1036" max="1036" width="12" style="382" customWidth="1"/>
    <col min="1037" max="1037" width="2.85546875" style="382" customWidth="1"/>
    <col min="1038" max="1038" width="11" style="382" customWidth="1"/>
    <col min="1039" max="1039" width="10.28515625" style="382" customWidth="1"/>
    <col min="1040" max="1280" width="9.140625" style="382"/>
    <col min="1281" max="1281" width="5.7109375" style="382" customWidth="1"/>
    <col min="1282" max="1282" width="40.28515625" style="382" customWidth="1"/>
    <col min="1283" max="1283" width="11.7109375" style="382" bestFit="1" customWidth="1"/>
    <col min="1284" max="1284" width="9.85546875" style="382" bestFit="1" customWidth="1"/>
    <col min="1285" max="1285" width="10.28515625" style="382" bestFit="1" customWidth="1"/>
    <col min="1286" max="1286" width="10.42578125" style="382" bestFit="1" customWidth="1"/>
    <col min="1287" max="1287" width="11.28515625" style="382" customWidth="1"/>
    <col min="1288" max="1288" width="9.42578125" style="382" customWidth="1"/>
    <col min="1289" max="1289" width="14.28515625" style="382" customWidth="1"/>
    <col min="1290" max="1291" width="10.28515625" style="382" bestFit="1" customWidth="1"/>
    <col min="1292" max="1292" width="12" style="382" customWidth="1"/>
    <col min="1293" max="1293" width="2.85546875" style="382" customWidth="1"/>
    <col min="1294" max="1294" width="11" style="382" customWidth="1"/>
    <col min="1295" max="1295" width="10.28515625" style="382" customWidth="1"/>
    <col min="1296" max="1536" width="9.140625" style="382"/>
    <col min="1537" max="1537" width="5.7109375" style="382" customWidth="1"/>
    <col min="1538" max="1538" width="40.28515625" style="382" customWidth="1"/>
    <col min="1539" max="1539" width="11.7109375" style="382" bestFit="1" customWidth="1"/>
    <col min="1540" max="1540" width="9.85546875" style="382" bestFit="1" customWidth="1"/>
    <col min="1541" max="1541" width="10.28515625" style="382" bestFit="1" customWidth="1"/>
    <col min="1542" max="1542" width="10.42578125" style="382" bestFit="1" customWidth="1"/>
    <col min="1543" max="1543" width="11.28515625" style="382" customWidth="1"/>
    <col min="1544" max="1544" width="9.42578125" style="382" customWidth="1"/>
    <col min="1545" max="1545" width="14.28515625" style="382" customWidth="1"/>
    <col min="1546" max="1547" width="10.28515625" style="382" bestFit="1" customWidth="1"/>
    <col min="1548" max="1548" width="12" style="382" customWidth="1"/>
    <col min="1549" max="1549" width="2.85546875" style="382" customWidth="1"/>
    <col min="1550" max="1550" width="11" style="382" customWidth="1"/>
    <col min="1551" max="1551" width="10.28515625" style="382" customWidth="1"/>
    <col min="1552" max="1792" width="9.140625" style="382"/>
    <col min="1793" max="1793" width="5.7109375" style="382" customWidth="1"/>
    <col min="1794" max="1794" width="40.28515625" style="382" customWidth="1"/>
    <col min="1795" max="1795" width="11.7109375" style="382" bestFit="1" customWidth="1"/>
    <col min="1796" max="1796" width="9.85546875" style="382" bestFit="1" customWidth="1"/>
    <col min="1797" max="1797" width="10.28515625" style="382" bestFit="1" customWidth="1"/>
    <col min="1798" max="1798" width="10.42578125" style="382" bestFit="1" customWidth="1"/>
    <col min="1799" max="1799" width="11.28515625" style="382" customWidth="1"/>
    <col min="1800" max="1800" width="9.42578125" style="382" customWidth="1"/>
    <col min="1801" max="1801" width="14.28515625" style="382" customWidth="1"/>
    <col min="1802" max="1803" width="10.28515625" style="382" bestFit="1" customWidth="1"/>
    <col min="1804" max="1804" width="12" style="382" customWidth="1"/>
    <col min="1805" max="1805" width="2.85546875" style="382" customWidth="1"/>
    <col min="1806" max="1806" width="11" style="382" customWidth="1"/>
    <col min="1807" max="1807" width="10.28515625" style="382" customWidth="1"/>
    <col min="1808" max="2048" width="9.140625" style="382"/>
    <col min="2049" max="2049" width="5.7109375" style="382" customWidth="1"/>
    <col min="2050" max="2050" width="40.28515625" style="382" customWidth="1"/>
    <col min="2051" max="2051" width="11.7109375" style="382" bestFit="1" customWidth="1"/>
    <col min="2052" max="2052" width="9.85546875" style="382" bestFit="1" customWidth="1"/>
    <col min="2053" max="2053" width="10.28515625" style="382" bestFit="1" customWidth="1"/>
    <col min="2054" max="2054" width="10.42578125" style="382" bestFit="1" customWidth="1"/>
    <col min="2055" max="2055" width="11.28515625" style="382" customWidth="1"/>
    <col min="2056" max="2056" width="9.42578125" style="382" customWidth="1"/>
    <col min="2057" max="2057" width="14.28515625" style="382" customWidth="1"/>
    <col min="2058" max="2059" width="10.28515625" style="382" bestFit="1" customWidth="1"/>
    <col min="2060" max="2060" width="12" style="382" customWidth="1"/>
    <col min="2061" max="2061" width="2.85546875" style="382" customWidth="1"/>
    <col min="2062" max="2062" width="11" style="382" customWidth="1"/>
    <col min="2063" max="2063" width="10.28515625" style="382" customWidth="1"/>
    <col min="2064" max="2304" width="9.140625" style="382"/>
    <col min="2305" max="2305" width="5.7109375" style="382" customWidth="1"/>
    <col min="2306" max="2306" width="40.28515625" style="382" customWidth="1"/>
    <col min="2307" max="2307" width="11.7109375" style="382" bestFit="1" customWidth="1"/>
    <col min="2308" max="2308" width="9.85546875" style="382" bestFit="1" customWidth="1"/>
    <col min="2309" max="2309" width="10.28515625" style="382" bestFit="1" customWidth="1"/>
    <col min="2310" max="2310" width="10.42578125" style="382" bestFit="1" customWidth="1"/>
    <col min="2311" max="2311" width="11.28515625" style="382" customWidth="1"/>
    <col min="2312" max="2312" width="9.42578125" style="382" customWidth="1"/>
    <col min="2313" max="2313" width="14.28515625" style="382" customWidth="1"/>
    <col min="2314" max="2315" width="10.28515625" style="382" bestFit="1" customWidth="1"/>
    <col min="2316" max="2316" width="12" style="382" customWidth="1"/>
    <col min="2317" max="2317" width="2.85546875" style="382" customWidth="1"/>
    <col min="2318" max="2318" width="11" style="382" customWidth="1"/>
    <col min="2319" max="2319" width="10.28515625" style="382" customWidth="1"/>
    <col min="2320" max="2560" width="9.140625" style="382"/>
    <col min="2561" max="2561" width="5.7109375" style="382" customWidth="1"/>
    <col min="2562" max="2562" width="40.28515625" style="382" customWidth="1"/>
    <col min="2563" max="2563" width="11.7109375" style="382" bestFit="1" customWidth="1"/>
    <col min="2564" max="2564" width="9.85546875" style="382" bestFit="1" customWidth="1"/>
    <col min="2565" max="2565" width="10.28515625" style="382" bestFit="1" customWidth="1"/>
    <col min="2566" max="2566" width="10.42578125" style="382" bestFit="1" customWidth="1"/>
    <col min="2567" max="2567" width="11.28515625" style="382" customWidth="1"/>
    <col min="2568" max="2568" width="9.42578125" style="382" customWidth="1"/>
    <col min="2569" max="2569" width="14.28515625" style="382" customWidth="1"/>
    <col min="2570" max="2571" width="10.28515625" style="382" bestFit="1" customWidth="1"/>
    <col min="2572" max="2572" width="12" style="382" customWidth="1"/>
    <col min="2573" max="2573" width="2.85546875" style="382" customWidth="1"/>
    <col min="2574" max="2574" width="11" style="382" customWidth="1"/>
    <col min="2575" max="2575" width="10.28515625" style="382" customWidth="1"/>
    <col min="2576" max="2816" width="9.140625" style="382"/>
    <col min="2817" max="2817" width="5.7109375" style="382" customWidth="1"/>
    <col min="2818" max="2818" width="40.28515625" style="382" customWidth="1"/>
    <col min="2819" max="2819" width="11.7109375" style="382" bestFit="1" customWidth="1"/>
    <col min="2820" max="2820" width="9.85546875" style="382" bestFit="1" customWidth="1"/>
    <col min="2821" max="2821" width="10.28515625" style="382" bestFit="1" customWidth="1"/>
    <col min="2822" max="2822" width="10.42578125" style="382" bestFit="1" customWidth="1"/>
    <col min="2823" max="2823" width="11.28515625" style="382" customWidth="1"/>
    <col min="2824" max="2824" width="9.42578125" style="382" customWidth="1"/>
    <col min="2825" max="2825" width="14.28515625" style="382" customWidth="1"/>
    <col min="2826" max="2827" width="10.28515625" style="382" bestFit="1" customWidth="1"/>
    <col min="2828" max="2828" width="12" style="382" customWidth="1"/>
    <col min="2829" max="2829" width="2.85546875" style="382" customWidth="1"/>
    <col min="2830" max="2830" width="11" style="382" customWidth="1"/>
    <col min="2831" max="2831" width="10.28515625" style="382" customWidth="1"/>
    <col min="2832" max="3072" width="9.140625" style="382"/>
    <col min="3073" max="3073" width="5.7109375" style="382" customWidth="1"/>
    <col min="3074" max="3074" width="40.28515625" style="382" customWidth="1"/>
    <col min="3075" max="3075" width="11.7109375" style="382" bestFit="1" customWidth="1"/>
    <col min="3076" max="3076" width="9.85546875" style="382" bestFit="1" customWidth="1"/>
    <col min="3077" max="3077" width="10.28515625" style="382" bestFit="1" customWidth="1"/>
    <col min="3078" max="3078" width="10.42578125" style="382" bestFit="1" customWidth="1"/>
    <col min="3079" max="3079" width="11.28515625" style="382" customWidth="1"/>
    <col min="3080" max="3080" width="9.42578125" style="382" customWidth="1"/>
    <col min="3081" max="3081" width="14.28515625" style="382" customWidth="1"/>
    <col min="3082" max="3083" width="10.28515625" style="382" bestFit="1" customWidth="1"/>
    <col min="3084" max="3084" width="12" style="382" customWidth="1"/>
    <col min="3085" max="3085" width="2.85546875" style="382" customWidth="1"/>
    <col min="3086" max="3086" width="11" style="382" customWidth="1"/>
    <col min="3087" max="3087" width="10.28515625" style="382" customWidth="1"/>
    <col min="3088" max="3328" width="9.140625" style="382"/>
    <col min="3329" max="3329" width="5.7109375" style="382" customWidth="1"/>
    <col min="3330" max="3330" width="40.28515625" style="382" customWidth="1"/>
    <col min="3331" max="3331" width="11.7109375" style="382" bestFit="1" customWidth="1"/>
    <col min="3332" max="3332" width="9.85546875" style="382" bestFit="1" customWidth="1"/>
    <col min="3333" max="3333" width="10.28515625" style="382" bestFit="1" customWidth="1"/>
    <col min="3334" max="3334" width="10.42578125" style="382" bestFit="1" customWidth="1"/>
    <col min="3335" max="3335" width="11.28515625" style="382" customWidth="1"/>
    <col min="3336" max="3336" width="9.42578125" style="382" customWidth="1"/>
    <col min="3337" max="3337" width="14.28515625" style="382" customWidth="1"/>
    <col min="3338" max="3339" width="10.28515625" style="382" bestFit="1" customWidth="1"/>
    <col min="3340" max="3340" width="12" style="382" customWidth="1"/>
    <col min="3341" max="3341" width="2.85546875" style="382" customWidth="1"/>
    <col min="3342" max="3342" width="11" style="382" customWidth="1"/>
    <col min="3343" max="3343" width="10.28515625" style="382" customWidth="1"/>
    <col min="3344" max="3584" width="9.140625" style="382"/>
    <col min="3585" max="3585" width="5.7109375" style="382" customWidth="1"/>
    <col min="3586" max="3586" width="40.28515625" style="382" customWidth="1"/>
    <col min="3587" max="3587" width="11.7109375" style="382" bestFit="1" customWidth="1"/>
    <col min="3588" max="3588" width="9.85546875" style="382" bestFit="1" customWidth="1"/>
    <col min="3589" max="3589" width="10.28515625" style="382" bestFit="1" customWidth="1"/>
    <col min="3590" max="3590" width="10.42578125" style="382" bestFit="1" customWidth="1"/>
    <col min="3591" max="3591" width="11.28515625" style="382" customWidth="1"/>
    <col min="3592" max="3592" width="9.42578125" style="382" customWidth="1"/>
    <col min="3593" max="3593" width="14.28515625" style="382" customWidth="1"/>
    <col min="3594" max="3595" width="10.28515625" style="382" bestFit="1" customWidth="1"/>
    <col min="3596" max="3596" width="12" style="382" customWidth="1"/>
    <col min="3597" max="3597" width="2.85546875" style="382" customWidth="1"/>
    <col min="3598" max="3598" width="11" style="382" customWidth="1"/>
    <col min="3599" max="3599" width="10.28515625" style="382" customWidth="1"/>
    <col min="3600" max="3840" width="9.140625" style="382"/>
    <col min="3841" max="3841" width="5.7109375" style="382" customWidth="1"/>
    <col min="3842" max="3842" width="40.28515625" style="382" customWidth="1"/>
    <col min="3843" max="3843" width="11.7109375" style="382" bestFit="1" customWidth="1"/>
    <col min="3844" max="3844" width="9.85546875" style="382" bestFit="1" customWidth="1"/>
    <col min="3845" max="3845" width="10.28515625" style="382" bestFit="1" customWidth="1"/>
    <col min="3846" max="3846" width="10.42578125" style="382" bestFit="1" customWidth="1"/>
    <col min="3847" max="3847" width="11.28515625" style="382" customWidth="1"/>
    <col min="3848" max="3848" width="9.42578125" style="382" customWidth="1"/>
    <col min="3849" max="3849" width="14.28515625" style="382" customWidth="1"/>
    <col min="3850" max="3851" width="10.28515625" style="382" bestFit="1" customWidth="1"/>
    <col min="3852" max="3852" width="12" style="382" customWidth="1"/>
    <col min="3853" max="3853" width="2.85546875" style="382" customWidth="1"/>
    <col min="3854" max="3854" width="11" style="382" customWidth="1"/>
    <col min="3855" max="3855" width="10.28515625" style="382" customWidth="1"/>
    <col min="3856" max="4096" width="9.140625" style="382"/>
    <col min="4097" max="4097" width="5.7109375" style="382" customWidth="1"/>
    <col min="4098" max="4098" width="40.28515625" style="382" customWidth="1"/>
    <col min="4099" max="4099" width="11.7109375" style="382" bestFit="1" customWidth="1"/>
    <col min="4100" max="4100" width="9.85546875" style="382" bestFit="1" customWidth="1"/>
    <col min="4101" max="4101" width="10.28515625" style="382" bestFit="1" customWidth="1"/>
    <col min="4102" max="4102" width="10.42578125" style="382" bestFit="1" customWidth="1"/>
    <col min="4103" max="4103" width="11.28515625" style="382" customWidth="1"/>
    <col min="4104" max="4104" width="9.42578125" style="382" customWidth="1"/>
    <col min="4105" max="4105" width="14.28515625" style="382" customWidth="1"/>
    <col min="4106" max="4107" width="10.28515625" style="382" bestFit="1" customWidth="1"/>
    <col min="4108" max="4108" width="12" style="382" customWidth="1"/>
    <col min="4109" max="4109" width="2.85546875" style="382" customWidth="1"/>
    <col min="4110" max="4110" width="11" style="382" customWidth="1"/>
    <col min="4111" max="4111" width="10.28515625" style="382" customWidth="1"/>
    <col min="4112" max="4352" width="9.140625" style="382"/>
    <col min="4353" max="4353" width="5.7109375" style="382" customWidth="1"/>
    <col min="4354" max="4354" width="40.28515625" style="382" customWidth="1"/>
    <col min="4355" max="4355" width="11.7109375" style="382" bestFit="1" customWidth="1"/>
    <col min="4356" max="4356" width="9.85546875" style="382" bestFit="1" customWidth="1"/>
    <col min="4357" max="4357" width="10.28515625" style="382" bestFit="1" customWidth="1"/>
    <col min="4358" max="4358" width="10.42578125" style="382" bestFit="1" customWidth="1"/>
    <col min="4359" max="4359" width="11.28515625" style="382" customWidth="1"/>
    <col min="4360" max="4360" width="9.42578125" style="382" customWidth="1"/>
    <col min="4361" max="4361" width="14.28515625" style="382" customWidth="1"/>
    <col min="4362" max="4363" width="10.28515625" style="382" bestFit="1" customWidth="1"/>
    <col min="4364" max="4364" width="12" style="382" customWidth="1"/>
    <col min="4365" max="4365" width="2.85546875" style="382" customWidth="1"/>
    <col min="4366" max="4366" width="11" style="382" customWidth="1"/>
    <col min="4367" max="4367" width="10.28515625" style="382" customWidth="1"/>
    <col min="4368" max="4608" width="9.140625" style="382"/>
    <col min="4609" max="4609" width="5.7109375" style="382" customWidth="1"/>
    <col min="4610" max="4610" width="40.28515625" style="382" customWidth="1"/>
    <col min="4611" max="4611" width="11.7109375" style="382" bestFit="1" customWidth="1"/>
    <col min="4612" max="4612" width="9.85546875" style="382" bestFit="1" customWidth="1"/>
    <col min="4613" max="4613" width="10.28515625" style="382" bestFit="1" customWidth="1"/>
    <col min="4614" max="4614" width="10.42578125" style="382" bestFit="1" customWidth="1"/>
    <col min="4615" max="4615" width="11.28515625" style="382" customWidth="1"/>
    <col min="4616" max="4616" width="9.42578125" style="382" customWidth="1"/>
    <col min="4617" max="4617" width="14.28515625" style="382" customWidth="1"/>
    <col min="4618" max="4619" width="10.28515625" style="382" bestFit="1" customWidth="1"/>
    <col min="4620" max="4620" width="12" style="382" customWidth="1"/>
    <col min="4621" max="4621" width="2.85546875" style="382" customWidth="1"/>
    <col min="4622" max="4622" width="11" style="382" customWidth="1"/>
    <col min="4623" max="4623" width="10.28515625" style="382" customWidth="1"/>
    <col min="4624" max="4864" width="9.140625" style="382"/>
    <col min="4865" max="4865" width="5.7109375" style="382" customWidth="1"/>
    <col min="4866" max="4866" width="40.28515625" style="382" customWidth="1"/>
    <col min="4867" max="4867" width="11.7109375" style="382" bestFit="1" customWidth="1"/>
    <col min="4868" max="4868" width="9.85546875" style="382" bestFit="1" customWidth="1"/>
    <col min="4869" max="4869" width="10.28515625" style="382" bestFit="1" customWidth="1"/>
    <col min="4870" max="4870" width="10.42578125" style="382" bestFit="1" customWidth="1"/>
    <col min="4871" max="4871" width="11.28515625" style="382" customWidth="1"/>
    <col min="4872" max="4872" width="9.42578125" style="382" customWidth="1"/>
    <col min="4873" max="4873" width="14.28515625" style="382" customWidth="1"/>
    <col min="4874" max="4875" width="10.28515625" style="382" bestFit="1" customWidth="1"/>
    <col min="4876" max="4876" width="12" style="382" customWidth="1"/>
    <col min="4877" max="4877" width="2.85546875" style="382" customWidth="1"/>
    <col min="4878" max="4878" width="11" style="382" customWidth="1"/>
    <col min="4879" max="4879" width="10.28515625" style="382" customWidth="1"/>
    <col min="4880" max="5120" width="9.140625" style="382"/>
    <col min="5121" max="5121" width="5.7109375" style="382" customWidth="1"/>
    <col min="5122" max="5122" width="40.28515625" style="382" customWidth="1"/>
    <col min="5123" max="5123" width="11.7109375" style="382" bestFit="1" customWidth="1"/>
    <col min="5124" max="5124" width="9.85546875" style="382" bestFit="1" customWidth="1"/>
    <col min="5125" max="5125" width="10.28515625" style="382" bestFit="1" customWidth="1"/>
    <col min="5126" max="5126" width="10.42578125" style="382" bestFit="1" customWidth="1"/>
    <col min="5127" max="5127" width="11.28515625" style="382" customWidth="1"/>
    <col min="5128" max="5128" width="9.42578125" style="382" customWidth="1"/>
    <col min="5129" max="5129" width="14.28515625" style="382" customWidth="1"/>
    <col min="5130" max="5131" width="10.28515625" style="382" bestFit="1" customWidth="1"/>
    <col min="5132" max="5132" width="12" style="382" customWidth="1"/>
    <col min="5133" max="5133" width="2.85546875" style="382" customWidth="1"/>
    <col min="5134" max="5134" width="11" style="382" customWidth="1"/>
    <col min="5135" max="5135" width="10.28515625" style="382" customWidth="1"/>
    <col min="5136" max="5376" width="9.140625" style="382"/>
    <col min="5377" max="5377" width="5.7109375" style="382" customWidth="1"/>
    <col min="5378" max="5378" width="40.28515625" style="382" customWidth="1"/>
    <col min="5379" max="5379" width="11.7109375" style="382" bestFit="1" customWidth="1"/>
    <col min="5380" max="5380" width="9.85546875" style="382" bestFit="1" customWidth="1"/>
    <col min="5381" max="5381" width="10.28515625" style="382" bestFit="1" customWidth="1"/>
    <col min="5382" max="5382" width="10.42578125" style="382" bestFit="1" customWidth="1"/>
    <col min="5383" max="5383" width="11.28515625" style="382" customWidth="1"/>
    <col min="5384" max="5384" width="9.42578125" style="382" customWidth="1"/>
    <col min="5385" max="5385" width="14.28515625" style="382" customWidth="1"/>
    <col min="5386" max="5387" width="10.28515625" style="382" bestFit="1" customWidth="1"/>
    <col min="5388" max="5388" width="12" style="382" customWidth="1"/>
    <col min="5389" max="5389" width="2.85546875" style="382" customWidth="1"/>
    <col min="5390" max="5390" width="11" style="382" customWidth="1"/>
    <col min="5391" max="5391" width="10.28515625" style="382" customWidth="1"/>
    <col min="5392" max="5632" width="9.140625" style="382"/>
    <col min="5633" max="5633" width="5.7109375" style="382" customWidth="1"/>
    <col min="5634" max="5634" width="40.28515625" style="382" customWidth="1"/>
    <col min="5635" max="5635" width="11.7109375" style="382" bestFit="1" customWidth="1"/>
    <col min="5636" max="5636" width="9.85546875" style="382" bestFit="1" customWidth="1"/>
    <col min="5637" max="5637" width="10.28515625" style="382" bestFit="1" customWidth="1"/>
    <col min="5638" max="5638" width="10.42578125" style="382" bestFit="1" customWidth="1"/>
    <col min="5639" max="5639" width="11.28515625" style="382" customWidth="1"/>
    <col min="5640" max="5640" width="9.42578125" style="382" customWidth="1"/>
    <col min="5641" max="5641" width="14.28515625" style="382" customWidth="1"/>
    <col min="5642" max="5643" width="10.28515625" style="382" bestFit="1" customWidth="1"/>
    <col min="5644" max="5644" width="12" style="382" customWidth="1"/>
    <col min="5645" max="5645" width="2.85546875" style="382" customWidth="1"/>
    <col min="5646" max="5646" width="11" style="382" customWidth="1"/>
    <col min="5647" max="5647" width="10.28515625" style="382" customWidth="1"/>
    <col min="5648" max="5888" width="9.140625" style="382"/>
    <col min="5889" max="5889" width="5.7109375" style="382" customWidth="1"/>
    <col min="5890" max="5890" width="40.28515625" style="382" customWidth="1"/>
    <col min="5891" max="5891" width="11.7109375" style="382" bestFit="1" customWidth="1"/>
    <col min="5892" max="5892" width="9.85546875" style="382" bestFit="1" customWidth="1"/>
    <col min="5893" max="5893" width="10.28515625" style="382" bestFit="1" customWidth="1"/>
    <col min="5894" max="5894" width="10.42578125" style="382" bestFit="1" customWidth="1"/>
    <col min="5895" max="5895" width="11.28515625" style="382" customWidth="1"/>
    <col min="5896" max="5896" width="9.42578125" style="382" customWidth="1"/>
    <col min="5897" max="5897" width="14.28515625" style="382" customWidth="1"/>
    <col min="5898" max="5899" width="10.28515625" style="382" bestFit="1" customWidth="1"/>
    <col min="5900" max="5900" width="12" style="382" customWidth="1"/>
    <col min="5901" max="5901" width="2.85546875" style="382" customWidth="1"/>
    <col min="5902" max="5902" width="11" style="382" customWidth="1"/>
    <col min="5903" max="5903" width="10.28515625" style="382" customWidth="1"/>
    <col min="5904" max="6144" width="9.140625" style="382"/>
    <col min="6145" max="6145" width="5.7109375" style="382" customWidth="1"/>
    <col min="6146" max="6146" width="40.28515625" style="382" customWidth="1"/>
    <col min="6147" max="6147" width="11.7109375" style="382" bestFit="1" customWidth="1"/>
    <col min="6148" max="6148" width="9.85546875" style="382" bestFit="1" customWidth="1"/>
    <col min="6149" max="6149" width="10.28515625" style="382" bestFit="1" customWidth="1"/>
    <col min="6150" max="6150" width="10.42578125" style="382" bestFit="1" customWidth="1"/>
    <col min="6151" max="6151" width="11.28515625" style="382" customWidth="1"/>
    <col min="6152" max="6152" width="9.42578125" style="382" customWidth="1"/>
    <col min="6153" max="6153" width="14.28515625" style="382" customWidth="1"/>
    <col min="6154" max="6155" width="10.28515625" style="382" bestFit="1" customWidth="1"/>
    <col min="6156" max="6156" width="12" style="382" customWidth="1"/>
    <col min="6157" max="6157" width="2.85546875" style="382" customWidth="1"/>
    <col min="6158" max="6158" width="11" style="382" customWidth="1"/>
    <col min="6159" max="6159" width="10.28515625" style="382" customWidth="1"/>
    <col min="6160" max="6400" width="9.140625" style="382"/>
    <col min="6401" max="6401" width="5.7109375" style="382" customWidth="1"/>
    <col min="6402" max="6402" width="40.28515625" style="382" customWidth="1"/>
    <col min="6403" max="6403" width="11.7109375" style="382" bestFit="1" customWidth="1"/>
    <col min="6404" max="6404" width="9.85546875" style="382" bestFit="1" customWidth="1"/>
    <col min="6405" max="6405" width="10.28515625" style="382" bestFit="1" customWidth="1"/>
    <col min="6406" max="6406" width="10.42578125" style="382" bestFit="1" customWidth="1"/>
    <col min="6407" max="6407" width="11.28515625" style="382" customWidth="1"/>
    <col min="6408" max="6408" width="9.42578125" style="382" customWidth="1"/>
    <col min="6409" max="6409" width="14.28515625" style="382" customWidth="1"/>
    <col min="6410" max="6411" width="10.28515625" style="382" bestFit="1" customWidth="1"/>
    <col min="6412" max="6412" width="12" style="382" customWidth="1"/>
    <col min="6413" max="6413" width="2.85546875" style="382" customWidth="1"/>
    <col min="6414" max="6414" width="11" style="382" customWidth="1"/>
    <col min="6415" max="6415" width="10.28515625" style="382" customWidth="1"/>
    <col min="6416" max="6656" width="9.140625" style="382"/>
    <col min="6657" max="6657" width="5.7109375" style="382" customWidth="1"/>
    <col min="6658" max="6658" width="40.28515625" style="382" customWidth="1"/>
    <col min="6659" max="6659" width="11.7109375" style="382" bestFit="1" customWidth="1"/>
    <col min="6660" max="6660" width="9.85546875" style="382" bestFit="1" customWidth="1"/>
    <col min="6661" max="6661" width="10.28515625" style="382" bestFit="1" customWidth="1"/>
    <col min="6662" max="6662" width="10.42578125" style="382" bestFit="1" customWidth="1"/>
    <col min="6663" max="6663" width="11.28515625" style="382" customWidth="1"/>
    <col min="6664" max="6664" width="9.42578125" style="382" customWidth="1"/>
    <col min="6665" max="6665" width="14.28515625" style="382" customWidth="1"/>
    <col min="6666" max="6667" width="10.28515625" style="382" bestFit="1" customWidth="1"/>
    <col min="6668" max="6668" width="12" style="382" customWidth="1"/>
    <col min="6669" max="6669" width="2.85546875" style="382" customWidth="1"/>
    <col min="6670" max="6670" width="11" style="382" customWidth="1"/>
    <col min="6671" max="6671" width="10.28515625" style="382" customWidth="1"/>
    <col min="6672" max="6912" width="9.140625" style="382"/>
    <col min="6913" max="6913" width="5.7109375" style="382" customWidth="1"/>
    <col min="6914" max="6914" width="40.28515625" style="382" customWidth="1"/>
    <col min="6915" max="6915" width="11.7109375" style="382" bestFit="1" customWidth="1"/>
    <col min="6916" max="6916" width="9.85546875" style="382" bestFit="1" customWidth="1"/>
    <col min="6917" max="6917" width="10.28515625" style="382" bestFit="1" customWidth="1"/>
    <col min="6918" max="6918" width="10.42578125" style="382" bestFit="1" customWidth="1"/>
    <col min="6919" max="6919" width="11.28515625" style="382" customWidth="1"/>
    <col min="6920" max="6920" width="9.42578125" style="382" customWidth="1"/>
    <col min="6921" max="6921" width="14.28515625" style="382" customWidth="1"/>
    <col min="6922" max="6923" width="10.28515625" style="382" bestFit="1" customWidth="1"/>
    <col min="6924" max="6924" width="12" style="382" customWidth="1"/>
    <col min="6925" max="6925" width="2.85546875" style="382" customWidth="1"/>
    <col min="6926" max="6926" width="11" style="382" customWidth="1"/>
    <col min="6927" max="6927" width="10.28515625" style="382" customWidth="1"/>
    <col min="6928" max="7168" width="9.140625" style="382"/>
    <col min="7169" max="7169" width="5.7109375" style="382" customWidth="1"/>
    <col min="7170" max="7170" width="40.28515625" style="382" customWidth="1"/>
    <col min="7171" max="7171" width="11.7109375" style="382" bestFit="1" customWidth="1"/>
    <col min="7172" max="7172" width="9.85546875" style="382" bestFit="1" customWidth="1"/>
    <col min="7173" max="7173" width="10.28515625" style="382" bestFit="1" customWidth="1"/>
    <col min="7174" max="7174" width="10.42578125" style="382" bestFit="1" customWidth="1"/>
    <col min="7175" max="7175" width="11.28515625" style="382" customWidth="1"/>
    <col min="7176" max="7176" width="9.42578125" style="382" customWidth="1"/>
    <col min="7177" max="7177" width="14.28515625" style="382" customWidth="1"/>
    <col min="7178" max="7179" width="10.28515625" style="382" bestFit="1" customWidth="1"/>
    <col min="7180" max="7180" width="12" style="382" customWidth="1"/>
    <col min="7181" max="7181" width="2.85546875" style="382" customWidth="1"/>
    <col min="7182" max="7182" width="11" style="382" customWidth="1"/>
    <col min="7183" max="7183" width="10.28515625" style="382" customWidth="1"/>
    <col min="7184" max="7424" width="9.140625" style="382"/>
    <col min="7425" max="7425" width="5.7109375" style="382" customWidth="1"/>
    <col min="7426" max="7426" width="40.28515625" style="382" customWidth="1"/>
    <col min="7427" max="7427" width="11.7109375" style="382" bestFit="1" customWidth="1"/>
    <col min="7428" max="7428" width="9.85546875" style="382" bestFit="1" customWidth="1"/>
    <col min="7429" max="7429" width="10.28515625" style="382" bestFit="1" customWidth="1"/>
    <col min="7430" max="7430" width="10.42578125" style="382" bestFit="1" customWidth="1"/>
    <col min="7431" max="7431" width="11.28515625" style="382" customWidth="1"/>
    <col min="7432" max="7432" width="9.42578125" style="382" customWidth="1"/>
    <col min="7433" max="7433" width="14.28515625" style="382" customWidth="1"/>
    <col min="7434" max="7435" width="10.28515625" style="382" bestFit="1" customWidth="1"/>
    <col min="7436" max="7436" width="12" style="382" customWidth="1"/>
    <col min="7437" max="7437" width="2.85546875" style="382" customWidth="1"/>
    <col min="7438" max="7438" width="11" style="382" customWidth="1"/>
    <col min="7439" max="7439" width="10.28515625" style="382" customWidth="1"/>
    <col min="7440" max="7680" width="9.140625" style="382"/>
    <col min="7681" max="7681" width="5.7109375" style="382" customWidth="1"/>
    <col min="7682" max="7682" width="40.28515625" style="382" customWidth="1"/>
    <col min="7683" max="7683" width="11.7109375" style="382" bestFit="1" customWidth="1"/>
    <col min="7684" max="7684" width="9.85546875" style="382" bestFit="1" customWidth="1"/>
    <col min="7685" max="7685" width="10.28515625" style="382" bestFit="1" customWidth="1"/>
    <col min="7686" max="7686" width="10.42578125" style="382" bestFit="1" customWidth="1"/>
    <col min="7687" max="7687" width="11.28515625" style="382" customWidth="1"/>
    <col min="7688" max="7688" width="9.42578125" style="382" customWidth="1"/>
    <col min="7689" max="7689" width="14.28515625" style="382" customWidth="1"/>
    <col min="7690" max="7691" width="10.28515625" style="382" bestFit="1" customWidth="1"/>
    <col min="7692" max="7692" width="12" style="382" customWidth="1"/>
    <col min="7693" max="7693" width="2.85546875" style="382" customWidth="1"/>
    <col min="7694" max="7694" width="11" style="382" customWidth="1"/>
    <col min="7695" max="7695" width="10.28515625" style="382" customWidth="1"/>
    <col min="7696" max="7936" width="9.140625" style="382"/>
    <col min="7937" max="7937" width="5.7109375" style="382" customWidth="1"/>
    <col min="7938" max="7938" width="40.28515625" style="382" customWidth="1"/>
    <col min="7939" max="7939" width="11.7109375" style="382" bestFit="1" customWidth="1"/>
    <col min="7940" max="7940" width="9.85546875" style="382" bestFit="1" customWidth="1"/>
    <col min="7941" max="7941" width="10.28515625" style="382" bestFit="1" customWidth="1"/>
    <col min="7942" max="7942" width="10.42578125" style="382" bestFit="1" customWidth="1"/>
    <col min="7943" max="7943" width="11.28515625" style="382" customWidth="1"/>
    <col min="7944" max="7944" width="9.42578125" style="382" customWidth="1"/>
    <col min="7945" max="7945" width="14.28515625" style="382" customWidth="1"/>
    <col min="7946" max="7947" width="10.28515625" style="382" bestFit="1" customWidth="1"/>
    <col min="7948" max="7948" width="12" style="382" customWidth="1"/>
    <col min="7949" max="7949" width="2.85546875" style="382" customWidth="1"/>
    <col min="7950" max="7950" width="11" style="382" customWidth="1"/>
    <col min="7951" max="7951" width="10.28515625" style="382" customWidth="1"/>
    <col min="7952" max="8192" width="9.140625" style="382"/>
    <col min="8193" max="8193" width="5.7109375" style="382" customWidth="1"/>
    <col min="8194" max="8194" width="40.28515625" style="382" customWidth="1"/>
    <col min="8195" max="8195" width="11.7109375" style="382" bestFit="1" customWidth="1"/>
    <col min="8196" max="8196" width="9.85546875" style="382" bestFit="1" customWidth="1"/>
    <col min="8197" max="8197" width="10.28515625" style="382" bestFit="1" customWidth="1"/>
    <col min="8198" max="8198" width="10.42578125" style="382" bestFit="1" customWidth="1"/>
    <col min="8199" max="8199" width="11.28515625" style="382" customWidth="1"/>
    <col min="8200" max="8200" width="9.42578125" style="382" customWidth="1"/>
    <col min="8201" max="8201" width="14.28515625" style="382" customWidth="1"/>
    <col min="8202" max="8203" width="10.28515625" style="382" bestFit="1" customWidth="1"/>
    <col min="8204" max="8204" width="12" style="382" customWidth="1"/>
    <col min="8205" max="8205" width="2.85546875" style="382" customWidth="1"/>
    <col min="8206" max="8206" width="11" style="382" customWidth="1"/>
    <col min="8207" max="8207" width="10.28515625" style="382" customWidth="1"/>
    <col min="8208" max="8448" width="9.140625" style="382"/>
    <col min="8449" max="8449" width="5.7109375" style="382" customWidth="1"/>
    <col min="8450" max="8450" width="40.28515625" style="382" customWidth="1"/>
    <col min="8451" max="8451" width="11.7109375" style="382" bestFit="1" customWidth="1"/>
    <col min="8452" max="8452" width="9.85546875" style="382" bestFit="1" customWidth="1"/>
    <col min="8453" max="8453" width="10.28515625" style="382" bestFit="1" customWidth="1"/>
    <col min="8454" max="8454" width="10.42578125" style="382" bestFit="1" customWidth="1"/>
    <col min="8455" max="8455" width="11.28515625" style="382" customWidth="1"/>
    <col min="8456" max="8456" width="9.42578125" style="382" customWidth="1"/>
    <col min="8457" max="8457" width="14.28515625" style="382" customWidth="1"/>
    <col min="8458" max="8459" width="10.28515625" style="382" bestFit="1" customWidth="1"/>
    <col min="8460" max="8460" width="12" style="382" customWidth="1"/>
    <col min="8461" max="8461" width="2.85546875" style="382" customWidth="1"/>
    <col min="8462" max="8462" width="11" style="382" customWidth="1"/>
    <col min="8463" max="8463" width="10.28515625" style="382" customWidth="1"/>
    <col min="8464" max="8704" width="9.140625" style="382"/>
    <col min="8705" max="8705" width="5.7109375" style="382" customWidth="1"/>
    <col min="8706" max="8706" width="40.28515625" style="382" customWidth="1"/>
    <col min="8707" max="8707" width="11.7109375" style="382" bestFit="1" customWidth="1"/>
    <col min="8708" max="8708" width="9.85546875" style="382" bestFit="1" customWidth="1"/>
    <col min="8709" max="8709" width="10.28515625" style="382" bestFit="1" customWidth="1"/>
    <col min="8710" max="8710" width="10.42578125" style="382" bestFit="1" customWidth="1"/>
    <col min="8711" max="8711" width="11.28515625" style="382" customWidth="1"/>
    <col min="8712" max="8712" width="9.42578125" style="382" customWidth="1"/>
    <col min="8713" max="8713" width="14.28515625" style="382" customWidth="1"/>
    <col min="8714" max="8715" width="10.28515625" style="382" bestFit="1" customWidth="1"/>
    <col min="8716" max="8716" width="12" style="382" customWidth="1"/>
    <col min="8717" max="8717" width="2.85546875" style="382" customWidth="1"/>
    <col min="8718" max="8718" width="11" style="382" customWidth="1"/>
    <col min="8719" max="8719" width="10.28515625" style="382" customWidth="1"/>
    <col min="8720" max="8960" width="9.140625" style="382"/>
    <col min="8961" max="8961" width="5.7109375" style="382" customWidth="1"/>
    <col min="8962" max="8962" width="40.28515625" style="382" customWidth="1"/>
    <col min="8963" max="8963" width="11.7109375" style="382" bestFit="1" customWidth="1"/>
    <col min="8964" max="8964" width="9.85546875" style="382" bestFit="1" customWidth="1"/>
    <col min="8965" max="8965" width="10.28515625" style="382" bestFit="1" customWidth="1"/>
    <col min="8966" max="8966" width="10.42578125" style="382" bestFit="1" customWidth="1"/>
    <col min="8967" max="8967" width="11.28515625" style="382" customWidth="1"/>
    <col min="8968" max="8968" width="9.42578125" style="382" customWidth="1"/>
    <col min="8969" max="8969" width="14.28515625" style="382" customWidth="1"/>
    <col min="8970" max="8971" width="10.28515625" style="382" bestFit="1" customWidth="1"/>
    <col min="8972" max="8972" width="12" style="382" customWidth="1"/>
    <col min="8973" max="8973" width="2.85546875" style="382" customWidth="1"/>
    <col min="8974" max="8974" width="11" style="382" customWidth="1"/>
    <col min="8975" max="8975" width="10.28515625" style="382" customWidth="1"/>
    <col min="8976" max="9216" width="9.140625" style="382"/>
    <col min="9217" max="9217" width="5.7109375" style="382" customWidth="1"/>
    <col min="9218" max="9218" width="40.28515625" style="382" customWidth="1"/>
    <col min="9219" max="9219" width="11.7109375" style="382" bestFit="1" customWidth="1"/>
    <col min="9220" max="9220" width="9.85546875" style="382" bestFit="1" customWidth="1"/>
    <col min="9221" max="9221" width="10.28515625" style="382" bestFit="1" customWidth="1"/>
    <col min="9222" max="9222" width="10.42578125" style="382" bestFit="1" customWidth="1"/>
    <col min="9223" max="9223" width="11.28515625" style="382" customWidth="1"/>
    <col min="9224" max="9224" width="9.42578125" style="382" customWidth="1"/>
    <col min="9225" max="9225" width="14.28515625" style="382" customWidth="1"/>
    <col min="9226" max="9227" width="10.28515625" style="382" bestFit="1" customWidth="1"/>
    <col min="9228" max="9228" width="12" style="382" customWidth="1"/>
    <col min="9229" max="9229" width="2.85546875" style="382" customWidth="1"/>
    <col min="9230" max="9230" width="11" style="382" customWidth="1"/>
    <col min="9231" max="9231" width="10.28515625" style="382" customWidth="1"/>
    <col min="9232" max="9472" width="9.140625" style="382"/>
    <col min="9473" max="9473" width="5.7109375" style="382" customWidth="1"/>
    <col min="9474" max="9474" width="40.28515625" style="382" customWidth="1"/>
    <col min="9475" max="9475" width="11.7109375" style="382" bestFit="1" customWidth="1"/>
    <col min="9476" max="9476" width="9.85546875" style="382" bestFit="1" customWidth="1"/>
    <col min="9477" max="9477" width="10.28515625" style="382" bestFit="1" customWidth="1"/>
    <col min="9478" max="9478" width="10.42578125" style="382" bestFit="1" customWidth="1"/>
    <col min="9479" max="9479" width="11.28515625" style="382" customWidth="1"/>
    <col min="9480" max="9480" width="9.42578125" style="382" customWidth="1"/>
    <col min="9481" max="9481" width="14.28515625" style="382" customWidth="1"/>
    <col min="9482" max="9483" width="10.28515625" style="382" bestFit="1" customWidth="1"/>
    <col min="9484" max="9484" width="12" style="382" customWidth="1"/>
    <col min="9485" max="9485" width="2.85546875" style="382" customWidth="1"/>
    <col min="9486" max="9486" width="11" style="382" customWidth="1"/>
    <col min="9487" max="9487" width="10.28515625" style="382" customWidth="1"/>
    <col min="9488" max="9728" width="9.140625" style="382"/>
    <col min="9729" max="9729" width="5.7109375" style="382" customWidth="1"/>
    <col min="9730" max="9730" width="40.28515625" style="382" customWidth="1"/>
    <col min="9731" max="9731" width="11.7109375" style="382" bestFit="1" customWidth="1"/>
    <col min="9732" max="9732" width="9.85546875" style="382" bestFit="1" customWidth="1"/>
    <col min="9733" max="9733" width="10.28515625" style="382" bestFit="1" customWidth="1"/>
    <col min="9734" max="9734" width="10.42578125" style="382" bestFit="1" customWidth="1"/>
    <col min="9735" max="9735" width="11.28515625" style="382" customWidth="1"/>
    <col min="9736" max="9736" width="9.42578125" style="382" customWidth="1"/>
    <col min="9737" max="9737" width="14.28515625" style="382" customWidth="1"/>
    <col min="9738" max="9739" width="10.28515625" style="382" bestFit="1" customWidth="1"/>
    <col min="9740" max="9740" width="12" style="382" customWidth="1"/>
    <col min="9741" max="9741" width="2.85546875" style="382" customWidth="1"/>
    <col min="9742" max="9742" width="11" style="382" customWidth="1"/>
    <col min="9743" max="9743" width="10.28515625" style="382" customWidth="1"/>
    <col min="9744" max="9984" width="9.140625" style="382"/>
    <col min="9985" max="9985" width="5.7109375" style="382" customWidth="1"/>
    <col min="9986" max="9986" width="40.28515625" style="382" customWidth="1"/>
    <col min="9987" max="9987" width="11.7109375" style="382" bestFit="1" customWidth="1"/>
    <col min="9988" max="9988" width="9.85546875" style="382" bestFit="1" customWidth="1"/>
    <col min="9989" max="9989" width="10.28515625" style="382" bestFit="1" customWidth="1"/>
    <col min="9990" max="9990" width="10.42578125" style="382" bestFit="1" customWidth="1"/>
    <col min="9991" max="9991" width="11.28515625" style="382" customWidth="1"/>
    <col min="9992" max="9992" width="9.42578125" style="382" customWidth="1"/>
    <col min="9993" max="9993" width="14.28515625" style="382" customWidth="1"/>
    <col min="9994" max="9995" width="10.28515625" style="382" bestFit="1" customWidth="1"/>
    <col min="9996" max="9996" width="12" style="382" customWidth="1"/>
    <col min="9997" max="9997" width="2.85546875" style="382" customWidth="1"/>
    <col min="9998" max="9998" width="11" style="382" customWidth="1"/>
    <col min="9999" max="9999" width="10.28515625" style="382" customWidth="1"/>
    <col min="10000" max="10240" width="9.140625" style="382"/>
    <col min="10241" max="10241" width="5.7109375" style="382" customWidth="1"/>
    <col min="10242" max="10242" width="40.28515625" style="382" customWidth="1"/>
    <col min="10243" max="10243" width="11.7109375" style="382" bestFit="1" customWidth="1"/>
    <col min="10244" max="10244" width="9.85546875" style="382" bestFit="1" customWidth="1"/>
    <col min="10245" max="10245" width="10.28515625" style="382" bestFit="1" customWidth="1"/>
    <col min="10246" max="10246" width="10.42578125" style="382" bestFit="1" customWidth="1"/>
    <col min="10247" max="10247" width="11.28515625" style="382" customWidth="1"/>
    <col min="10248" max="10248" width="9.42578125" style="382" customWidth="1"/>
    <col min="10249" max="10249" width="14.28515625" style="382" customWidth="1"/>
    <col min="10250" max="10251" width="10.28515625" style="382" bestFit="1" customWidth="1"/>
    <col min="10252" max="10252" width="12" style="382" customWidth="1"/>
    <col min="10253" max="10253" width="2.85546875" style="382" customWidth="1"/>
    <col min="10254" max="10254" width="11" style="382" customWidth="1"/>
    <col min="10255" max="10255" width="10.28515625" style="382" customWidth="1"/>
    <col min="10256" max="10496" width="9.140625" style="382"/>
    <col min="10497" max="10497" width="5.7109375" style="382" customWidth="1"/>
    <col min="10498" max="10498" width="40.28515625" style="382" customWidth="1"/>
    <col min="10499" max="10499" width="11.7109375" style="382" bestFit="1" customWidth="1"/>
    <col min="10500" max="10500" width="9.85546875" style="382" bestFit="1" customWidth="1"/>
    <col min="10501" max="10501" width="10.28515625" style="382" bestFit="1" customWidth="1"/>
    <col min="10502" max="10502" width="10.42578125" style="382" bestFit="1" customWidth="1"/>
    <col min="10503" max="10503" width="11.28515625" style="382" customWidth="1"/>
    <col min="10504" max="10504" width="9.42578125" style="382" customWidth="1"/>
    <col min="10505" max="10505" width="14.28515625" style="382" customWidth="1"/>
    <col min="10506" max="10507" width="10.28515625" style="382" bestFit="1" customWidth="1"/>
    <col min="10508" max="10508" width="12" style="382" customWidth="1"/>
    <col min="10509" max="10509" width="2.85546875" style="382" customWidth="1"/>
    <col min="10510" max="10510" width="11" style="382" customWidth="1"/>
    <col min="10511" max="10511" width="10.28515625" style="382" customWidth="1"/>
    <col min="10512" max="10752" width="9.140625" style="382"/>
    <col min="10753" max="10753" width="5.7109375" style="382" customWidth="1"/>
    <col min="10754" max="10754" width="40.28515625" style="382" customWidth="1"/>
    <col min="10755" max="10755" width="11.7109375" style="382" bestFit="1" customWidth="1"/>
    <col min="10756" max="10756" width="9.85546875" style="382" bestFit="1" customWidth="1"/>
    <col min="10757" max="10757" width="10.28515625" style="382" bestFit="1" customWidth="1"/>
    <col min="10758" max="10758" width="10.42578125" style="382" bestFit="1" customWidth="1"/>
    <col min="10759" max="10759" width="11.28515625" style="382" customWidth="1"/>
    <col min="10760" max="10760" width="9.42578125" style="382" customWidth="1"/>
    <col min="10761" max="10761" width="14.28515625" style="382" customWidth="1"/>
    <col min="10762" max="10763" width="10.28515625" style="382" bestFit="1" customWidth="1"/>
    <col min="10764" max="10764" width="12" style="382" customWidth="1"/>
    <col min="10765" max="10765" width="2.85546875" style="382" customWidth="1"/>
    <col min="10766" max="10766" width="11" style="382" customWidth="1"/>
    <col min="10767" max="10767" width="10.28515625" style="382" customWidth="1"/>
    <col min="10768" max="11008" width="9.140625" style="382"/>
    <col min="11009" max="11009" width="5.7109375" style="382" customWidth="1"/>
    <col min="11010" max="11010" width="40.28515625" style="382" customWidth="1"/>
    <col min="11011" max="11011" width="11.7109375" style="382" bestFit="1" customWidth="1"/>
    <col min="11012" max="11012" width="9.85546875" style="382" bestFit="1" customWidth="1"/>
    <col min="11013" max="11013" width="10.28515625" style="382" bestFit="1" customWidth="1"/>
    <col min="11014" max="11014" width="10.42578125" style="382" bestFit="1" customWidth="1"/>
    <col min="11015" max="11015" width="11.28515625" style="382" customWidth="1"/>
    <col min="11016" max="11016" width="9.42578125" style="382" customWidth="1"/>
    <col min="11017" max="11017" width="14.28515625" style="382" customWidth="1"/>
    <col min="11018" max="11019" width="10.28515625" style="382" bestFit="1" customWidth="1"/>
    <col min="11020" max="11020" width="12" style="382" customWidth="1"/>
    <col min="11021" max="11021" width="2.85546875" style="382" customWidth="1"/>
    <col min="11022" max="11022" width="11" style="382" customWidth="1"/>
    <col min="11023" max="11023" width="10.28515625" style="382" customWidth="1"/>
    <col min="11024" max="11264" width="9.140625" style="382"/>
    <col min="11265" max="11265" width="5.7109375" style="382" customWidth="1"/>
    <col min="11266" max="11266" width="40.28515625" style="382" customWidth="1"/>
    <col min="11267" max="11267" width="11.7109375" style="382" bestFit="1" customWidth="1"/>
    <col min="11268" max="11268" width="9.85546875" style="382" bestFit="1" customWidth="1"/>
    <col min="11269" max="11269" width="10.28515625" style="382" bestFit="1" customWidth="1"/>
    <col min="11270" max="11270" width="10.42578125" style="382" bestFit="1" customWidth="1"/>
    <col min="11271" max="11271" width="11.28515625" style="382" customWidth="1"/>
    <col min="11272" max="11272" width="9.42578125" style="382" customWidth="1"/>
    <col min="11273" max="11273" width="14.28515625" style="382" customWidth="1"/>
    <col min="11274" max="11275" width="10.28515625" style="382" bestFit="1" customWidth="1"/>
    <col min="11276" max="11276" width="12" style="382" customWidth="1"/>
    <col min="11277" max="11277" width="2.85546875" style="382" customWidth="1"/>
    <col min="11278" max="11278" width="11" style="382" customWidth="1"/>
    <col min="11279" max="11279" width="10.28515625" style="382" customWidth="1"/>
    <col min="11280" max="11520" width="9.140625" style="382"/>
    <col min="11521" max="11521" width="5.7109375" style="382" customWidth="1"/>
    <col min="11522" max="11522" width="40.28515625" style="382" customWidth="1"/>
    <col min="11523" max="11523" width="11.7109375" style="382" bestFit="1" customWidth="1"/>
    <col min="11524" max="11524" width="9.85546875" style="382" bestFit="1" customWidth="1"/>
    <col min="11525" max="11525" width="10.28515625" style="382" bestFit="1" customWidth="1"/>
    <col min="11526" max="11526" width="10.42578125" style="382" bestFit="1" customWidth="1"/>
    <col min="11527" max="11527" width="11.28515625" style="382" customWidth="1"/>
    <col min="11528" max="11528" width="9.42578125" style="382" customWidth="1"/>
    <col min="11529" max="11529" width="14.28515625" style="382" customWidth="1"/>
    <col min="11530" max="11531" width="10.28515625" style="382" bestFit="1" customWidth="1"/>
    <col min="11532" max="11532" width="12" style="382" customWidth="1"/>
    <col min="11533" max="11533" width="2.85546875" style="382" customWidth="1"/>
    <col min="11534" max="11534" width="11" style="382" customWidth="1"/>
    <col min="11535" max="11535" width="10.28515625" style="382" customWidth="1"/>
    <col min="11536" max="11776" width="9.140625" style="382"/>
    <col min="11777" max="11777" width="5.7109375" style="382" customWidth="1"/>
    <col min="11778" max="11778" width="40.28515625" style="382" customWidth="1"/>
    <col min="11779" max="11779" width="11.7109375" style="382" bestFit="1" customWidth="1"/>
    <col min="11780" max="11780" width="9.85546875" style="382" bestFit="1" customWidth="1"/>
    <col min="11781" max="11781" width="10.28515625" style="382" bestFit="1" customWidth="1"/>
    <col min="11782" max="11782" width="10.42578125" style="382" bestFit="1" customWidth="1"/>
    <col min="11783" max="11783" width="11.28515625" style="382" customWidth="1"/>
    <col min="11784" max="11784" width="9.42578125" style="382" customWidth="1"/>
    <col min="11785" max="11785" width="14.28515625" style="382" customWidth="1"/>
    <col min="11786" max="11787" width="10.28515625" style="382" bestFit="1" customWidth="1"/>
    <col min="11788" max="11788" width="12" style="382" customWidth="1"/>
    <col min="11789" max="11789" width="2.85546875" style="382" customWidth="1"/>
    <col min="11790" max="11790" width="11" style="382" customWidth="1"/>
    <col min="11791" max="11791" width="10.28515625" style="382" customWidth="1"/>
    <col min="11792" max="12032" width="9.140625" style="382"/>
    <col min="12033" max="12033" width="5.7109375" style="382" customWidth="1"/>
    <col min="12034" max="12034" width="40.28515625" style="382" customWidth="1"/>
    <col min="12035" max="12035" width="11.7109375" style="382" bestFit="1" customWidth="1"/>
    <col min="12036" max="12036" width="9.85546875" style="382" bestFit="1" customWidth="1"/>
    <col min="12037" max="12037" width="10.28515625" style="382" bestFit="1" customWidth="1"/>
    <col min="12038" max="12038" width="10.42578125" style="382" bestFit="1" customWidth="1"/>
    <col min="12039" max="12039" width="11.28515625" style="382" customWidth="1"/>
    <col min="12040" max="12040" width="9.42578125" style="382" customWidth="1"/>
    <col min="12041" max="12041" width="14.28515625" style="382" customWidth="1"/>
    <col min="12042" max="12043" width="10.28515625" style="382" bestFit="1" customWidth="1"/>
    <col min="12044" max="12044" width="12" style="382" customWidth="1"/>
    <col min="12045" max="12045" width="2.85546875" style="382" customWidth="1"/>
    <col min="12046" max="12046" width="11" style="382" customWidth="1"/>
    <col min="12047" max="12047" width="10.28515625" style="382" customWidth="1"/>
    <col min="12048" max="12288" width="9.140625" style="382"/>
    <col min="12289" max="12289" width="5.7109375" style="382" customWidth="1"/>
    <col min="12290" max="12290" width="40.28515625" style="382" customWidth="1"/>
    <col min="12291" max="12291" width="11.7109375" style="382" bestFit="1" customWidth="1"/>
    <col min="12292" max="12292" width="9.85546875" style="382" bestFit="1" customWidth="1"/>
    <col min="12293" max="12293" width="10.28515625" style="382" bestFit="1" customWidth="1"/>
    <col min="12294" max="12294" width="10.42578125" style="382" bestFit="1" customWidth="1"/>
    <col min="12295" max="12295" width="11.28515625" style="382" customWidth="1"/>
    <col min="12296" max="12296" width="9.42578125" style="382" customWidth="1"/>
    <col min="12297" max="12297" width="14.28515625" style="382" customWidth="1"/>
    <col min="12298" max="12299" width="10.28515625" style="382" bestFit="1" customWidth="1"/>
    <col min="12300" max="12300" width="12" style="382" customWidth="1"/>
    <col min="12301" max="12301" width="2.85546875" style="382" customWidth="1"/>
    <col min="12302" max="12302" width="11" style="382" customWidth="1"/>
    <col min="12303" max="12303" width="10.28515625" style="382" customWidth="1"/>
    <col min="12304" max="12544" width="9.140625" style="382"/>
    <col min="12545" max="12545" width="5.7109375" style="382" customWidth="1"/>
    <col min="12546" max="12546" width="40.28515625" style="382" customWidth="1"/>
    <col min="12547" max="12547" width="11.7109375" style="382" bestFit="1" customWidth="1"/>
    <col min="12548" max="12548" width="9.85546875" style="382" bestFit="1" customWidth="1"/>
    <col min="12549" max="12549" width="10.28515625" style="382" bestFit="1" customWidth="1"/>
    <col min="12550" max="12550" width="10.42578125" style="382" bestFit="1" customWidth="1"/>
    <col min="12551" max="12551" width="11.28515625" style="382" customWidth="1"/>
    <col min="12552" max="12552" width="9.42578125" style="382" customWidth="1"/>
    <col min="12553" max="12553" width="14.28515625" style="382" customWidth="1"/>
    <col min="12554" max="12555" width="10.28515625" style="382" bestFit="1" customWidth="1"/>
    <col min="12556" max="12556" width="12" style="382" customWidth="1"/>
    <col min="12557" max="12557" width="2.85546875" style="382" customWidth="1"/>
    <col min="12558" max="12558" width="11" style="382" customWidth="1"/>
    <col min="12559" max="12559" width="10.28515625" style="382" customWidth="1"/>
    <col min="12560" max="12800" width="9.140625" style="382"/>
    <col min="12801" max="12801" width="5.7109375" style="382" customWidth="1"/>
    <col min="12802" max="12802" width="40.28515625" style="382" customWidth="1"/>
    <col min="12803" max="12803" width="11.7109375" style="382" bestFit="1" customWidth="1"/>
    <col min="12804" max="12804" width="9.85546875" style="382" bestFit="1" customWidth="1"/>
    <col min="12805" max="12805" width="10.28515625" style="382" bestFit="1" customWidth="1"/>
    <col min="12806" max="12806" width="10.42578125" style="382" bestFit="1" customWidth="1"/>
    <col min="12807" max="12807" width="11.28515625" style="382" customWidth="1"/>
    <col min="12808" max="12808" width="9.42578125" style="382" customWidth="1"/>
    <col min="12809" max="12809" width="14.28515625" style="382" customWidth="1"/>
    <col min="12810" max="12811" width="10.28515625" style="382" bestFit="1" customWidth="1"/>
    <col min="12812" max="12812" width="12" style="382" customWidth="1"/>
    <col min="12813" max="12813" width="2.85546875" style="382" customWidth="1"/>
    <col min="12814" max="12814" width="11" style="382" customWidth="1"/>
    <col min="12815" max="12815" width="10.28515625" style="382" customWidth="1"/>
    <col min="12816" max="13056" width="9.140625" style="382"/>
    <col min="13057" max="13057" width="5.7109375" style="382" customWidth="1"/>
    <col min="13058" max="13058" width="40.28515625" style="382" customWidth="1"/>
    <col min="13059" max="13059" width="11.7109375" style="382" bestFit="1" customWidth="1"/>
    <col min="13060" max="13060" width="9.85546875" style="382" bestFit="1" customWidth="1"/>
    <col min="13061" max="13061" width="10.28515625" style="382" bestFit="1" customWidth="1"/>
    <col min="13062" max="13062" width="10.42578125" style="382" bestFit="1" customWidth="1"/>
    <col min="13063" max="13063" width="11.28515625" style="382" customWidth="1"/>
    <col min="13064" max="13064" width="9.42578125" style="382" customWidth="1"/>
    <col min="13065" max="13065" width="14.28515625" style="382" customWidth="1"/>
    <col min="13066" max="13067" width="10.28515625" style="382" bestFit="1" customWidth="1"/>
    <col min="13068" max="13068" width="12" style="382" customWidth="1"/>
    <col min="13069" max="13069" width="2.85546875" style="382" customWidth="1"/>
    <col min="13070" max="13070" width="11" style="382" customWidth="1"/>
    <col min="13071" max="13071" width="10.28515625" style="382" customWidth="1"/>
    <col min="13072" max="13312" width="9.140625" style="382"/>
    <col min="13313" max="13313" width="5.7109375" style="382" customWidth="1"/>
    <col min="13314" max="13314" width="40.28515625" style="382" customWidth="1"/>
    <col min="13315" max="13315" width="11.7109375" style="382" bestFit="1" customWidth="1"/>
    <col min="13316" max="13316" width="9.85546875" style="382" bestFit="1" customWidth="1"/>
    <col min="13317" max="13317" width="10.28515625" style="382" bestFit="1" customWidth="1"/>
    <col min="13318" max="13318" width="10.42578125" style="382" bestFit="1" customWidth="1"/>
    <col min="13319" max="13319" width="11.28515625" style="382" customWidth="1"/>
    <col min="13320" max="13320" width="9.42578125" style="382" customWidth="1"/>
    <col min="13321" max="13321" width="14.28515625" style="382" customWidth="1"/>
    <col min="13322" max="13323" width="10.28515625" style="382" bestFit="1" customWidth="1"/>
    <col min="13324" max="13324" width="12" style="382" customWidth="1"/>
    <col min="13325" max="13325" width="2.85546875" style="382" customWidth="1"/>
    <col min="13326" max="13326" width="11" style="382" customWidth="1"/>
    <col min="13327" max="13327" width="10.28515625" style="382" customWidth="1"/>
    <col min="13328" max="13568" width="9.140625" style="382"/>
    <col min="13569" max="13569" width="5.7109375" style="382" customWidth="1"/>
    <col min="13570" max="13570" width="40.28515625" style="382" customWidth="1"/>
    <col min="13571" max="13571" width="11.7109375" style="382" bestFit="1" customWidth="1"/>
    <col min="13572" max="13572" width="9.85546875" style="382" bestFit="1" customWidth="1"/>
    <col min="13573" max="13573" width="10.28515625" style="382" bestFit="1" customWidth="1"/>
    <col min="13574" max="13574" width="10.42578125" style="382" bestFit="1" customWidth="1"/>
    <col min="13575" max="13575" width="11.28515625" style="382" customWidth="1"/>
    <col min="13576" max="13576" width="9.42578125" style="382" customWidth="1"/>
    <col min="13577" max="13577" width="14.28515625" style="382" customWidth="1"/>
    <col min="13578" max="13579" width="10.28515625" style="382" bestFit="1" customWidth="1"/>
    <col min="13580" max="13580" width="12" style="382" customWidth="1"/>
    <col min="13581" max="13581" width="2.85546875" style="382" customWidth="1"/>
    <col min="13582" max="13582" width="11" style="382" customWidth="1"/>
    <col min="13583" max="13583" width="10.28515625" style="382" customWidth="1"/>
    <col min="13584" max="13824" width="9.140625" style="382"/>
    <col min="13825" max="13825" width="5.7109375" style="382" customWidth="1"/>
    <col min="13826" max="13826" width="40.28515625" style="382" customWidth="1"/>
    <col min="13827" max="13827" width="11.7109375" style="382" bestFit="1" customWidth="1"/>
    <col min="13828" max="13828" width="9.85546875" style="382" bestFit="1" customWidth="1"/>
    <col min="13829" max="13829" width="10.28515625" style="382" bestFit="1" customWidth="1"/>
    <col min="13830" max="13830" width="10.42578125" style="382" bestFit="1" customWidth="1"/>
    <col min="13831" max="13831" width="11.28515625" style="382" customWidth="1"/>
    <col min="13832" max="13832" width="9.42578125" style="382" customWidth="1"/>
    <col min="13833" max="13833" width="14.28515625" style="382" customWidth="1"/>
    <col min="13834" max="13835" width="10.28515625" style="382" bestFit="1" customWidth="1"/>
    <col min="13836" max="13836" width="12" style="382" customWidth="1"/>
    <col min="13837" max="13837" width="2.85546875" style="382" customWidth="1"/>
    <col min="13838" max="13838" width="11" style="382" customWidth="1"/>
    <col min="13839" max="13839" width="10.28515625" style="382" customWidth="1"/>
    <col min="13840" max="14080" width="9.140625" style="382"/>
    <col min="14081" max="14081" width="5.7109375" style="382" customWidth="1"/>
    <col min="14082" max="14082" width="40.28515625" style="382" customWidth="1"/>
    <col min="14083" max="14083" width="11.7109375" style="382" bestFit="1" customWidth="1"/>
    <col min="14084" max="14084" width="9.85546875" style="382" bestFit="1" customWidth="1"/>
    <col min="14085" max="14085" width="10.28515625" style="382" bestFit="1" customWidth="1"/>
    <col min="14086" max="14086" width="10.42578125" style="382" bestFit="1" customWidth="1"/>
    <col min="14087" max="14087" width="11.28515625" style="382" customWidth="1"/>
    <col min="14088" max="14088" width="9.42578125" style="382" customWidth="1"/>
    <col min="14089" max="14089" width="14.28515625" style="382" customWidth="1"/>
    <col min="14090" max="14091" width="10.28515625" style="382" bestFit="1" customWidth="1"/>
    <col min="14092" max="14092" width="12" style="382" customWidth="1"/>
    <col min="14093" max="14093" width="2.85546875" style="382" customWidth="1"/>
    <col min="14094" max="14094" width="11" style="382" customWidth="1"/>
    <col min="14095" max="14095" width="10.28515625" style="382" customWidth="1"/>
    <col min="14096" max="14336" width="9.140625" style="382"/>
    <col min="14337" max="14337" width="5.7109375" style="382" customWidth="1"/>
    <col min="14338" max="14338" width="40.28515625" style="382" customWidth="1"/>
    <col min="14339" max="14339" width="11.7109375" style="382" bestFit="1" customWidth="1"/>
    <col min="14340" max="14340" width="9.85546875" style="382" bestFit="1" customWidth="1"/>
    <col min="14341" max="14341" width="10.28515625" style="382" bestFit="1" customWidth="1"/>
    <col min="14342" max="14342" width="10.42578125" style="382" bestFit="1" customWidth="1"/>
    <col min="14343" max="14343" width="11.28515625" style="382" customWidth="1"/>
    <col min="14344" max="14344" width="9.42578125" style="382" customWidth="1"/>
    <col min="14345" max="14345" width="14.28515625" style="382" customWidth="1"/>
    <col min="14346" max="14347" width="10.28515625" style="382" bestFit="1" customWidth="1"/>
    <col min="14348" max="14348" width="12" style="382" customWidth="1"/>
    <col min="14349" max="14349" width="2.85546875" style="382" customWidth="1"/>
    <col min="14350" max="14350" width="11" style="382" customWidth="1"/>
    <col min="14351" max="14351" width="10.28515625" style="382" customWidth="1"/>
    <col min="14352" max="14592" width="9.140625" style="382"/>
    <col min="14593" max="14593" width="5.7109375" style="382" customWidth="1"/>
    <col min="14594" max="14594" width="40.28515625" style="382" customWidth="1"/>
    <col min="14595" max="14595" width="11.7109375" style="382" bestFit="1" customWidth="1"/>
    <col min="14596" max="14596" width="9.85546875" style="382" bestFit="1" customWidth="1"/>
    <col min="14597" max="14597" width="10.28515625" style="382" bestFit="1" customWidth="1"/>
    <col min="14598" max="14598" width="10.42578125" style="382" bestFit="1" customWidth="1"/>
    <col min="14599" max="14599" width="11.28515625" style="382" customWidth="1"/>
    <col min="14600" max="14600" width="9.42578125" style="382" customWidth="1"/>
    <col min="14601" max="14601" width="14.28515625" style="382" customWidth="1"/>
    <col min="14602" max="14603" width="10.28515625" style="382" bestFit="1" customWidth="1"/>
    <col min="14604" max="14604" width="12" style="382" customWidth="1"/>
    <col min="14605" max="14605" width="2.85546875" style="382" customWidth="1"/>
    <col min="14606" max="14606" width="11" style="382" customWidth="1"/>
    <col min="14607" max="14607" width="10.28515625" style="382" customWidth="1"/>
    <col min="14608" max="14848" width="9.140625" style="382"/>
    <col min="14849" max="14849" width="5.7109375" style="382" customWidth="1"/>
    <col min="14850" max="14850" width="40.28515625" style="382" customWidth="1"/>
    <col min="14851" max="14851" width="11.7109375" style="382" bestFit="1" customWidth="1"/>
    <col min="14852" max="14852" width="9.85546875" style="382" bestFit="1" customWidth="1"/>
    <col min="14853" max="14853" width="10.28515625" style="382" bestFit="1" customWidth="1"/>
    <col min="14854" max="14854" width="10.42578125" style="382" bestFit="1" customWidth="1"/>
    <col min="14855" max="14855" width="11.28515625" style="382" customWidth="1"/>
    <col min="14856" max="14856" width="9.42578125" style="382" customWidth="1"/>
    <col min="14857" max="14857" width="14.28515625" style="382" customWidth="1"/>
    <col min="14858" max="14859" width="10.28515625" style="382" bestFit="1" customWidth="1"/>
    <col min="14860" max="14860" width="12" style="382" customWidth="1"/>
    <col min="14861" max="14861" width="2.85546875" style="382" customWidth="1"/>
    <col min="14862" max="14862" width="11" style="382" customWidth="1"/>
    <col min="14863" max="14863" width="10.28515625" style="382" customWidth="1"/>
    <col min="14864" max="15104" width="9.140625" style="382"/>
    <col min="15105" max="15105" width="5.7109375" style="382" customWidth="1"/>
    <col min="15106" max="15106" width="40.28515625" style="382" customWidth="1"/>
    <col min="15107" max="15107" width="11.7109375" style="382" bestFit="1" customWidth="1"/>
    <col min="15108" max="15108" width="9.85546875" style="382" bestFit="1" customWidth="1"/>
    <col min="15109" max="15109" width="10.28515625" style="382" bestFit="1" customWidth="1"/>
    <col min="15110" max="15110" width="10.42578125" style="382" bestFit="1" customWidth="1"/>
    <col min="15111" max="15111" width="11.28515625" style="382" customWidth="1"/>
    <col min="15112" max="15112" width="9.42578125" style="382" customWidth="1"/>
    <col min="15113" max="15113" width="14.28515625" style="382" customWidth="1"/>
    <col min="15114" max="15115" width="10.28515625" style="382" bestFit="1" customWidth="1"/>
    <col min="15116" max="15116" width="12" style="382" customWidth="1"/>
    <col min="15117" max="15117" width="2.85546875" style="382" customWidth="1"/>
    <col min="15118" max="15118" width="11" style="382" customWidth="1"/>
    <col min="15119" max="15119" width="10.28515625" style="382" customWidth="1"/>
    <col min="15120" max="15360" width="9.140625" style="382"/>
    <col min="15361" max="15361" width="5.7109375" style="382" customWidth="1"/>
    <col min="15362" max="15362" width="40.28515625" style="382" customWidth="1"/>
    <col min="15363" max="15363" width="11.7109375" style="382" bestFit="1" customWidth="1"/>
    <col min="15364" max="15364" width="9.85546875" style="382" bestFit="1" customWidth="1"/>
    <col min="15365" max="15365" width="10.28515625" style="382" bestFit="1" customWidth="1"/>
    <col min="15366" max="15366" width="10.42578125" style="382" bestFit="1" customWidth="1"/>
    <col min="15367" max="15367" width="11.28515625" style="382" customWidth="1"/>
    <col min="15368" max="15368" width="9.42578125" style="382" customWidth="1"/>
    <col min="15369" max="15369" width="14.28515625" style="382" customWidth="1"/>
    <col min="15370" max="15371" width="10.28515625" style="382" bestFit="1" customWidth="1"/>
    <col min="15372" max="15372" width="12" style="382" customWidth="1"/>
    <col min="15373" max="15373" width="2.85546875" style="382" customWidth="1"/>
    <col min="15374" max="15374" width="11" style="382" customWidth="1"/>
    <col min="15375" max="15375" width="10.28515625" style="382" customWidth="1"/>
    <col min="15376" max="15616" width="9.140625" style="382"/>
    <col min="15617" max="15617" width="5.7109375" style="382" customWidth="1"/>
    <col min="15618" max="15618" width="40.28515625" style="382" customWidth="1"/>
    <col min="15619" max="15619" width="11.7109375" style="382" bestFit="1" customWidth="1"/>
    <col min="15620" max="15620" width="9.85546875" style="382" bestFit="1" customWidth="1"/>
    <col min="15621" max="15621" width="10.28515625" style="382" bestFit="1" customWidth="1"/>
    <col min="15622" max="15622" width="10.42578125" style="382" bestFit="1" customWidth="1"/>
    <col min="15623" max="15623" width="11.28515625" style="382" customWidth="1"/>
    <col min="15624" max="15624" width="9.42578125" style="382" customWidth="1"/>
    <col min="15625" max="15625" width="14.28515625" style="382" customWidth="1"/>
    <col min="15626" max="15627" width="10.28515625" style="382" bestFit="1" customWidth="1"/>
    <col min="15628" max="15628" width="12" style="382" customWidth="1"/>
    <col min="15629" max="15629" width="2.85546875" style="382" customWidth="1"/>
    <col min="15630" max="15630" width="11" style="382" customWidth="1"/>
    <col min="15631" max="15631" width="10.28515625" style="382" customWidth="1"/>
    <col min="15632" max="15872" width="9.140625" style="382"/>
    <col min="15873" max="15873" width="5.7109375" style="382" customWidth="1"/>
    <col min="15874" max="15874" width="40.28515625" style="382" customWidth="1"/>
    <col min="15875" max="15875" width="11.7109375" style="382" bestFit="1" customWidth="1"/>
    <col min="15876" max="15876" width="9.85546875" style="382" bestFit="1" customWidth="1"/>
    <col min="15877" max="15877" width="10.28515625" style="382" bestFit="1" customWidth="1"/>
    <col min="15878" max="15878" width="10.42578125" style="382" bestFit="1" customWidth="1"/>
    <col min="15879" max="15879" width="11.28515625" style="382" customWidth="1"/>
    <col min="15880" max="15880" width="9.42578125" style="382" customWidth="1"/>
    <col min="15881" max="15881" width="14.28515625" style="382" customWidth="1"/>
    <col min="15882" max="15883" width="10.28515625" style="382" bestFit="1" customWidth="1"/>
    <col min="15884" max="15884" width="12" style="382" customWidth="1"/>
    <col min="15885" max="15885" width="2.85546875" style="382" customWidth="1"/>
    <col min="15886" max="15886" width="11" style="382" customWidth="1"/>
    <col min="15887" max="15887" width="10.28515625" style="382" customWidth="1"/>
    <col min="15888" max="16128" width="9.140625" style="382"/>
    <col min="16129" max="16129" width="5.7109375" style="382" customWidth="1"/>
    <col min="16130" max="16130" width="40.28515625" style="382" customWidth="1"/>
    <col min="16131" max="16131" width="11.7109375" style="382" bestFit="1" customWidth="1"/>
    <col min="16132" max="16132" width="9.85546875" style="382" bestFit="1" customWidth="1"/>
    <col min="16133" max="16133" width="10.28515625" style="382" bestFit="1" customWidth="1"/>
    <col min="16134" max="16134" width="10.42578125" style="382" bestFit="1" customWidth="1"/>
    <col min="16135" max="16135" width="11.28515625" style="382" customWidth="1"/>
    <col min="16136" max="16136" width="9.42578125" style="382" customWidth="1"/>
    <col min="16137" max="16137" width="14.28515625" style="382" customWidth="1"/>
    <col min="16138" max="16139" width="10.28515625" style="382" bestFit="1" customWidth="1"/>
    <col min="16140" max="16140" width="12" style="382" customWidth="1"/>
    <col min="16141" max="16141" width="2.85546875" style="382" customWidth="1"/>
    <col min="16142" max="16142" width="11" style="382" customWidth="1"/>
    <col min="16143" max="16143" width="10.28515625" style="382" customWidth="1"/>
    <col min="16144" max="16384" width="9.140625" style="382"/>
  </cols>
  <sheetData>
    <row r="1" spans="1:16" ht="12" customHeight="1" x14ac:dyDescent="0.2">
      <c r="A1" s="242"/>
    </row>
    <row r="2" spans="1:16" ht="16.5" customHeight="1" x14ac:dyDescent="0.2">
      <c r="B2" s="432" t="s">
        <v>1030</v>
      </c>
    </row>
    <row r="3" spans="1:16" ht="12" customHeight="1" x14ac:dyDescent="0.2">
      <c r="B3" s="433"/>
    </row>
    <row r="4" spans="1:16" ht="12" customHeight="1" x14ac:dyDescent="0.2">
      <c r="B4" s="384" t="s">
        <v>624</v>
      </c>
      <c r="C4" s="405"/>
      <c r="D4" s="405"/>
      <c r="E4" s="405"/>
      <c r="F4" s="405"/>
      <c r="G4" s="405"/>
      <c r="H4" s="405"/>
      <c r="I4" s="405"/>
      <c r="J4" s="405"/>
      <c r="K4" s="405"/>
      <c r="L4" s="405"/>
    </row>
    <row r="5" spans="1:16" ht="12" customHeight="1" x14ac:dyDescent="0.2">
      <c r="B5" s="384" t="s">
        <v>1031</v>
      </c>
      <c r="C5" s="405"/>
      <c r="D5" s="405"/>
      <c r="E5" s="405"/>
      <c r="F5" s="405"/>
      <c r="G5" s="405"/>
      <c r="H5" s="405"/>
      <c r="I5" s="405"/>
      <c r="J5" s="405"/>
      <c r="K5" s="405"/>
      <c r="L5" s="405"/>
    </row>
    <row r="6" spans="1:16" ht="12" customHeight="1" x14ac:dyDescent="0.2">
      <c r="B6" s="433"/>
      <c r="C6" s="405"/>
      <c r="D6" s="405"/>
      <c r="E6" s="405"/>
      <c r="F6" s="405"/>
      <c r="G6" s="405"/>
      <c r="H6" s="405"/>
      <c r="I6" s="405"/>
      <c r="J6" s="405"/>
      <c r="K6" s="405"/>
      <c r="L6" s="405"/>
    </row>
    <row r="7" spans="1:16" ht="12" customHeight="1" x14ac:dyDescent="0.2">
      <c r="B7" s="434" t="s">
        <v>579</v>
      </c>
      <c r="C7" s="405"/>
      <c r="D7" s="405"/>
      <c r="E7" s="405"/>
      <c r="F7" s="405"/>
      <c r="G7" s="405"/>
      <c r="H7" s="405"/>
      <c r="I7" s="405"/>
      <c r="J7" s="405"/>
      <c r="K7" s="405"/>
      <c r="L7" s="405"/>
    </row>
    <row r="8" spans="1:16" ht="12" customHeight="1" x14ac:dyDescent="0.2">
      <c r="B8" s="435" t="s">
        <v>625</v>
      </c>
      <c r="C8" s="405"/>
      <c r="D8" s="405"/>
      <c r="E8" s="405"/>
      <c r="F8" s="405"/>
      <c r="G8" s="405"/>
      <c r="H8" s="405"/>
      <c r="I8" s="405"/>
      <c r="J8" s="405"/>
      <c r="K8" s="405"/>
      <c r="L8" s="405"/>
    </row>
    <row r="9" spans="1:16" ht="12" customHeight="1" x14ac:dyDescent="0.2">
      <c r="B9" s="405" t="s">
        <v>599</v>
      </c>
      <c r="C9" s="405"/>
      <c r="D9" s="405"/>
      <c r="E9" s="405"/>
      <c r="F9" s="405"/>
      <c r="G9" s="405"/>
      <c r="H9" s="405"/>
      <c r="I9" s="405"/>
      <c r="J9" s="405"/>
      <c r="K9" s="405"/>
      <c r="L9" s="405"/>
    </row>
    <row r="10" spans="1:16" ht="12" customHeight="1" x14ac:dyDescent="0.2">
      <c r="B10" s="436"/>
      <c r="C10" s="437"/>
      <c r="D10" s="437"/>
      <c r="E10" s="437"/>
      <c r="F10" s="437"/>
      <c r="G10" s="437"/>
      <c r="H10" s="437"/>
      <c r="I10" s="437"/>
      <c r="J10" s="437"/>
      <c r="K10" s="437"/>
      <c r="L10" s="437"/>
      <c r="M10" s="438"/>
      <c r="N10" s="438"/>
      <c r="O10" s="438"/>
    </row>
    <row r="11" spans="1:16" ht="12" customHeight="1" x14ac:dyDescent="0.2">
      <c r="B11" s="869" t="s">
        <v>616</v>
      </c>
      <c r="C11" s="871" t="s">
        <v>626</v>
      </c>
      <c r="D11" s="872"/>
      <c r="E11" s="872"/>
      <c r="F11" s="872"/>
      <c r="G11" s="872"/>
      <c r="H11" s="872"/>
      <c r="I11" s="872"/>
      <c r="J11" s="872"/>
      <c r="K11" s="873"/>
      <c r="L11" s="874" t="s">
        <v>627</v>
      </c>
      <c r="M11" s="439"/>
      <c r="N11" s="876"/>
      <c r="O11" s="438"/>
    </row>
    <row r="12" spans="1:16" ht="35.25" customHeight="1" x14ac:dyDescent="0.2">
      <c r="B12" s="870"/>
      <c r="C12" s="46" t="s">
        <v>67</v>
      </c>
      <c r="D12" s="46" t="s">
        <v>123</v>
      </c>
      <c r="E12" s="46" t="s">
        <v>124</v>
      </c>
      <c r="F12" s="46" t="s">
        <v>119</v>
      </c>
      <c r="G12" s="46" t="s">
        <v>120</v>
      </c>
      <c r="H12" s="46" t="s">
        <v>125</v>
      </c>
      <c r="I12" s="46" t="s">
        <v>129</v>
      </c>
      <c r="J12" s="46" t="s">
        <v>122</v>
      </c>
      <c r="K12" s="47" t="s">
        <v>534</v>
      </c>
      <c r="L12" s="875"/>
      <c r="N12" s="876"/>
    </row>
    <row r="13" spans="1:16" ht="12" customHeight="1" x14ac:dyDescent="0.2">
      <c r="B13" s="440" t="s">
        <v>628</v>
      </c>
      <c r="C13" s="877"/>
      <c r="D13" s="878"/>
      <c r="E13" s="878"/>
      <c r="F13" s="878"/>
      <c r="G13" s="878"/>
      <c r="H13" s="878"/>
      <c r="I13" s="878"/>
      <c r="J13" s="878"/>
      <c r="K13" s="878"/>
      <c r="L13" s="441"/>
      <c r="N13" s="740"/>
    </row>
    <row r="14" spans="1:16" ht="12" customHeight="1" x14ac:dyDescent="0.2">
      <c r="B14" s="442" t="s">
        <v>67</v>
      </c>
      <c r="C14" s="261">
        <v>233743.68928000005</v>
      </c>
      <c r="D14" s="261">
        <v>15841.05509</v>
      </c>
      <c r="E14" s="261">
        <v>1036.8973299999998</v>
      </c>
      <c r="F14" s="261">
        <v>8531.6353999999974</v>
      </c>
      <c r="G14" s="261">
        <v>39748.52298999999</v>
      </c>
      <c r="H14" s="261">
        <v>6087.9397699999954</v>
      </c>
      <c r="I14" s="261">
        <v>5984.7139700000007</v>
      </c>
      <c r="J14" s="261">
        <v>65128.601399999985</v>
      </c>
      <c r="K14" s="261">
        <v>85559.805930000002</v>
      </c>
      <c r="L14" s="670">
        <v>461662.86115999997</v>
      </c>
      <c r="M14" s="406"/>
      <c r="N14" s="283"/>
      <c r="P14" s="406"/>
    </row>
    <row r="15" spans="1:16" ht="12" customHeight="1" x14ac:dyDescent="0.2">
      <c r="B15" s="443" t="s">
        <v>123</v>
      </c>
      <c r="C15" s="261">
        <v>57955.141689999982</v>
      </c>
      <c r="D15" s="261">
        <v>158584.88513999988</v>
      </c>
      <c r="E15" s="261">
        <v>20638.140729999999</v>
      </c>
      <c r="F15" s="261">
        <v>1632.8915399999998</v>
      </c>
      <c r="G15" s="261">
        <v>25207.193389999971</v>
      </c>
      <c r="H15" s="261">
        <v>36182.528640000004</v>
      </c>
      <c r="I15" s="261">
        <v>7445.2082199999995</v>
      </c>
      <c r="J15" s="261">
        <v>38857.485659999969</v>
      </c>
      <c r="K15" s="261">
        <v>14976.798500000004</v>
      </c>
      <c r="L15" s="671">
        <v>361480.27350999985</v>
      </c>
      <c r="M15" s="406"/>
      <c r="N15" s="283"/>
      <c r="P15" s="406"/>
    </row>
    <row r="16" spans="1:16" ht="12" customHeight="1" x14ac:dyDescent="0.2">
      <c r="B16" s="443" t="s">
        <v>124</v>
      </c>
      <c r="C16" s="261">
        <v>71670.086919999943</v>
      </c>
      <c r="D16" s="261">
        <v>59047.623970000008</v>
      </c>
      <c r="E16" s="261">
        <v>103502.80808000002</v>
      </c>
      <c r="F16" s="261">
        <v>1016.8927499999999</v>
      </c>
      <c r="G16" s="261">
        <v>19464.054960000001</v>
      </c>
      <c r="H16" s="261">
        <v>84192.209690000003</v>
      </c>
      <c r="I16" s="261">
        <v>5731.9844600000006</v>
      </c>
      <c r="J16" s="261">
        <v>43955.224699999999</v>
      </c>
      <c r="K16" s="261">
        <v>8551.7470400000002</v>
      </c>
      <c r="L16" s="671">
        <v>397132.63257000002</v>
      </c>
      <c r="M16" s="406"/>
      <c r="N16" s="283"/>
      <c r="P16" s="406"/>
    </row>
    <row r="17" spans="2:16" ht="12" customHeight="1" x14ac:dyDescent="0.2">
      <c r="B17" s="443" t="s">
        <v>119</v>
      </c>
      <c r="C17" s="261">
        <v>24770.256889999993</v>
      </c>
      <c r="D17" s="261">
        <v>355.04395999999997</v>
      </c>
      <c r="E17" s="261">
        <v>15.8253</v>
      </c>
      <c r="F17" s="261">
        <v>423827.29304000008</v>
      </c>
      <c r="G17" s="261">
        <v>31257.892810000023</v>
      </c>
      <c r="H17" s="261">
        <v>5668.9910099999988</v>
      </c>
      <c r="I17" s="261">
        <v>696.28248000000008</v>
      </c>
      <c r="J17" s="261">
        <v>9610.6284399999968</v>
      </c>
      <c r="K17" s="261">
        <v>31093.318100000019</v>
      </c>
      <c r="L17" s="671">
        <v>527295.53203000012</v>
      </c>
      <c r="M17" s="406"/>
      <c r="N17" s="283"/>
      <c r="P17" s="406"/>
    </row>
    <row r="18" spans="2:16" ht="12" customHeight="1" x14ac:dyDescent="0.2">
      <c r="B18" s="443" t="s">
        <v>120</v>
      </c>
      <c r="C18" s="261">
        <v>57002.249480000006</v>
      </c>
      <c r="D18" s="261">
        <v>6593.7983600000016</v>
      </c>
      <c r="E18" s="261">
        <v>1104.8976100000002</v>
      </c>
      <c r="F18" s="261">
        <v>33685.989199999996</v>
      </c>
      <c r="G18" s="261">
        <v>326239.28023000027</v>
      </c>
      <c r="H18" s="261">
        <v>5917.0991100000001</v>
      </c>
      <c r="I18" s="261">
        <v>32864.088789999994</v>
      </c>
      <c r="J18" s="261">
        <v>53376.394150000022</v>
      </c>
      <c r="K18" s="261">
        <v>125477.33576999989</v>
      </c>
      <c r="L18" s="671">
        <v>642261.13270000019</v>
      </c>
      <c r="M18" s="406"/>
      <c r="N18" s="283"/>
    </row>
    <row r="19" spans="2:16" ht="12" customHeight="1" x14ac:dyDescent="0.2">
      <c r="B19" s="443" t="s">
        <v>125</v>
      </c>
      <c r="C19" s="261">
        <v>59260.615640000025</v>
      </c>
      <c r="D19" s="261">
        <v>61666.650360000014</v>
      </c>
      <c r="E19" s="261">
        <v>33075.645489999995</v>
      </c>
      <c r="F19" s="261">
        <v>35577.589090000001</v>
      </c>
      <c r="G19" s="261">
        <v>23094.024019999997</v>
      </c>
      <c r="H19" s="261">
        <v>264345.92255000008</v>
      </c>
      <c r="I19" s="261">
        <v>72092.461090000012</v>
      </c>
      <c r="J19" s="261">
        <v>61021.397130000005</v>
      </c>
      <c r="K19" s="261">
        <v>37344.803820000001</v>
      </c>
      <c r="L19" s="671">
        <v>647479.10919000022</v>
      </c>
      <c r="M19" s="406"/>
      <c r="N19" s="283"/>
    </row>
    <row r="20" spans="2:16" ht="12" customHeight="1" x14ac:dyDescent="0.2">
      <c r="B20" s="443" t="s">
        <v>129</v>
      </c>
      <c r="C20" s="261">
        <v>25804.596560000002</v>
      </c>
      <c r="D20" s="261">
        <v>9104.6983300000065</v>
      </c>
      <c r="E20" s="261">
        <v>1563.9466599999998</v>
      </c>
      <c r="F20" s="261">
        <v>1903.2029699999998</v>
      </c>
      <c r="G20" s="261">
        <v>24612.653920000008</v>
      </c>
      <c r="H20" s="261">
        <v>16477.583059999997</v>
      </c>
      <c r="I20" s="261">
        <v>251428.20766999983</v>
      </c>
      <c r="J20" s="261">
        <v>38184.91884999998</v>
      </c>
      <c r="K20" s="261">
        <v>16999.351930000001</v>
      </c>
      <c r="L20" s="671">
        <v>386079.15994999983</v>
      </c>
      <c r="M20" s="406"/>
      <c r="N20" s="283"/>
    </row>
    <row r="21" spans="2:16" ht="12" customHeight="1" x14ac:dyDescent="0.2">
      <c r="B21" s="443" t="s">
        <v>122</v>
      </c>
      <c r="C21" s="261">
        <v>86381.781559999989</v>
      </c>
      <c r="D21" s="261">
        <v>9354.8197899999959</v>
      </c>
      <c r="E21" s="261">
        <v>4614.8851200000008</v>
      </c>
      <c r="F21" s="261">
        <v>6546.3616499999998</v>
      </c>
      <c r="G21" s="261">
        <v>62969.410950000005</v>
      </c>
      <c r="H21" s="261">
        <v>9770.3860100000002</v>
      </c>
      <c r="I21" s="261">
        <v>13548.108480000008</v>
      </c>
      <c r="J21" s="261">
        <v>292841.45262999978</v>
      </c>
      <c r="K21" s="261">
        <v>28411.202009999983</v>
      </c>
      <c r="L21" s="671">
        <v>514438.40819999977</v>
      </c>
      <c r="M21" s="406"/>
      <c r="N21" s="283"/>
    </row>
    <row r="22" spans="2:16" ht="12" customHeight="1" x14ac:dyDescent="0.2">
      <c r="B22" s="444" t="s">
        <v>534</v>
      </c>
      <c r="C22" s="261">
        <v>114954.75351000004</v>
      </c>
      <c r="D22" s="261">
        <v>3990.3206799999989</v>
      </c>
      <c r="E22" s="261">
        <v>1423.5413399999995</v>
      </c>
      <c r="F22" s="261">
        <v>37129.69821000001</v>
      </c>
      <c r="G22" s="261">
        <v>87146.963370000027</v>
      </c>
      <c r="H22" s="261">
        <v>11424.232519999996</v>
      </c>
      <c r="I22" s="261">
        <v>1504.5885499999997</v>
      </c>
      <c r="J22" s="261">
        <v>57416.678170000028</v>
      </c>
      <c r="K22" s="445">
        <v>305256.79395000025</v>
      </c>
      <c r="L22" s="672">
        <v>620247.57030000025</v>
      </c>
      <c r="M22" s="406"/>
      <c r="N22" s="283"/>
    </row>
    <row r="23" spans="2:16" ht="21" customHeight="1" x14ac:dyDescent="0.2">
      <c r="B23" s="446" t="s">
        <v>639</v>
      </c>
      <c r="C23" s="651">
        <f>SUM(C14:C22)</f>
        <v>731543.17153000005</v>
      </c>
      <c r="D23" s="651">
        <f t="shared" ref="D23:K23" si="0">SUM(D14:D22)</f>
        <v>324538.8956799999</v>
      </c>
      <c r="E23" s="651">
        <f t="shared" si="0"/>
        <v>166976.58765999999</v>
      </c>
      <c r="F23" s="651">
        <f t="shared" si="0"/>
        <v>549851.55385000014</v>
      </c>
      <c r="G23" s="651">
        <f t="shared" si="0"/>
        <v>639739.99664000026</v>
      </c>
      <c r="H23" s="651">
        <f t="shared" si="0"/>
        <v>440066.89236000011</v>
      </c>
      <c r="I23" s="651">
        <f t="shared" si="0"/>
        <v>391295.6437099998</v>
      </c>
      <c r="J23" s="651">
        <f t="shared" si="0"/>
        <v>660392.78112999978</v>
      </c>
      <c r="K23" s="651">
        <f t="shared" si="0"/>
        <v>653671.15705000027</v>
      </c>
      <c r="L23" s="673">
        <f>SUM(L14:L22)</f>
        <v>4558076.6796100009</v>
      </c>
      <c r="M23" s="674"/>
      <c r="N23" s="741"/>
      <c r="O23" s="406"/>
      <c r="P23" s="406"/>
    </row>
    <row r="24" spans="2:16" ht="12" customHeight="1" x14ac:dyDescent="0.2">
      <c r="B24" s="447"/>
      <c r="C24" s="675"/>
      <c r="D24" s="675"/>
      <c r="E24" s="675"/>
      <c r="F24" s="675"/>
      <c r="G24" s="675"/>
      <c r="H24" s="675"/>
      <c r="I24" s="675"/>
      <c r="J24" s="675"/>
      <c r="K24" s="675"/>
      <c r="L24" s="675"/>
      <c r="M24" s="676"/>
      <c r="N24" s="742"/>
    </row>
    <row r="25" spans="2:16" ht="12" customHeight="1" x14ac:dyDescent="0.2">
      <c r="B25" s="448" t="s">
        <v>446</v>
      </c>
      <c r="C25" s="163">
        <v>10660.353410000002</v>
      </c>
      <c r="D25" s="164">
        <v>466.22566999999998</v>
      </c>
      <c r="E25" s="164">
        <v>1810.62671</v>
      </c>
      <c r="F25" s="164">
        <v>3467.5999000000002</v>
      </c>
      <c r="G25" s="164">
        <v>44753.333440000017</v>
      </c>
      <c r="H25" s="164">
        <v>10632.087730000003</v>
      </c>
      <c r="I25" s="164">
        <v>27608.259910000001</v>
      </c>
      <c r="J25" s="164">
        <v>24575.860830000016</v>
      </c>
      <c r="K25" s="165">
        <v>31125.860930000003</v>
      </c>
      <c r="L25" s="677">
        <f>SUM(B25:K25)</f>
        <v>155100.20853000003</v>
      </c>
      <c r="M25" s="678"/>
      <c r="N25" s="743"/>
    </row>
    <row r="26" spans="2:16" ht="12" customHeight="1" x14ac:dyDescent="0.2">
      <c r="B26" s="449" t="s">
        <v>535</v>
      </c>
      <c r="C26" s="450">
        <v>14646.617539999997</v>
      </c>
      <c r="D26" s="261">
        <v>333.07780000000002</v>
      </c>
      <c r="E26" s="261">
        <v>118.46719</v>
      </c>
      <c r="F26" s="261">
        <v>44858.923399999985</v>
      </c>
      <c r="G26" s="261">
        <v>62628.674870000039</v>
      </c>
      <c r="H26" s="261">
        <v>4093.7524099999991</v>
      </c>
      <c r="I26" s="261">
        <v>472.59111000000007</v>
      </c>
      <c r="J26" s="261">
        <v>5863.128850000001</v>
      </c>
      <c r="K26" s="261">
        <v>19095.240810000007</v>
      </c>
      <c r="L26" s="679">
        <f>SUM(B26:K26)</f>
        <v>152110.47398000004</v>
      </c>
      <c r="M26" s="680"/>
      <c r="N26" s="743"/>
    </row>
    <row r="27" spans="2:16" ht="12" customHeight="1" x14ac:dyDescent="0.2">
      <c r="B27" s="451" t="s">
        <v>619</v>
      </c>
      <c r="C27" s="452">
        <v>16468.766749999999</v>
      </c>
      <c r="D27" s="261">
        <v>43.691999999999993</v>
      </c>
      <c r="E27" s="261">
        <v>53.188000000000002</v>
      </c>
      <c r="F27" s="261">
        <v>25432.74</v>
      </c>
      <c r="G27" s="261">
        <v>3584.4943600000006</v>
      </c>
      <c r="H27" s="261">
        <v>234.74825000000001</v>
      </c>
      <c r="I27" s="261">
        <v>89.348739999999992</v>
      </c>
      <c r="J27" s="261">
        <v>893.73699999999997</v>
      </c>
      <c r="K27" s="261">
        <v>1572.1863999999998</v>
      </c>
      <c r="L27" s="679">
        <f>SUM(B27:K27)</f>
        <v>48372.9015</v>
      </c>
      <c r="M27" s="680"/>
      <c r="N27" s="743"/>
    </row>
    <row r="28" spans="2:16" ht="20.25" customHeight="1" x14ac:dyDescent="0.2">
      <c r="B28" s="446" t="s">
        <v>640</v>
      </c>
      <c r="C28" s="651">
        <f>SUM(C25:C27)</f>
        <v>41775.737699999998</v>
      </c>
      <c r="D28" s="651">
        <f t="shared" ref="D28:L28" si="1">SUM(D25:D27)</f>
        <v>842.99547000000007</v>
      </c>
      <c r="E28" s="651">
        <f t="shared" si="1"/>
        <v>1982.2819000000002</v>
      </c>
      <c r="F28" s="651">
        <f t="shared" si="1"/>
        <v>73759.263299999991</v>
      </c>
      <c r="G28" s="651">
        <f t="shared" si="1"/>
        <v>110966.50267000006</v>
      </c>
      <c r="H28" s="651">
        <f t="shared" si="1"/>
        <v>14960.588390000003</v>
      </c>
      <c r="I28" s="651">
        <f t="shared" si="1"/>
        <v>28170.199760000003</v>
      </c>
      <c r="J28" s="651">
        <f t="shared" si="1"/>
        <v>31332.726680000018</v>
      </c>
      <c r="K28" s="653">
        <f t="shared" si="1"/>
        <v>51793.288140000011</v>
      </c>
      <c r="L28" s="653">
        <f t="shared" si="1"/>
        <v>355583.58401000005</v>
      </c>
      <c r="M28" s="681"/>
      <c r="N28" s="741"/>
      <c r="O28" s="406" t="s">
        <v>78</v>
      </c>
      <c r="P28" s="406"/>
    </row>
    <row r="29" spans="2:16" ht="12" customHeight="1" x14ac:dyDescent="0.2">
      <c r="B29" s="453"/>
      <c r="C29" s="682"/>
      <c r="D29" s="682"/>
      <c r="E29" s="682"/>
      <c r="F29" s="682"/>
      <c r="G29" s="682"/>
      <c r="H29" s="682"/>
      <c r="I29" s="682"/>
      <c r="J29" s="682"/>
      <c r="K29" s="682"/>
      <c r="L29" s="683"/>
      <c r="M29" s="684"/>
      <c r="N29" s="738"/>
    </row>
    <row r="30" spans="2:16" ht="12" customHeight="1" x14ac:dyDescent="0.2">
      <c r="B30" s="455" t="s">
        <v>629</v>
      </c>
      <c r="C30" s="456">
        <v>2734.3660399999994</v>
      </c>
      <c r="D30" s="457">
        <v>573.41403000000003</v>
      </c>
      <c r="E30" s="457">
        <v>1448.9486199999999</v>
      </c>
      <c r="F30" s="457">
        <v>206.65819999999999</v>
      </c>
      <c r="G30" s="457">
        <v>930.78317000000004</v>
      </c>
      <c r="H30" s="457">
        <v>737.03701000000012</v>
      </c>
      <c r="I30" s="457">
        <v>1223.0298999999998</v>
      </c>
      <c r="J30" s="457">
        <v>2579.1505399999996</v>
      </c>
      <c r="K30" s="458">
        <v>1215.6776100000004</v>
      </c>
      <c r="L30" s="685">
        <f>SUM(B30:K30)</f>
        <v>11649.065119999997</v>
      </c>
      <c r="M30" s="674"/>
      <c r="N30" s="743"/>
      <c r="O30" s="406"/>
      <c r="P30" s="406"/>
    </row>
    <row r="31" spans="2:16" ht="12" customHeight="1" x14ac:dyDescent="0.2">
      <c r="B31" s="459"/>
      <c r="C31" s="407"/>
      <c r="D31" s="407"/>
      <c r="E31" s="407"/>
      <c r="F31" s="407"/>
      <c r="G31" s="407"/>
      <c r="H31" s="407"/>
      <c r="I31" s="407"/>
      <c r="J31" s="407"/>
      <c r="K31" s="407"/>
      <c r="L31" s="686"/>
      <c r="M31" s="687"/>
      <c r="N31" s="739"/>
    </row>
    <row r="32" spans="2:16" ht="21.75" customHeight="1" x14ac:dyDescent="0.2">
      <c r="B32" s="446" t="s">
        <v>630</v>
      </c>
      <c r="C32" s="688">
        <f t="shared" ref="C32:I32" si="2">+C30+C28+C23</f>
        <v>776053.2752700001</v>
      </c>
      <c r="D32" s="688">
        <f t="shared" si="2"/>
        <v>325955.30517999991</v>
      </c>
      <c r="E32" s="688">
        <f t="shared" si="2"/>
        <v>170407.81818</v>
      </c>
      <c r="F32" s="688">
        <f t="shared" si="2"/>
        <v>623817.4753500002</v>
      </c>
      <c r="G32" s="688">
        <f t="shared" si="2"/>
        <v>751637.28248000029</v>
      </c>
      <c r="H32" s="688">
        <f t="shared" si="2"/>
        <v>455764.51776000013</v>
      </c>
      <c r="I32" s="688">
        <f t="shared" si="2"/>
        <v>420688.87336999981</v>
      </c>
      <c r="J32" s="688">
        <f>+J30+J28+J23</f>
        <v>694304.65834999981</v>
      </c>
      <c r="K32" s="688">
        <f>+K30+K28+K23</f>
        <v>706680.12280000024</v>
      </c>
      <c r="L32" s="673">
        <f>SUM(B32:K32)</f>
        <v>4925309.3287399998</v>
      </c>
      <c r="M32" s="687"/>
      <c r="N32" s="744"/>
      <c r="O32" s="406" t="s">
        <v>78</v>
      </c>
      <c r="P32" s="406" t="s">
        <v>78</v>
      </c>
    </row>
    <row r="33" spans="2:16" ht="12" customHeight="1" x14ac:dyDescent="0.2">
      <c r="B33" s="461"/>
      <c r="C33" s="407"/>
      <c r="D33" s="407"/>
      <c r="E33" s="407"/>
      <c r="F33" s="407"/>
      <c r="G33" s="407"/>
      <c r="H33" s="407"/>
      <c r="I33" s="407"/>
      <c r="J33" s="407"/>
      <c r="K33" s="407"/>
      <c r="L33" s="689"/>
      <c r="M33" s="687"/>
      <c r="N33" s="460"/>
      <c r="P33" s="406"/>
    </row>
    <row r="34" spans="2:16" ht="12" customHeight="1" x14ac:dyDescent="0.2">
      <c r="B34" s="462" t="s">
        <v>631</v>
      </c>
      <c r="C34" s="692">
        <f>+C28+C23</f>
        <v>773318.90923000011</v>
      </c>
      <c r="D34" s="692">
        <f t="shared" ref="D34:K34" si="3">+D28+D23</f>
        <v>325381.89114999992</v>
      </c>
      <c r="E34" s="692">
        <f t="shared" si="3"/>
        <v>168958.86955999999</v>
      </c>
      <c r="F34" s="692">
        <f t="shared" si="3"/>
        <v>623610.81715000013</v>
      </c>
      <c r="G34" s="692">
        <f t="shared" si="3"/>
        <v>750706.49931000033</v>
      </c>
      <c r="H34" s="692">
        <f t="shared" si="3"/>
        <v>455027.4807500001</v>
      </c>
      <c r="I34" s="692">
        <f t="shared" si="3"/>
        <v>419465.84346999979</v>
      </c>
      <c r="J34" s="692">
        <f t="shared" si="3"/>
        <v>691725.50780999975</v>
      </c>
      <c r="K34" s="693">
        <f t="shared" si="3"/>
        <v>705464.44519000023</v>
      </c>
      <c r="L34" s="692">
        <f>+L28+L23</f>
        <v>4913660.2636200013</v>
      </c>
      <c r="M34" s="694"/>
      <c r="N34" s="463"/>
      <c r="P34" s="406"/>
    </row>
    <row r="35" spans="2:16" ht="12" customHeight="1" x14ac:dyDescent="0.2">
      <c r="B35" s="464" t="s">
        <v>632</v>
      </c>
      <c r="C35" s="695">
        <f>+L14</f>
        <v>461662.86115999997</v>
      </c>
      <c r="D35" s="696">
        <f>+L15</f>
        <v>361480.27350999985</v>
      </c>
      <c r="E35" s="696">
        <f>+L16</f>
        <v>397132.63257000002</v>
      </c>
      <c r="F35" s="696">
        <f>+L17</f>
        <v>527295.53203000012</v>
      </c>
      <c r="G35" s="696">
        <f>+L18</f>
        <v>642261.13270000019</v>
      </c>
      <c r="H35" s="696">
        <f>+L19</f>
        <v>647479.10919000022</v>
      </c>
      <c r="I35" s="696">
        <f>+L20</f>
        <v>386079.15994999983</v>
      </c>
      <c r="J35" s="696">
        <f>+L21</f>
        <v>514438.40819999977</v>
      </c>
      <c r="K35" s="696">
        <f>+L22</f>
        <v>620247.57030000025</v>
      </c>
      <c r="L35" s="690">
        <f>+L23</f>
        <v>4558076.6796100009</v>
      </c>
      <c r="M35" s="681"/>
      <c r="N35" s="691"/>
      <c r="P35" s="406"/>
    </row>
    <row r="36" spans="2:16" ht="18" customHeight="1" x14ac:dyDescent="0.2">
      <c r="B36" s="466" t="s">
        <v>633</v>
      </c>
      <c r="C36" s="697">
        <f>+C34-C35</f>
        <v>311656.04807000014</v>
      </c>
      <c r="D36" s="698">
        <f t="shared" ref="D36:K36" si="4">+D34-D35</f>
        <v>-36098.38235999993</v>
      </c>
      <c r="E36" s="698">
        <f t="shared" si="4"/>
        <v>-228173.76301000002</v>
      </c>
      <c r="F36" s="697">
        <f t="shared" si="4"/>
        <v>96315.285120000015</v>
      </c>
      <c r="G36" s="697">
        <f t="shared" si="4"/>
        <v>108445.36661000014</v>
      </c>
      <c r="H36" s="698">
        <f t="shared" si="4"/>
        <v>-192451.62844000012</v>
      </c>
      <c r="I36" s="697">
        <f t="shared" si="4"/>
        <v>33386.683519999962</v>
      </c>
      <c r="J36" s="697">
        <f t="shared" si="4"/>
        <v>177287.09960999998</v>
      </c>
      <c r="K36" s="697">
        <f t="shared" si="4"/>
        <v>85216.874889999977</v>
      </c>
      <c r="L36" s="699">
        <f>+L34-L35</f>
        <v>355583.58401000034</v>
      </c>
      <c r="M36" s="700"/>
      <c r="N36" s="701"/>
    </row>
    <row r="37" spans="2:16" ht="12" customHeight="1" x14ac:dyDescent="0.2">
      <c r="B37" s="454"/>
      <c r="C37" s="468"/>
      <c r="D37" s="468"/>
      <c r="E37" s="467"/>
      <c r="F37" s="468"/>
      <c r="G37" s="468"/>
      <c r="H37" s="467"/>
      <c r="I37" s="467"/>
      <c r="J37" s="468"/>
      <c r="K37" s="467"/>
      <c r="L37" s="467"/>
      <c r="M37" s="469"/>
      <c r="N37" s="467"/>
    </row>
    <row r="38" spans="2:16" ht="12" customHeight="1" x14ac:dyDescent="0.2">
      <c r="B38" s="454" t="s">
        <v>634</v>
      </c>
      <c r="C38" s="468"/>
      <c r="D38" s="468"/>
      <c r="E38" s="467"/>
      <c r="F38" s="468"/>
      <c r="G38" s="468"/>
      <c r="H38" s="467"/>
      <c r="I38" s="467"/>
      <c r="J38" s="468"/>
      <c r="K38" s="467"/>
      <c r="L38" s="467"/>
      <c r="M38" s="469"/>
      <c r="N38" s="467"/>
    </row>
    <row r="39" spans="2:16" ht="12" customHeight="1" x14ac:dyDescent="0.2">
      <c r="B39" s="454"/>
      <c r="C39" s="468"/>
      <c r="D39" s="468"/>
      <c r="E39" s="467"/>
      <c r="F39" s="468"/>
      <c r="G39" s="468"/>
      <c r="H39" s="467"/>
      <c r="I39" s="467"/>
      <c r="J39" s="468"/>
      <c r="K39" s="467"/>
      <c r="L39" s="467"/>
      <c r="M39" s="469"/>
      <c r="N39" s="467"/>
    </row>
    <row r="40" spans="2:16" ht="12" customHeight="1" x14ac:dyDescent="0.2">
      <c r="B40" s="465" t="s">
        <v>635</v>
      </c>
      <c r="C40" s="468"/>
      <c r="D40" s="468"/>
      <c r="E40" s="467"/>
      <c r="F40" s="468"/>
      <c r="G40" s="468"/>
      <c r="H40" s="467"/>
      <c r="I40" s="467"/>
      <c r="J40" s="468"/>
      <c r="K40" s="467"/>
      <c r="L40" s="467"/>
      <c r="M40" s="469"/>
      <c r="N40" s="467"/>
    </row>
    <row r="41" spans="2:16" ht="12" customHeight="1" x14ac:dyDescent="0.2">
      <c r="B41" s="405" t="s">
        <v>636</v>
      </c>
      <c r="C41" s="405"/>
      <c r="D41" s="405"/>
      <c r="E41" s="405"/>
      <c r="F41" s="405"/>
      <c r="G41" s="405"/>
      <c r="H41" s="405"/>
      <c r="I41" s="405"/>
      <c r="J41" s="405"/>
      <c r="K41" s="405"/>
      <c r="L41" s="405"/>
      <c r="N41" s="405"/>
    </row>
    <row r="42" spans="2:16" ht="12" customHeight="1" x14ac:dyDescent="0.2">
      <c r="B42" s="470" t="s">
        <v>637</v>
      </c>
      <c r="C42" s="405"/>
      <c r="D42" s="405"/>
      <c r="E42" s="405"/>
      <c r="F42" s="405"/>
      <c r="G42" s="405"/>
      <c r="H42" s="405"/>
      <c r="I42" s="405"/>
      <c r="J42" s="405"/>
      <c r="K42" s="405"/>
      <c r="L42" s="405"/>
      <c r="N42" s="405"/>
    </row>
    <row r="43" spans="2:16" ht="12" customHeight="1" x14ac:dyDescent="0.2">
      <c r="B43" s="405" t="s">
        <v>638</v>
      </c>
      <c r="C43" s="405"/>
      <c r="D43" s="405"/>
      <c r="E43" s="405"/>
      <c r="F43" s="405"/>
      <c r="G43" s="405"/>
      <c r="H43" s="405"/>
      <c r="I43" s="405"/>
      <c r="J43" s="405"/>
      <c r="K43" s="405"/>
      <c r="L43" s="405"/>
      <c r="N43" s="405"/>
    </row>
    <row r="44" spans="2:16" ht="12" customHeight="1" x14ac:dyDescent="0.2">
      <c r="B44" s="471"/>
      <c r="N44" s="405"/>
    </row>
    <row r="45" spans="2:16" ht="12" customHeight="1" x14ac:dyDescent="0.2">
      <c r="N45" s="405"/>
    </row>
  </sheetData>
  <mergeCells count="5">
    <mergeCell ref="B11:B12"/>
    <mergeCell ref="C11:K11"/>
    <mergeCell ref="L11:L12"/>
    <mergeCell ref="N11:N12"/>
    <mergeCell ref="C13:K13"/>
  </mergeCells>
  <conditionalFormatting sqref="J36:M36 C36">
    <cfRule type="cellIs" dxfId="0" priority="1" stopIfTrue="1" operator="lessThan">
      <formula>0</formula>
    </cfRule>
  </conditionalFormatting>
  <pageMargins left="0.75" right="0.75" top="1" bottom="1" header="0.5" footer="0.5"/>
  <pageSetup paperSize="8" scale="98"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6"/>
  <sheetViews>
    <sheetView showGridLines="0" zoomScaleNormal="100" workbookViewId="0"/>
  </sheetViews>
  <sheetFormatPr defaultRowHeight="15" x14ac:dyDescent="0.2"/>
  <cols>
    <col min="1" max="1" width="3.140625" style="22" customWidth="1"/>
    <col min="2" max="2" width="13" style="22" customWidth="1"/>
    <col min="3" max="3" width="54.42578125" style="22" customWidth="1"/>
    <col min="4" max="4" width="10.42578125" style="22" customWidth="1"/>
    <col min="5" max="5" width="9.140625" style="22" customWidth="1"/>
    <col min="6" max="6" width="10" style="22" bestFit="1" customWidth="1"/>
    <col min="7" max="7" width="9.28515625" style="22" bestFit="1" customWidth="1"/>
    <col min="8" max="8" width="10" style="22" bestFit="1" customWidth="1"/>
    <col min="9" max="9" width="10.42578125" style="22" customWidth="1"/>
    <col min="10" max="10" width="9.85546875" style="22" customWidth="1"/>
    <col min="11" max="11" width="10" style="22" customWidth="1"/>
    <col min="12" max="12" width="9.28515625" style="22" customWidth="1"/>
    <col min="13" max="13" width="10.28515625" style="22" customWidth="1"/>
    <col min="14" max="16384" width="9.140625" style="22"/>
  </cols>
  <sheetData>
    <row r="1" spans="1:14" x14ac:dyDescent="0.2">
      <c r="A1" s="32"/>
      <c r="C1" s="92"/>
      <c r="D1" s="91"/>
    </row>
    <row r="2" spans="1:14" ht="18.75" x14ac:dyDescent="0.3">
      <c r="B2" s="93" t="s">
        <v>1032</v>
      </c>
      <c r="C2" s="90"/>
    </row>
    <row r="4" spans="1:14" ht="15" customHeight="1" x14ac:dyDescent="0.2">
      <c r="B4" s="879" t="s">
        <v>644</v>
      </c>
      <c r="C4" s="94"/>
      <c r="D4" s="882" t="s">
        <v>616</v>
      </c>
      <c r="E4" s="883"/>
      <c r="F4" s="883"/>
      <c r="G4" s="883"/>
      <c r="H4" s="883"/>
      <c r="I4" s="883"/>
      <c r="J4" s="883"/>
      <c r="K4" s="883"/>
      <c r="L4" s="884"/>
      <c r="M4" s="885" t="s">
        <v>118</v>
      </c>
    </row>
    <row r="5" spans="1:14" s="25" customFormat="1" ht="38.25" x14ac:dyDescent="0.2">
      <c r="B5" s="880"/>
      <c r="C5" s="95"/>
      <c r="D5" s="96" t="s">
        <v>119</v>
      </c>
      <c r="E5" s="97" t="s">
        <v>120</v>
      </c>
      <c r="F5" s="97" t="s">
        <v>128</v>
      </c>
      <c r="G5" s="97" t="s">
        <v>67</v>
      </c>
      <c r="H5" s="97" t="s">
        <v>122</v>
      </c>
      <c r="I5" s="97" t="s">
        <v>123</v>
      </c>
      <c r="J5" s="97" t="s">
        <v>124</v>
      </c>
      <c r="K5" s="97" t="s">
        <v>125</v>
      </c>
      <c r="L5" s="95" t="s">
        <v>126</v>
      </c>
      <c r="M5" s="886"/>
    </row>
    <row r="6" spans="1:14" s="25" customFormat="1" ht="5.0999999999999996" customHeight="1" x14ac:dyDescent="0.2">
      <c r="B6" s="98"/>
      <c r="C6" s="98"/>
      <c r="D6" s="98"/>
      <c r="E6" s="99"/>
      <c r="F6" s="99"/>
      <c r="G6" s="99"/>
      <c r="H6" s="98"/>
      <c r="I6" s="99"/>
      <c r="J6" s="98"/>
      <c r="K6" s="99"/>
      <c r="L6" s="98"/>
      <c r="M6" s="98"/>
    </row>
    <row r="7" spans="1:14" x14ac:dyDescent="0.2">
      <c r="B7" s="100" t="s">
        <v>589</v>
      </c>
      <c r="C7" s="101" t="s">
        <v>1033</v>
      </c>
      <c r="D7" s="702">
        <v>26</v>
      </c>
      <c r="E7" s="703">
        <v>48</v>
      </c>
      <c r="F7" s="703">
        <v>71</v>
      </c>
      <c r="G7" s="703">
        <v>61</v>
      </c>
      <c r="H7" s="703">
        <v>50</v>
      </c>
      <c r="I7" s="703">
        <v>90</v>
      </c>
      <c r="J7" s="703">
        <v>8</v>
      </c>
      <c r="K7" s="703">
        <v>94</v>
      </c>
      <c r="L7" s="703">
        <v>59</v>
      </c>
      <c r="M7" s="704">
        <f>SUM(D7:L7)</f>
        <v>507</v>
      </c>
      <c r="N7" s="89"/>
    </row>
    <row r="8" spans="1:14" x14ac:dyDescent="0.2">
      <c r="B8" s="100"/>
      <c r="C8" s="102" t="s">
        <v>1034</v>
      </c>
      <c r="D8" s="474">
        <v>27</v>
      </c>
      <c r="E8" s="474">
        <v>35</v>
      </c>
      <c r="F8" s="474">
        <v>48</v>
      </c>
      <c r="G8" s="474">
        <v>46</v>
      </c>
      <c r="H8" s="474">
        <v>38</v>
      </c>
      <c r="I8" s="474">
        <v>52</v>
      </c>
      <c r="J8" s="474">
        <v>5</v>
      </c>
      <c r="K8" s="474">
        <v>55</v>
      </c>
      <c r="L8" s="474">
        <v>34</v>
      </c>
      <c r="M8" s="704">
        <f>SUM(D8:L8)</f>
        <v>340</v>
      </c>
    </row>
    <row r="9" spans="1:14" ht="5.0999999999999996" customHeight="1" x14ac:dyDescent="0.2">
      <c r="B9" s="103"/>
      <c r="C9" s="103"/>
      <c r="D9" s="705"/>
      <c r="E9" s="705"/>
      <c r="F9" s="705"/>
      <c r="G9" s="705"/>
      <c r="H9" s="705"/>
      <c r="I9" s="705"/>
      <c r="J9" s="705"/>
      <c r="K9" s="705"/>
      <c r="L9" s="705"/>
      <c r="M9" s="706"/>
    </row>
    <row r="10" spans="1:14" x14ac:dyDescent="0.2">
      <c r="B10" s="100" t="s">
        <v>643</v>
      </c>
      <c r="C10" s="101" t="s">
        <v>1033</v>
      </c>
      <c r="D10" s="707">
        <v>8</v>
      </c>
      <c r="E10" s="708">
        <v>34</v>
      </c>
      <c r="F10" s="708">
        <v>36</v>
      </c>
      <c r="G10" s="708">
        <v>26</v>
      </c>
      <c r="H10" s="708">
        <v>22</v>
      </c>
      <c r="I10" s="708">
        <v>54</v>
      </c>
      <c r="J10" s="708">
        <v>10</v>
      </c>
      <c r="K10" s="708">
        <v>63</v>
      </c>
      <c r="L10" s="708">
        <v>64</v>
      </c>
      <c r="M10" s="709">
        <f>SUM(D10:L10)</f>
        <v>317</v>
      </c>
    </row>
    <row r="11" spans="1:14" x14ac:dyDescent="0.2">
      <c r="B11" s="100"/>
      <c r="C11" s="102" t="s">
        <v>1034</v>
      </c>
      <c r="D11" s="474">
        <v>5</v>
      </c>
      <c r="E11" s="474">
        <v>24</v>
      </c>
      <c r="F11" s="474">
        <v>26</v>
      </c>
      <c r="G11" s="474">
        <v>11</v>
      </c>
      <c r="H11" s="474">
        <v>10</v>
      </c>
      <c r="I11" s="474">
        <v>29</v>
      </c>
      <c r="J11" s="474">
        <v>9</v>
      </c>
      <c r="K11" s="474">
        <v>41</v>
      </c>
      <c r="L11" s="474">
        <v>57</v>
      </c>
      <c r="M11" s="704">
        <f>SUM(D11:L11)</f>
        <v>212</v>
      </c>
    </row>
    <row r="12" spans="1:14" ht="5.0999999999999996" customHeight="1" x14ac:dyDescent="0.2">
      <c r="B12" s="103"/>
      <c r="C12" s="103"/>
      <c r="D12" s="705"/>
      <c r="E12" s="705"/>
      <c r="F12" s="705"/>
      <c r="G12" s="705"/>
      <c r="H12" s="705"/>
      <c r="I12" s="705"/>
      <c r="J12" s="705"/>
      <c r="K12" s="705"/>
      <c r="L12" s="705"/>
      <c r="M12" s="706"/>
    </row>
    <row r="13" spans="1:14" x14ac:dyDescent="0.2">
      <c r="B13" s="100" t="s">
        <v>84</v>
      </c>
      <c r="C13" s="101" t="s">
        <v>1033</v>
      </c>
      <c r="D13" s="710">
        <v>10</v>
      </c>
      <c r="E13" s="711">
        <v>16</v>
      </c>
      <c r="F13" s="711">
        <v>17</v>
      </c>
      <c r="G13" s="711">
        <v>16</v>
      </c>
      <c r="H13" s="711">
        <v>20</v>
      </c>
      <c r="I13" s="711">
        <v>14</v>
      </c>
      <c r="J13" s="711">
        <v>11</v>
      </c>
      <c r="K13" s="711">
        <v>27</v>
      </c>
      <c r="L13" s="711">
        <v>15</v>
      </c>
      <c r="M13" s="712">
        <f>SUM(D13:L13)</f>
        <v>146</v>
      </c>
    </row>
    <row r="14" spans="1:14" x14ac:dyDescent="0.2">
      <c r="B14" s="100"/>
      <c r="C14" s="102" t="s">
        <v>1034</v>
      </c>
      <c r="D14" s="713">
        <v>4</v>
      </c>
      <c r="E14" s="714">
        <v>8</v>
      </c>
      <c r="F14" s="714">
        <v>9</v>
      </c>
      <c r="G14" s="714">
        <v>7</v>
      </c>
      <c r="H14" s="714">
        <v>14</v>
      </c>
      <c r="I14" s="714">
        <v>6</v>
      </c>
      <c r="J14" s="714">
        <v>7</v>
      </c>
      <c r="K14" s="714">
        <v>17</v>
      </c>
      <c r="L14" s="715">
        <v>9</v>
      </c>
      <c r="M14" s="712">
        <f>SUM(D14:L14)</f>
        <v>81</v>
      </c>
    </row>
    <row r="15" spans="1:14" ht="5.0999999999999996" customHeight="1" x14ac:dyDescent="0.2">
      <c r="B15" s="103"/>
      <c r="C15" s="103"/>
      <c r="D15" s="703"/>
      <c r="E15" s="703"/>
      <c r="F15" s="703"/>
      <c r="G15" s="703"/>
      <c r="H15" s="703"/>
      <c r="I15" s="703"/>
      <c r="J15" s="703"/>
      <c r="K15" s="703"/>
      <c r="L15" s="703"/>
      <c r="M15" s="706"/>
    </row>
    <row r="16" spans="1:14" x14ac:dyDescent="0.2">
      <c r="B16" s="100" t="s">
        <v>97</v>
      </c>
      <c r="C16" s="101" t="s">
        <v>1033</v>
      </c>
      <c r="D16" s="716">
        <v>181</v>
      </c>
      <c r="E16" s="717">
        <v>428</v>
      </c>
      <c r="F16" s="717">
        <v>398</v>
      </c>
      <c r="G16" s="717">
        <v>279</v>
      </c>
      <c r="H16" s="717">
        <v>371</v>
      </c>
      <c r="I16" s="717">
        <v>366</v>
      </c>
      <c r="J16" s="717">
        <v>211</v>
      </c>
      <c r="K16" s="717">
        <v>405</v>
      </c>
      <c r="L16" s="718">
        <v>348</v>
      </c>
      <c r="M16" s="712">
        <f>SUM(D16:L16)</f>
        <v>2987</v>
      </c>
    </row>
    <row r="17" spans="2:13" x14ac:dyDescent="0.2">
      <c r="B17" s="100"/>
      <c r="C17" s="102" t="s">
        <v>1034</v>
      </c>
      <c r="D17" s="474">
        <v>137</v>
      </c>
      <c r="E17" s="474">
        <v>321</v>
      </c>
      <c r="F17" s="474">
        <v>293</v>
      </c>
      <c r="G17" s="474">
        <v>216</v>
      </c>
      <c r="H17" s="474">
        <v>279</v>
      </c>
      <c r="I17" s="474">
        <v>295</v>
      </c>
      <c r="J17" s="474">
        <v>164</v>
      </c>
      <c r="K17" s="474">
        <v>334</v>
      </c>
      <c r="L17" s="474">
        <v>301</v>
      </c>
      <c r="M17" s="712">
        <f>SUM(D17:L17)</f>
        <v>2340</v>
      </c>
    </row>
    <row r="18" spans="2:13" ht="5.0999999999999996" customHeight="1" x14ac:dyDescent="0.2">
      <c r="B18" s="103"/>
      <c r="C18" s="103"/>
      <c r="D18" s="705"/>
      <c r="E18" s="705"/>
      <c r="F18" s="705"/>
      <c r="G18" s="705"/>
      <c r="H18" s="705"/>
      <c r="I18" s="705"/>
      <c r="J18" s="705"/>
      <c r="K18" s="705"/>
      <c r="L18" s="705"/>
      <c r="M18" s="706"/>
    </row>
    <row r="19" spans="2:13" x14ac:dyDescent="0.2">
      <c r="B19" s="113" t="s">
        <v>99</v>
      </c>
      <c r="C19" s="101" t="s">
        <v>1033</v>
      </c>
      <c r="D19" s="719">
        <v>145</v>
      </c>
      <c r="E19" s="705">
        <v>423</v>
      </c>
      <c r="F19" s="705">
        <v>364</v>
      </c>
      <c r="G19" s="705">
        <v>283</v>
      </c>
      <c r="H19" s="705">
        <v>332</v>
      </c>
      <c r="I19" s="705">
        <v>361</v>
      </c>
      <c r="J19" s="705">
        <v>137</v>
      </c>
      <c r="K19" s="705">
        <v>394</v>
      </c>
      <c r="L19" s="720">
        <v>343</v>
      </c>
      <c r="M19" s="712">
        <f>SUM(D19:L19)</f>
        <v>2782</v>
      </c>
    </row>
    <row r="20" spans="2:13" x14ac:dyDescent="0.2">
      <c r="B20" s="113"/>
      <c r="C20" s="102" t="s">
        <v>1034</v>
      </c>
      <c r="D20" s="474">
        <v>103</v>
      </c>
      <c r="E20" s="474">
        <v>290</v>
      </c>
      <c r="F20" s="474">
        <v>284</v>
      </c>
      <c r="G20" s="474">
        <v>225</v>
      </c>
      <c r="H20" s="474">
        <v>235</v>
      </c>
      <c r="I20" s="474">
        <v>271</v>
      </c>
      <c r="J20" s="474">
        <v>103</v>
      </c>
      <c r="K20" s="474">
        <v>309</v>
      </c>
      <c r="L20" s="474">
        <v>255</v>
      </c>
      <c r="M20" s="712">
        <f>SUM(D20:L20)</f>
        <v>2075</v>
      </c>
    </row>
    <row r="21" spans="2:13" ht="5.0999999999999996" customHeight="1" x14ac:dyDescent="0.2">
      <c r="B21" s="103"/>
      <c r="C21" s="103"/>
      <c r="D21" s="705"/>
      <c r="E21" s="705"/>
      <c r="F21" s="705"/>
      <c r="G21" s="705"/>
      <c r="H21" s="705"/>
      <c r="I21" s="705"/>
      <c r="J21" s="705"/>
      <c r="K21" s="705"/>
      <c r="L21" s="705"/>
      <c r="M21" s="706"/>
    </row>
    <row r="22" spans="2:13" x14ac:dyDescent="0.2">
      <c r="B22" s="887" t="s">
        <v>646</v>
      </c>
      <c r="C22" s="101" t="s">
        <v>1033</v>
      </c>
      <c r="D22" s="716">
        <v>155</v>
      </c>
      <c r="E22" s="717">
        <v>389</v>
      </c>
      <c r="F22" s="717">
        <v>408</v>
      </c>
      <c r="G22" s="717">
        <v>235</v>
      </c>
      <c r="H22" s="717">
        <v>375</v>
      </c>
      <c r="I22" s="717">
        <v>294</v>
      </c>
      <c r="J22" s="717">
        <v>101</v>
      </c>
      <c r="K22" s="717">
        <v>202</v>
      </c>
      <c r="L22" s="717">
        <v>261</v>
      </c>
      <c r="M22" s="712">
        <f>SUM(D22:L22)</f>
        <v>2420</v>
      </c>
    </row>
    <row r="23" spans="2:13" x14ac:dyDescent="0.2">
      <c r="B23" s="887"/>
      <c r="C23" s="102" t="s">
        <v>1034</v>
      </c>
      <c r="D23" s="474">
        <v>71</v>
      </c>
      <c r="E23" s="474">
        <v>181</v>
      </c>
      <c r="F23" s="474">
        <v>210</v>
      </c>
      <c r="G23" s="474">
        <v>114</v>
      </c>
      <c r="H23" s="474">
        <v>182</v>
      </c>
      <c r="I23" s="474">
        <v>164</v>
      </c>
      <c r="J23" s="474">
        <v>52</v>
      </c>
      <c r="K23" s="474">
        <v>121</v>
      </c>
      <c r="L23" s="474">
        <v>149</v>
      </c>
      <c r="M23" s="704">
        <f>SUM(D23:L23)</f>
        <v>1244</v>
      </c>
    </row>
    <row r="24" spans="2:13" ht="5.0999999999999996" customHeight="1" x14ac:dyDescent="0.2">
      <c r="B24" s="727"/>
      <c r="C24" s="103"/>
      <c r="D24" s="711"/>
      <c r="E24" s="711"/>
      <c r="F24" s="711"/>
      <c r="G24" s="711"/>
      <c r="H24" s="711"/>
      <c r="I24" s="711"/>
      <c r="J24" s="711"/>
      <c r="K24" s="711"/>
      <c r="L24" s="711"/>
      <c r="M24" s="706"/>
    </row>
    <row r="25" spans="2:13" ht="15" customHeight="1" x14ac:dyDescent="0.2">
      <c r="B25" s="890" t="s">
        <v>642</v>
      </c>
      <c r="C25" s="101" t="s">
        <v>1033</v>
      </c>
      <c r="D25" s="716">
        <v>7</v>
      </c>
      <c r="E25" s="717">
        <v>24</v>
      </c>
      <c r="F25" s="717">
        <v>18</v>
      </c>
      <c r="G25" s="717">
        <v>16</v>
      </c>
      <c r="H25" s="717">
        <v>19</v>
      </c>
      <c r="I25" s="717">
        <v>16</v>
      </c>
      <c r="J25" s="717">
        <v>3</v>
      </c>
      <c r="K25" s="717">
        <v>18</v>
      </c>
      <c r="L25" s="718">
        <v>54</v>
      </c>
      <c r="M25" s="712">
        <f>SUM(D25:L25)</f>
        <v>175</v>
      </c>
    </row>
    <row r="26" spans="2:13" ht="15" customHeight="1" x14ac:dyDescent="0.2">
      <c r="B26" s="891"/>
      <c r="C26" s="104" t="s">
        <v>1034</v>
      </c>
      <c r="D26" s="474">
        <v>3</v>
      </c>
      <c r="E26" s="474">
        <v>15</v>
      </c>
      <c r="F26" s="474">
        <v>7</v>
      </c>
      <c r="G26" s="474">
        <v>8</v>
      </c>
      <c r="H26" s="474">
        <v>7</v>
      </c>
      <c r="I26" s="474">
        <v>7</v>
      </c>
      <c r="J26" s="474">
        <v>1</v>
      </c>
      <c r="K26" s="474">
        <v>6</v>
      </c>
      <c r="L26" s="474">
        <v>36</v>
      </c>
      <c r="M26" s="712">
        <f>SUM(D26:L26)</f>
        <v>90</v>
      </c>
    </row>
    <row r="27" spans="2:13" ht="5.0999999999999996" customHeight="1" x14ac:dyDescent="0.2">
      <c r="B27" s="105"/>
      <c r="C27" s="106"/>
      <c r="D27" s="711"/>
      <c r="E27" s="711"/>
      <c r="F27" s="711"/>
      <c r="G27" s="711"/>
      <c r="H27" s="711"/>
      <c r="I27" s="711"/>
      <c r="J27" s="711"/>
      <c r="K27" s="711"/>
      <c r="L27" s="711"/>
      <c r="M27" s="711"/>
    </row>
    <row r="28" spans="2:13" x14ac:dyDescent="0.2">
      <c r="B28" s="888" t="s">
        <v>33</v>
      </c>
      <c r="C28" s="107" t="s">
        <v>1033</v>
      </c>
      <c r="D28" s="721">
        <f t="shared" ref="D28:M28" si="0">+D22+D19+D16+D13+D10+D7+D25</f>
        <v>532</v>
      </c>
      <c r="E28" s="722">
        <f t="shared" si="0"/>
        <v>1362</v>
      </c>
      <c r="F28" s="722">
        <f t="shared" si="0"/>
        <v>1312</v>
      </c>
      <c r="G28" s="722">
        <f t="shared" si="0"/>
        <v>916</v>
      </c>
      <c r="H28" s="722">
        <f t="shared" si="0"/>
        <v>1189</v>
      </c>
      <c r="I28" s="722">
        <f t="shared" si="0"/>
        <v>1195</v>
      </c>
      <c r="J28" s="722">
        <f t="shared" si="0"/>
        <v>481</v>
      </c>
      <c r="K28" s="722">
        <f t="shared" si="0"/>
        <v>1203</v>
      </c>
      <c r="L28" s="722">
        <f t="shared" si="0"/>
        <v>1144</v>
      </c>
      <c r="M28" s="721">
        <f t="shared" si="0"/>
        <v>9334</v>
      </c>
    </row>
    <row r="29" spans="2:13" x14ac:dyDescent="0.2">
      <c r="B29" s="889"/>
      <c r="C29" s="108" t="s">
        <v>1034</v>
      </c>
      <c r="D29" s="723">
        <f t="shared" ref="D29:L29" si="1">+D26+D23+D20+D17+D14+D11+D8</f>
        <v>350</v>
      </c>
      <c r="E29" s="724">
        <f t="shared" si="1"/>
        <v>874</v>
      </c>
      <c r="F29" s="724">
        <f t="shared" si="1"/>
        <v>877</v>
      </c>
      <c r="G29" s="724">
        <f t="shared" si="1"/>
        <v>627</v>
      </c>
      <c r="H29" s="724">
        <f t="shared" si="1"/>
        <v>765</v>
      </c>
      <c r="I29" s="724">
        <f t="shared" si="1"/>
        <v>824</v>
      </c>
      <c r="J29" s="724">
        <f t="shared" si="1"/>
        <v>341</v>
      </c>
      <c r="K29" s="724">
        <f t="shared" si="1"/>
        <v>883</v>
      </c>
      <c r="L29" s="724">
        <f t="shared" si="1"/>
        <v>841</v>
      </c>
      <c r="M29" s="725">
        <f>+M26+M23+M20+M17+M14+M11+M8</f>
        <v>6382</v>
      </c>
    </row>
    <row r="30" spans="2:13" ht="15.75" x14ac:dyDescent="0.25">
      <c r="B30" s="109"/>
      <c r="C30" s="109"/>
      <c r="D30" s="109"/>
      <c r="E30" s="110"/>
      <c r="F30" s="109"/>
      <c r="G30" s="109"/>
      <c r="H30" s="109"/>
      <c r="I30" s="109"/>
      <c r="J30" s="109"/>
      <c r="K30" s="109"/>
      <c r="L30" s="109"/>
      <c r="M30" s="109"/>
    </row>
    <row r="31" spans="2:13" ht="15.75" x14ac:dyDescent="0.25">
      <c r="B31" s="111" t="s">
        <v>31</v>
      </c>
      <c r="C31" s="111"/>
      <c r="D31" s="109"/>
      <c r="E31" s="109"/>
      <c r="F31" s="109"/>
      <c r="G31" s="109"/>
      <c r="H31" s="109"/>
      <c r="I31" s="109"/>
      <c r="J31" s="109"/>
      <c r="K31" s="109"/>
      <c r="L31" s="109"/>
      <c r="M31" s="109"/>
    </row>
    <row r="32" spans="2:13" ht="15.75" x14ac:dyDescent="0.25">
      <c r="B32" s="112" t="s">
        <v>1035</v>
      </c>
      <c r="C32" s="112"/>
      <c r="D32" s="109"/>
      <c r="E32" s="109"/>
      <c r="F32" s="109"/>
      <c r="G32" s="109"/>
      <c r="H32" s="109"/>
      <c r="I32" s="109"/>
      <c r="J32" s="109"/>
      <c r="K32" s="109"/>
      <c r="L32" s="109"/>
      <c r="M32" s="109"/>
    </row>
    <row r="33" spans="2:13" ht="29.25" customHeight="1" x14ac:dyDescent="0.2">
      <c r="B33" s="881" t="s">
        <v>775</v>
      </c>
      <c r="C33" s="881"/>
      <c r="D33" s="881"/>
      <c r="E33" s="881"/>
      <c r="F33" s="881"/>
      <c r="G33" s="881"/>
      <c r="H33" s="881"/>
      <c r="I33" s="881"/>
      <c r="J33" s="881"/>
      <c r="K33" s="881"/>
      <c r="L33" s="881"/>
      <c r="M33" s="881"/>
    </row>
    <row r="34" spans="2:13" ht="15.75" x14ac:dyDescent="0.25">
      <c r="B34" s="112" t="s">
        <v>1036</v>
      </c>
      <c r="C34" s="112"/>
      <c r="D34" s="109"/>
      <c r="E34" s="109"/>
      <c r="F34" s="109"/>
      <c r="G34" s="109"/>
      <c r="H34" s="109"/>
      <c r="I34" s="109"/>
      <c r="J34" s="109"/>
      <c r="K34" s="109"/>
      <c r="L34" s="109"/>
      <c r="M34" s="109"/>
    </row>
    <row r="35" spans="2:13" ht="15.75" x14ac:dyDescent="0.25">
      <c r="B35" s="112" t="s">
        <v>650</v>
      </c>
      <c r="C35" s="112"/>
      <c r="D35" s="109"/>
      <c r="E35" s="109"/>
      <c r="F35" s="109"/>
      <c r="G35" s="109"/>
      <c r="H35" s="109"/>
      <c r="I35" s="109"/>
      <c r="J35" s="109"/>
      <c r="K35" s="109"/>
      <c r="L35" s="109"/>
      <c r="M35" s="109"/>
    </row>
    <row r="36" spans="2:13" ht="15.75" x14ac:dyDescent="0.25">
      <c r="B36" s="112" t="s">
        <v>1037</v>
      </c>
      <c r="C36" s="111"/>
      <c r="D36" s="109"/>
      <c r="E36" s="109"/>
      <c r="F36" s="109"/>
      <c r="G36" s="109"/>
      <c r="H36" s="109"/>
      <c r="I36" s="109"/>
      <c r="J36" s="109"/>
      <c r="K36" s="109"/>
      <c r="L36" s="109"/>
      <c r="M36" s="109"/>
    </row>
    <row r="37" spans="2:13" ht="15.75" x14ac:dyDescent="0.25">
      <c r="B37" s="112" t="s">
        <v>1038</v>
      </c>
      <c r="C37" s="112"/>
      <c r="D37" s="109"/>
      <c r="E37" s="109"/>
      <c r="F37" s="109"/>
      <c r="G37" s="109"/>
      <c r="H37" s="109"/>
      <c r="I37" s="109"/>
      <c r="J37" s="109"/>
      <c r="K37" s="109"/>
      <c r="L37" s="109"/>
      <c r="M37" s="109"/>
    </row>
    <row r="38" spans="2:13" ht="15.75" x14ac:dyDescent="0.25">
      <c r="B38" s="112" t="s">
        <v>645</v>
      </c>
      <c r="C38" s="112"/>
      <c r="D38" s="109"/>
      <c r="E38" s="109"/>
      <c r="F38" s="109"/>
      <c r="G38" s="109"/>
      <c r="H38" s="109"/>
      <c r="I38" s="109"/>
      <c r="J38" s="109"/>
      <c r="K38" s="109"/>
      <c r="L38" s="109"/>
      <c r="M38" s="109"/>
    </row>
    <row r="39" spans="2:13" ht="15.75" x14ac:dyDescent="0.25">
      <c r="B39" s="112"/>
      <c r="C39" s="112"/>
      <c r="D39" s="109"/>
      <c r="E39" s="109"/>
      <c r="F39" s="109"/>
      <c r="G39" s="109"/>
      <c r="H39" s="109"/>
      <c r="I39" s="109"/>
      <c r="J39" s="109"/>
      <c r="K39" s="109"/>
      <c r="L39" s="109"/>
      <c r="M39" s="109"/>
    </row>
    <row r="40" spans="2:13" ht="15.75" x14ac:dyDescent="0.25">
      <c r="B40" s="208" t="s">
        <v>649</v>
      </c>
      <c r="C40" s="112"/>
      <c r="D40" s="109"/>
      <c r="E40" s="109"/>
      <c r="F40" s="109"/>
      <c r="G40" s="109"/>
      <c r="H40" s="109"/>
      <c r="I40" s="109"/>
      <c r="J40" s="109"/>
      <c r="K40" s="109"/>
      <c r="L40" s="109"/>
      <c r="M40" s="109"/>
    </row>
    <row r="41" spans="2:13" ht="15.75" x14ac:dyDescent="0.25">
      <c r="B41" s="111" t="s">
        <v>78</v>
      </c>
      <c r="C41" s="109"/>
      <c r="D41" s="109"/>
      <c r="E41" s="109"/>
      <c r="F41" s="109"/>
      <c r="G41" s="109"/>
      <c r="H41" s="109"/>
      <c r="I41" s="109"/>
      <c r="J41" s="109"/>
      <c r="K41" s="109"/>
      <c r="L41" s="109"/>
      <c r="M41" s="109"/>
    </row>
    <row r="42" spans="2:13" ht="15.75" x14ac:dyDescent="0.25">
      <c r="B42" s="109"/>
      <c r="C42" s="109"/>
      <c r="D42" s="109"/>
      <c r="E42" s="109"/>
      <c r="F42" s="109"/>
      <c r="G42" s="109"/>
      <c r="H42" s="109"/>
      <c r="I42" s="109"/>
      <c r="J42" s="109"/>
      <c r="K42" s="109"/>
      <c r="L42" s="109"/>
      <c r="M42" s="109"/>
    </row>
    <row r="43" spans="2:13" ht="15.75" x14ac:dyDescent="0.25">
      <c r="B43" s="109"/>
      <c r="C43" s="109"/>
      <c r="D43" s="109"/>
      <c r="E43" s="109"/>
      <c r="F43" s="109"/>
      <c r="G43" s="109"/>
      <c r="H43" s="109"/>
      <c r="I43" s="109"/>
      <c r="J43" s="109"/>
      <c r="K43" s="109"/>
      <c r="L43" s="109"/>
      <c r="M43" s="109"/>
    </row>
    <row r="44" spans="2:13" ht="15.75" x14ac:dyDescent="0.25">
      <c r="B44" s="109"/>
      <c r="C44" s="109"/>
      <c r="D44" s="109"/>
      <c r="E44" s="109"/>
      <c r="F44" s="109"/>
      <c r="G44" s="109"/>
      <c r="H44" s="109"/>
      <c r="I44" s="109"/>
      <c r="J44" s="109"/>
      <c r="K44" s="109"/>
      <c r="L44" s="109"/>
      <c r="M44" s="109"/>
    </row>
    <row r="45" spans="2:13" ht="15.75" x14ac:dyDescent="0.25">
      <c r="B45" s="109"/>
      <c r="C45" s="109"/>
      <c r="D45" s="109"/>
      <c r="E45" s="109"/>
      <c r="F45" s="109"/>
      <c r="G45" s="109"/>
      <c r="H45" s="109"/>
      <c r="I45" s="109"/>
      <c r="J45" s="109"/>
      <c r="K45" s="109"/>
      <c r="L45" s="109"/>
      <c r="M45" s="109"/>
    </row>
    <row r="46" spans="2:13" ht="15.75" x14ac:dyDescent="0.25">
      <c r="B46" s="109"/>
      <c r="C46" s="109"/>
      <c r="D46" s="109"/>
      <c r="E46" s="109"/>
      <c r="F46" s="109"/>
      <c r="G46" s="109"/>
      <c r="H46" s="109"/>
      <c r="I46" s="109"/>
      <c r="J46" s="109"/>
      <c r="K46" s="109"/>
      <c r="L46" s="109"/>
      <c r="M46" s="109"/>
    </row>
  </sheetData>
  <mergeCells count="7">
    <mergeCell ref="B4:B5"/>
    <mergeCell ref="B33:M33"/>
    <mergeCell ref="D4:L4"/>
    <mergeCell ref="M4:M5"/>
    <mergeCell ref="B22:B23"/>
    <mergeCell ref="B28:B29"/>
    <mergeCell ref="B25:B26"/>
  </mergeCells>
  <pageMargins left="0.75" right="0.75" top="1" bottom="1" header="0.5" footer="0.5"/>
  <pageSetup paperSize="9" scale="78"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81"/>
  <sheetViews>
    <sheetView showGridLines="0" zoomScaleNormal="100" workbookViewId="0"/>
  </sheetViews>
  <sheetFormatPr defaultRowHeight="12.75" x14ac:dyDescent="0.2"/>
  <cols>
    <col min="1" max="1" width="5.42578125" style="264" customWidth="1"/>
    <col min="2" max="2" width="15.28515625" style="264" customWidth="1"/>
    <col min="3" max="3" width="20.7109375" style="264" customWidth="1"/>
    <col min="4" max="4" width="17.5703125" style="264" customWidth="1"/>
    <col min="5" max="5" width="12.7109375" style="264" customWidth="1"/>
    <col min="6" max="6" width="10.42578125" style="264" customWidth="1"/>
    <col min="7" max="7" width="13" style="264" customWidth="1"/>
    <col min="8" max="8" width="13.140625" style="264" customWidth="1"/>
    <col min="9" max="9" width="11.85546875" style="264" customWidth="1"/>
    <col min="10" max="10" width="10.42578125" style="264" customWidth="1"/>
    <col min="11" max="11" width="10" style="264" bestFit="1" customWidth="1"/>
    <col min="12" max="12" width="10.5703125" style="264" customWidth="1"/>
    <col min="13" max="13" width="10.28515625" style="264" customWidth="1"/>
    <col min="14" max="14" width="11.42578125" style="264" customWidth="1"/>
    <col min="15" max="16384" width="9.140625" style="264"/>
  </cols>
  <sheetData>
    <row r="1" spans="1:15" x14ac:dyDescent="0.2">
      <c r="A1" s="242"/>
    </row>
    <row r="2" spans="1:15" ht="18.75" x14ac:dyDescent="0.2">
      <c r="B2" s="86" t="s">
        <v>796</v>
      </c>
      <c r="C2" s="78"/>
      <c r="D2" s="79"/>
      <c r="E2" s="78"/>
      <c r="F2" s="78"/>
      <c r="G2" s="78"/>
      <c r="H2" s="78"/>
      <c r="I2" s="78"/>
      <c r="J2" s="78"/>
      <c r="K2" s="78"/>
      <c r="L2" s="78"/>
      <c r="M2" s="78"/>
      <c r="N2" s="78"/>
      <c r="O2" s="78"/>
    </row>
    <row r="3" spans="1:15" ht="18.75" x14ac:dyDescent="0.2">
      <c r="B3" s="244" t="s">
        <v>16</v>
      </c>
      <c r="C3" s="78"/>
      <c r="D3" s="79"/>
      <c r="E3" s="78"/>
      <c r="F3" s="78"/>
      <c r="G3" s="78"/>
      <c r="H3" s="78"/>
      <c r="I3" s="78"/>
      <c r="J3" s="78"/>
      <c r="K3" s="78"/>
      <c r="L3" s="78"/>
      <c r="M3" s="78"/>
      <c r="N3" s="78"/>
      <c r="O3" s="78"/>
    </row>
    <row r="4" spans="1:15" ht="15.75" x14ac:dyDescent="0.2">
      <c r="B4" s="77"/>
      <c r="C4" s="78"/>
      <c r="D4" s="79"/>
      <c r="E4" s="78"/>
      <c r="F4" s="78"/>
      <c r="G4" s="78"/>
      <c r="H4" s="78"/>
      <c r="I4" s="78"/>
      <c r="J4" s="78"/>
      <c r="K4" s="78"/>
      <c r="L4" s="78"/>
      <c r="M4" s="78"/>
      <c r="N4" s="78"/>
      <c r="O4" s="78"/>
    </row>
    <row r="5" spans="1:15" x14ac:dyDescent="0.2">
      <c r="B5" s="220"/>
      <c r="C5" s="221"/>
      <c r="D5" s="765" t="s">
        <v>117</v>
      </c>
      <c r="E5" s="765"/>
      <c r="F5" s="765"/>
      <c r="G5" s="765"/>
      <c r="H5" s="765"/>
      <c r="I5" s="765"/>
      <c r="J5" s="765"/>
      <c r="K5" s="765"/>
      <c r="L5" s="765"/>
      <c r="M5" s="765"/>
      <c r="N5" s="219"/>
      <c r="O5" s="78"/>
    </row>
    <row r="6" spans="1:15" ht="25.5" x14ac:dyDescent="0.2">
      <c r="B6" s="64" t="s">
        <v>87</v>
      </c>
      <c r="C6" s="80" t="s">
        <v>12</v>
      </c>
      <c r="D6" s="75" t="s">
        <v>127</v>
      </c>
      <c r="E6" s="48" t="s">
        <v>119</v>
      </c>
      <c r="F6" s="48" t="s">
        <v>120</v>
      </c>
      <c r="G6" s="48" t="s">
        <v>128</v>
      </c>
      <c r="H6" s="48" t="s">
        <v>67</v>
      </c>
      <c r="I6" s="48" t="s">
        <v>122</v>
      </c>
      <c r="J6" s="48" t="s">
        <v>123</v>
      </c>
      <c r="K6" s="48" t="s">
        <v>124</v>
      </c>
      <c r="L6" s="48" t="s">
        <v>125</v>
      </c>
      <c r="M6" s="49" t="s">
        <v>129</v>
      </c>
      <c r="N6" s="67" t="s">
        <v>118</v>
      </c>
      <c r="O6" s="78"/>
    </row>
    <row r="7" spans="1:15" x14ac:dyDescent="0.2">
      <c r="B7" s="766" t="s">
        <v>96</v>
      </c>
      <c r="C7" s="769" t="s">
        <v>130</v>
      </c>
      <c r="D7" s="265" t="s">
        <v>131</v>
      </c>
      <c r="E7" s="482">
        <v>830.2</v>
      </c>
      <c r="F7" s="483">
        <v>1030</v>
      </c>
      <c r="G7" s="483">
        <v>624</v>
      </c>
      <c r="H7" s="483">
        <v>867</v>
      </c>
      <c r="I7" s="483">
        <v>772</v>
      </c>
      <c r="J7" s="483">
        <v>869</v>
      </c>
      <c r="K7" s="483">
        <v>0</v>
      </c>
      <c r="L7" s="483">
        <v>2283.067</v>
      </c>
      <c r="M7" s="483">
        <v>876</v>
      </c>
      <c r="N7" s="484">
        <f>SUM(E7:M7)</f>
        <v>8151.2669999999998</v>
      </c>
      <c r="O7" s="78"/>
    </row>
    <row r="8" spans="1:15" x14ac:dyDescent="0.2">
      <c r="B8" s="767"/>
      <c r="C8" s="770"/>
      <c r="D8" s="266" t="s">
        <v>132</v>
      </c>
      <c r="E8" s="485">
        <v>1398.1</v>
      </c>
      <c r="F8" s="486">
        <v>4539</v>
      </c>
      <c r="G8" s="486">
        <v>2913</v>
      </c>
      <c r="H8" s="486">
        <v>3195</v>
      </c>
      <c r="I8" s="486">
        <v>4174</v>
      </c>
      <c r="J8" s="486">
        <v>5456.08</v>
      </c>
      <c r="K8" s="486">
        <v>0</v>
      </c>
      <c r="L8" s="486">
        <v>4641.9019999999991</v>
      </c>
      <c r="M8" s="486">
        <v>2589</v>
      </c>
      <c r="N8" s="487">
        <f t="shared" ref="N8:N55" si="0">SUM(E8:M8)</f>
        <v>28906.081999999999</v>
      </c>
      <c r="O8" s="78"/>
    </row>
    <row r="9" spans="1:15" x14ac:dyDescent="0.2">
      <c r="B9" s="767"/>
      <c r="C9" s="771"/>
      <c r="D9" s="266" t="s">
        <v>133</v>
      </c>
      <c r="E9" s="485">
        <v>96</v>
      </c>
      <c r="F9" s="486">
        <v>538</v>
      </c>
      <c r="G9" s="486">
        <v>334</v>
      </c>
      <c r="H9" s="486">
        <v>135</v>
      </c>
      <c r="I9" s="486">
        <v>150</v>
      </c>
      <c r="J9" s="486">
        <v>486.7</v>
      </c>
      <c r="K9" s="486">
        <v>47</v>
      </c>
      <c r="L9" s="486">
        <v>213.59300000000002</v>
      </c>
      <c r="M9" s="486">
        <v>139</v>
      </c>
      <c r="N9" s="487">
        <f t="shared" si="0"/>
        <v>2139.2930000000001</v>
      </c>
      <c r="O9" s="78"/>
    </row>
    <row r="10" spans="1:15" ht="15.75" customHeight="1" x14ac:dyDescent="0.2">
      <c r="B10" s="767"/>
      <c r="C10" s="81" t="s">
        <v>134</v>
      </c>
      <c r="D10" s="267"/>
      <c r="E10" s="488">
        <f t="shared" ref="E10:N10" si="1">SUBTOTAL(9,E7:E9)</f>
        <v>2324.3000000000002</v>
      </c>
      <c r="F10" s="488">
        <f t="shared" si="1"/>
        <v>6107</v>
      </c>
      <c r="G10" s="488">
        <f t="shared" si="1"/>
        <v>3871</v>
      </c>
      <c r="H10" s="488">
        <f t="shared" si="1"/>
        <v>4197</v>
      </c>
      <c r="I10" s="488">
        <f t="shared" si="1"/>
        <v>5096</v>
      </c>
      <c r="J10" s="488">
        <f t="shared" si="1"/>
        <v>6811.78</v>
      </c>
      <c r="K10" s="488">
        <f t="shared" si="1"/>
        <v>47</v>
      </c>
      <c r="L10" s="488">
        <f t="shared" si="1"/>
        <v>7138.561999999999</v>
      </c>
      <c r="M10" s="488">
        <f t="shared" si="1"/>
        <v>3604</v>
      </c>
      <c r="N10" s="489">
        <f t="shared" si="1"/>
        <v>39196.642</v>
      </c>
      <c r="O10" s="78"/>
    </row>
    <row r="11" spans="1:15" x14ac:dyDescent="0.2">
      <c r="B11" s="767"/>
      <c r="C11" s="772" t="s">
        <v>135</v>
      </c>
      <c r="D11" s="268" t="s">
        <v>131</v>
      </c>
      <c r="E11" s="490">
        <v>810.5</v>
      </c>
      <c r="F11" s="491">
        <v>1202.2</v>
      </c>
      <c r="G11" s="491">
        <v>1103</v>
      </c>
      <c r="H11" s="491">
        <v>885</v>
      </c>
      <c r="I11" s="491">
        <v>463</v>
      </c>
      <c r="J11" s="491">
        <v>805</v>
      </c>
      <c r="K11" s="491">
        <v>494</v>
      </c>
      <c r="L11" s="491">
        <v>2135.1469999999995</v>
      </c>
      <c r="M11" s="491">
        <v>935</v>
      </c>
      <c r="N11" s="492">
        <f t="shared" si="0"/>
        <v>8832.8469999999998</v>
      </c>
      <c r="O11" s="78"/>
    </row>
    <row r="12" spans="1:15" x14ac:dyDescent="0.2">
      <c r="B12" s="767"/>
      <c r="C12" s="758"/>
      <c r="D12" s="268" t="s">
        <v>132</v>
      </c>
      <c r="E12" s="490">
        <v>893.8</v>
      </c>
      <c r="F12" s="491">
        <v>1000</v>
      </c>
      <c r="G12" s="491">
        <v>2331</v>
      </c>
      <c r="H12" s="491">
        <v>505</v>
      </c>
      <c r="I12" s="491">
        <v>307</v>
      </c>
      <c r="J12" s="491">
        <v>3625</v>
      </c>
      <c r="K12" s="491">
        <v>1563</v>
      </c>
      <c r="L12" s="491">
        <v>2324.3480000000004</v>
      </c>
      <c r="M12" s="491">
        <v>1368</v>
      </c>
      <c r="N12" s="492">
        <f t="shared" si="0"/>
        <v>13917.147999999999</v>
      </c>
      <c r="O12" s="78"/>
    </row>
    <row r="13" spans="1:15" x14ac:dyDescent="0.2">
      <c r="B13" s="767"/>
      <c r="C13" s="773"/>
      <c r="D13" s="268" t="s">
        <v>133</v>
      </c>
      <c r="E13" s="490">
        <v>0</v>
      </c>
      <c r="F13" s="491">
        <v>0</v>
      </c>
      <c r="G13" s="491">
        <v>159</v>
      </c>
      <c r="H13" s="491">
        <v>1</v>
      </c>
      <c r="I13" s="491">
        <v>0</v>
      </c>
      <c r="J13" s="491">
        <v>118</v>
      </c>
      <c r="K13" s="491">
        <v>0</v>
      </c>
      <c r="L13" s="491">
        <v>1.0999999999999999E-2</v>
      </c>
      <c r="M13" s="491">
        <v>4</v>
      </c>
      <c r="N13" s="492">
        <f t="shared" si="0"/>
        <v>282.01100000000002</v>
      </c>
      <c r="O13" s="78"/>
    </row>
    <row r="14" spans="1:15" x14ac:dyDescent="0.2">
      <c r="B14" s="767"/>
      <c r="C14" s="69" t="s">
        <v>136</v>
      </c>
      <c r="D14" s="267"/>
      <c r="E14" s="488">
        <f t="shared" ref="E14:N14" si="2">SUBTOTAL(9,E11:E13)</f>
        <v>1704.3</v>
      </c>
      <c r="F14" s="488">
        <f t="shared" si="2"/>
        <v>2202.1999999999998</v>
      </c>
      <c r="G14" s="488">
        <f t="shared" si="2"/>
        <v>3593</v>
      </c>
      <c r="H14" s="488">
        <f t="shared" si="2"/>
        <v>1391</v>
      </c>
      <c r="I14" s="488">
        <f t="shared" si="2"/>
        <v>770</v>
      </c>
      <c r="J14" s="488">
        <f t="shared" si="2"/>
        <v>4548</v>
      </c>
      <c r="K14" s="488">
        <f t="shared" si="2"/>
        <v>2057</v>
      </c>
      <c r="L14" s="488">
        <f t="shared" si="2"/>
        <v>4459.5060000000003</v>
      </c>
      <c r="M14" s="488">
        <f t="shared" si="2"/>
        <v>2307</v>
      </c>
      <c r="N14" s="489">
        <f t="shared" si="2"/>
        <v>23032.005999999998</v>
      </c>
      <c r="O14" s="78"/>
    </row>
    <row r="15" spans="1:15" x14ac:dyDescent="0.2">
      <c r="B15" s="767"/>
      <c r="C15" s="774" t="s">
        <v>137</v>
      </c>
      <c r="D15" s="268" t="s">
        <v>131</v>
      </c>
      <c r="E15" s="490">
        <v>318.3</v>
      </c>
      <c r="F15" s="491">
        <v>612</v>
      </c>
      <c r="G15" s="491">
        <v>871</v>
      </c>
      <c r="H15" s="491">
        <v>3106</v>
      </c>
      <c r="I15" s="491">
        <v>1115</v>
      </c>
      <c r="J15" s="491">
        <v>1988.426666666667</v>
      </c>
      <c r="K15" s="491">
        <v>543</v>
      </c>
      <c r="L15" s="491">
        <v>2380.3969999999999</v>
      </c>
      <c r="M15" s="491">
        <v>459</v>
      </c>
      <c r="N15" s="492">
        <f t="shared" si="0"/>
        <v>11393.123666666666</v>
      </c>
      <c r="O15" s="78"/>
    </row>
    <row r="16" spans="1:15" x14ac:dyDescent="0.2">
      <c r="B16" s="767"/>
      <c r="C16" s="775"/>
      <c r="D16" s="268" t="s">
        <v>132</v>
      </c>
      <c r="E16" s="490">
        <v>0</v>
      </c>
      <c r="F16" s="491">
        <v>43</v>
      </c>
      <c r="G16" s="491">
        <v>2</v>
      </c>
      <c r="H16" s="491">
        <v>0</v>
      </c>
      <c r="I16" s="491">
        <v>0</v>
      </c>
      <c r="J16" s="491">
        <v>4</v>
      </c>
      <c r="K16" s="491">
        <v>0</v>
      </c>
      <c r="L16" s="491">
        <v>47.569000000000003</v>
      </c>
      <c r="M16" s="491">
        <v>0</v>
      </c>
      <c r="N16" s="492">
        <f t="shared" si="0"/>
        <v>96.569000000000003</v>
      </c>
      <c r="O16" s="78"/>
    </row>
    <row r="17" spans="2:15" x14ac:dyDescent="0.2">
      <c r="B17" s="767"/>
      <c r="C17" s="776"/>
      <c r="D17" s="268" t="s">
        <v>133</v>
      </c>
      <c r="E17" s="490">
        <v>0</v>
      </c>
      <c r="F17" s="491">
        <v>0</v>
      </c>
      <c r="G17" s="491">
        <v>2</v>
      </c>
      <c r="H17" s="491">
        <v>0</v>
      </c>
      <c r="I17" s="491">
        <v>0</v>
      </c>
      <c r="J17" s="491">
        <v>0</v>
      </c>
      <c r="K17" s="491">
        <v>0</v>
      </c>
      <c r="L17" s="491">
        <v>0</v>
      </c>
      <c r="M17" s="491">
        <v>1</v>
      </c>
      <c r="N17" s="492">
        <f t="shared" si="0"/>
        <v>3</v>
      </c>
      <c r="O17" s="78"/>
    </row>
    <row r="18" spans="2:15" x14ac:dyDescent="0.2">
      <c r="B18" s="767"/>
      <c r="C18" s="82" t="s">
        <v>138</v>
      </c>
      <c r="D18" s="267"/>
      <c r="E18" s="488">
        <f t="shared" ref="E18:N18" si="3">SUBTOTAL(9,E15:E17)</f>
        <v>318.3</v>
      </c>
      <c r="F18" s="488">
        <f t="shared" si="3"/>
        <v>655</v>
      </c>
      <c r="G18" s="488">
        <f t="shared" si="3"/>
        <v>875</v>
      </c>
      <c r="H18" s="488">
        <f t="shared" si="3"/>
        <v>3106</v>
      </c>
      <c r="I18" s="488">
        <f t="shared" si="3"/>
        <v>1115</v>
      </c>
      <c r="J18" s="488">
        <f t="shared" si="3"/>
        <v>1992.426666666667</v>
      </c>
      <c r="K18" s="488">
        <f t="shared" si="3"/>
        <v>543</v>
      </c>
      <c r="L18" s="488">
        <f t="shared" si="3"/>
        <v>2427.9659999999999</v>
      </c>
      <c r="M18" s="488">
        <f t="shared" si="3"/>
        <v>460</v>
      </c>
      <c r="N18" s="489">
        <f t="shared" si="3"/>
        <v>11492.692666666666</v>
      </c>
      <c r="O18" s="78"/>
    </row>
    <row r="19" spans="2:15" x14ac:dyDescent="0.2">
      <c r="B19" s="767"/>
      <c r="C19" s="772" t="s">
        <v>139</v>
      </c>
      <c r="D19" s="268" t="s">
        <v>131</v>
      </c>
      <c r="E19" s="490">
        <v>109</v>
      </c>
      <c r="F19" s="491">
        <v>550</v>
      </c>
      <c r="G19" s="491">
        <v>703</v>
      </c>
      <c r="H19" s="491">
        <v>107</v>
      </c>
      <c r="I19" s="491">
        <v>637</v>
      </c>
      <c r="J19" s="491">
        <v>5</v>
      </c>
      <c r="K19" s="491">
        <v>0</v>
      </c>
      <c r="L19" s="491">
        <v>610</v>
      </c>
      <c r="M19" s="491">
        <v>130</v>
      </c>
      <c r="N19" s="492">
        <f t="shared" si="0"/>
        <v>2851</v>
      </c>
      <c r="O19" s="78"/>
    </row>
    <row r="20" spans="2:15" x14ac:dyDescent="0.2">
      <c r="B20" s="767"/>
      <c r="C20" s="758"/>
      <c r="D20" s="268" t="s">
        <v>132</v>
      </c>
      <c r="E20" s="490">
        <v>84</v>
      </c>
      <c r="F20" s="491">
        <v>212</v>
      </c>
      <c r="G20" s="491">
        <v>1038</v>
      </c>
      <c r="H20" s="491">
        <v>508</v>
      </c>
      <c r="I20" s="491">
        <v>484</v>
      </c>
      <c r="J20" s="491">
        <v>154</v>
      </c>
      <c r="K20" s="491">
        <v>110</v>
      </c>
      <c r="L20" s="491">
        <v>286</v>
      </c>
      <c r="M20" s="491">
        <v>96</v>
      </c>
      <c r="N20" s="492">
        <f t="shared" si="0"/>
        <v>2972</v>
      </c>
      <c r="O20" s="78"/>
    </row>
    <row r="21" spans="2:15" x14ac:dyDescent="0.2">
      <c r="B21" s="767"/>
      <c r="C21" s="773"/>
      <c r="D21" s="268" t="s">
        <v>133</v>
      </c>
      <c r="E21" s="490">
        <v>2</v>
      </c>
      <c r="F21" s="491">
        <v>90</v>
      </c>
      <c r="G21" s="491">
        <v>255</v>
      </c>
      <c r="H21" s="491">
        <v>0</v>
      </c>
      <c r="I21" s="491">
        <v>11</v>
      </c>
      <c r="J21" s="491">
        <v>21</v>
      </c>
      <c r="K21" s="491">
        <v>0</v>
      </c>
      <c r="L21" s="491">
        <v>0</v>
      </c>
      <c r="M21" s="491">
        <v>0</v>
      </c>
      <c r="N21" s="492">
        <f t="shared" si="0"/>
        <v>379</v>
      </c>
      <c r="O21" s="78"/>
    </row>
    <row r="22" spans="2:15" ht="15" customHeight="1" x14ac:dyDescent="0.2">
      <c r="B22" s="768"/>
      <c r="C22" s="71" t="s">
        <v>140</v>
      </c>
      <c r="D22" s="267"/>
      <c r="E22" s="493">
        <f t="shared" ref="E22:N22" si="4">SUBTOTAL(9,E19:E21)</f>
        <v>195</v>
      </c>
      <c r="F22" s="493">
        <f t="shared" si="4"/>
        <v>852</v>
      </c>
      <c r="G22" s="493">
        <f t="shared" si="4"/>
        <v>1996</v>
      </c>
      <c r="H22" s="493">
        <f t="shared" si="4"/>
        <v>615</v>
      </c>
      <c r="I22" s="493">
        <f t="shared" si="4"/>
        <v>1132</v>
      </c>
      <c r="J22" s="493">
        <f t="shared" si="4"/>
        <v>180</v>
      </c>
      <c r="K22" s="493">
        <f t="shared" si="4"/>
        <v>110</v>
      </c>
      <c r="L22" s="493">
        <f t="shared" si="4"/>
        <v>896</v>
      </c>
      <c r="M22" s="493">
        <f t="shared" si="4"/>
        <v>226</v>
      </c>
      <c r="N22" s="494">
        <f t="shared" si="4"/>
        <v>6202</v>
      </c>
      <c r="O22" s="78"/>
    </row>
    <row r="23" spans="2:15" ht="15.75" customHeight="1" x14ac:dyDescent="0.2">
      <c r="B23" s="83" t="s">
        <v>103</v>
      </c>
      <c r="C23" s="73"/>
      <c r="D23" s="269"/>
      <c r="E23" s="495">
        <f t="shared" ref="E23:N23" si="5">SUBTOTAL(9,E7:E21)</f>
        <v>4541.9000000000005</v>
      </c>
      <c r="F23" s="495">
        <f t="shared" si="5"/>
        <v>9816.2000000000007</v>
      </c>
      <c r="G23" s="495">
        <f t="shared" si="5"/>
        <v>10335</v>
      </c>
      <c r="H23" s="495">
        <f t="shared" si="5"/>
        <v>9309</v>
      </c>
      <c r="I23" s="495">
        <f t="shared" si="5"/>
        <v>8113</v>
      </c>
      <c r="J23" s="495">
        <f t="shared" si="5"/>
        <v>13532.206666666665</v>
      </c>
      <c r="K23" s="495">
        <f t="shared" si="5"/>
        <v>2757</v>
      </c>
      <c r="L23" s="495">
        <f t="shared" si="5"/>
        <v>14922.034</v>
      </c>
      <c r="M23" s="495">
        <f t="shared" si="5"/>
        <v>6597</v>
      </c>
      <c r="N23" s="496">
        <f t="shared" si="5"/>
        <v>79923.340666666671</v>
      </c>
      <c r="O23" s="78"/>
    </row>
    <row r="24" spans="2:15" x14ac:dyDescent="0.2">
      <c r="B24" s="762" t="s">
        <v>104</v>
      </c>
      <c r="C24" s="756" t="s">
        <v>130</v>
      </c>
      <c r="D24" s="268" t="s">
        <v>131</v>
      </c>
      <c r="E24" s="490">
        <v>563</v>
      </c>
      <c r="F24" s="491">
        <v>819.8</v>
      </c>
      <c r="G24" s="491">
        <v>958</v>
      </c>
      <c r="H24" s="491">
        <v>1622.39</v>
      </c>
      <c r="I24" s="491">
        <v>810.41267277102907</v>
      </c>
      <c r="J24" s="491">
        <v>2628.3739999999998</v>
      </c>
      <c r="K24" s="491">
        <v>0</v>
      </c>
      <c r="L24" s="491">
        <v>2070.2870000000003</v>
      </c>
      <c r="M24" s="491">
        <v>489.14499999999998</v>
      </c>
      <c r="N24" s="492">
        <f t="shared" si="0"/>
        <v>9961.408672771031</v>
      </c>
      <c r="O24" s="78"/>
    </row>
    <row r="25" spans="2:15" x14ac:dyDescent="0.2">
      <c r="B25" s="763"/>
      <c r="C25" s="757"/>
      <c r="D25" s="268" t="s">
        <v>132</v>
      </c>
      <c r="E25" s="490">
        <v>1359</v>
      </c>
      <c r="F25" s="491">
        <v>5828.1</v>
      </c>
      <c r="G25" s="491">
        <v>3395</v>
      </c>
      <c r="H25" s="491">
        <v>2336.9479999999999</v>
      </c>
      <c r="I25" s="491">
        <v>3620.543678662948</v>
      </c>
      <c r="J25" s="491">
        <v>4950.8140000000003</v>
      </c>
      <c r="K25" s="491">
        <v>0</v>
      </c>
      <c r="L25" s="491">
        <v>3707.1310000000003</v>
      </c>
      <c r="M25" s="491">
        <v>2020.914</v>
      </c>
      <c r="N25" s="492">
        <f t="shared" si="0"/>
        <v>27218.450678662954</v>
      </c>
      <c r="O25" s="78"/>
    </row>
    <row r="26" spans="2:15" x14ac:dyDescent="0.2">
      <c r="B26" s="763"/>
      <c r="C26" s="757"/>
      <c r="D26" s="268" t="s">
        <v>133</v>
      </c>
      <c r="E26" s="490">
        <v>79</v>
      </c>
      <c r="F26" s="491">
        <v>404.6</v>
      </c>
      <c r="G26" s="491">
        <v>241</v>
      </c>
      <c r="H26" s="491">
        <v>99.1</v>
      </c>
      <c r="I26" s="491">
        <v>102.25553026971221</v>
      </c>
      <c r="J26" s="491">
        <v>343.387</v>
      </c>
      <c r="K26" s="491">
        <v>0</v>
      </c>
      <c r="L26" s="491">
        <v>344.017</v>
      </c>
      <c r="M26" s="491">
        <v>145.94999999999999</v>
      </c>
      <c r="N26" s="492">
        <f t="shared" si="0"/>
        <v>1759.3095302697122</v>
      </c>
      <c r="O26" s="78"/>
    </row>
    <row r="27" spans="2:15" ht="17.25" customHeight="1" x14ac:dyDescent="0.2">
      <c r="B27" s="763"/>
      <c r="C27" s="84" t="s">
        <v>134</v>
      </c>
      <c r="D27" s="267"/>
      <c r="E27" s="488">
        <f t="shared" ref="E27:N27" si="6">SUBTOTAL(9,E24:E26)</f>
        <v>2001</v>
      </c>
      <c r="F27" s="488">
        <f t="shared" si="6"/>
        <v>7052.5000000000009</v>
      </c>
      <c r="G27" s="488">
        <f t="shared" si="6"/>
        <v>4594</v>
      </c>
      <c r="H27" s="488">
        <f t="shared" si="6"/>
        <v>4058.4379999999996</v>
      </c>
      <c r="I27" s="488">
        <f t="shared" si="6"/>
        <v>4533.211881703689</v>
      </c>
      <c r="J27" s="488">
        <f t="shared" si="6"/>
        <v>7922.5749999999998</v>
      </c>
      <c r="K27" s="488">
        <f t="shared" si="6"/>
        <v>0</v>
      </c>
      <c r="L27" s="488">
        <f t="shared" si="6"/>
        <v>6121.4350000000004</v>
      </c>
      <c r="M27" s="488">
        <f t="shared" si="6"/>
        <v>2656.009</v>
      </c>
      <c r="N27" s="489">
        <f t="shared" si="6"/>
        <v>38939.168881703699</v>
      </c>
      <c r="O27" s="78"/>
    </row>
    <row r="28" spans="2:15" x14ac:dyDescent="0.2">
      <c r="B28" s="763"/>
      <c r="C28" s="772" t="s">
        <v>135</v>
      </c>
      <c r="D28" s="268" t="s">
        <v>131</v>
      </c>
      <c r="E28" s="490">
        <v>631</v>
      </c>
      <c r="F28" s="491">
        <v>1513.1</v>
      </c>
      <c r="G28" s="491">
        <v>364</v>
      </c>
      <c r="H28" s="491">
        <v>845.06500000000005</v>
      </c>
      <c r="I28" s="491">
        <v>296.15606981492044</v>
      </c>
      <c r="J28" s="491">
        <v>1239.308</v>
      </c>
      <c r="K28" s="491">
        <v>476.30599999999998</v>
      </c>
      <c r="L28" s="491">
        <v>3964.991</v>
      </c>
      <c r="M28" s="491">
        <v>1187.6240000000003</v>
      </c>
      <c r="N28" s="492">
        <f t="shared" si="0"/>
        <v>10517.550069814919</v>
      </c>
      <c r="O28" s="78"/>
    </row>
    <row r="29" spans="2:15" x14ac:dyDescent="0.2">
      <c r="B29" s="763"/>
      <c r="C29" s="758"/>
      <c r="D29" s="268" t="s">
        <v>132</v>
      </c>
      <c r="E29" s="490">
        <v>825</v>
      </c>
      <c r="F29" s="491">
        <v>1281.8</v>
      </c>
      <c r="G29" s="491">
        <v>1634</v>
      </c>
      <c r="H29" s="491">
        <v>442.77</v>
      </c>
      <c r="I29" s="491">
        <v>238.28787988555428</v>
      </c>
      <c r="J29" s="491">
        <v>1987.4129999999998</v>
      </c>
      <c r="K29" s="491">
        <v>1381.261</v>
      </c>
      <c r="L29" s="491">
        <v>3601.3401000000003</v>
      </c>
      <c r="M29" s="491">
        <v>1716.9159999999999</v>
      </c>
      <c r="N29" s="492">
        <f t="shared" si="0"/>
        <v>13108.787979885552</v>
      </c>
      <c r="O29" s="78"/>
    </row>
    <row r="30" spans="2:15" x14ac:dyDescent="0.2">
      <c r="B30" s="763"/>
      <c r="C30" s="773"/>
      <c r="D30" s="268" t="s">
        <v>133</v>
      </c>
      <c r="E30" s="490">
        <v>0</v>
      </c>
      <c r="F30" s="491">
        <v>1.4</v>
      </c>
      <c r="G30" s="491">
        <v>54</v>
      </c>
      <c r="H30" s="491">
        <v>0</v>
      </c>
      <c r="I30" s="491">
        <v>0.46798001098632813</v>
      </c>
      <c r="J30" s="491">
        <v>16.719000000000001</v>
      </c>
      <c r="K30" s="491">
        <v>35.966000000000001</v>
      </c>
      <c r="L30" s="491">
        <v>22.608000000000001</v>
      </c>
      <c r="M30" s="491">
        <v>17.843</v>
      </c>
      <c r="N30" s="492">
        <f t="shared" si="0"/>
        <v>149.00398001098634</v>
      </c>
      <c r="O30" s="78"/>
    </row>
    <row r="31" spans="2:15" x14ac:dyDescent="0.2">
      <c r="B31" s="763"/>
      <c r="C31" s="69" t="s">
        <v>136</v>
      </c>
      <c r="D31" s="267"/>
      <c r="E31" s="488">
        <f t="shared" ref="E31:N31" si="7">SUBTOTAL(9,E28:E30)</f>
        <v>1456</v>
      </c>
      <c r="F31" s="488">
        <f t="shared" si="7"/>
        <v>2796.2999999999997</v>
      </c>
      <c r="G31" s="488">
        <f t="shared" si="7"/>
        <v>2052</v>
      </c>
      <c r="H31" s="488">
        <f t="shared" si="7"/>
        <v>1287.835</v>
      </c>
      <c r="I31" s="488">
        <f t="shared" si="7"/>
        <v>534.91192971146108</v>
      </c>
      <c r="J31" s="488">
        <f t="shared" si="7"/>
        <v>3243.4399999999996</v>
      </c>
      <c r="K31" s="488">
        <f t="shared" si="7"/>
        <v>1893.5329999999999</v>
      </c>
      <c r="L31" s="488">
        <f t="shared" si="7"/>
        <v>7588.9391000000005</v>
      </c>
      <c r="M31" s="488">
        <f t="shared" si="7"/>
        <v>2922.3829999999998</v>
      </c>
      <c r="N31" s="489">
        <f t="shared" si="7"/>
        <v>23775.342029711457</v>
      </c>
      <c r="O31" s="78"/>
    </row>
    <row r="32" spans="2:15" x14ac:dyDescent="0.2">
      <c r="B32" s="763"/>
      <c r="C32" s="774" t="s">
        <v>137</v>
      </c>
      <c r="D32" s="268" t="s">
        <v>131</v>
      </c>
      <c r="E32" s="490">
        <v>284</v>
      </c>
      <c r="F32" s="491">
        <v>818.7</v>
      </c>
      <c r="G32" s="491">
        <v>1311</v>
      </c>
      <c r="H32" s="491">
        <v>1623.79</v>
      </c>
      <c r="I32" s="491">
        <v>1156.6053657941818</v>
      </c>
      <c r="J32" s="491">
        <v>976.99299999999994</v>
      </c>
      <c r="K32" s="491">
        <v>653.89899999999989</v>
      </c>
      <c r="L32" s="491">
        <v>2270.0530000000003</v>
      </c>
      <c r="M32" s="491">
        <v>863.10199999999998</v>
      </c>
      <c r="N32" s="492">
        <f t="shared" si="0"/>
        <v>9958.1423657941814</v>
      </c>
      <c r="O32" s="78"/>
    </row>
    <row r="33" spans="2:15" x14ac:dyDescent="0.2">
      <c r="B33" s="763"/>
      <c r="C33" s="775"/>
      <c r="D33" s="268" t="s">
        <v>132</v>
      </c>
      <c r="E33" s="490">
        <v>0</v>
      </c>
      <c r="F33" s="491">
        <v>35.200000000000003</v>
      </c>
      <c r="G33" s="491">
        <v>109</v>
      </c>
      <c r="H33" s="491">
        <v>240.68</v>
      </c>
      <c r="I33" s="491">
        <v>95.332190150260914</v>
      </c>
      <c r="J33" s="491">
        <v>2.028</v>
      </c>
      <c r="K33" s="491">
        <v>0</v>
      </c>
      <c r="L33" s="491">
        <v>54.420999999999999</v>
      </c>
      <c r="M33" s="491">
        <v>77.007999999999996</v>
      </c>
      <c r="N33" s="492">
        <f t="shared" si="0"/>
        <v>613.66919015026099</v>
      </c>
      <c r="O33" s="78"/>
    </row>
    <row r="34" spans="2:15" x14ac:dyDescent="0.2">
      <c r="B34" s="763"/>
      <c r="C34" s="776"/>
      <c r="D34" s="268" t="s">
        <v>133</v>
      </c>
      <c r="E34" s="490">
        <v>0</v>
      </c>
      <c r="F34" s="491">
        <v>0.3</v>
      </c>
      <c r="G34" s="491">
        <v>0</v>
      </c>
      <c r="H34" s="491">
        <v>0</v>
      </c>
      <c r="I34" s="491">
        <v>0</v>
      </c>
      <c r="J34" s="491">
        <v>0</v>
      </c>
      <c r="K34" s="491">
        <v>0</v>
      </c>
      <c r="L34" s="491">
        <v>14.862</v>
      </c>
      <c r="M34" s="491">
        <v>0</v>
      </c>
      <c r="N34" s="492">
        <f t="shared" si="0"/>
        <v>15.162000000000001</v>
      </c>
      <c r="O34" s="78"/>
    </row>
    <row r="35" spans="2:15" x14ac:dyDescent="0.2">
      <c r="B35" s="763"/>
      <c r="C35" s="82" t="s">
        <v>138</v>
      </c>
      <c r="D35" s="267"/>
      <c r="E35" s="488">
        <f t="shared" ref="E35:N35" si="8">SUBTOTAL(9,E32:E34)</f>
        <v>284</v>
      </c>
      <c r="F35" s="488">
        <f t="shared" si="8"/>
        <v>854.2</v>
      </c>
      <c r="G35" s="488">
        <f t="shared" si="8"/>
        <v>1420</v>
      </c>
      <c r="H35" s="488">
        <f t="shared" si="8"/>
        <v>1864.47</v>
      </c>
      <c r="I35" s="488">
        <f t="shared" si="8"/>
        <v>1251.9375559444427</v>
      </c>
      <c r="J35" s="488">
        <f t="shared" si="8"/>
        <v>979.02099999999996</v>
      </c>
      <c r="K35" s="488">
        <f t="shared" si="8"/>
        <v>653.89899999999989</v>
      </c>
      <c r="L35" s="488">
        <f t="shared" si="8"/>
        <v>2339.3360000000002</v>
      </c>
      <c r="M35" s="488">
        <f t="shared" si="8"/>
        <v>940.11</v>
      </c>
      <c r="N35" s="489">
        <f t="shared" si="8"/>
        <v>10586.973555944443</v>
      </c>
      <c r="O35" s="78"/>
    </row>
    <row r="36" spans="2:15" x14ac:dyDescent="0.2">
      <c r="B36" s="763"/>
      <c r="C36" s="772" t="s">
        <v>139</v>
      </c>
      <c r="D36" s="268" t="s">
        <v>131</v>
      </c>
      <c r="E36" s="490">
        <v>13.795</v>
      </c>
      <c r="F36" s="491">
        <v>18.370520005226137</v>
      </c>
      <c r="G36" s="491">
        <v>167.93100000000001</v>
      </c>
      <c r="H36" s="491">
        <v>461.46699999999998</v>
      </c>
      <c r="I36" s="491">
        <v>9.9657000122070318</v>
      </c>
      <c r="J36" s="491">
        <v>0.254</v>
      </c>
      <c r="K36" s="491">
        <v>0</v>
      </c>
      <c r="L36" s="491">
        <v>47.795000000000002</v>
      </c>
      <c r="M36" s="491">
        <v>7.1280000000000001</v>
      </c>
      <c r="N36" s="492">
        <f t="shared" si="0"/>
        <v>726.70622001743311</v>
      </c>
      <c r="O36" s="78"/>
    </row>
    <row r="37" spans="2:15" x14ac:dyDescent="0.2">
      <c r="B37" s="763"/>
      <c r="C37" s="758"/>
      <c r="D37" s="268" t="s">
        <v>132</v>
      </c>
      <c r="E37" s="490">
        <v>50.87</v>
      </c>
      <c r="F37" s="491">
        <v>160.08567993797362</v>
      </c>
      <c r="G37" s="491">
        <v>692.55499999999995</v>
      </c>
      <c r="H37" s="491">
        <v>112.65199999999999</v>
      </c>
      <c r="I37" s="491">
        <v>293.1438186721802</v>
      </c>
      <c r="J37" s="491">
        <v>146.49699999999999</v>
      </c>
      <c r="K37" s="491">
        <v>0</v>
      </c>
      <c r="L37" s="491">
        <v>74.277000000000001</v>
      </c>
      <c r="M37" s="491">
        <v>84.969000000000008</v>
      </c>
      <c r="N37" s="492">
        <f t="shared" si="0"/>
        <v>1615.0494986101539</v>
      </c>
      <c r="O37" s="78"/>
    </row>
    <row r="38" spans="2:15" x14ac:dyDescent="0.2">
      <c r="B38" s="763"/>
      <c r="C38" s="773"/>
      <c r="D38" s="268" t="s">
        <v>133</v>
      </c>
      <c r="E38" s="490">
        <v>14.978999999999999</v>
      </c>
      <c r="F38" s="491">
        <v>1.9294520473480226</v>
      </c>
      <c r="G38" s="491">
        <v>1.9490000000000001</v>
      </c>
      <c r="H38" s="491">
        <v>0.56299999999999994</v>
      </c>
      <c r="I38" s="491">
        <v>0.74112998199462887</v>
      </c>
      <c r="J38" s="491">
        <v>0</v>
      </c>
      <c r="K38" s="491">
        <v>0</v>
      </c>
      <c r="L38" s="491">
        <v>0</v>
      </c>
      <c r="M38" s="491">
        <v>7.9409999999999998</v>
      </c>
      <c r="N38" s="492">
        <f t="shared" si="0"/>
        <v>28.102582029342649</v>
      </c>
      <c r="O38" s="78"/>
    </row>
    <row r="39" spans="2:15" x14ac:dyDescent="0.2">
      <c r="B39" s="763"/>
      <c r="C39" s="71" t="s">
        <v>140</v>
      </c>
      <c r="D39" s="267"/>
      <c r="E39" s="493">
        <f t="shared" ref="E39:N39" si="9">SUBTOTAL(9,E36:E38)</f>
        <v>79.643999999999991</v>
      </c>
      <c r="F39" s="493">
        <f t="shared" si="9"/>
        <v>180.38565199054779</v>
      </c>
      <c r="G39" s="493">
        <f t="shared" si="9"/>
        <v>862.43499999999995</v>
      </c>
      <c r="H39" s="493">
        <f t="shared" si="9"/>
        <v>574.6819999999999</v>
      </c>
      <c r="I39" s="493">
        <f t="shared" si="9"/>
        <v>303.85064866638186</v>
      </c>
      <c r="J39" s="493">
        <f t="shared" si="9"/>
        <v>146.75099999999998</v>
      </c>
      <c r="K39" s="493">
        <f t="shared" si="9"/>
        <v>0</v>
      </c>
      <c r="L39" s="493">
        <f t="shared" si="9"/>
        <v>122.072</v>
      </c>
      <c r="M39" s="493">
        <f t="shared" si="9"/>
        <v>100.03800000000001</v>
      </c>
      <c r="N39" s="494">
        <f t="shared" si="9"/>
        <v>2369.8583006569297</v>
      </c>
      <c r="O39" s="78"/>
    </row>
    <row r="40" spans="2:15" ht="14.25" customHeight="1" x14ac:dyDescent="0.2">
      <c r="B40" s="72" t="s">
        <v>105</v>
      </c>
      <c r="C40" s="73"/>
      <c r="D40" s="269"/>
      <c r="E40" s="495">
        <f t="shared" ref="E40:N40" si="10">SUBTOTAL(9,E24:E38)</f>
        <v>3820.6439999999998</v>
      </c>
      <c r="F40" s="495">
        <f t="shared" si="10"/>
        <v>10883.385651990549</v>
      </c>
      <c r="G40" s="495">
        <f t="shared" si="10"/>
        <v>8928.4350000000013</v>
      </c>
      <c r="H40" s="495">
        <f t="shared" si="10"/>
        <v>7785.4249999999993</v>
      </c>
      <c r="I40" s="495">
        <f t="shared" si="10"/>
        <v>6623.9120160259754</v>
      </c>
      <c r="J40" s="495">
        <f t="shared" si="10"/>
        <v>12291.787</v>
      </c>
      <c r="K40" s="495">
        <f t="shared" si="10"/>
        <v>2547.4319999999998</v>
      </c>
      <c r="L40" s="495">
        <f t="shared" si="10"/>
        <v>16171.7821</v>
      </c>
      <c r="M40" s="495">
        <f t="shared" si="10"/>
        <v>6618.5399999999991</v>
      </c>
      <c r="N40" s="496">
        <f t="shared" si="10"/>
        <v>75671.342768016519</v>
      </c>
      <c r="O40" s="78"/>
    </row>
    <row r="41" spans="2:15" x14ac:dyDescent="0.2">
      <c r="B41" s="762" t="s">
        <v>106</v>
      </c>
      <c r="C41" s="757" t="s">
        <v>133</v>
      </c>
      <c r="D41" s="268" t="s">
        <v>131</v>
      </c>
      <c r="E41" s="490">
        <v>16.475660018920898</v>
      </c>
      <c r="F41" s="491">
        <v>6.514699999809265</v>
      </c>
      <c r="G41" s="491">
        <v>14.221439888954162</v>
      </c>
      <c r="H41" s="491">
        <v>91.246429511323583</v>
      </c>
      <c r="I41" s="491">
        <v>197.51661988586187</v>
      </c>
      <c r="J41" s="491">
        <v>96.414470490336413</v>
      </c>
      <c r="K41" s="491">
        <v>0</v>
      </c>
      <c r="L41" s="491">
        <v>0</v>
      </c>
      <c r="M41" s="491">
        <v>72.098897770524019</v>
      </c>
      <c r="N41" s="492">
        <f t="shared" si="0"/>
        <v>494.48821756573022</v>
      </c>
      <c r="O41" s="78"/>
    </row>
    <row r="42" spans="2:15" x14ac:dyDescent="0.2">
      <c r="B42" s="763"/>
      <c r="C42" s="757"/>
      <c r="D42" s="268" t="s">
        <v>132</v>
      </c>
      <c r="E42" s="490">
        <v>158.26245998382569</v>
      </c>
      <c r="F42" s="491">
        <v>0.38141599810123444</v>
      </c>
      <c r="G42" s="491">
        <v>0.45903999719023703</v>
      </c>
      <c r="H42" s="491">
        <v>517.67064243465666</v>
      </c>
      <c r="I42" s="491">
        <v>353.83980690693858</v>
      </c>
      <c r="J42" s="491">
        <v>376.63069122116269</v>
      </c>
      <c r="K42" s="491">
        <v>0</v>
      </c>
      <c r="L42" s="491">
        <v>0</v>
      </c>
      <c r="M42" s="491">
        <v>236.8509528387487</v>
      </c>
      <c r="N42" s="492">
        <f t="shared" si="0"/>
        <v>1644.0950093806239</v>
      </c>
      <c r="O42" s="78"/>
    </row>
    <row r="43" spans="2:15" x14ac:dyDescent="0.2">
      <c r="B43" s="763"/>
      <c r="C43" s="757"/>
      <c r="D43" s="268" t="s">
        <v>133</v>
      </c>
      <c r="E43" s="490">
        <v>58.757731107354161</v>
      </c>
      <c r="F43" s="491">
        <v>101.3483825171492</v>
      </c>
      <c r="G43" s="491">
        <v>79.555269605144858</v>
      </c>
      <c r="H43" s="491">
        <v>185.27656078739466</v>
      </c>
      <c r="I43" s="491">
        <v>28.155639394164087</v>
      </c>
      <c r="J43" s="491">
        <v>3.557420029204339</v>
      </c>
      <c r="K43" s="491">
        <v>0</v>
      </c>
      <c r="L43" s="491">
        <v>0</v>
      </c>
      <c r="M43" s="491">
        <v>75.938919832501554</v>
      </c>
      <c r="N43" s="492">
        <f t="shared" si="0"/>
        <v>532.58992327291287</v>
      </c>
      <c r="O43" s="78"/>
    </row>
    <row r="44" spans="2:15" ht="15" customHeight="1" x14ac:dyDescent="0.2">
      <c r="B44" s="763"/>
      <c r="C44" s="84" t="s">
        <v>141</v>
      </c>
      <c r="D44" s="267"/>
      <c r="E44" s="488">
        <f t="shared" ref="E44:N44" si="11">SUBTOTAL(9,E41:E43)</f>
        <v>233.49585111010077</v>
      </c>
      <c r="F44" s="488">
        <f t="shared" si="11"/>
        <v>108.2444985150597</v>
      </c>
      <c r="G44" s="488">
        <f t="shared" si="11"/>
        <v>94.235749491289255</v>
      </c>
      <c r="H44" s="488">
        <f t="shared" si="11"/>
        <v>794.1936327333749</v>
      </c>
      <c r="I44" s="488">
        <f t="shared" si="11"/>
        <v>579.51206618696449</v>
      </c>
      <c r="J44" s="488">
        <f t="shared" si="11"/>
        <v>476.60258174070344</v>
      </c>
      <c r="K44" s="488">
        <f t="shared" si="11"/>
        <v>0</v>
      </c>
      <c r="L44" s="488">
        <f t="shared" si="11"/>
        <v>0</v>
      </c>
      <c r="M44" s="488">
        <f t="shared" si="11"/>
        <v>384.88877044177428</v>
      </c>
      <c r="N44" s="489">
        <f t="shared" si="11"/>
        <v>2671.173150219267</v>
      </c>
      <c r="O44" s="78"/>
    </row>
    <row r="45" spans="2:15" x14ac:dyDescent="0.2">
      <c r="B45" s="763"/>
      <c r="C45" s="758" t="s">
        <v>135</v>
      </c>
      <c r="D45" s="268" t="s">
        <v>131</v>
      </c>
      <c r="E45" s="490">
        <v>1467.2511045945284</v>
      </c>
      <c r="F45" s="491">
        <v>3075.358239845395</v>
      </c>
      <c r="G45" s="491">
        <v>1162.0130952830314</v>
      </c>
      <c r="H45" s="491">
        <v>935.44474983632176</v>
      </c>
      <c r="I45" s="491">
        <v>1775.5193559183776</v>
      </c>
      <c r="J45" s="491">
        <v>1913.4751140989961</v>
      </c>
      <c r="K45" s="491">
        <v>718.58341252006596</v>
      </c>
      <c r="L45" s="491">
        <v>3308.125469371751</v>
      </c>
      <c r="M45" s="491">
        <v>867.44483622318512</v>
      </c>
      <c r="N45" s="492">
        <f t="shared" si="0"/>
        <v>15223.215377691651</v>
      </c>
      <c r="O45" s="78"/>
    </row>
    <row r="46" spans="2:15" ht="12" customHeight="1" x14ac:dyDescent="0.2">
      <c r="B46" s="763"/>
      <c r="C46" s="758"/>
      <c r="D46" s="268" t="s">
        <v>132</v>
      </c>
      <c r="E46" s="490">
        <v>2082.7348941142445</v>
      </c>
      <c r="F46" s="491">
        <v>5990.4650396594034</v>
      </c>
      <c r="G46" s="491">
        <v>4142.904221631281</v>
      </c>
      <c r="H46" s="491">
        <v>2179.0928510500621</v>
      </c>
      <c r="I46" s="491">
        <v>3223.1686228048093</v>
      </c>
      <c r="J46" s="491">
        <v>7016.0590744730271</v>
      </c>
      <c r="K46" s="491">
        <v>1385.7331263481378</v>
      </c>
      <c r="L46" s="491">
        <v>6582.534220855041</v>
      </c>
      <c r="M46" s="491">
        <v>3044.3259484360674</v>
      </c>
      <c r="N46" s="492">
        <f t="shared" si="0"/>
        <v>35647.017999372081</v>
      </c>
      <c r="O46" s="78"/>
    </row>
    <row r="47" spans="2:15" x14ac:dyDescent="0.2">
      <c r="B47" s="763"/>
      <c r="C47" s="758"/>
      <c r="D47" s="268" t="s">
        <v>133</v>
      </c>
      <c r="E47" s="490">
        <v>75.07180928002299</v>
      </c>
      <c r="F47" s="491">
        <v>483.50978311404583</v>
      </c>
      <c r="G47" s="491">
        <v>328.40530795613677</v>
      </c>
      <c r="H47" s="491">
        <v>54.040159125342967</v>
      </c>
      <c r="I47" s="491">
        <v>203.96281177935003</v>
      </c>
      <c r="J47" s="491">
        <v>218.81654192158624</v>
      </c>
      <c r="K47" s="491">
        <v>2.8300001144409181E-2</v>
      </c>
      <c r="L47" s="491">
        <v>327.15070376333972</v>
      </c>
      <c r="M47" s="491">
        <v>127.56400970680639</v>
      </c>
      <c r="N47" s="492">
        <f t="shared" si="0"/>
        <v>1818.5494266477756</v>
      </c>
      <c r="O47" s="78"/>
    </row>
    <row r="48" spans="2:15" x14ac:dyDescent="0.2">
      <c r="B48" s="763"/>
      <c r="C48" s="69" t="s">
        <v>136</v>
      </c>
      <c r="D48" s="267"/>
      <c r="E48" s="488">
        <f t="shared" ref="E48:N48" si="12">SUBTOTAL(9,E45:E47)</f>
        <v>3625.057807988796</v>
      </c>
      <c r="F48" s="488">
        <f t="shared" si="12"/>
        <v>9549.3330626188454</v>
      </c>
      <c r="G48" s="488">
        <f t="shared" si="12"/>
        <v>5633.3226248704486</v>
      </c>
      <c r="H48" s="488">
        <f t="shared" si="12"/>
        <v>3168.5777600117272</v>
      </c>
      <c r="I48" s="488">
        <f t="shared" si="12"/>
        <v>5202.6507905025364</v>
      </c>
      <c r="J48" s="488">
        <f t="shared" si="12"/>
        <v>9148.3507304936084</v>
      </c>
      <c r="K48" s="488">
        <f t="shared" si="12"/>
        <v>2104.3448388693482</v>
      </c>
      <c r="L48" s="488">
        <f t="shared" si="12"/>
        <v>10217.810393990132</v>
      </c>
      <c r="M48" s="488">
        <f t="shared" si="12"/>
        <v>4039.3347943660588</v>
      </c>
      <c r="N48" s="489">
        <f t="shared" si="12"/>
        <v>52688.78280371151</v>
      </c>
      <c r="O48" s="78"/>
    </row>
    <row r="49" spans="2:15" x14ac:dyDescent="0.2">
      <c r="B49" s="763"/>
      <c r="C49" s="775" t="s">
        <v>137</v>
      </c>
      <c r="D49" s="268" t="s">
        <v>131</v>
      </c>
      <c r="E49" s="490">
        <v>519.35153109741213</v>
      </c>
      <c r="F49" s="491">
        <v>933.86986727523799</v>
      </c>
      <c r="G49" s="491">
        <v>1589.7038722338675</v>
      </c>
      <c r="H49" s="491">
        <v>1916.521763549805</v>
      </c>
      <c r="I49" s="491">
        <v>1471.5195327324268</v>
      </c>
      <c r="J49" s="491">
        <v>1048.8822965373995</v>
      </c>
      <c r="K49" s="491">
        <v>341.53063109588624</v>
      </c>
      <c r="L49" s="491">
        <v>2346.1812273821834</v>
      </c>
      <c r="M49" s="491">
        <v>820.72666081619263</v>
      </c>
      <c r="N49" s="492">
        <f t="shared" si="0"/>
        <v>10988.287382720409</v>
      </c>
      <c r="O49" s="78"/>
    </row>
    <row r="50" spans="2:15" x14ac:dyDescent="0.2">
      <c r="B50" s="763"/>
      <c r="C50" s="775"/>
      <c r="D50" s="268" t="s">
        <v>132</v>
      </c>
      <c r="E50" s="490">
        <v>19.001999999999999</v>
      </c>
      <c r="F50" s="491">
        <v>117.91211010742188</v>
      </c>
      <c r="G50" s="491">
        <v>10.642480102539063</v>
      </c>
      <c r="H50" s="491">
        <v>305.75290002441403</v>
      </c>
      <c r="I50" s="491">
        <v>56.327670710563659</v>
      </c>
      <c r="J50" s="491">
        <v>5.0999999999999997E-2</v>
      </c>
      <c r="K50" s="491">
        <v>0</v>
      </c>
      <c r="L50" s="491">
        <v>19.425059995174408</v>
      </c>
      <c r="M50" s="491">
        <v>25.387440019607546</v>
      </c>
      <c r="N50" s="492">
        <f t="shared" si="0"/>
        <v>554.50066095972056</v>
      </c>
      <c r="O50" s="78"/>
    </row>
    <row r="51" spans="2:15" x14ac:dyDescent="0.2">
      <c r="B51" s="763"/>
      <c r="C51" s="775"/>
      <c r="D51" s="268" t="s">
        <v>133</v>
      </c>
      <c r="E51" s="490">
        <v>0</v>
      </c>
      <c r="F51" s="491">
        <v>0</v>
      </c>
      <c r="G51" s="491">
        <v>1.9199999570846558E-3</v>
      </c>
      <c r="H51" s="491">
        <v>0</v>
      </c>
      <c r="I51" s="491">
        <v>0.32850000000000001</v>
      </c>
      <c r="J51" s="491">
        <v>3.86899995803833E-2</v>
      </c>
      <c r="K51" s="491">
        <v>0</v>
      </c>
      <c r="L51" s="491">
        <v>1.383</v>
      </c>
      <c r="M51" s="491">
        <v>26.542999999999999</v>
      </c>
      <c r="N51" s="492">
        <f t="shared" si="0"/>
        <v>28.295109999537466</v>
      </c>
      <c r="O51" s="78"/>
    </row>
    <row r="52" spans="2:15" x14ac:dyDescent="0.2">
      <c r="B52" s="763"/>
      <c r="C52" s="82" t="s">
        <v>138</v>
      </c>
      <c r="D52" s="267"/>
      <c r="E52" s="488">
        <f t="shared" ref="E52:N52" si="13">SUBTOTAL(9,E49:E51)</f>
        <v>538.35353109741209</v>
      </c>
      <c r="F52" s="488">
        <f t="shared" si="13"/>
        <v>1051.78197738266</v>
      </c>
      <c r="G52" s="488">
        <f t="shared" si="13"/>
        <v>1600.3482723363638</v>
      </c>
      <c r="H52" s="488">
        <f t="shared" si="13"/>
        <v>2222.2746635742192</v>
      </c>
      <c r="I52" s="488">
        <f t="shared" si="13"/>
        <v>1528.1757034429904</v>
      </c>
      <c r="J52" s="488">
        <f t="shared" si="13"/>
        <v>1048.9719865369798</v>
      </c>
      <c r="K52" s="488">
        <f t="shared" si="13"/>
        <v>341.53063109588624</v>
      </c>
      <c r="L52" s="488">
        <f t="shared" si="13"/>
        <v>2366.9892873773574</v>
      </c>
      <c r="M52" s="488">
        <f t="shared" si="13"/>
        <v>872.65710083580018</v>
      </c>
      <c r="N52" s="489">
        <f t="shared" si="13"/>
        <v>11571.083153679667</v>
      </c>
      <c r="O52" s="78"/>
    </row>
    <row r="53" spans="2:15" x14ac:dyDescent="0.2">
      <c r="B53" s="763"/>
      <c r="C53" s="758" t="s">
        <v>139</v>
      </c>
      <c r="D53" s="268" t="s">
        <v>131</v>
      </c>
      <c r="E53" s="490">
        <v>1.0462499999999999</v>
      </c>
      <c r="F53" s="491">
        <v>16.044358285903932</v>
      </c>
      <c r="G53" s="491">
        <v>8.7735799785852429</v>
      </c>
      <c r="H53" s="491">
        <v>29.056650022029878</v>
      </c>
      <c r="I53" s="491">
        <v>4.7242200050354004</v>
      </c>
      <c r="J53" s="491">
        <v>0</v>
      </c>
      <c r="K53" s="491">
        <v>0</v>
      </c>
      <c r="L53" s="491">
        <v>4.1559999999999997</v>
      </c>
      <c r="M53" s="491">
        <v>34.394000000000005</v>
      </c>
      <c r="N53" s="492">
        <f t="shared" si="0"/>
        <v>98.19505829155446</v>
      </c>
      <c r="O53" s="78"/>
    </row>
    <row r="54" spans="2:15" x14ac:dyDescent="0.2">
      <c r="B54" s="763"/>
      <c r="C54" s="758"/>
      <c r="D54" s="268" t="s">
        <v>132</v>
      </c>
      <c r="E54" s="490">
        <v>1.2198200078457595</v>
      </c>
      <c r="F54" s="491">
        <v>141.80977612090112</v>
      </c>
      <c r="G54" s="491">
        <v>1112.7382784127594</v>
      </c>
      <c r="H54" s="491">
        <v>215.88291759920119</v>
      </c>
      <c r="I54" s="491">
        <v>265.98315167617795</v>
      </c>
      <c r="J54" s="491">
        <v>126.68519858551025</v>
      </c>
      <c r="K54" s="491">
        <v>0</v>
      </c>
      <c r="L54" s="491">
        <v>8.2639999999999993</v>
      </c>
      <c r="M54" s="491">
        <v>0</v>
      </c>
      <c r="N54" s="492">
        <f t="shared" si="0"/>
        <v>1872.5831424023954</v>
      </c>
      <c r="O54" s="78"/>
    </row>
    <row r="55" spans="2:15" x14ac:dyDescent="0.2">
      <c r="B55" s="763"/>
      <c r="C55" s="773"/>
      <c r="D55" s="270" t="s">
        <v>133</v>
      </c>
      <c r="E55" s="497">
        <v>3.2375400390625</v>
      </c>
      <c r="F55" s="498">
        <v>1.0573149909973145</v>
      </c>
      <c r="G55" s="498">
        <v>18.122030283451082</v>
      </c>
      <c r="H55" s="498">
        <v>0</v>
      </c>
      <c r="I55" s="498">
        <v>0</v>
      </c>
      <c r="J55" s="498">
        <v>0</v>
      </c>
      <c r="K55" s="498">
        <v>0</v>
      </c>
      <c r="L55" s="498">
        <v>1.4850000000000001</v>
      </c>
      <c r="M55" s="498">
        <v>16.225549880981447</v>
      </c>
      <c r="N55" s="499">
        <f t="shared" si="0"/>
        <v>40.127435194492342</v>
      </c>
      <c r="O55" s="78"/>
    </row>
    <row r="56" spans="2:15" x14ac:dyDescent="0.2">
      <c r="B56" s="763"/>
      <c r="C56" s="69" t="s">
        <v>140</v>
      </c>
      <c r="D56" s="267"/>
      <c r="E56" s="491">
        <f t="shared" ref="E56:N56" si="14">SUBTOTAL(9,E53:E55)</f>
        <v>5.5036100469082596</v>
      </c>
      <c r="F56" s="491">
        <f t="shared" si="14"/>
        <v>158.91144939780239</v>
      </c>
      <c r="G56" s="491">
        <f t="shared" si="14"/>
        <v>1139.6338886747958</v>
      </c>
      <c r="H56" s="491">
        <f t="shared" si="14"/>
        <v>244.93956762123108</v>
      </c>
      <c r="I56" s="491">
        <f t="shared" si="14"/>
        <v>270.70737168121337</v>
      </c>
      <c r="J56" s="491">
        <f t="shared" si="14"/>
        <v>126.68519858551025</v>
      </c>
      <c r="K56" s="491">
        <f t="shared" si="14"/>
        <v>0</v>
      </c>
      <c r="L56" s="491">
        <f t="shared" si="14"/>
        <v>13.904999999999998</v>
      </c>
      <c r="M56" s="491">
        <f t="shared" si="14"/>
        <v>50.619549880981452</v>
      </c>
      <c r="N56" s="492">
        <f t="shared" si="14"/>
        <v>2010.9056358884422</v>
      </c>
      <c r="O56" s="78"/>
    </row>
    <row r="57" spans="2:15" ht="18" customHeight="1" x14ac:dyDescent="0.2">
      <c r="B57" s="72" t="s">
        <v>107</v>
      </c>
      <c r="C57" s="73"/>
      <c r="D57" s="271"/>
      <c r="E57" s="495">
        <f t="shared" ref="E57:N57" si="15">SUBTOTAL(9,E41:E55)</f>
        <v>4402.4108002432176</v>
      </c>
      <c r="F57" s="495">
        <f t="shared" si="15"/>
        <v>10868.270987914368</v>
      </c>
      <c r="G57" s="495">
        <f t="shared" si="15"/>
        <v>8467.5405353728984</v>
      </c>
      <c r="H57" s="495">
        <f t="shared" si="15"/>
        <v>6429.9856239405526</v>
      </c>
      <c r="I57" s="495">
        <f t="shared" si="15"/>
        <v>7581.0459318137046</v>
      </c>
      <c r="J57" s="495">
        <f t="shared" si="15"/>
        <v>10800.610497356804</v>
      </c>
      <c r="K57" s="495">
        <f t="shared" si="15"/>
        <v>2445.8754699652345</v>
      </c>
      <c r="L57" s="495">
        <f t="shared" si="15"/>
        <v>12598.70468136749</v>
      </c>
      <c r="M57" s="495">
        <f t="shared" si="15"/>
        <v>5347.5002155246148</v>
      </c>
      <c r="N57" s="496">
        <f t="shared" si="15"/>
        <v>68941.944743498883</v>
      </c>
      <c r="O57" s="78"/>
    </row>
    <row r="58" spans="2:15" x14ac:dyDescent="0.2">
      <c r="B58" s="762">
        <v>2005</v>
      </c>
      <c r="C58" s="756" t="s">
        <v>133</v>
      </c>
      <c r="D58" s="272" t="s">
        <v>131</v>
      </c>
      <c r="E58" s="283">
        <v>0</v>
      </c>
      <c r="F58" s="283">
        <f>41491.1300001144/1000</f>
        <v>41.491130000114396</v>
      </c>
      <c r="G58" s="283">
        <f>2565.4599609375/1000</f>
        <v>2.5654599609375</v>
      </c>
      <c r="H58" s="283">
        <f>38.099998474121/1000</f>
        <v>3.8099998474121002E-2</v>
      </c>
      <c r="I58" s="283">
        <v>0</v>
      </c>
      <c r="J58" s="283">
        <v>0</v>
      </c>
      <c r="K58" s="283">
        <f>38625.6545410156/1000</f>
        <v>38.625654541015606</v>
      </c>
      <c r="L58" s="283">
        <f>8719.57006835937/1000</f>
        <v>8.7195700683593689</v>
      </c>
      <c r="M58" s="500">
        <f>2789.77992248535/1000</f>
        <v>2.7897799224853501</v>
      </c>
      <c r="N58" s="492">
        <f>SUM(E58:M58)</f>
        <v>94.229694491386354</v>
      </c>
      <c r="O58" s="78"/>
    </row>
    <row r="59" spans="2:15" x14ac:dyDescent="0.2">
      <c r="B59" s="763"/>
      <c r="C59" s="757"/>
      <c r="D59" s="273" t="s">
        <v>132</v>
      </c>
      <c r="E59" s="283">
        <v>0</v>
      </c>
      <c r="F59" s="283">
        <f>469.170018970966/1000</f>
        <v>0.469170018970966</v>
      </c>
      <c r="G59" s="283">
        <v>0</v>
      </c>
      <c r="H59" s="283">
        <f>1024.27000761032/1000</f>
        <v>1.0242700076103199</v>
      </c>
      <c r="I59" s="283">
        <v>0</v>
      </c>
      <c r="J59" s="283">
        <v>0</v>
      </c>
      <c r="K59" s="283">
        <v>0</v>
      </c>
      <c r="L59" s="283">
        <v>0</v>
      </c>
      <c r="M59" s="283">
        <v>0</v>
      </c>
      <c r="N59" s="492">
        <f>SUM(E59:M59)</f>
        <v>1.4934400265812859</v>
      </c>
      <c r="O59" s="78"/>
    </row>
    <row r="60" spans="2:15" x14ac:dyDescent="0.2">
      <c r="B60" s="763"/>
      <c r="C60" s="757"/>
      <c r="D60" s="274" t="s">
        <v>133</v>
      </c>
      <c r="E60" s="283">
        <f>189907.873926267/1000</f>
        <v>189.907873926267</v>
      </c>
      <c r="F60" s="283">
        <f>116761.093167091/1000</f>
        <v>116.761093167091</v>
      </c>
      <c r="G60" s="283">
        <f>101144.45106943/1000</f>
        <v>101.14445106942999</v>
      </c>
      <c r="H60" s="283">
        <f>100775.369399115/1000</f>
        <v>100.77536939911501</v>
      </c>
      <c r="I60" s="283">
        <v>0</v>
      </c>
      <c r="J60" s="283">
        <v>0</v>
      </c>
      <c r="K60" s="283">
        <v>0</v>
      </c>
      <c r="L60" s="283">
        <f>62173.5302734375/1000</f>
        <v>62.1735302734375</v>
      </c>
      <c r="M60" s="283">
        <f>80094.2942103297/1000</f>
        <v>80.094294210329693</v>
      </c>
      <c r="N60" s="492">
        <f>SUM(E60:M60)</f>
        <v>650.8566120456702</v>
      </c>
      <c r="O60" s="78"/>
    </row>
    <row r="61" spans="2:15" ht="14.25" customHeight="1" x14ac:dyDescent="0.2">
      <c r="B61" s="763"/>
      <c r="C61" s="84" t="s">
        <v>141</v>
      </c>
      <c r="D61" s="267"/>
      <c r="E61" s="488">
        <f t="shared" ref="E61:N61" si="16">SUBTOTAL(9,E58:E60)</f>
        <v>189.907873926267</v>
      </c>
      <c r="F61" s="488">
        <f t="shared" si="16"/>
        <v>158.72139318617636</v>
      </c>
      <c r="G61" s="488">
        <f t="shared" si="16"/>
        <v>103.70991103036749</v>
      </c>
      <c r="H61" s="488">
        <f t="shared" si="16"/>
        <v>101.83773940519944</v>
      </c>
      <c r="I61" s="488">
        <f t="shared" si="16"/>
        <v>0</v>
      </c>
      <c r="J61" s="488">
        <f t="shared" si="16"/>
        <v>0</v>
      </c>
      <c r="K61" s="488">
        <f t="shared" si="16"/>
        <v>38.625654541015606</v>
      </c>
      <c r="L61" s="488">
        <f t="shared" si="16"/>
        <v>70.893100341796867</v>
      </c>
      <c r="M61" s="488">
        <f t="shared" si="16"/>
        <v>82.884074132815044</v>
      </c>
      <c r="N61" s="489">
        <f t="shared" si="16"/>
        <v>746.57974656363785</v>
      </c>
      <c r="O61" s="78"/>
    </row>
    <row r="62" spans="2:15" x14ac:dyDescent="0.2">
      <c r="B62" s="763"/>
      <c r="C62" s="758" t="s">
        <v>135</v>
      </c>
      <c r="D62" s="272" t="s">
        <v>131</v>
      </c>
      <c r="E62" s="283">
        <f>1218510.71680048/1000</f>
        <v>1218.5107168004799</v>
      </c>
      <c r="F62" s="283">
        <f>2649412.04133559/1000</f>
        <v>2649.4120413355904</v>
      </c>
      <c r="G62" s="283">
        <f>1201398.25447416/1000</f>
        <v>1201.39825447416</v>
      </c>
      <c r="H62" s="283">
        <f>1648539.70568126/1000</f>
        <v>1648.5397056812599</v>
      </c>
      <c r="I62" s="283">
        <f>1293350.82789095/1000</f>
        <v>1293.3508278909501</v>
      </c>
      <c r="J62" s="283">
        <f>2378069.01697959/1000</f>
        <v>2378.0690169795898</v>
      </c>
      <c r="K62" s="283">
        <f>651202.641683251/1000</f>
        <v>651.20264168325104</v>
      </c>
      <c r="L62" s="283">
        <f>2751073.81551953/1000</f>
        <v>2751.0738155195299</v>
      </c>
      <c r="M62" s="283">
        <f>1118590.73592094/1000</f>
        <v>1118.59073592094</v>
      </c>
      <c r="N62" s="494">
        <f>SUM(E62:M62)</f>
        <v>14910.147756285751</v>
      </c>
      <c r="O62" s="78"/>
    </row>
    <row r="63" spans="2:15" x14ac:dyDescent="0.2">
      <c r="B63" s="763"/>
      <c r="C63" s="758"/>
      <c r="D63" s="273" t="s">
        <v>132</v>
      </c>
      <c r="E63" s="283">
        <f>2334056.59611024/1000</f>
        <v>2334.0565961102402</v>
      </c>
      <c r="F63" s="283">
        <f>5852083.88464105/1000</f>
        <v>5852.0838846410506</v>
      </c>
      <c r="G63" s="283">
        <f>4119707.80573897/1000</f>
        <v>4119.7078057389699</v>
      </c>
      <c r="H63" s="283">
        <f>2839216.04653641/1000</f>
        <v>2839.2160465364104</v>
      </c>
      <c r="I63" s="283">
        <f>3666622.63002883/1000</f>
        <v>3666.6226300288299</v>
      </c>
      <c r="J63" s="283">
        <f>7325388.59011166/1000</f>
        <v>7325.3885901116601</v>
      </c>
      <c r="K63" s="283">
        <f>1201756.49856353/1000</f>
        <v>1201.7564985635299</v>
      </c>
      <c r="L63" s="283">
        <f>5373115.92395583/1000</f>
        <v>5373.1159239558301</v>
      </c>
      <c r="M63" s="283">
        <f>3557881.83717653/1000</f>
        <v>3557.8818371765301</v>
      </c>
      <c r="N63" s="492">
        <f>SUM(E63:M63)</f>
        <v>36269.829812863049</v>
      </c>
      <c r="O63" s="78"/>
    </row>
    <row r="64" spans="2:15" x14ac:dyDescent="0.2">
      <c r="B64" s="763"/>
      <c r="C64" s="758"/>
      <c r="D64" s="274" t="s">
        <v>133</v>
      </c>
      <c r="E64" s="283">
        <f>148609.096694469/1000</f>
        <v>148.60909669446897</v>
      </c>
      <c r="F64" s="283">
        <f>66027.1717703007/1000</f>
        <v>66.027171770300697</v>
      </c>
      <c r="G64" s="283">
        <f>245194.244754661/1000</f>
        <v>245.19424475466099</v>
      </c>
      <c r="H64" s="283">
        <f>28802.8705901056/1000</f>
        <v>28.802870590105599</v>
      </c>
      <c r="I64" s="283">
        <f>64282.2603389769/1000</f>
        <v>64.282260338976897</v>
      </c>
      <c r="J64" s="283">
        <f>78716.9103377163/1000</f>
        <v>78.7169103377163</v>
      </c>
      <c r="K64" s="283">
        <f>1939.82006835937/1000</f>
        <v>1.93982006835937</v>
      </c>
      <c r="L64" s="283">
        <f>83224.9150223806/1000</f>
        <v>83.2249150223806</v>
      </c>
      <c r="M64" s="283">
        <f>84407.5295522623/1000</f>
        <v>84.407529552262304</v>
      </c>
      <c r="N64" s="499">
        <f>SUM(E64:M64)</f>
        <v>801.20481912923174</v>
      </c>
      <c r="O64" s="78"/>
    </row>
    <row r="65" spans="2:15" x14ac:dyDescent="0.2">
      <c r="B65" s="763"/>
      <c r="C65" s="69" t="s">
        <v>136</v>
      </c>
      <c r="D65" s="267"/>
      <c r="E65" s="488">
        <f t="shared" ref="E65:N65" si="17">SUBTOTAL(9,E62:E64)</f>
        <v>3701.1764096051888</v>
      </c>
      <c r="F65" s="488">
        <f t="shared" si="17"/>
        <v>8567.52309774694</v>
      </c>
      <c r="G65" s="488">
        <f t="shared" si="17"/>
        <v>5566.3003049677909</v>
      </c>
      <c r="H65" s="488">
        <f t="shared" si="17"/>
        <v>4516.5586228077755</v>
      </c>
      <c r="I65" s="488">
        <f t="shared" si="17"/>
        <v>5024.255718258757</v>
      </c>
      <c r="J65" s="488">
        <f t="shared" si="17"/>
        <v>9782.1745174289663</v>
      </c>
      <c r="K65" s="488">
        <f t="shared" si="17"/>
        <v>1854.8989603151401</v>
      </c>
      <c r="L65" s="488">
        <f t="shared" si="17"/>
        <v>8207.4146544977393</v>
      </c>
      <c r="M65" s="488">
        <f t="shared" si="17"/>
        <v>4760.8801026497322</v>
      </c>
      <c r="N65" s="489">
        <f t="shared" si="17"/>
        <v>51981.182388278037</v>
      </c>
      <c r="O65" s="78"/>
    </row>
    <row r="66" spans="2:15" x14ac:dyDescent="0.2">
      <c r="B66" s="763"/>
      <c r="C66" s="759" t="s">
        <v>137</v>
      </c>
      <c r="D66" s="272" t="s">
        <v>131</v>
      </c>
      <c r="E66" s="283">
        <f>1142491.63235474/1000</f>
        <v>1142.49163235474</v>
      </c>
      <c r="F66" s="283">
        <f>985172.549880981/1000</f>
        <v>985.17254988098102</v>
      </c>
      <c r="G66" s="283">
        <f>1011569.66300774/1000</f>
        <v>1011.56966300774</v>
      </c>
      <c r="H66" s="283">
        <f>1459923.93881834/1000</f>
        <v>1459.92393881834</v>
      </c>
      <c r="I66" s="283">
        <f>1077936.46512651/1000</f>
        <v>1077.93646512651</v>
      </c>
      <c r="J66" s="283">
        <f>1275820.70956802/1000</f>
        <v>1275.82070956802</v>
      </c>
      <c r="K66" s="283">
        <f>350408/1000</f>
        <v>350.40800000000002</v>
      </c>
      <c r="L66" s="283">
        <f>2919423.45921443/1000</f>
        <v>2919.4234592144298</v>
      </c>
      <c r="M66" s="283">
        <f>918528.838806152/1000</f>
        <v>918.52883880615195</v>
      </c>
      <c r="N66" s="492">
        <f>SUM(E66:M66)</f>
        <v>11141.275256776913</v>
      </c>
      <c r="O66" s="78"/>
    </row>
    <row r="67" spans="2:15" x14ac:dyDescent="0.2">
      <c r="B67" s="763"/>
      <c r="C67" s="759"/>
      <c r="D67" s="273" t="s">
        <v>132</v>
      </c>
      <c r="E67" s="283">
        <f>1147.71998977661/1000</f>
        <v>1.1477199897766099</v>
      </c>
      <c r="F67" s="283">
        <f>78693/1000</f>
        <v>78.692999999999998</v>
      </c>
      <c r="G67" s="283">
        <v>29.425000000000001</v>
      </c>
      <c r="H67" s="283">
        <f>93647.4079666138/1000</f>
        <v>93.647407966613798</v>
      </c>
      <c r="I67" s="283">
        <f>193886.865112305/1000</f>
        <v>193.886865112305</v>
      </c>
      <c r="J67" s="283">
        <v>5.0999999999999997E-2</v>
      </c>
      <c r="K67" s="283">
        <v>0</v>
      </c>
      <c r="L67" s="283">
        <f>47511.6900024414/1000</f>
        <v>47.511690002441398</v>
      </c>
      <c r="M67" s="283">
        <f>9177.330078125/1000</f>
        <v>9.1773300781249993</v>
      </c>
      <c r="N67" s="492">
        <f>SUM(E67:M67)</f>
        <v>453.54001314926177</v>
      </c>
      <c r="O67" s="78"/>
    </row>
    <row r="68" spans="2:15" x14ac:dyDescent="0.2">
      <c r="B68" s="763"/>
      <c r="C68" s="759"/>
      <c r="D68" s="274" t="s">
        <v>133</v>
      </c>
      <c r="E68" s="283">
        <v>8.0000000000000002E-3</v>
      </c>
      <c r="F68" s="283">
        <v>0</v>
      </c>
      <c r="G68" s="283">
        <v>0</v>
      </c>
      <c r="H68" s="283">
        <v>0</v>
      </c>
      <c r="I68" s="283">
        <v>0</v>
      </c>
      <c r="J68" s="283">
        <f>598.539978027343/1000</f>
        <v>0.59853997802734293</v>
      </c>
      <c r="K68" s="283">
        <v>0</v>
      </c>
      <c r="L68" s="283">
        <v>0</v>
      </c>
      <c r="M68" s="283">
        <f>6635.75/1000</f>
        <v>6.6357499999999998</v>
      </c>
      <c r="N68" s="492">
        <f>SUM(E68:M68)</f>
        <v>7.2422899780273431</v>
      </c>
      <c r="O68" s="78"/>
    </row>
    <row r="69" spans="2:15" x14ac:dyDescent="0.2">
      <c r="B69" s="763"/>
      <c r="C69" s="82" t="s">
        <v>138</v>
      </c>
      <c r="D69" s="267"/>
      <c r="E69" s="488">
        <f t="shared" ref="E69:N69" si="18">SUBTOTAL(9,E66:E68)</f>
        <v>1143.6473523445165</v>
      </c>
      <c r="F69" s="488">
        <f t="shared" si="18"/>
        <v>1063.865549880981</v>
      </c>
      <c r="G69" s="488">
        <f t="shared" si="18"/>
        <v>1040.99466300774</v>
      </c>
      <c r="H69" s="488">
        <f t="shared" si="18"/>
        <v>1553.5713467849539</v>
      </c>
      <c r="I69" s="488">
        <f t="shared" si="18"/>
        <v>1271.8233302388151</v>
      </c>
      <c r="J69" s="488">
        <f t="shared" si="18"/>
        <v>1276.4702495460472</v>
      </c>
      <c r="K69" s="488">
        <f t="shared" si="18"/>
        <v>350.40800000000002</v>
      </c>
      <c r="L69" s="488">
        <f t="shared" si="18"/>
        <v>2966.9351492168712</v>
      </c>
      <c r="M69" s="488">
        <f t="shared" si="18"/>
        <v>934.34191888427699</v>
      </c>
      <c r="N69" s="489">
        <f t="shared" si="18"/>
        <v>11602.057559904202</v>
      </c>
      <c r="O69" s="78"/>
    </row>
    <row r="70" spans="2:15" x14ac:dyDescent="0.2">
      <c r="B70" s="763"/>
      <c r="C70" s="760" t="s">
        <v>139</v>
      </c>
      <c r="D70" s="272" t="s">
        <v>131</v>
      </c>
      <c r="E70" s="283">
        <f>896.736001968383/1000</f>
        <v>0.89673600196838299</v>
      </c>
      <c r="F70" s="283">
        <f>767927.286085129/1000</f>
        <v>767.92728608512903</v>
      </c>
      <c r="G70" s="283">
        <f>58738.7000000476/1000</f>
        <v>58.738700000047594</v>
      </c>
      <c r="H70" s="283">
        <f>69471.3000990152/1000</f>
        <v>69.47130009901521</v>
      </c>
      <c r="I70" s="283">
        <f>147502.880701065/1000</f>
        <v>147.50288070106501</v>
      </c>
      <c r="J70" s="283">
        <f>52658.80078125/1000</f>
        <v>52.658800781250001</v>
      </c>
      <c r="K70" s="283">
        <v>0</v>
      </c>
      <c r="L70" s="283">
        <f>16428.0797498226/1000</f>
        <v>16.428079749822597</v>
      </c>
      <c r="M70" s="283">
        <f>28942.7599897384/1000</f>
        <v>28.942759989738398</v>
      </c>
      <c r="N70" s="492">
        <f>SUM(E70:M70)</f>
        <v>1142.5665434080363</v>
      </c>
      <c r="O70" s="78"/>
    </row>
    <row r="71" spans="2:15" x14ac:dyDescent="0.2">
      <c r="B71" s="763"/>
      <c r="C71" s="760"/>
      <c r="D71" s="273" t="s">
        <v>132</v>
      </c>
      <c r="E71" s="283">
        <f>1031.53899571299/1000</f>
        <v>1.0315389957129901</v>
      </c>
      <c r="F71" s="283">
        <f>207226.032708168/1000</f>
        <v>207.22603270816799</v>
      </c>
      <c r="G71" s="283">
        <f>1065398.02215838/1000</f>
        <v>1065.3980221583799</v>
      </c>
      <c r="H71" s="283">
        <f>525504.780896425/1000</f>
        <v>525.50478089642502</v>
      </c>
      <c r="I71" s="283">
        <f>316963.60133934/1000</f>
        <v>316.96360133933996</v>
      </c>
      <c r="J71" s="283">
        <f>128546.770690918/1000</f>
        <v>128.54677069091801</v>
      </c>
      <c r="K71" s="283">
        <v>0</v>
      </c>
      <c r="L71" s="283">
        <f>120300.830052763/1000</f>
        <v>120.300830052763</v>
      </c>
      <c r="M71" s="283">
        <f>14019.0500354766/1000</f>
        <v>14.019050035476601</v>
      </c>
      <c r="N71" s="492">
        <f>SUM(E71:M71)</f>
        <v>2378.9906268771838</v>
      </c>
      <c r="O71" s="78"/>
    </row>
    <row r="72" spans="2:15" x14ac:dyDescent="0.2">
      <c r="B72" s="763"/>
      <c r="C72" s="761"/>
      <c r="D72" s="274" t="s">
        <v>133</v>
      </c>
      <c r="E72" s="283">
        <f>1508.83001708984/1000</f>
        <v>1.5088300170898401</v>
      </c>
      <c r="F72" s="283">
        <f>19128.4162454605/1000</f>
        <v>19.1284162454605</v>
      </c>
      <c r="G72" s="283">
        <f>16877.4299999475/1000</f>
        <v>16.877429999947502</v>
      </c>
      <c r="H72" s="283">
        <v>0.315</v>
      </c>
      <c r="I72" s="283">
        <v>0</v>
      </c>
      <c r="J72" s="283">
        <v>0</v>
      </c>
      <c r="K72" s="283">
        <v>0</v>
      </c>
      <c r="L72" s="283">
        <v>0</v>
      </c>
      <c r="M72" s="283">
        <v>0</v>
      </c>
      <c r="N72" s="499">
        <f>SUM(E72:M72)</f>
        <v>37.829676262497841</v>
      </c>
      <c r="O72" s="78"/>
    </row>
    <row r="73" spans="2:15" x14ac:dyDescent="0.2">
      <c r="B73" s="764"/>
      <c r="C73" s="69" t="s">
        <v>140</v>
      </c>
      <c r="D73" s="267"/>
      <c r="E73" s="488">
        <f t="shared" ref="E73:N73" si="19">SUBTOTAL(9,E70:E72)</f>
        <v>3.4371050147712134</v>
      </c>
      <c r="F73" s="488">
        <f t="shared" si="19"/>
        <v>994.28173503875746</v>
      </c>
      <c r="G73" s="488">
        <f t="shared" si="19"/>
        <v>1141.0141521583751</v>
      </c>
      <c r="H73" s="488">
        <f t="shared" si="19"/>
        <v>595.29108099544032</v>
      </c>
      <c r="I73" s="488">
        <f t="shared" si="19"/>
        <v>464.46648204040497</v>
      </c>
      <c r="J73" s="488">
        <f t="shared" si="19"/>
        <v>181.205571472168</v>
      </c>
      <c r="K73" s="488">
        <f t="shared" si="19"/>
        <v>0</v>
      </c>
      <c r="L73" s="488">
        <f t="shared" si="19"/>
        <v>136.7289098025856</v>
      </c>
      <c r="M73" s="488">
        <f t="shared" si="19"/>
        <v>42.961810025215001</v>
      </c>
      <c r="N73" s="489">
        <f t="shared" si="19"/>
        <v>3559.3868465477181</v>
      </c>
      <c r="O73" s="78"/>
    </row>
    <row r="74" spans="2:15" ht="19.5" customHeight="1" x14ac:dyDescent="0.2">
      <c r="B74" s="72" t="s">
        <v>108</v>
      </c>
      <c r="C74" s="73"/>
      <c r="D74" s="271"/>
      <c r="E74" s="495">
        <f t="shared" ref="E74:N74" si="20">SUBTOTAL(9,E58:E72)</f>
        <v>5038.1687408907446</v>
      </c>
      <c r="F74" s="495">
        <f t="shared" si="20"/>
        <v>10784.391775852855</v>
      </c>
      <c r="G74" s="495">
        <f t="shared" si="20"/>
        <v>7852.0190311642727</v>
      </c>
      <c r="H74" s="495">
        <f t="shared" si="20"/>
        <v>6767.2587899933687</v>
      </c>
      <c r="I74" s="495">
        <f t="shared" si="20"/>
        <v>6760.5455305379764</v>
      </c>
      <c r="J74" s="495">
        <f t="shared" si="20"/>
        <v>11239.850338447182</v>
      </c>
      <c r="K74" s="495">
        <f t="shared" si="20"/>
        <v>2243.9326148561559</v>
      </c>
      <c r="L74" s="495">
        <f t="shared" si="20"/>
        <v>11381.971813858996</v>
      </c>
      <c r="M74" s="495">
        <f t="shared" si="20"/>
        <v>5821.0679056920389</v>
      </c>
      <c r="N74" s="501">
        <f t="shared" si="20"/>
        <v>67889.206541293592</v>
      </c>
      <c r="O74" s="78"/>
    </row>
    <row r="75" spans="2:15" x14ac:dyDescent="0.2">
      <c r="B75" s="762">
        <v>2006</v>
      </c>
      <c r="C75" s="756" t="s">
        <v>133</v>
      </c>
      <c r="D75" s="272" t="s">
        <v>131</v>
      </c>
      <c r="E75" s="502">
        <v>0</v>
      </c>
      <c r="F75" s="503">
        <v>0</v>
      </c>
      <c r="G75" s="503">
        <v>11.1047527103424</v>
      </c>
      <c r="H75" s="503">
        <v>5.5840001106262201E-2</v>
      </c>
      <c r="I75" s="283">
        <v>0</v>
      </c>
      <c r="J75" s="283">
        <v>0</v>
      </c>
      <c r="K75" s="503">
        <v>19.182509765624999</v>
      </c>
      <c r="L75" s="503">
        <v>69.852802734375004</v>
      </c>
      <c r="M75" s="503">
        <v>2.1268800201415998</v>
      </c>
      <c r="N75" s="494">
        <f>SUM(E75:M75)</f>
        <v>102.32278523159026</v>
      </c>
      <c r="O75" s="78"/>
    </row>
    <row r="76" spans="2:15" x14ac:dyDescent="0.2">
      <c r="B76" s="763"/>
      <c r="C76" s="757"/>
      <c r="D76" s="273" t="s">
        <v>132</v>
      </c>
      <c r="E76" s="490">
        <v>4.4439998626708901E-2</v>
      </c>
      <c r="F76" s="504">
        <v>0</v>
      </c>
      <c r="G76" s="504">
        <v>5.4717449665069501E-2</v>
      </c>
      <c r="H76" s="504">
        <v>4.4230001211166298E-2</v>
      </c>
      <c r="I76" s="283">
        <v>0</v>
      </c>
      <c r="J76" s="283">
        <v>0</v>
      </c>
      <c r="K76" s="504">
        <v>0</v>
      </c>
      <c r="L76" s="504">
        <v>30.902548828124999</v>
      </c>
      <c r="M76" s="504">
        <v>3.8180000782012898E-2</v>
      </c>
      <c r="N76" s="492">
        <f>SUM(E76:M76)</f>
        <v>31.084116278409958</v>
      </c>
      <c r="O76" s="78"/>
    </row>
    <row r="77" spans="2:15" x14ac:dyDescent="0.2">
      <c r="B77" s="763"/>
      <c r="C77" s="757"/>
      <c r="D77" s="274" t="s">
        <v>133</v>
      </c>
      <c r="E77" s="497">
        <v>168.45383075792699</v>
      </c>
      <c r="F77" s="505">
        <v>164.78810375246201</v>
      </c>
      <c r="G77" s="505">
        <v>96.380867840707296</v>
      </c>
      <c r="H77" s="505">
        <v>108.68696993243699</v>
      </c>
      <c r="I77" s="283">
        <v>0</v>
      </c>
      <c r="J77" s="283">
        <v>0</v>
      </c>
      <c r="K77" s="505">
        <v>21.384050292968698</v>
      </c>
      <c r="L77" s="505">
        <v>0</v>
      </c>
      <c r="M77" s="505">
        <v>9.4765999934077207</v>
      </c>
      <c r="N77" s="492">
        <f>SUM(E77:M77)</f>
        <v>569.17042256990976</v>
      </c>
      <c r="O77" s="78"/>
    </row>
    <row r="78" spans="2:15" ht="16.5" customHeight="1" x14ac:dyDescent="0.2">
      <c r="B78" s="763"/>
      <c r="C78" s="84" t="s">
        <v>141</v>
      </c>
      <c r="D78" s="267"/>
      <c r="E78" s="488">
        <f t="shared" ref="E78:N78" si="21">SUBTOTAL(9,E75:E77)</f>
        <v>168.49827075655369</v>
      </c>
      <c r="F78" s="488">
        <f t="shared" si="21"/>
        <v>164.78810375246201</v>
      </c>
      <c r="G78" s="488">
        <f t="shared" si="21"/>
        <v>107.54033800071477</v>
      </c>
      <c r="H78" s="488">
        <f t="shared" si="21"/>
        <v>108.78703993475442</v>
      </c>
      <c r="I78" s="488">
        <f t="shared" si="21"/>
        <v>0</v>
      </c>
      <c r="J78" s="488">
        <f t="shared" si="21"/>
        <v>0</v>
      </c>
      <c r="K78" s="488">
        <f t="shared" si="21"/>
        <v>40.566560058593694</v>
      </c>
      <c r="L78" s="488">
        <f t="shared" si="21"/>
        <v>100.75535156250001</v>
      </c>
      <c r="M78" s="488">
        <f t="shared" si="21"/>
        <v>11.641660014331332</v>
      </c>
      <c r="N78" s="489">
        <f t="shared" si="21"/>
        <v>702.57732407991</v>
      </c>
      <c r="O78" s="78"/>
    </row>
    <row r="79" spans="2:15" x14ac:dyDescent="0.2">
      <c r="B79" s="763"/>
      <c r="C79" s="758" t="s">
        <v>135</v>
      </c>
      <c r="D79" s="272" t="s">
        <v>131</v>
      </c>
      <c r="E79" s="502">
        <v>1231.6955361973351</v>
      </c>
      <c r="F79" s="506">
        <v>2710.9863862143602</v>
      </c>
      <c r="G79" s="506">
        <v>1288.3595850821</v>
      </c>
      <c r="H79" s="506">
        <v>1257.3164370802599</v>
      </c>
      <c r="I79" s="493">
        <v>971.77739510822266</v>
      </c>
      <c r="J79" s="506">
        <v>3017.2635387236</v>
      </c>
      <c r="K79" s="506">
        <v>692.30728350546997</v>
      </c>
      <c r="L79" s="506">
        <v>2129.6605511388598</v>
      </c>
      <c r="M79" s="506">
        <v>1392.4281134924399</v>
      </c>
      <c r="N79" s="494">
        <f>SUM(E79:M79)</f>
        <v>14691.794826542648</v>
      </c>
      <c r="O79" s="78"/>
    </row>
    <row r="80" spans="2:15" x14ac:dyDescent="0.2">
      <c r="B80" s="763"/>
      <c r="C80" s="758"/>
      <c r="D80" s="273" t="s">
        <v>132</v>
      </c>
      <c r="E80" s="490">
        <v>2141.5785078816052</v>
      </c>
      <c r="F80" s="507">
        <v>4978.5428304859297</v>
      </c>
      <c r="G80" s="507">
        <v>3148.4860331259902</v>
      </c>
      <c r="H80" s="507">
        <v>3115.4905635384598</v>
      </c>
      <c r="I80" s="491">
        <v>3151.5617487148061</v>
      </c>
      <c r="J80" s="507">
        <v>6518.1837673519804</v>
      </c>
      <c r="K80" s="507">
        <v>1103.80046539927</v>
      </c>
      <c r="L80" s="507">
        <v>6301.2528197378697</v>
      </c>
      <c r="M80" s="507">
        <v>3339.2213424676502</v>
      </c>
      <c r="N80" s="492">
        <f>SUM(E80:M80)</f>
        <v>33798.118078703563</v>
      </c>
      <c r="O80" s="78"/>
    </row>
    <row r="81" spans="2:15" x14ac:dyDescent="0.2">
      <c r="B81" s="763"/>
      <c r="C81" s="758"/>
      <c r="D81" s="274" t="s">
        <v>133</v>
      </c>
      <c r="E81" s="497">
        <v>60.448850174315226</v>
      </c>
      <c r="F81" s="508">
        <v>20.407447182059201</v>
      </c>
      <c r="G81" s="508">
        <v>11.100724717752</v>
      </c>
      <c r="H81" s="508">
        <v>6.1775110121965398</v>
      </c>
      <c r="I81" s="498">
        <v>42.62816058683385</v>
      </c>
      <c r="J81" s="508">
        <v>76.105269826590998</v>
      </c>
      <c r="K81" s="508">
        <v>0</v>
      </c>
      <c r="L81" s="508">
        <v>4.6727699722498599</v>
      </c>
      <c r="M81" s="508">
        <v>76.2417403160036</v>
      </c>
      <c r="N81" s="499">
        <f>SUM(E81:M81)</f>
        <v>297.78247378800125</v>
      </c>
      <c r="O81" s="78"/>
    </row>
    <row r="82" spans="2:15" x14ac:dyDescent="0.2">
      <c r="B82" s="763"/>
      <c r="C82" s="69" t="s">
        <v>136</v>
      </c>
      <c r="D82" s="267"/>
      <c r="E82" s="488">
        <f t="shared" ref="E82:N82" si="22">SUBTOTAL(9,E79:E81)</f>
        <v>3433.7228942532556</v>
      </c>
      <c r="F82" s="488">
        <f t="shared" si="22"/>
        <v>7709.9366638823494</v>
      </c>
      <c r="G82" s="488">
        <f t="shared" si="22"/>
        <v>4447.9463429258421</v>
      </c>
      <c r="H82" s="488">
        <f t="shared" si="22"/>
        <v>4378.9845116309161</v>
      </c>
      <c r="I82" s="488">
        <f t="shared" si="22"/>
        <v>4165.9673044098618</v>
      </c>
      <c r="J82" s="488">
        <f t="shared" si="22"/>
        <v>9611.5525759021712</v>
      </c>
      <c r="K82" s="488">
        <f t="shared" si="22"/>
        <v>1796.10774890474</v>
      </c>
      <c r="L82" s="488">
        <f t="shared" si="22"/>
        <v>8435.58614084898</v>
      </c>
      <c r="M82" s="488">
        <f t="shared" si="22"/>
        <v>4807.891196276094</v>
      </c>
      <c r="N82" s="489">
        <f t="shared" si="22"/>
        <v>48787.695379034209</v>
      </c>
      <c r="O82" s="78"/>
    </row>
    <row r="83" spans="2:15" x14ac:dyDescent="0.2">
      <c r="B83" s="763"/>
      <c r="C83" s="759" t="s">
        <v>137</v>
      </c>
      <c r="D83" s="272" t="s">
        <v>131</v>
      </c>
      <c r="E83" s="502">
        <v>1240.5127468020919</v>
      </c>
      <c r="F83" s="506">
        <v>1151.88722903442</v>
      </c>
      <c r="G83" s="506">
        <v>1294.38499313545</v>
      </c>
      <c r="H83" s="506">
        <v>1676.8884128923401</v>
      </c>
      <c r="I83" s="493">
        <v>945.02025923919609</v>
      </c>
      <c r="J83" s="506">
        <v>1323.0521282153099</v>
      </c>
      <c r="K83" s="506">
        <v>140.54359960937501</v>
      </c>
      <c r="L83" s="506">
        <v>3355.2335142020002</v>
      </c>
      <c r="M83" s="506">
        <v>694.58161083984396</v>
      </c>
      <c r="N83" s="492">
        <f>SUM(E83:M83)</f>
        <v>11822.104493970026</v>
      </c>
      <c r="O83" s="78"/>
    </row>
    <row r="84" spans="2:15" x14ac:dyDescent="0.2">
      <c r="B84" s="763"/>
      <c r="C84" s="759"/>
      <c r="D84" s="273" t="s">
        <v>132</v>
      </c>
      <c r="E84" s="490">
        <v>1.2629999999999999</v>
      </c>
      <c r="F84" s="507">
        <v>0.94715997314453104</v>
      </c>
      <c r="G84" s="507">
        <v>31.108000000000001</v>
      </c>
      <c r="H84" s="507">
        <v>194.43619991445499</v>
      </c>
      <c r="I84" s="491">
        <v>232.12046789550772</v>
      </c>
      <c r="J84" s="507">
        <v>6.66452001953125</v>
      </c>
      <c r="K84" s="507">
        <v>0</v>
      </c>
      <c r="L84" s="507">
        <v>18.79</v>
      </c>
      <c r="M84" s="507">
        <v>0</v>
      </c>
      <c r="N84" s="492">
        <f>SUM(E84:M84)</f>
        <v>485.32934780263849</v>
      </c>
      <c r="O84" s="78"/>
    </row>
    <row r="85" spans="2:15" x14ac:dyDescent="0.2">
      <c r="B85" s="763"/>
      <c r="C85" s="759"/>
      <c r="D85" s="274" t="s">
        <v>133</v>
      </c>
      <c r="E85" s="497">
        <v>0</v>
      </c>
      <c r="F85" s="508">
        <v>0</v>
      </c>
      <c r="G85" s="508">
        <v>0</v>
      </c>
      <c r="H85" s="508">
        <v>0</v>
      </c>
      <c r="I85" s="491">
        <v>0</v>
      </c>
      <c r="J85" s="508">
        <v>0</v>
      </c>
      <c r="K85" s="508">
        <v>0</v>
      </c>
      <c r="L85" s="508">
        <v>0</v>
      </c>
      <c r="M85" s="508">
        <v>0</v>
      </c>
      <c r="N85" s="492">
        <f>SUM(E85:M85)</f>
        <v>0</v>
      </c>
      <c r="O85" s="78"/>
    </row>
    <row r="86" spans="2:15" x14ac:dyDescent="0.2">
      <c r="B86" s="763"/>
      <c r="C86" s="82" t="s">
        <v>138</v>
      </c>
      <c r="D86" s="267"/>
      <c r="E86" s="488">
        <f t="shared" ref="E86:N86" si="23">SUBTOTAL(9,E83:E85)</f>
        <v>1241.7757468020918</v>
      </c>
      <c r="F86" s="488">
        <f t="shared" si="23"/>
        <v>1152.8343890075646</v>
      </c>
      <c r="G86" s="488">
        <f t="shared" si="23"/>
        <v>1325.49299313545</v>
      </c>
      <c r="H86" s="488">
        <f t="shared" si="23"/>
        <v>1871.3246128067951</v>
      </c>
      <c r="I86" s="488">
        <f t="shared" si="23"/>
        <v>1177.1407271347039</v>
      </c>
      <c r="J86" s="488">
        <f t="shared" si="23"/>
        <v>1329.7166482348412</v>
      </c>
      <c r="K86" s="488">
        <f t="shared" si="23"/>
        <v>140.54359960937501</v>
      </c>
      <c r="L86" s="488">
        <f t="shared" si="23"/>
        <v>3374.0235142020001</v>
      </c>
      <c r="M86" s="488">
        <f t="shared" si="23"/>
        <v>694.58161083984396</v>
      </c>
      <c r="N86" s="489">
        <f t="shared" si="23"/>
        <v>12307.433841772665</v>
      </c>
      <c r="O86" s="78"/>
    </row>
    <row r="87" spans="2:15" x14ac:dyDescent="0.2">
      <c r="B87" s="763"/>
      <c r="C87" s="760" t="s">
        <v>139</v>
      </c>
      <c r="D87" s="272" t="s">
        <v>131</v>
      </c>
      <c r="E87" s="502">
        <v>0.27900000000000003</v>
      </c>
      <c r="F87" s="506">
        <v>348.922311094284</v>
      </c>
      <c r="G87" s="506">
        <v>54.116211944580002</v>
      </c>
      <c r="H87" s="506">
        <v>16.355090057373001</v>
      </c>
      <c r="I87" s="491">
        <v>127.9961484375</v>
      </c>
      <c r="J87" s="506">
        <v>15.323</v>
      </c>
      <c r="K87" s="283">
        <v>0</v>
      </c>
      <c r="L87" s="506">
        <v>0.65463999938964801</v>
      </c>
      <c r="M87" s="506">
        <v>367.85256999301902</v>
      </c>
      <c r="N87" s="492">
        <f>SUM(E87:M87)</f>
        <v>931.49897152614562</v>
      </c>
      <c r="O87" s="78"/>
    </row>
    <row r="88" spans="2:15" x14ac:dyDescent="0.2">
      <c r="B88" s="763"/>
      <c r="C88" s="760"/>
      <c r="D88" s="273" t="s">
        <v>132</v>
      </c>
      <c r="E88" s="490">
        <v>1.2909099998474101</v>
      </c>
      <c r="F88" s="507">
        <v>123.37096785449999</v>
      </c>
      <c r="G88" s="507">
        <v>856.23040800782996</v>
      </c>
      <c r="H88" s="507">
        <v>600.48359165668501</v>
      </c>
      <c r="I88" s="491">
        <v>303.55868141555732</v>
      </c>
      <c r="J88" s="507">
        <v>240.86727343749999</v>
      </c>
      <c r="K88" s="283">
        <v>0</v>
      </c>
      <c r="L88" s="507">
        <v>68.088830317497298</v>
      </c>
      <c r="M88" s="507">
        <v>5.02310000610351</v>
      </c>
      <c r="N88" s="492">
        <f>SUM(E88:M88)</f>
        <v>2198.9137626955207</v>
      </c>
      <c r="O88" s="78"/>
    </row>
    <row r="89" spans="2:15" x14ac:dyDescent="0.2">
      <c r="B89" s="763"/>
      <c r="C89" s="761"/>
      <c r="D89" s="274" t="s">
        <v>133</v>
      </c>
      <c r="E89" s="497">
        <v>0</v>
      </c>
      <c r="F89" s="508">
        <v>8.8225399780273399</v>
      </c>
      <c r="G89" s="508">
        <v>1.2648000717163E-2</v>
      </c>
      <c r="H89" s="508">
        <v>0</v>
      </c>
      <c r="I89" s="498">
        <v>0</v>
      </c>
      <c r="J89" s="508">
        <v>0</v>
      </c>
      <c r="K89" s="283">
        <v>0</v>
      </c>
      <c r="L89" s="508">
        <v>0</v>
      </c>
      <c r="M89" s="508">
        <v>0</v>
      </c>
      <c r="N89" s="499">
        <f>SUM(E89:M89)</f>
        <v>8.8351879787445036</v>
      </c>
      <c r="O89" s="78"/>
    </row>
    <row r="90" spans="2:15" x14ac:dyDescent="0.2">
      <c r="B90" s="764"/>
      <c r="C90" s="69" t="s">
        <v>140</v>
      </c>
      <c r="D90" s="267"/>
      <c r="E90" s="488">
        <f t="shared" ref="E90:N90" si="24">SUBTOTAL(9,E87:E89)</f>
        <v>1.5699099998474102</v>
      </c>
      <c r="F90" s="488">
        <f t="shared" si="24"/>
        <v>481.11581892681136</v>
      </c>
      <c r="G90" s="488">
        <f t="shared" si="24"/>
        <v>910.35926795312707</v>
      </c>
      <c r="H90" s="488">
        <f t="shared" si="24"/>
        <v>616.838681714058</v>
      </c>
      <c r="I90" s="488">
        <f t="shared" si="24"/>
        <v>431.5548298530573</v>
      </c>
      <c r="J90" s="488">
        <f t="shared" si="24"/>
        <v>256.19027343749997</v>
      </c>
      <c r="K90" s="488">
        <f t="shared" si="24"/>
        <v>0</v>
      </c>
      <c r="L90" s="488">
        <f t="shared" si="24"/>
        <v>68.743470316886942</v>
      </c>
      <c r="M90" s="488">
        <f t="shared" si="24"/>
        <v>372.87566999912252</v>
      </c>
      <c r="N90" s="489">
        <f t="shared" si="24"/>
        <v>3139.2479222004108</v>
      </c>
      <c r="O90" s="78"/>
    </row>
    <row r="91" spans="2:15" ht="16.5" customHeight="1" x14ac:dyDescent="0.2">
      <c r="B91" s="72" t="s">
        <v>109</v>
      </c>
      <c r="C91" s="73"/>
      <c r="D91" s="271"/>
      <c r="E91" s="495">
        <f t="shared" ref="E91:N91" si="25">SUBTOTAL(9,E75:E89)</f>
        <v>4845.5668218117498</v>
      </c>
      <c r="F91" s="495">
        <f t="shared" si="25"/>
        <v>9508.6749755691872</v>
      </c>
      <c r="G91" s="495">
        <f t="shared" si="25"/>
        <v>6791.3389420151352</v>
      </c>
      <c r="H91" s="495">
        <f t="shared" si="25"/>
        <v>6975.9348460865231</v>
      </c>
      <c r="I91" s="495">
        <f t="shared" si="25"/>
        <v>5774.6628613976227</v>
      </c>
      <c r="J91" s="495">
        <f t="shared" si="25"/>
        <v>11197.459497574511</v>
      </c>
      <c r="K91" s="495">
        <f t="shared" si="25"/>
        <v>1977.2179085727087</v>
      </c>
      <c r="L91" s="495">
        <f t="shared" si="25"/>
        <v>11979.108476930369</v>
      </c>
      <c r="M91" s="495">
        <f t="shared" si="25"/>
        <v>5886.9901371293918</v>
      </c>
      <c r="N91" s="496">
        <f t="shared" si="25"/>
        <v>64936.954467087198</v>
      </c>
      <c r="O91" s="78"/>
    </row>
    <row r="92" spans="2:15" x14ac:dyDescent="0.2">
      <c r="B92" s="766">
        <v>2007</v>
      </c>
      <c r="C92" s="756" t="s">
        <v>133</v>
      </c>
      <c r="D92" s="275" t="s">
        <v>131</v>
      </c>
      <c r="E92" s="502">
        <v>0</v>
      </c>
      <c r="F92" s="493">
        <v>3.79</v>
      </c>
      <c r="G92" s="493">
        <v>2.6414800109863283</v>
      </c>
      <c r="H92" s="493">
        <v>0</v>
      </c>
      <c r="I92" s="493">
        <v>0</v>
      </c>
      <c r="J92" s="493">
        <v>0</v>
      </c>
      <c r="K92" s="493">
        <v>0</v>
      </c>
      <c r="L92" s="493">
        <v>1.9581800231933593</v>
      </c>
      <c r="M92" s="509">
        <v>1.499640007019043</v>
      </c>
      <c r="N92" s="492">
        <f t="shared" ref="N92:N106" si="26">SUM(E92:M92)</f>
        <v>9.8893000411987302</v>
      </c>
      <c r="O92" s="78"/>
    </row>
    <row r="93" spans="2:15" x14ac:dyDescent="0.2">
      <c r="B93" s="767"/>
      <c r="C93" s="757"/>
      <c r="D93" s="276" t="s">
        <v>132</v>
      </c>
      <c r="E93" s="490">
        <v>0</v>
      </c>
      <c r="F93" s="491">
        <v>0.11489999866485595</v>
      </c>
      <c r="G93" s="491">
        <v>0</v>
      </c>
      <c r="H93" s="491">
        <v>0</v>
      </c>
      <c r="I93" s="491">
        <v>1.2920000076293946E-2</v>
      </c>
      <c r="J93" s="491">
        <v>0</v>
      </c>
      <c r="K93" s="491">
        <v>0</v>
      </c>
      <c r="L93" s="491">
        <v>0</v>
      </c>
      <c r="M93" s="510">
        <v>0</v>
      </c>
      <c r="N93" s="492">
        <f t="shared" si="26"/>
        <v>0.12781999874114991</v>
      </c>
      <c r="O93" s="78"/>
    </row>
    <row r="94" spans="2:15" x14ac:dyDescent="0.2">
      <c r="B94" s="767"/>
      <c r="C94" s="757"/>
      <c r="D94" s="277" t="s">
        <v>133</v>
      </c>
      <c r="E94" s="497">
        <v>106.74496044679731</v>
      </c>
      <c r="F94" s="498">
        <v>135.19051580465771</v>
      </c>
      <c r="G94" s="498">
        <v>55.6979441929711</v>
      </c>
      <c r="H94" s="498">
        <v>101.50768065742589</v>
      </c>
      <c r="I94" s="498">
        <v>0</v>
      </c>
      <c r="J94" s="498">
        <v>0</v>
      </c>
      <c r="K94" s="498">
        <v>50.061029509067538</v>
      </c>
      <c r="L94" s="498">
        <v>70.276679351806635</v>
      </c>
      <c r="M94" s="511">
        <v>12.909950317442418</v>
      </c>
      <c r="N94" s="492">
        <f t="shared" si="26"/>
        <v>532.38876028016853</v>
      </c>
      <c r="O94" s="78"/>
    </row>
    <row r="95" spans="2:15" x14ac:dyDescent="0.2">
      <c r="B95" s="767"/>
      <c r="C95" s="278" t="s">
        <v>141</v>
      </c>
      <c r="D95" s="279"/>
      <c r="E95" s="515">
        <f>SUM(E92:E94)</f>
        <v>106.74496044679731</v>
      </c>
      <c r="F95" s="515">
        <f t="shared" ref="F95:N95" si="27">SUM(F92:F94)</f>
        <v>139.09541580332257</v>
      </c>
      <c r="G95" s="515">
        <f t="shared" si="27"/>
        <v>58.339424203957428</v>
      </c>
      <c r="H95" s="515">
        <f t="shared" si="27"/>
        <v>101.50768065742589</v>
      </c>
      <c r="I95" s="515">
        <f t="shared" si="27"/>
        <v>1.2920000076293946E-2</v>
      </c>
      <c r="J95" s="515">
        <f t="shared" si="27"/>
        <v>0</v>
      </c>
      <c r="K95" s="515">
        <f t="shared" si="27"/>
        <v>50.061029509067538</v>
      </c>
      <c r="L95" s="515">
        <f t="shared" si="27"/>
        <v>72.234859374999999</v>
      </c>
      <c r="M95" s="515">
        <f t="shared" si="27"/>
        <v>14.40959032446146</v>
      </c>
      <c r="N95" s="517">
        <f t="shared" si="27"/>
        <v>542.40588032010839</v>
      </c>
      <c r="O95" s="78"/>
    </row>
    <row r="96" spans="2:15" x14ac:dyDescent="0.2">
      <c r="B96" s="767"/>
      <c r="C96" s="758" t="s">
        <v>135</v>
      </c>
      <c r="D96" s="275" t="s">
        <v>131</v>
      </c>
      <c r="E96" s="502">
        <v>1304.3953830417395</v>
      </c>
      <c r="F96" s="493">
        <v>1871.5335898287856</v>
      </c>
      <c r="G96" s="493">
        <v>841.64821300000006</v>
      </c>
      <c r="H96" s="493">
        <v>1218.1608880000001</v>
      </c>
      <c r="I96" s="493">
        <v>1050.4351487705708</v>
      </c>
      <c r="J96" s="493">
        <v>2622.4208011476121</v>
      </c>
      <c r="K96" s="493">
        <v>701.71661255744095</v>
      </c>
      <c r="L96" s="493">
        <v>1886.3501100000001</v>
      </c>
      <c r="M96" s="509">
        <v>1623.328311532706</v>
      </c>
      <c r="N96" s="492">
        <f t="shared" si="26"/>
        <v>13119.989057878855</v>
      </c>
      <c r="O96" s="78"/>
    </row>
    <row r="97" spans="2:15" x14ac:dyDescent="0.2">
      <c r="B97" s="767"/>
      <c r="C97" s="758"/>
      <c r="D97" s="276" t="s">
        <v>132</v>
      </c>
      <c r="E97" s="490">
        <v>2042.4270824478808</v>
      </c>
      <c r="F97" s="491">
        <v>5128.673642622457</v>
      </c>
      <c r="G97" s="491">
        <v>2985.0702524803573</v>
      </c>
      <c r="H97" s="491">
        <v>2665.3149400000002</v>
      </c>
      <c r="I97" s="491">
        <v>3197.8160556488333</v>
      </c>
      <c r="J97" s="491">
        <v>6273.0591617028331</v>
      </c>
      <c r="K97" s="491">
        <v>1147.5454171709418</v>
      </c>
      <c r="L97" s="491">
        <v>6414.8833489999997</v>
      </c>
      <c r="M97" s="510">
        <v>3083.8166010927057</v>
      </c>
      <c r="N97" s="492">
        <f t="shared" si="26"/>
        <v>32938.606502166011</v>
      </c>
      <c r="O97" s="78"/>
    </row>
    <row r="98" spans="2:15" x14ac:dyDescent="0.2">
      <c r="B98" s="767"/>
      <c r="C98" s="758"/>
      <c r="D98" s="276" t="s">
        <v>133</v>
      </c>
      <c r="E98" s="497">
        <v>66.68726807677001</v>
      </c>
      <c r="F98" s="498">
        <v>17.427120097160341</v>
      </c>
      <c r="G98" s="498">
        <v>23.231439018670468</v>
      </c>
      <c r="H98" s="498">
        <v>16.26209011238441</v>
      </c>
      <c r="I98" s="498">
        <v>37.395654888227583</v>
      </c>
      <c r="J98" s="498">
        <v>77.887415286456189</v>
      </c>
      <c r="K98" s="498">
        <v>0</v>
      </c>
      <c r="L98" s="498">
        <v>13.224397002086043</v>
      </c>
      <c r="M98" s="511">
        <v>62.575084490302949</v>
      </c>
      <c r="N98" s="492">
        <f t="shared" si="26"/>
        <v>314.690468972058</v>
      </c>
      <c r="O98" s="78"/>
    </row>
    <row r="99" spans="2:15" x14ac:dyDescent="0.2">
      <c r="B99" s="767"/>
      <c r="C99" s="278" t="s">
        <v>136</v>
      </c>
      <c r="D99" s="279"/>
      <c r="E99" s="515">
        <f>SUM(E96:E98)</f>
        <v>3413.5097335663904</v>
      </c>
      <c r="F99" s="515">
        <f t="shared" ref="F99:N99" si="28">SUM(F96:F98)</f>
        <v>7017.6343525484035</v>
      </c>
      <c r="G99" s="515">
        <f t="shared" si="28"/>
        <v>3849.9499044990275</v>
      </c>
      <c r="H99" s="515">
        <f t="shared" si="28"/>
        <v>3899.7379181123852</v>
      </c>
      <c r="I99" s="515">
        <f t="shared" si="28"/>
        <v>4285.6468593076324</v>
      </c>
      <c r="J99" s="515">
        <f t="shared" si="28"/>
        <v>8973.3673781368998</v>
      </c>
      <c r="K99" s="515">
        <f t="shared" si="28"/>
        <v>1849.2620297283829</v>
      </c>
      <c r="L99" s="515">
        <f t="shared" si="28"/>
        <v>8314.4578560020855</v>
      </c>
      <c r="M99" s="515">
        <f t="shared" si="28"/>
        <v>4769.7199971157152</v>
      </c>
      <c r="N99" s="517">
        <f t="shared" si="28"/>
        <v>46373.286029016926</v>
      </c>
      <c r="O99" s="78"/>
    </row>
    <row r="100" spans="2:15" x14ac:dyDescent="0.2">
      <c r="B100" s="767"/>
      <c r="C100" s="759" t="s">
        <v>137</v>
      </c>
      <c r="D100" s="275" t="s">
        <v>131</v>
      </c>
      <c r="E100" s="502">
        <v>1194.850135939598</v>
      </c>
      <c r="F100" s="493">
        <v>677.02192998123166</v>
      </c>
      <c r="G100" s="493">
        <v>1168.0891099999999</v>
      </c>
      <c r="H100" s="493">
        <v>1595.6623843097686</v>
      </c>
      <c r="I100" s="493">
        <v>934.1197545752525</v>
      </c>
      <c r="J100" s="493">
        <v>1685.4524072380066</v>
      </c>
      <c r="K100" s="493">
        <v>62.78</v>
      </c>
      <c r="L100" s="493">
        <v>3078.3903</v>
      </c>
      <c r="M100" s="509">
        <v>503.87395038712026</v>
      </c>
      <c r="N100" s="492">
        <f t="shared" si="26"/>
        <v>10900.239972430978</v>
      </c>
      <c r="O100" s="78"/>
    </row>
    <row r="101" spans="2:15" x14ac:dyDescent="0.2">
      <c r="B101" s="767"/>
      <c r="C101" s="759"/>
      <c r="D101" s="276" t="s">
        <v>132</v>
      </c>
      <c r="E101" s="490">
        <v>14.827</v>
      </c>
      <c r="F101" s="491">
        <v>89.151867675781247</v>
      </c>
      <c r="G101" s="491">
        <v>36.420045295715333</v>
      </c>
      <c r="H101" s="491">
        <v>93.415000000000006</v>
      </c>
      <c r="I101" s="491">
        <v>46.102319474816319</v>
      </c>
      <c r="J101" s="491">
        <v>0</v>
      </c>
      <c r="K101" s="491">
        <v>0</v>
      </c>
      <c r="L101" s="491">
        <v>43.336094662308696</v>
      </c>
      <c r="M101" s="510">
        <v>2.1120000000000001</v>
      </c>
      <c r="N101" s="492">
        <f t="shared" si="26"/>
        <v>325.36432710862164</v>
      </c>
      <c r="O101" s="78"/>
    </row>
    <row r="102" spans="2:15" x14ac:dyDescent="0.2">
      <c r="B102" s="767"/>
      <c r="C102" s="759"/>
      <c r="D102" s="276" t="s">
        <v>133</v>
      </c>
      <c r="E102" s="497">
        <v>0</v>
      </c>
      <c r="F102" s="498">
        <v>0</v>
      </c>
      <c r="G102" s="498">
        <v>0</v>
      </c>
      <c r="H102" s="498">
        <v>0</v>
      </c>
      <c r="I102" s="498">
        <v>0</v>
      </c>
      <c r="J102" s="498">
        <v>0</v>
      </c>
      <c r="K102" s="498">
        <v>0</v>
      </c>
      <c r="L102" s="498">
        <v>0</v>
      </c>
      <c r="M102" s="511">
        <v>0</v>
      </c>
      <c r="N102" s="492">
        <f t="shared" si="26"/>
        <v>0</v>
      </c>
      <c r="O102" s="78"/>
    </row>
    <row r="103" spans="2:15" x14ac:dyDescent="0.2">
      <c r="B103" s="767"/>
      <c r="C103" s="278" t="s">
        <v>138</v>
      </c>
      <c r="D103" s="279"/>
      <c r="E103" s="515">
        <f>SUM(E100:E102)</f>
        <v>1209.677135939598</v>
      </c>
      <c r="F103" s="515">
        <f t="shared" ref="F103:N103" si="29">SUM(F100:F102)</f>
        <v>766.17379765701287</v>
      </c>
      <c r="G103" s="515">
        <f t="shared" si="29"/>
        <v>1204.5091552957151</v>
      </c>
      <c r="H103" s="515">
        <f>SUM(H100:H102)</f>
        <v>1689.0773843097686</v>
      </c>
      <c r="I103" s="515">
        <f t="shared" si="29"/>
        <v>980.22207405006884</v>
      </c>
      <c r="J103" s="515">
        <f t="shared" si="29"/>
        <v>1685.4524072380066</v>
      </c>
      <c r="K103" s="515">
        <f t="shared" si="29"/>
        <v>62.78</v>
      </c>
      <c r="L103" s="515">
        <f t="shared" si="29"/>
        <v>3121.7263946623088</v>
      </c>
      <c r="M103" s="515">
        <f t="shared" si="29"/>
        <v>505.98595038712028</v>
      </c>
      <c r="N103" s="517">
        <f t="shared" si="29"/>
        <v>11225.6042995396</v>
      </c>
      <c r="O103" s="78"/>
    </row>
    <row r="104" spans="2:15" x14ac:dyDescent="0.2">
      <c r="B104" s="767"/>
      <c r="C104" s="760" t="s">
        <v>139</v>
      </c>
      <c r="D104" s="275" t="s">
        <v>131</v>
      </c>
      <c r="E104" s="502">
        <v>0</v>
      </c>
      <c r="F104" s="493">
        <v>470.63266455078127</v>
      </c>
      <c r="G104" s="493">
        <v>1.498260045826435</v>
      </c>
      <c r="H104" s="493">
        <v>4.5659999999999998</v>
      </c>
      <c r="I104" s="493">
        <v>146.16405024147033</v>
      </c>
      <c r="J104" s="493">
        <v>0</v>
      </c>
      <c r="K104" s="493">
        <v>0</v>
      </c>
      <c r="L104" s="493">
        <v>0</v>
      </c>
      <c r="M104" s="509">
        <v>4.1254999999999997</v>
      </c>
      <c r="N104" s="492">
        <f t="shared" si="26"/>
        <v>626.98647483807804</v>
      </c>
      <c r="O104" s="78"/>
    </row>
    <row r="105" spans="2:15" x14ac:dyDescent="0.2">
      <c r="B105" s="767"/>
      <c r="C105" s="760"/>
      <c r="D105" s="276" t="s">
        <v>132</v>
      </c>
      <c r="E105" s="490">
        <v>1.3826799974441528</v>
      </c>
      <c r="F105" s="491">
        <v>10.707780016899109</v>
      </c>
      <c r="G105" s="491">
        <v>830.40325394058232</v>
      </c>
      <c r="H105" s="491">
        <v>593.47952874755856</v>
      </c>
      <c r="I105" s="491">
        <v>244.04631013011934</v>
      </c>
      <c r="J105" s="491">
        <v>233.55944140624999</v>
      </c>
      <c r="K105" s="491">
        <v>0</v>
      </c>
      <c r="L105" s="491">
        <v>34.951559570312497</v>
      </c>
      <c r="M105" s="510">
        <v>2.8687000122070314</v>
      </c>
      <c r="N105" s="492">
        <f t="shared" si="26"/>
        <v>1951.3992538213731</v>
      </c>
      <c r="O105" s="78"/>
    </row>
    <row r="106" spans="2:15" x14ac:dyDescent="0.2">
      <c r="B106" s="767"/>
      <c r="C106" s="761"/>
      <c r="D106" s="277" t="s">
        <v>133</v>
      </c>
      <c r="E106" s="497">
        <v>0</v>
      </c>
      <c r="F106" s="498">
        <v>3.2923499450683593</v>
      </c>
      <c r="G106" s="498">
        <v>4.8150002330541612E-2</v>
      </c>
      <c r="H106" s="498">
        <v>0</v>
      </c>
      <c r="I106" s="498">
        <v>9.8561400604248046</v>
      </c>
      <c r="J106" s="498">
        <v>0</v>
      </c>
      <c r="K106" s="498">
        <v>0</v>
      </c>
      <c r="L106" s="498">
        <v>5.4268599395751957</v>
      </c>
      <c r="M106" s="511">
        <v>0</v>
      </c>
      <c r="N106" s="492">
        <f t="shared" si="26"/>
        <v>18.623499947398901</v>
      </c>
      <c r="O106" s="78"/>
    </row>
    <row r="107" spans="2:15" x14ac:dyDescent="0.2">
      <c r="B107" s="768"/>
      <c r="C107" s="280" t="s">
        <v>140</v>
      </c>
      <c r="D107" s="281"/>
      <c r="E107" s="514">
        <f>SUM(E104:E106)</f>
        <v>1.3826799974441528</v>
      </c>
      <c r="F107" s="514">
        <f t="shared" ref="F107:N107" si="30">SUM(F104:F106)</f>
        <v>484.63279451274872</v>
      </c>
      <c r="G107" s="514">
        <f t="shared" si="30"/>
        <v>831.9496639887393</v>
      </c>
      <c r="H107" s="514">
        <f t="shared" si="30"/>
        <v>598.04552874755859</v>
      </c>
      <c r="I107" s="514">
        <f t="shared" si="30"/>
        <v>400.06650043201449</v>
      </c>
      <c r="J107" s="514">
        <f t="shared" si="30"/>
        <v>233.55944140624999</v>
      </c>
      <c r="K107" s="514">
        <f t="shared" si="30"/>
        <v>0</v>
      </c>
      <c r="L107" s="514">
        <f t="shared" si="30"/>
        <v>40.378419509887692</v>
      </c>
      <c r="M107" s="514">
        <f t="shared" si="30"/>
        <v>6.9942000122070311</v>
      </c>
      <c r="N107" s="517">
        <f t="shared" si="30"/>
        <v>2597.0092286068502</v>
      </c>
      <c r="O107" s="78"/>
    </row>
    <row r="108" spans="2:15" ht="15.75" customHeight="1" x14ac:dyDescent="0.2">
      <c r="B108" s="72" t="s">
        <v>110</v>
      </c>
      <c r="C108" s="73"/>
      <c r="D108" s="269"/>
      <c r="E108" s="495">
        <f>+E107+E103+E99+E95</f>
        <v>4731.3145099502299</v>
      </c>
      <c r="F108" s="495">
        <f t="shared" ref="F108:N108" si="31">+F107+F103+F99+F95</f>
        <v>8407.5363605214861</v>
      </c>
      <c r="G108" s="495">
        <f t="shared" si="31"/>
        <v>5944.7481479874396</v>
      </c>
      <c r="H108" s="495">
        <f t="shared" si="31"/>
        <v>6288.3685118271387</v>
      </c>
      <c r="I108" s="495">
        <f t="shared" si="31"/>
        <v>5665.9483537897922</v>
      </c>
      <c r="J108" s="495">
        <f t="shared" si="31"/>
        <v>10892.379226781157</v>
      </c>
      <c r="K108" s="495">
        <f t="shared" si="31"/>
        <v>1962.1030592374505</v>
      </c>
      <c r="L108" s="495">
        <f t="shared" si="31"/>
        <v>11548.797529549282</v>
      </c>
      <c r="M108" s="495">
        <f t="shared" si="31"/>
        <v>5297.1097378395043</v>
      </c>
      <c r="N108" s="496">
        <f t="shared" si="31"/>
        <v>60738.30543748349</v>
      </c>
      <c r="O108" s="78"/>
    </row>
    <row r="109" spans="2:15" x14ac:dyDescent="0.2">
      <c r="B109" s="766">
        <v>2008</v>
      </c>
      <c r="C109" s="756" t="s">
        <v>133</v>
      </c>
      <c r="D109" s="275" t="s">
        <v>131</v>
      </c>
      <c r="E109" s="512">
        <v>0.5880800170898437</v>
      </c>
      <c r="F109" s="493">
        <v>0</v>
      </c>
      <c r="G109" s="512">
        <v>46.902460148811343</v>
      </c>
      <c r="H109" s="493">
        <v>0</v>
      </c>
      <c r="I109" s="493">
        <v>0</v>
      </c>
      <c r="J109" s="493">
        <v>0</v>
      </c>
      <c r="K109" s="493">
        <v>0</v>
      </c>
      <c r="L109" s="512">
        <v>3.6045999145507799</v>
      </c>
      <c r="M109" s="512">
        <v>5.0731599845886199</v>
      </c>
      <c r="N109" s="494">
        <f>SUM(E109:M109)</f>
        <v>56.16830006504059</v>
      </c>
      <c r="O109" s="78"/>
    </row>
    <row r="110" spans="2:15" x14ac:dyDescent="0.2">
      <c r="B110" s="767"/>
      <c r="C110" s="757"/>
      <c r="D110" s="282" t="s">
        <v>132</v>
      </c>
      <c r="E110" s="490">
        <v>0</v>
      </c>
      <c r="F110" s="491">
        <v>0</v>
      </c>
      <c r="G110" s="491">
        <v>0</v>
      </c>
      <c r="H110" s="491">
        <v>0</v>
      </c>
      <c r="I110" s="491">
        <v>0</v>
      </c>
      <c r="J110" s="491">
        <v>0</v>
      </c>
      <c r="K110" s="491">
        <v>0</v>
      </c>
      <c r="L110" s="491">
        <v>0</v>
      </c>
      <c r="M110" s="283">
        <v>12.29020004004985</v>
      </c>
      <c r="N110" s="492">
        <f>SUM(E110:M110)</f>
        <v>12.29020004004985</v>
      </c>
      <c r="O110" s="78"/>
    </row>
    <row r="111" spans="2:15" x14ac:dyDescent="0.2">
      <c r="B111" s="767"/>
      <c r="C111" s="757"/>
      <c r="D111" s="277" t="s">
        <v>133</v>
      </c>
      <c r="E111" s="283">
        <v>178.42146183548496</v>
      </c>
      <c r="F111" s="283">
        <v>121.03679157329758</v>
      </c>
      <c r="G111" s="283">
        <v>43.735760065719489</v>
      </c>
      <c r="H111" s="283">
        <v>207.96570714610476</v>
      </c>
      <c r="I111" s="283">
        <v>0</v>
      </c>
      <c r="J111" s="283">
        <v>0</v>
      </c>
      <c r="K111" s="283">
        <v>151.24415806961059</v>
      </c>
      <c r="L111" s="283">
        <v>55.270021408081057</v>
      </c>
      <c r="M111" s="283">
        <v>61.931929775595663</v>
      </c>
      <c r="N111" s="492">
        <f>SUM(E111:M111)</f>
        <v>819.60582987389421</v>
      </c>
      <c r="O111" s="78"/>
    </row>
    <row r="112" spans="2:15" x14ac:dyDescent="0.2">
      <c r="B112" s="767"/>
      <c r="C112" s="278" t="s">
        <v>141</v>
      </c>
      <c r="D112" s="279"/>
      <c r="E112" s="515">
        <f t="shared" ref="E112:N112" si="32">SUM(E109:E111)</f>
        <v>179.00954185257481</v>
      </c>
      <c r="F112" s="515">
        <f t="shared" si="32"/>
        <v>121.03679157329758</v>
      </c>
      <c r="G112" s="515">
        <f t="shared" si="32"/>
        <v>90.638220214530833</v>
      </c>
      <c r="H112" s="515">
        <f t="shared" si="32"/>
        <v>207.96570714610476</v>
      </c>
      <c r="I112" s="515">
        <f t="shared" si="32"/>
        <v>0</v>
      </c>
      <c r="J112" s="515">
        <f t="shared" si="32"/>
        <v>0</v>
      </c>
      <c r="K112" s="515">
        <f t="shared" si="32"/>
        <v>151.24415806961059</v>
      </c>
      <c r="L112" s="515">
        <f t="shared" si="32"/>
        <v>58.874621322631839</v>
      </c>
      <c r="M112" s="515">
        <f t="shared" si="32"/>
        <v>79.29528980023413</v>
      </c>
      <c r="N112" s="517">
        <f t="shared" si="32"/>
        <v>888.06432997898469</v>
      </c>
      <c r="O112" s="78"/>
    </row>
    <row r="113" spans="2:15" x14ac:dyDescent="0.2">
      <c r="B113" s="767"/>
      <c r="C113" s="758" t="s">
        <v>135</v>
      </c>
      <c r="D113" s="275" t="s">
        <v>131</v>
      </c>
      <c r="E113" s="283">
        <v>939.4226895301565</v>
      </c>
      <c r="F113" s="283">
        <v>1502.3418407707923</v>
      </c>
      <c r="G113" s="283">
        <v>1034.3477553955911</v>
      </c>
      <c r="H113" s="283">
        <v>470.51450017236925</v>
      </c>
      <c r="I113" s="283">
        <v>834.66814147776358</v>
      </c>
      <c r="J113" s="283">
        <v>1488.2627342425435</v>
      </c>
      <c r="K113" s="283">
        <v>542.05119881869859</v>
      </c>
      <c r="L113" s="283">
        <v>1847.6001125708965</v>
      </c>
      <c r="M113" s="283">
        <v>971.94144113492609</v>
      </c>
      <c r="N113" s="494">
        <f>SUM(E113:M113)</f>
        <v>9631.1504141137393</v>
      </c>
      <c r="O113" s="78"/>
    </row>
    <row r="114" spans="2:15" x14ac:dyDescent="0.2">
      <c r="B114" s="767"/>
      <c r="C114" s="758"/>
      <c r="D114" s="276" t="s">
        <v>132</v>
      </c>
      <c r="E114" s="283">
        <v>1519.9857332287011</v>
      </c>
      <c r="F114" s="283">
        <v>4312.3780014080639</v>
      </c>
      <c r="G114" s="283">
        <v>3494.9169896689391</v>
      </c>
      <c r="H114" s="283">
        <v>2204.8416672308663</v>
      </c>
      <c r="I114" s="283">
        <v>2984.2656488852722</v>
      </c>
      <c r="J114" s="283">
        <v>4772.6680689235473</v>
      </c>
      <c r="K114" s="283">
        <v>1251.2683117637039</v>
      </c>
      <c r="L114" s="283">
        <v>6146.454021177512</v>
      </c>
      <c r="M114" s="283">
        <v>2837.0272089322648</v>
      </c>
      <c r="N114" s="492">
        <f>SUM(E114:M114)</f>
        <v>29523.805651218867</v>
      </c>
      <c r="O114" s="78"/>
    </row>
    <row r="115" spans="2:15" x14ac:dyDescent="0.2">
      <c r="B115" s="767"/>
      <c r="C115" s="758"/>
      <c r="D115" s="276" t="s">
        <v>133</v>
      </c>
      <c r="E115" s="283">
        <v>37.014059164591131</v>
      </c>
      <c r="F115" s="283">
        <v>53.836259502761067</v>
      </c>
      <c r="G115" s="283">
        <v>14.155098796755075</v>
      </c>
      <c r="H115" s="283">
        <v>21.58760998815298</v>
      </c>
      <c r="I115" s="283">
        <v>57.433328064754605</v>
      </c>
      <c r="J115" s="283">
        <v>48.383709707379339</v>
      </c>
      <c r="K115" s="283">
        <v>0</v>
      </c>
      <c r="L115" s="283">
        <v>6.4200999683588753</v>
      </c>
      <c r="M115" s="283">
        <v>41.523025871276857</v>
      </c>
      <c r="N115" s="499">
        <f>SUM(E115:M115)</f>
        <v>280.35319106402994</v>
      </c>
      <c r="O115" s="78"/>
    </row>
    <row r="116" spans="2:15" x14ac:dyDescent="0.2">
      <c r="B116" s="767"/>
      <c r="C116" s="278" t="s">
        <v>136</v>
      </c>
      <c r="D116" s="279"/>
      <c r="E116" s="515">
        <f t="shared" ref="E116:N116" si="33">SUM(E113:E115)</f>
        <v>2496.4224819234487</v>
      </c>
      <c r="F116" s="515">
        <f t="shared" si="33"/>
        <v>5868.5561016816173</v>
      </c>
      <c r="G116" s="515">
        <f t="shared" si="33"/>
        <v>4543.4198438612848</v>
      </c>
      <c r="H116" s="515">
        <f t="shared" si="33"/>
        <v>2696.9437773913883</v>
      </c>
      <c r="I116" s="515">
        <f t="shared" si="33"/>
        <v>3876.3671184277905</v>
      </c>
      <c r="J116" s="515">
        <f t="shared" si="33"/>
        <v>6309.3145128734704</v>
      </c>
      <c r="K116" s="515">
        <f t="shared" si="33"/>
        <v>1793.3195105824025</v>
      </c>
      <c r="L116" s="515">
        <f t="shared" si="33"/>
        <v>8000.4742337167672</v>
      </c>
      <c r="M116" s="515">
        <f t="shared" si="33"/>
        <v>3850.4916759384678</v>
      </c>
      <c r="N116" s="517">
        <f t="shared" si="33"/>
        <v>39435.309256396635</v>
      </c>
      <c r="O116" s="78"/>
    </row>
    <row r="117" spans="2:15" x14ac:dyDescent="0.2">
      <c r="B117" s="767"/>
      <c r="C117" s="759" t="s">
        <v>137</v>
      </c>
      <c r="D117" s="275" t="s">
        <v>131</v>
      </c>
      <c r="E117" s="283">
        <v>971.43730938625345</v>
      </c>
      <c r="F117" s="283">
        <v>556.07875311183932</v>
      </c>
      <c r="G117" s="283">
        <v>851.72941583633428</v>
      </c>
      <c r="H117" s="283">
        <v>1863.6439716049433</v>
      </c>
      <c r="I117" s="283">
        <v>543.89326483821867</v>
      </c>
      <c r="J117" s="284">
        <v>1430.0565813465121</v>
      </c>
      <c r="K117" s="283">
        <v>317.03817187499999</v>
      </c>
      <c r="L117" s="284">
        <v>3486.6917741630073</v>
      </c>
      <c r="M117" s="283">
        <v>550.17881146335594</v>
      </c>
      <c r="N117" s="494">
        <f>SUM(E117:M117)</f>
        <v>10570.748053625464</v>
      </c>
      <c r="O117" s="78"/>
    </row>
    <row r="118" spans="2:15" x14ac:dyDescent="0.2">
      <c r="B118" s="767"/>
      <c r="C118" s="759"/>
      <c r="D118" s="276" t="s">
        <v>132</v>
      </c>
      <c r="E118" s="283">
        <v>2.0089999999999999</v>
      </c>
      <c r="F118" s="283">
        <v>47.400480255126951</v>
      </c>
      <c r="G118" s="283">
        <v>11.236424682617187</v>
      </c>
      <c r="H118" s="283">
        <v>55.217780029296875</v>
      </c>
      <c r="I118" s="283">
        <v>110.74674935436249</v>
      </c>
      <c r="J118" s="283">
        <v>0</v>
      </c>
      <c r="K118" s="283">
        <v>0</v>
      </c>
      <c r="L118" s="283">
        <v>1.5546149959564208</v>
      </c>
      <c r="M118" s="283">
        <v>0</v>
      </c>
      <c r="N118" s="492">
        <f>SUM(E118:M118)</f>
        <v>228.16504931735992</v>
      </c>
      <c r="O118" s="78"/>
    </row>
    <row r="119" spans="2:15" x14ac:dyDescent="0.2">
      <c r="B119" s="767"/>
      <c r="C119" s="759"/>
      <c r="D119" s="276" t="s">
        <v>133</v>
      </c>
      <c r="E119" s="283">
        <v>0</v>
      </c>
      <c r="F119" s="283">
        <v>0</v>
      </c>
      <c r="G119" s="283">
        <v>9.0000003576278683E-5</v>
      </c>
      <c r="H119" s="283">
        <v>0</v>
      </c>
      <c r="I119" s="283">
        <v>0</v>
      </c>
      <c r="J119" s="283">
        <v>0.61799999999999999</v>
      </c>
      <c r="K119" s="283">
        <v>0</v>
      </c>
      <c r="L119" s="283">
        <v>0.153</v>
      </c>
      <c r="M119" s="283">
        <v>0</v>
      </c>
      <c r="N119" s="499">
        <f>SUM(E119:M119)</f>
        <v>0.7710900000035763</v>
      </c>
      <c r="O119" s="78"/>
    </row>
    <row r="120" spans="2:15" x14ac:dyDescent="0.2">
      <c r="B120" s="767"/>
      <c r="C120" s="278" t="s">
        <v>138</v>
      </c>
      <c r="D120" s="279"/>
      <c r="E120" s="515">
        <f t="shared" ref="E120:N120" si="34">SUM(E117:E119)</f>
        <v>973.44630938625346</v>
      </c>
      <c r="F120" s="515">
        <f t="shared" si="34"/>
        <v>603.47923336696624</v>
      </c>
      <c r="G120" s="515">
        <f t="shared" si="34"/>
        <v>862.96593051895502</v>
      </c>
      <c r="H120" s="515">
        <f t="shared" si="34"/>
        <v>1918.8617516342401</v>
      </c>
      <c r="I120" s="515">
        <f t="shared" si="34"/>
        <v>654.64001419258113</v>
      </c>
      <c r="J120" s="515">
        <f t="shared" si="34"/>
        <v>1430.674581346512</v>
      </c>
      <c r="K120" s="515">
        <f t="shared" si="34"/>
        <v>317.03817187499999</v>
      </c>
      <c r="L120" s="515">
        <f t="shared" si="34"/>
        <v>3488.3993891589635</v>
      </c>
      <c r="M120" s="515">
        <f t="shared" si="34"/>
        <v>550.17881146335594</v>
      </c>
      <c r="N120" s="517">
        <f t="shared" si="34"/>
        <v>10799.684192942828</v>
      </c>
      <c r="O120" s="78"/>
    </row>
    <row r="121" spans="2:15" x14ac:dyDescent="0.2">
      <c r="B121" s="767"/>
      <c r="C121" s="760" t="s">
        <v>139</v>
      </c>
      <c r="D121" s="275" t="s">
        <v>131</v>
      </c>
      <c r="E121" s="283">
        <v>0</v>
      </c>
      <c r="F121" s="283">
        <v>516.29641699218746</v>
      </c>
      <c r="G121" s="283">
        <v>4.8801731318235397</v>
      </c>
      <c r="H121" s="283">
        <v>0</v>
      </c>
      <c r="I121" s="283">
        <v>0</v>
      </c>
      <c r="J121" s="283">
        <v>6.4640000000000004</v>
      </c>
      <c r="K121" s="283">
        <v>0</v>
      </c>
      <c r="L121" s="283">
        <v>0</v>
      </c>
      <c r="M121" s="283">
        <v>0</v>
      </c>
      <c r="N121" s="492">
        <f>SUM(E121:M121)</f>
        <v>527.64059012401106</v>
      </c>
      <c r="O121" s="78"/>
    </row>
    <row r="122" spans="2:15" x14ac:dyDescent="0.2">
      <c r="B122" s="767"/>
      <c r="C122" s="760"/>
      <c r="D122" s="276" t="s">
        <v>132</v>
      </c>
      <c r="E122" s="283">
        <v>1.282010002374649</v>
      </c>
      <c r="F122" s="283">
        <v>0</v>
      </c>
      <c r="G122" s="283">
        <v>1178.1541202275232</v>
      </c>
      <c r="H122" s="283">
        <v>716.02702998352049</v>
      </c>
      <c r="I122" s="283">
        <v>200.63489890480042</v>
      </c>
      <c r="J122" s="283">
        <v>20.100771484374999</v>
      </c>
      <c r="K122" s="283">
        <v>0</v>
      </c>
      <c r="L122" s="283">
        <v>45.156180175781252</v>
      </c>
      <c r="M122" s="283">
        <v>0</v>
      </c>
      <c r="N122" s="492">
        <f>SUM(E122:M122)</f>
        <v>2161.3550107783749</v>
      </c>
      <c r="O122" s="78"/>
    </row>
    <row r="123" spans="2:15" x14ac:dyDescent="0.2">
      <c r="B123" s="767"/>
      <c r="C123" s="761"/>
      <c r="D123" s="277" t="s">
        <v>133</v>
      </c>
      <c r="E123" s="283">
        <v>0</v>
      </c>
      <c r="F123" s="283">
        <v>0</v>
      </c>
      <c r="G123" s="283">
        <v>6.867000305652618E-2</v>
      </c>
      <c r="H123" s="283">
        <v>2.2090000000000001</v>
      </c>
      <c r="I123" s="283">
        <v>19.762200195312499</v>
      </c>
      <c r="J123" s="283">
        <v>0</v>
      </c>
      <c r="K123" s="283">
        <v>0</v>
      </c>
      <c r="L123" s="283">
        <v>3.5547401046752931</v>
      </c>
      <c r="M123" s="283">
        <v>0</v>
      </c>
      <c r="N123" s="492">
        <f>SUM(E123:M123)</f>
        <v>25.594610303044316</v>
      </c>
      <c r="O123" s="78"/>
    </row>
    <row r="124" spans="2:15" x14ac:dyDescent="0.2">
      <c r="B124" s="768"/>
      <c r="C124" s="280" t="s">
        <v>140</v>
      </c>
      <c r="D124" s="281"/>
      <c r="E124" s="514">
        <f t="shared" ref="E124:N124" si="35">SUM(E121:E123)</f>
        <v>1.282010002374649</v>
      </c>
      <c r="F124" s="514">
        <f t="shared" si="35"/>
        <v>516.29641699218746</v>
      </c>
      <c r="G124" s="514">
        <f t="shared" si="35"/>
        <v>1183.1029633624032</v>
      </c>
      <c r="H124" s="514">
        <f t="shared" si="35"/>
        <v>718.23602998352044</v>
      </c>
      <c r="I124" s="514">
        <f t="shared" si="35"/>
        <v>220.39709910011291</v>
      </c>
      <c r="J124" s="514">
        <f t="shared" si="35"/>
        <v>26.564771484375001</v>
      </c>
      <c r="K124" s="514">
        <f t="shared" si="35"/>
        <v>0</v>
      </c>
      <c r="L124" s="514">
        <f t="shared" si="35"/>
        <v>48.710920280456548</v>
      </c>
      <c r="M124" s="514">
        <f t="shared" si="35"/>
        <v>0</v>
      </c>
      <c r="N124" s="517">
        <f t="shared" si="35"/>
        <v>2714.59021120543</v>
      </c>
      <c r="O124" s="78"/>
    </row>
    <row r="125" spans="2:15" ht="16.5" customHeight="1" x14ac:dyDescent="0.2">
      <c r="B125" s="72" t="s">
        <v>111</v>
      </c>
      <c r="C125" s="73"/>
      <c r="D125" s="269"/>
      <c r="E125" s="495">
        <f t="shared" ref="E125:N125" si="36">+E124+E120+E116+E112</f>
        <v>3650.1603431646517</v>
      </c>
      <c r="F125" s="495">
        <f t="shared" si="36"/>
        <v>7109.3685436140686</v>
      </c>
      <c r="G125" s="495">
        <f t="shared" si="36"/>
        <v>6680.1269579571735</v>
      </c>
      <c r="H125" s="495">
        <f t="shared" si="36"/>
        <v>5542.007266155254</v>
      </c>
      <c r="I125" s="495">
        <f t="shared" si="36"/>
        <v>4751.4042317204849</v>
      </c>
      <c r="J125" s="495">
        <f t="shared" si="36"/>
        <v>7766.553865704358</v>
      </c>
      <c r="K125" s="495">
        <f t="shared" si="36"/>
        <v>2261.6018405270129</v>
      </c>
      <c r="L125" s="495">
        <f t="shared" si="36"/>
        <v>11596.459164478818</v>
      </c>
      <c r="M125" s="495">
        <f t="shared" si="36"/>
        <v>4479.9657772020573</v>
      </c>
      <c r="N125" s="496">
        <f t="shared" si="36"/>
        <v>53837.647990523881</v>
      </c>
      <c r="O125" s="78"/>
    </row>
    <row r="126" spans="2:15" x14ac:dyDescent="0.2">
      <c r="B126" s="766">
        <v>2009</v>
      </c>
      <c r="C126" s="756" t="s">
        <v>133</v>
      </c>
      <c r="D126" s="275" t="s">
        <v>131</v>
      </c>
      <c r="E126" s="512">
        <v>2.0232399999999999</v>
      </c>
      <c r="F126" s="493">
        <v>0</v>
      </c>
      <c r="G126" s="512">
        <v>24.427209999999999</v>
      </c>
      <c r="H126" s="493">
        <v>0.51846999999999999</v>
      </c>
      <c r="I126" s="493">
        <v>0</v>
      </c>
      <c r="J126" s="493">
        <v>0</v>
      </c>
      <c r="K126" s="493">
        <v>0</v>
      </c>
      <c r="L126" s="512">
        <v>4.4078400000000002</v>
      </c>
      <c r="M126" s="512">
        <v>2.9614099999999999</v>
      </c>
      <c r="N126" s="494">
        <f>SUM(E126:M126)</f>
        <v>34.338169999999998</v>
      </c>
      <c r="O126" s="78"/>
    </row>
    <row r="127" spans="2:15" x14ac:dyDescent="0.2">
      <c r="B127" s="767"/>
      <c r="C127" s="757"/>
      <c r="D127" s="282" t="s">
        <v>132</v>
      </c>
      <c r="E127" s="490">
        <v>0</v>
      </c>
      <c r="F127" s="491">
        <v>1.66E-3</v>
      </c>
      <c r="G127" s="491">
        <v>0</v>
      </c>
      <c r="H127" s="491">
        <v>0</v>
      </c>
      <c r="I127" s="491">
        <v>0</v>
      </c>
      <c r="J127" s="491">
        <v>0</v>
      </c>
      <c r="K127" s="491">
        <v>8.9779900000000001</v>
      </c>
      <c r="L127" s="491">
        <v>0</v>
      </c>
      <c r="M127" s="283">
        <v>30.19464</v>
      </c>
      <c r="N127" s="492">
        <f>SUM(E127:M127)</f>
        <v>39.174289999999999</v>
      </c>
      <c r="O127" s="78"/>
    </row>
    <row r="128" spans="2:15" x14ac:dyDescent="0.2">
      <c r="B128" s="767"/>
      <c r="C128" s="757"/>
      <c r="D128" s="277" t="s">
        <v>133</v>
      </c>
      <c r="E128" s="283">
        <v>53.062569999999951</v>
      </c>
      <c r="F128" s="283">
        <v>77.518909999999991</v>
      </c>
      <c r="G128" s="283">
        <v>32.728439999999999</v>
      </c>
      <c r="H128" s="283">
        <v>110.53677999999992</v>
      </c>
      <c r="I128" s="283">
        <v>0</v>
      </c>
      <c r="J128" s="283">
        <v>0</v>
      </c>
      <c r="K128" s="283">
        <v>34.114750000000001</v>
      </c>
      <c r="L128" s="283">
        <v>31.697740000000003</v>
      </c>
      <c r="M128" s="283">
        <v>10.528460000000003</v>
      </c>
      <c r="N128" s="492">
        <f>SUM(E128:M128)</f>
        <v>350.18764999999991</v>
      </c>
      <c r="O128" s="78"/>
    </row>
    <row r="129" spans="2:15" x14ac:dyDescent="0.2">
      <c r="B129" s="767"/>
      <c r="C129" s="278" t="s">
        <v>141</v>
      </c>
      <c r="D129" s="279"/>
      <c r="E129" s="515">
        <f t="shared" ref="E129:N129" si="37">SUM(E126:E128)</f>
        <v>55.085809999999952</v>
      </c>
      <c r="F129" s="515">
        <f t="shared" si="37"/>
        <v>77.520569999999992</v>
      </c>
      <c r="G129" s="515">
        <f t="shared" si="37"/>
        <v>57.155649999999994</v>
      </c>
      <c r="H129" s="515">
        <f t="shared" si="37"/>
        <v>111.05524999999992</v>
      </c>
      <c r="I129" s="515">
        <f t="shared" si="37"/>
        <v>0</v>
      </c>
      <c r="J129" s="515">
        <f t="shared" si="37"/>
        <v>0</v>
      </c>
      <c r="K129" s="515">
        <f t="shared" si="37"/>
        <v>43.092739999999999</v>
      </c>
      <c r="L129" s="515">
        <f t="shared" si="37"/>
        <v>36.105580000000003</v>
      </c>
      <c r="M129" s="515">
        <f t="shared" si="37"/>
        <v>43.684510000000003</v>
      </c>
      <c r="N129" s="517">
        <f t="shared" si="37"/>
        <v>423.70010999999988</v>
      </c>
      <c r="O129" s="78"/>
    </row>
    <row r="130" spans="2:15" x14ac:dyDescent="0.2">
      <c r="B130" s="767"/>
      <c r="C130" s="758" t="s">
        <v>135</v>
      </c>
      <c r="D130" s="275" t="s">
        <v>131</v>
      </c>
      <c r="E130" s="283">
        <v>655.66804000000013</v>
      </c>
      <c r="F130" s="283">
        <v>911.20892000000083</v>
      </c>
      <c r="G130" s="283">
        <v>685.05022999999971</v>
      </c>
      <c r="H130" s="283">
        <v>418.19127999999995</v>
      </c>
      <c r="I130" s="283">
        <v>730.28310999999985</v>
      </c>
      <c r="J130" s="283">
        <v>1124.4414699999998</v>
      </c>
      <c r="K130" s="283">
        <v>178.31985000000012</v>
      </c>
      <c r="L130" s="283">
        <v>2135.63537</v>
      </c>
      <c r="M130" s="283">
        <v>885.37123999999983</v>
      </c>
      <c r="N130" s="494">
        <f>SUM(E130:M130)</f>
        <v>7724.1695099999997</v>
      </c>
      <c r="O130" s="78"/>
    </row>
    <row r="131" spans="2:15" x14ac:dyDescent="0.2">
      <c r="B131" s="767"/>
      <c r="C131" s="758"/>
      <c r="D131" s="276" t="s">
        <v>132</v>
      </c>
      <c r="E131" s="283">
        <v>1418.0286999999998</v>
      </c>
      <c r="F131" s="283">
        <v>3576.2885900000065</v>
      </c>
      <c r="G131" s="283">
        <v>2756.2770599999994</v>
      </c>
      <c r="H131" s="283">
        <v>2072.0749900000001</v>
      </c>
      <c r="I131" s="283">
        <v>2482.1107400000001</v>
      </c>
      <c r="J131" s="283">
        <v>3950.622250000004</v>
      </c>
      <c r="K131" s="283">
        <v>1034.4298400000002</v>
      </c>
      <c r="L131" s="283">
        <v>4742.0395200000094</v>
      </c>
      <c r="M131" s="283">
        <v>2832.7400400000029</v>
      </c>
      <c r="N131" s="492">
        <f>SUM(E131:M131)</f>
        <v>24864.611730000022</v>
      </c>
      <c r="O131" s="78"/>
    </row>
    <row r="132" spans="2:15" x14ac:dyDescent="0.2">
      <c r="B132" s="767"/>
      <c r="C132" s="758"/>
      <c r="D132" s="276" t="s">
        <v>133</v>
      </c>
      <c r="E132" s="283">
        <v>7.4051600000000004</v>
      </c>
      <c r="F132" s="283">
        <v>26.887370000000001</v>
      </c>
      <c r="G132" s="283">
        <v>1.21418</v>
      </c>
      <c r="H132" s="283">
        <v>19.513380000000002</v>
      </c>
      <c r="I132" s="283">
        <v>32.550509999999989</v>
      </c>
      <c r="J132" s="283">
        <v>40.254900000000013</v>
      </c>
      <c r="K132" s="283">
        <v>0</v>
      </c>
      <c r="L132" s="283">
        <v>75.550860000000057</v>
      </c>
      <c r="M132" s="283">
        <v>48.487340000000017</v>
      </c>
      <c r="N132" s="499">
        <f>SUM(E132:M132)</f>
        <v>251.86370000000008</v>
      </c>
      <c r="O132" s="78"/>
    </row>
    <row r="133" spans="2:15" x14ac:dyDescent="0.2">
      <c r="B133" s="767"/>
      <c r="C133" s="278" t="s">
        <v>136</v>
      </c>
      <c r="D133" s="279"/>
      <c r="E133" s="515">
        <f t="shared" ref="E133:N133" si="38">SUM(E130:E132)</f>
        <v>2081.1018999999997</v>
      </c>
      <c r="F133" s="515">
        <f t="shared" si="38"/>
        <v>4514.3848800000078</v>
      </c>
      <c r="G133" s="515">
        <f t="shared" si="38"/>
        <v>3442.5414699999992</v>
      </c>
      <c r="H133" s="515">
        <f t="shared" si="38"/>
        <v>2509.7796499999999</v>
      </c>
      <c r="I133" s="515">
        <f t="shared" si="38"/>
        <v>3244.94436</v>
      </c>
      <c r="J133" s="515">
        <f t="shared" si="38"/>
        <v>5115.3186200000036</v>
      </c>
      <c r="K133" s="515">
        <f t="shared" si="38"/>
        <v>1212.7496900000003</v>
      </c>
      <c r="L133" s="515">
        <f t="shared" si="38"/>
        <v>6953.2257500000096</v>
      </c>
      <c r="M133" s="515">
        <f t="shared" si="38"/>
        <v>3766.5986200000029</v>
      </c>
      <c r="N133" s="517">
        <f t="shared" si="38"/>
        <v>32840.64494000002</v>
      </c>
      <c r="O133" s="78"/>
    </row>
    <row r="134" spans="2:15" x14ac:dyDescent="0.2">
      <c r="B134" s="767"/>
      <c r="C134" s="759" t="s">
        <v>137</v>
      </c>
      <c r="D134" s="275" t="s">
        <v>131</v>
      </c>
      <c r="E134" s="283">
        <v>1010.3414199999997</v>
      </c>
      <c r="F134" s="283">
        <v>158.06233</v>
      </c>
      <c r="G134" s="283">
        <v>1118.4170399999998</v>
      </c>
      <c r="H134" s="283">
        <v>1377.2146200000002</v>
      </c>
      <c r="I134" s="283">
        <v>746.93822999999975</v>
      </c>
      <c r="J134" s="284">
        <v>1080.5216000000003</v>
      </c>
      <c r="K134" s="283">
        <v>213.45066</v>
      </c>
      <c r="L134" s="284">
        <v>1981.6811400000006</v>
      </c>
      <c r="M134" s="283">
        <v>372.89082999999994</v>
      </c>
      <c r="N134" s="494">
        <f>SUM(E134:M134)</f>
        <v>8059.5178700000015</v>
      </c>
      <c r="O134" s="78"/>
    </row>
    <row r="135" spans="2:15" x14ac:dyDescent="0.2">
      <c r="B135" s="767"/>
      <c r="C135" s="759"/>
      <c r="D135" s="276" t="s">
        <v>132</v>
      </c>
      <c r="E135" s="283">
        <v>0.45</v>
      </c>
      <c r="F135" s="283">
        <v>19.553780000000003</v>
      </c>
      <c r="G135" s="283">
        <v>18.630600000000001</v>
      </c>
      <c r="H135" s="283">
        <v>9.3620000000000001</v>
      </c>
      <c r="I135" s="283">
        <v>0</v>
      </c>
      <c r="J135" s="283">
        <v>0</v>
      </c>
      <c r="K135" s="283">
        <v>0</v>
      </c>
      <c r="L135" s="283">
        <v>1.4081699999999999</v>
      </c>
      <c r="M135" s="283">
        <v>0</v>
      </c>
      <c r="N135" s="492">
        <f>SUM(E135:M135)</f>
        <v>49.404550000000008</v>
      </c>
      <c r="O135" s="78"/>
    </row>
    <row r="136" spans="2:15" x14ac:dyDescent="0.2">
      <c r="B136" s="767"/>
      <c r="C136" s="759"/>
      <c r="D136" s="276" t="s">
        <v>133</v>
      </c>
      <c r="E136" s="283">
        <v>0</v>
      </c>
      <c r="F136" s="283">
        <v>0</v>
      </c>
      <c r="G136" s="283">
        <v>0</v>
      </c>
      <c r="H136" s="283">
        <v>0.12662999999999999</v>
      </c>
      <c r="I136" s="283">
        <v>0</v>
      </c>
      <c r="J136" s="283">
        <v>7.3</v>
      </c>
      <c r="K136" s="283">
        <v>0</v>
      </c>
      <c r="L136" s="283">
        <v>0</v>
      </c>
      <c r="M136" s="283">
        <v>0</v>
      </c>
      <c r="N136" s="499">
        <f>SUM(E136:M136)</f>
        <v>7.4266299999999994</v>
      </c>
      <c r="O136" s="78"/>
    </row>
    <row r="137" spans="2:15" x14ac:dyDescent="0.2">
      <c r="B137" s="767"/>
      <c r="C137" s="278" t="s">
        <v>138</v>
      </c>
      <c r="D137" s="279"/>
      <c r="E137" s="515">
        <f t="shared" ref="E137:N137" si="39">SUM(E134:E136)</f>
        <v>1010.7914199999998</v>
      </c>
      <c r="F137" s="515">
        <f t="shared" si="39"/>
        <v>177.61610999999999</v>
      </c>
      <c r="G137" s="515">
        <f t="shared" si="39"/>
        <v>1137.0476399999998</v>
      </c>
      <c r="H137" s="515">
        <f t="shared" si="39"/>
        <v>1386.7032500000003</v>
      </c>
      <c r="I137" s="515">
        <f t="shared" si="39"/>
        <v>746.93822999999975</v>
      </c>
      <c r="J137" s="515">
        <f t="shared" si="39"/>
        <v>1087.8216000000002</v>
      </c>
      <c r="K137" s="515">
        <f t="shared" si="39"/>
        <v>213.45066</v>
      </c>
      <c r="L137" s="515">
        <f t="shared" si="39"/>
        <v>1983.0893100000005</v>
      </c>
      <c r="M137" s="515">
        <f t="shared" si="39"/>
        <v>372.89082999999994</v>
      </c>
      <c r="N137" s="517">
        <f t="shared" si="39"/>
        <v>8116.3490500000016</v>
      </c>
      <c r="O137" s="78"/>
    </row>
    <row r="138" spans="2:15" x14ac:dyDescent="0.2">
      <c r="B138" s="767"/>
      <c r="C138" s="760" t="s">
        <v>139</v>
      </c>
      <c r="D138" s="275" t="s">
        <v>131</v>
      </c>
      <c r="E138" s="283">
        <v>0</v>
      </c>
      <c r="F138" s="283">
        <v>404.11635999999999</v>
      </c>
      <c r="G138" s="283">
        <v>39.880650000000003</v>
      </c>
      <c r="H138" s="283">
        <v>0</v>
      </c>
      <c r="I138" s="283">
        <v>0</v>
      </c>
      <c r="J138" s="283">
        <v>0</v>
      </c>
      <c r="K138" s="283">
        <v>0</v>
      </c>
      <c r="L138" s="283">
        <v>0</v>
      </c>
      <c r="M138" s="283">
        <v>0</v>
      </c>
      <c r="N138" s="492">
        <f>SUM(E138:M138)</f>
        <v>443.99700999999999</v>
      </c>
      <c r="O138" s="78"/>
    </row>
    <row r="139" spans="2:15" x14ac:dyDescent="0.2">
      <c r="B139" s="767"/>
      <c r="C139" s="760"/>
      <c r="D139" s="276" t="s">
        <v>132</v>
      </c>
      <c r="E139" s="283">
        <v>0.13950000000000001</v>
      </c>
      <c r="F139" s="283">
        <v>0</v>
      </c>
      <c r="G139" s="283">
        <v>1096.7339699999998</v>
      </c>
      <c r="H139" s="283">
        <v>721.94970000000001</v>
      </c>
      <c r="I139" s="283">
        <v>231.46279000000001</v>
      </c>
      <c r="J139" s="283">
        <v>0</v>
      </c>
      <c r="K139" s="283">
        <v>0</v>
      </c>
      <c r="L139" s="283">
        <v>0</v>
      </c>
      <c r="M139" s="283">
        <v>0.53458000000000006</v>
      </c>
      <c r="N139" s="492">
        <f>SUM(E139:M139)</f>
        <v>2050.8205399999997</v>
      </c>
      <c r="O139" s="78"/>
    </row>
    <row r="140" spans="2:15" x14ac:dyDescent="0.2">
      <c r="B140" s="767"/>
      <c r="C140" s="761"/>
      <c r="D140" s="277" t="s">
        <v>133</v>
      </c>
      <c r="E140" s="283">
        <v>0</v>
      </c>
      <c r="F140" s="283">
        <v>0</v>
      </c>
      <c r="G140" s="283">
        <v>5.1788999999999987</v>
      </c>
      <c r="H140" s="283">
        <v>4.5830000000000002</v>
      </c>
      <c r="I140" s="283">
        <v>13.291</v>
      </c>
      <c r="J140" s="283">
        <v>0</v>
      </c>
      <c r="K140" s="283">
        <v>0</v>
      </c>
      <c r="L140" s="283">
        <v>65.024920000000009</v>
      </c>
      <c r="M140" s="283">
        <v>0</v>
      </c>
      <c r="N140" s="492">
        <f>SUM(E140:M140)</f>
        <v>88.077820000000003</v>
      </c>
      <c r="O140" s="78"/>
    </row>
    <row r="141" spans="2:15" x14ac:dyDescent="0.2">
      <c r="B141" s="768"/>
      <c r="C141" s="280" t="s">
        <v>140</v>
      </c>
      <c r="D141" s="281"/>
      <c r="E141" s="514">
        <f t="shared" ref="E141:N141" si="40">SUM(E138:E140)</f>
        <v>0.13950000000000001</v>
      </c>
      <c r="F141" s="514">
        <f t="shared" si="40"/>
        <v>404.11635999999999</v>
      </c>
      <c r="G141" s="514">
        <f t="shared" si="40"/>
        <v>1141.7935199999997</v>
      </c>
      <c r="H141" s="514">
        <f t="shared" si="40"/>
        <v>726.53269999999998</v>
      </c>
      <c r="I141" s="514">
        <f t="shared" si="40"/>
        <v>244.75379000000001</v>
      </c>
      <c r="J141" s="514">
        <f t="shared" si="40"/>
        <v>0</v>
      </c>
      <c r="K141" s="514">
        <f t="shared" si="40"/>
        <v>0</v>
      </c>
      <c r="L141" s="514">
        <f t="shared" si="40"/>
        <v>65.024920000000009</v>
      </c>
      <c r="M141" s="514">
        <f t="shared" si="40"/>
        <v>0.53458000000000006</v>
      </c>
      <c r="N141" s="517">
        <f t="shared" si="40"/>
        <v>2582.8953699999997</v>
      </c>
      <c r="O141" s="78"/>
    </row>
    <row r="142" spans="2:15" ht="18.75" customHeight="1" x14ac:dyDescent="0.2">
      <c r="B142" s="72" t="s">
        <v>112</v>
      </c>
      <c r="C142" s="73"/>
      <c r="D142" s="269"/>
      <c r="E142" s="495">
        <f t="shared" ref="E142:N142" si="41">+E141+E137+E133+E129</f>
        <v>3147.1186299999995</v>
      </c>
      <c r="F142" s="495">
        <f t="shared" si="41"/>
        <v>5173.6379200000074</v>
      </c>
      <c r="G142" s="495">
        <f t="shared" si="41"/>
        <v>5778.5382799999979</v>
      </c>
      <c r="H142" s="495">
        <f t="shared" si="41"/>
        <v>4734.070850000001</v>
      </c>
      <c r="I142" s="495">
        <f t="shared" si="41"/>
        <v>4236.6363799999999</v>
      </c>
      <c r="J142" s="495">
        <f t="shared" si="41"/>
        <v>6203.1402200000039</v>
      </c>
      <c r="K142" s="495">
        <f t="shared" si="41"/>
        <v>1469.2930900000003</v>
      </c>
      <c r="L142" s="495">
        <f t="shared" si="41"/>
        <v>9037.4455600000092</v>
      </c>
      <c r="M142" s="495">
        <f t="shared" si="41"/>
        <v>4183.7085400000033</v>
      </c>
      <c r="N142" s="496">
        <f t="shared" si="41"/>
        <v>43963.589470000021</v>
      </c>
      <c r="O142" s="78"/>
    </row>
    <row r="143" spans="2:15" x14ac:dyDescent="0.2">
      <c r="B143" s="766">
        <v>2010</v>
      </c>
      <c r="C143" s="756" t="s">
        <v>133</v>
      </c>
      <c r="D143" s="275" t="s">
        <v>131</v>
      </c>
      <c r="E143" s="512">
        <v>45.327525000000001</v>
      </c>
      <c r="F143" s="493">
        <v>0.91600000000000004</v>
      </c>
      <c r="G143" s="512">
        <v>17.606000000000002</v>
      </c>
      <c r="H143" s="493">
        <v>0</v>
      </c>
      <c r="I143" s="493">
        <v>0</v>
      </c>
      <c r="J143" s="493">
        <v>0</v>
      </c>
      <c r="K143" s="493">
        <v>0</v>
      </c>
      <c r="L143" s="512">
        <v>11.099</v>
      </c>
      <c r="M143" s="512">
        <v>1.887</v>
      </c>
      <c r="N143" s="494">
        <f>SUM(E143:M143)</f>
        <v>76.835525000000004</v>
      </c>
      <c r="O143" s="78"/>
    </row>
    <row r="144" spans="2:15" x14ac:dyDescent="0.2">
      <c r="B144" s="767"/>
      <c r="C144" s="757"/>
      <c r="D144" s="282" t="s">
        <v>132</v>
      </c>
      <c r="E144" s="490">
        <v>0.17560200000000001</v>
      </c>
      <c r="F144" s="491">
        <v>0</v>
      </c>
      <c r="G144" s="491">
        <v>0</v>
      </c>
      <c r="H144" s="491">
        <v>0</v>
      </c>
      <c r="I144" s="491">
        <v>0</v>
      </c>
      <c r="J144" s="491">
        <v>0</v>
      </c>
      <c r="K144" s="491">
        <v>0</v>
      </c>
      <c r="L144" s="491">
        <v>0</v>
      </c>
      <c r="M144" s="283">
        <v>0</v>
      </c>
      <c r="N144" s="492">
        <f>SUM(E144:M144)</f>
        <v>0.17560200000000001</v>
      </c>
      <c r="O144" s="78"/>
    </row>
    <row r="145" spans="2:15" x14ac:dyDescent="0.2">
      <c r="B145" s="767"/>
      <c r="C145" s="757"/>
      <c r="D145" s="277" t="s">
        <v>133</v>
      </c>
      <c r="E145" s="283">
        <v>61.244977999999996</v>
      </c>
      <c r="F145" s="283">
        <v>70.335999999999999</v>
      </c>
      <c r="G145" s="283">
        <v>28.059000000000001</v>
      </c>
      <c r="H145" s="283">
        <v>100.346</v>
      </c>
      <c r="I145" s="283">
        <v>0</v>
      </c>
      <c r="J145" s="283">
        <v>0</v>
      </c>
      <c r="K145" s="283">
        <v>32.92</v>
      </c>
      <c r="L145" s="283">
        <v>53.521000000000001</v>
      </c>
      <c r="M145" s="283">
        <v>55.158999999999999</v>
      </c>
      <c r="N145" s="492">
        <f>SUM(E145:M145)</f>
        <v>401.58597800000001</v>
      </c>
      <c r="O145" s="78"/>
    </row>
    <row r="146" spans="2:15" x14ac:dyDescent="0.2">
      <c r="B146" s="767"/>
      <c r="C146" s="278" t="s">
        <v>141</v>
      </c>
      <c r="D146" s="279"/>
      <c r="E146" s="515">
        <f t="shared" ref="E146:N146" si="42">SUM(E143:E145)</f>
        <v>106.748105</v>
      </c>
      <c r="F146" s="515">
        <f t="shared" si="42"/>
        <v>71.251999999999995</v>
      </c>
      <c r="G146" s="515">
        <f t="shared" si="42"/>
        <v>45.665000000000006</v>
      </c>
      <c r="H146" s="515">
        <f t="shared" si="42"/>
        <v>100.346</v>
      </c>
      <c r="I146" s="515">
        <f t="shared" si="42"/>
        <v>0</v>
      </c>
      <c r="J146" s="515">
        <f t="shared" si="42"/>
        <v>0</v>
      </c>
      <c r="K146" s="515">
        <f t="shared" si="42"/>
        <v>32.92</v>
      </c>
      <c r="L146" s="515">
        <f t="shared" si="42"/>
        <v>64.62</v>
      </c>
      <c r="M146" s="515">
        <f t="shared" si="42"/>
        <v>57.045999999999999</v>
      </c>
      <c r="N146" s="517">
        <f t="shared" si="42"/>
        <v>478.597105</v>
      </c>
      <c r="O146" s="78"/>
    </row>
    <row r="147" spans="2:15" x14ac:dyDescent="0.2">
      <c r="B147" s="767"/>
      <c r="C147" s="758" t="s">
        <v>135</v>
      </c>
      <c r="D147" s="275" t="s">
        <v>131</v>
      </c>
      <c r="E147" s="283">
        <v>668.29499999999996</v>
      </c>
      <c r="F147" s="283">
        <v>967.88499999999999</v>
      </c>
      <c r="G147" s="283">
        <v>874.68499999999995</v>
      </c>
      <c r="H147" s="283">
        <v>342.779</v>
      </c>
      <c r="I147" s="283">
        <v>549.05700000000002</v>
      </c>
      <c r="J147" s="283">
        <v>1410.7809999999999</v>
      </c>
      <c r="K147" s="283">
        <v>194.999</v>
      </c>
      <c r="L147" s="283">
        <v>2560.317</v>
      </c>
      <c r="M147" s="283">
        <v>979.08199999999999</v>
      </c>
      <c r="N147" s="494">
        <f>SUM(E147:M147)</f>
        <v>8547.8799999999992</v>
      </c>
      <c r="O147" s="78"/>
    </row>
    <row r="148" spans="2:15" x14ac:dyDescent="0.2">
      <c r="B148" s="767"/>
      <c r="C148" s="758"/>
      <c r="D148" s="276" t="s">
        <v>132</v>
      </c>
      <c r="E148" s="283">
        <v>1315.14</v>
      </c>
      <c r="F148" s="283">
        <v>3727.4270000000001</v>
      </c>
      <c r="G148" s="283">
        <v>2481.6419999999998</v>
      </c>
      <c r="H148" s="283">
        <v>1851.3610000000001</v>
      </c>
      <c r="I148" s="283">
        <v>2545.9920000000002</v>
      </c>
      <c r="J148" s="283">
        <v>3352.654</v>
      </c>
      <c r="K148" s="283">
        <v>956.24599999999998</v>
      </c>
      <c r="L148" s="283">
        <v>4585.3919999999998</v>
      </c>
      <c r="M148" s="283">
        <v>2450.17</v>
      </c>
      <c r="N148" s="492">
        <f>SUM(E148:M148)</f>
        <v>23266.023999999998</v>
      </c>
      <c r="O148" s="78"/>
    </row>
    <row r="149" spans="2:15" x14ac:dyDescent="0.2">
      <c r="B149" s="767"/>
      <c r="C149" s="758"/>
      <c r="D149" s="276" t="s">
        <v>133</v>
      </c>
      <c r="E149" s="283">
        <v>7.359</v>
      </c>
      <c r="F149" s="283">
        <v>37.677</v>
      </c>
      <c r="G149" s="283">
        <v>6.8760000000000003</v>
      </c>
      <c r="H149" s="283">
        <v>20.286999999999999</v>
      </c>
      <c r="I149" s="283">
        <v>24.91</v>
      </c>
      <c r="J149" s="283">
        <v>19.728000000000002</v>
      </c>
      <c r="K149" s="283">
        <v>0</v>
      </c>
      <c r="L149" s="283">
        <v>4.4009999999999998</v>
      </c>
      <c r="M149" s="283">
        <v>50.439</v>
      </c>
      <c r="N149" s="499">
        <f>SUM(E149:M149)</f>
        <v>171.67699999999999</v>
      </c>
      <c r="O149" s="78"/>
    </row>
    <row r="150" spans="2:15" x14ac:dyDescent="0.2">
      <c r="B150" s="767"/>
      <c r="C150" s="278" t="s">
        <v>136</v>
      </c>
      <c r="D150" s="279"/>
      <c r="E150" s="515">
        <f t="shared" ref="E150:N150" si="43">SUM(E147:E149)</f>
        <v>1990.7939999999999</v>
      </c>
      <c r="F150" s="515">
        <f t="shared" si="43"/>
        <v>4732.9889999999996</v>
      </c>
      <c r="G150" s="515">
        <f t="shared" si="43"/>
        <v>3363.203</v>
      </c>
      <c r="H150" s="515">
        <f t="shared" si="43"/>
        <v>2214.4270000000001</v>
      </c>
      <c r="I150" s="515">
        <f t="shared" si="43"/>
        <v>3119.9589999999998</v>
      </c>
      <c r="J150" s="515">
        <f t="shared" si="43"/>
        <v>4783.1629999999996</v>
      </c>
      <c r="K150" s="515">
        <f t="shared" si="43"/>
        <v>1151.2449999999999</v>
      </c>
      <c r="L150" s="515">
        <f t="shared" si="43"/>
        <v>7150.11</v>
      </c>
      <c r="M150" s="515">
        <f t="shared" si="43"/>
        <v>3479.6909999999998</v>
      </c>
      <c r="N150" s="517">
        <f t="shared" si="43"/>
        <v>31985.580999999995</v>
      </c>
      <c r="O150" s="78"/>
    </row>
    <row r="151" spans="2:15" x14ac:dyDescent="0.2">
      <c r="B151" s="767"/>
      <c r="C151" s="759" t="s">
        <v>137</v>
      </c>
      <c r="D151" s="275" t="s">
        <v>131</v>
      </c>
      <c r="E151" s="283">
        <v>1099.1679999999999</v>
      </c>
      <c r="F151" s="283">
        <v>292.72399999999999</v>
      </c>
      <c r="G151" s="283">
        <v>971.99699999999996</v>
      </c>
      <c r="H151" s="283">
        <v>1351.182</v>
      </c>
      <c r="I151" s="284">
        <v>908.35599999999999</v>
      </c>
      <c r="J151" s="284">
        <v>1840.8620000000001</v>
      </c>
      <c r="K151" s="283">
        <v>219.37200000000001</v>
      </c>
      <c r="L151" s="284">
        <v>2241.9499999999998</v>
      </c>
      <c r="M151" s="283">
        <v>442.99200000000002</v>
      </c>
      <c r="N151" s="494">
        <f>SUM(E151:M151)</f>
        <v>9368.603000000001</v>
      </c>
      <c r="O151" s="78"/>
    </row>
    <row r="152" spans="2:15" x14ac:dyDescent="0.2">
      <c r="B152" s="767"/>
      <c r="C152" s="759"/>
      <c r="D152" s="276" t="s">
        <v>132</v>
      </c>
      <c r="E152" s="283">
        <v>0.40200000000000002</v>
      </c>
      <c r="F152" s="283">
        <v>1.8360000000000001</v>
      </c>
      <c r="G152" s="283">
        <v>18.073</v>
      </c>
      <c r="H152" s="283">
        <v>53.759</v>
      </c>
      <c r="I152" s="283">
        <v>0.313</v>
      </c>
      <c r="J152" s="283">
        <v>0</v>
      </c>
      <c r="K152" s="283">
        <v>0</v>
      </c>
      <c r="L152" s="283">
        <v>2.4279999999999999</v>
      </c>
      <c r="M152" s="283">
        <v>0</v>
      </c>
      <c r="N152" s="492">
        <f>SUM(E152:M152)</f>
        <v>76.810999999999993</v>
      </c>
      <c r="O152" s="78"/>
    </row>
    <row r="153" spans="2:15" x14ac:dyDescent="0.2">
      <c r="B153" s="767"/>
      <c r="C153" s="759"/>
      <c r="D153" s="276" t="s">
        <v>133</v>
      </c>
      <c r="E153" s="283">
        <v>0</v>
      </c>
      <c r="F153" s="283">
        <v>0</v>
      </c>
      <c r="G153" s="283">
        <v>0</v>
      </c>
      <c r="H153" s="283">
        <v>2.33</v>
      </c>
      <c r="I153" s="283">
        <v>0</v>
      </c>
      <c r="J153" s="283">
        <v>0.54</v>
      </c>
      <c r="K153" s="283">
        <v>0</v>
      </c>
      <c r="L153" s="283">
        <v>0</v>
      </c>
      <c r="M153" s="283">
        <v>0</v>
      </c>
      <c r="N153" s="499">
        <f>SUM(E153:M153)</f>
        <v>2.87</v>
      </c>
      <c r="O153" s="78"/>
    </row>
    <row r="154" spans="2:15" x14ac:dyDescent="0.2">
      <c r="B154" s="767"/>
      <c r="C154" s="278" t="s">
        <v>138</v>
      </c>
      <c r="D154" s="279"/>
      <c r="E154" s="515">
        <f t="shared" ref="E154:N154" si="44">SUM(E151:E153)</f>
        <v>1099.57</v>
      </c>
      <c r="F154" s="515">
        <f t="shared" si="44"/>
        <v>294.56</v>
      </c>
      <c r="G154" s="515">
        <f t="shared" si="44"/>
        <v>990.06999999999994</v>
      </c>
      <c r="H154" s="515">
        <f t="shared" si="44"/>
        <v>1407.271</v>
      </c>
      <c r="I154" s="515">
        <f t="shared" si="44"/>
        <v>908.66899999999998</v>
      </c>
      <c r="J154" s="515">
        <f t="shared" si="44"/>
        <v>1841.402</v>
      </c>
      <c r="K154" s="515">
        <f t="shared" si="44"/>
        <v>219.37200000000001</v>
      </c>
      <c r="L154" s="515">
        <f t="shared" si="44"/>
        <v>2244.3779999999997</v>
      </c>
      <c r="M154" s="515">
        <f t="shared" si="44"/>
        <v>442.99200000000002</v>
      </c>
      <c r="N154" s="517">
        <f t="shared" si="44"/>
        <v>9448.2840000000015</v>
      </c>
      <c r="O154" s="78"/>
    </row>
    <row r="155" spans="2:15" x14ac:dyDescent="0.2">
      <c r="B155" s="767"/>
      <c r="C155" s="760" t="s">
        <v>139</v>
      </c>
      <c r="D155" s="275" t="s">
        <v>131</v>
      </c>
      <c r="E155" s="283">
        <v>0</v>
      </c>
      <c r="F155" s="283">
        <v>77.317999999999998</v>
      </c>
      <c r="G155" s="283">
        <v>15.619</v>
      </c>
      <c r="H155" s="283">
        <v>0</v>
      </c>
      <c r="I155" s="283">
        <v>0</v>
      </c>
      <c r="J155" s="283">
        <v>0</v>
      </c>
      <c r="K155" s="283">
        <v>0</v>
      </c>
      <c r="L155" s="283">
        <v>0</v>
      </c>
      <c r="M155" s="283">
        <v>0</v>
      </c>
      <c r="N155" s="492">
        <f>SUM(E155:M155)</f>
        <v>92.936999999999998</v>
      </c>
      <c r="O155" s="78"/>
    </row>
    <row r="156" spans="2:15" x14ac:dyDescent="0.2">
      <c r="B156" s="767"/>
      <c r="C156" s="760"/>
      <c r="D156" s="276" t="s">
        <v>132</v>
      </c>
      <c r="E156" s="283">
        <v>0</v>
      </c>
      <c r="F156" s="283">
        <v>0</v>
      </c>
      <c r="G156" s="283">
        <v>846.89400000000001</v>
      </c>
      <c r="H156" s="283">
        <v>589.13300000000004</v>
      </c>
      <c r="I156" s="283">
        <v>77.239000000000004</v>
      </c>
      <c r="J156" s="283">
        <v>0</v>
      </c>
      <c r="K156" s="283">
        <v>0</v>
      </c>
      <c r="L156" s="283">
        <v>1.9570000000000001</v>
      </c>
      <c r="M156" s="283">
        <v>0</v>
      </c>
      <c r="N156" s="492">
        <f>SUM(E156:M156)</f>
        <v>1515.2230000000002</v>
      </c>
      <c r="O156" s="78"/>
    </row>
    <row r="157" spans="2:15" x14ac:dyDescent="0.2">
      <c r="B157" s="767"/>
      <c r="C157" s="761"/>
      <c r="D157" s="277" t="s">
        <v>133</v>
      </c>
      <c r="E157" s="283">
        <v>0</v>
      </c>
      <c r="F157" s="283">
        <v>0</v>
      </c>
      <c r="G157" s="283">
        <v>0.14099999999999999</v>
      </c>
      <c r="H157" s="283">
        <v>2.9550000000000001</v>
      </c>
      <c r="I157" s="283">
        <v>8.0399999999999991</v>
      </c>
      <c r="J157" s="283">
        <v>0</v>
      </c>
      <c r="K157" s="283">
        <v>0</v>
      </c>
      <c r="L157" s="283">
        <v>30.907</v>
      </c>
      <c r="M157" s="283">
        <v>0</v>
      </c>
      <c r="N157" s="492">
        <f>SUM(E157:M157)</f>
        <v>42.042999999999999</v>
      </c>
      <c r="O157" s="78"/>
    </row>
    <row r="158" spans="2:15" x14ac:dyDescent="0.2">
      <c r="B158" s="768"/>
      <c r="C158" s="280" t="s">
        <v>140</v>
      </c>
      <c r="D158" s="281"/>
      <c r="E158" s="514">
        <f t="shared" ref="E158:N158" si="45">SUM(E155:E157)</f>
        <v>0</v>
      </c>
      <c r="F158" s="514">
        <f t="shared" si="45"/>
        <v>77.317999999999998</v>
      </c>
      <c r="G158" s="514">
        <f t="shared" si="45"/>
        <v>862.654</v>
      </c>
      <c r="H158" s="514">
        <f t="shared" si="45"/>
        <v>592.08800000000008</v>
      </c>
      <c r="I158" s="514">
        <f t="shared" si="45"/>
        <v>85.278999999999996</v>
      </c>
      <c r="J158" s="514">
        <f t="shared" si="45"/>
        <v>0</v>
      </c>
      <c r="K158" s="514">
        <f t="shared" si="45"/>
        <v>0</v>
      </c>
      <c r="L158" s="514">
        <f t="shared" si="45"/>
        <v>32.863999999999997</v>
      </c>
      <c r="M158" s="514">
        <f t="shared" si="45"/>
        <v>0</v>
      </c>
      <c r="N158" s="517">
        <f t="shared" si="45"/>
        <v>1650.203</v>
      </c>
      <c r="O158" s="78"/>
    </row>
    <row r="159" spans="2:15" ht="18" customHeight="1" x14ac:dyDescent="0.2">
      <c r="B159" s="72" t="s">
        <v>113</v>
      </c>
      <c r="C159" s="73"/>
      <c r="D159" s="269"/>
      <c r="E159" s="495">
        <f t="shared" ref="E159:N159" si="46">+E158+E154+E150+E146</f>
        <v>3197.1121049999997</v>
      </c>
      <c r="F159" s="495">
        <f t="shared" si="46"/>
        <v>5176.1189999999997</v>
      </c>
      <c r="G159" s="495">
        <f t="shared" si="46"/>
        <v>5261.5919999999996</v>
      </c>
      <c r="H159" s="495">
        <f t="shared" si="46"/>
        <v>4314.1319999999996</v>
      </c>
      <c r="I159" s="495">
        <f t="shared" si="46"/>
        <v>4113.9070000000002</v>
      </c>
      <c r="J159" s="495">
        <f t="shared" si="46"/>
        <v>6624.5649999999996</v>
      </c>
      <c r="K159" s="495">
        <f t="shared" si="46"/>
        <v>1403.537</v>
      </c>
      <c r="L159" s="495">
        <f t="shared" si="46"/>
        <v>9491.9719999999998</v>
      </c>
      <c r="M159" s="495">
        <f t="shared" si="46"/>
        <v>3979.7289999999998</v>
      </c>
      <c r="N159" s="496">
        <f t="shared" si="46"/>
        <v>43562.665105</v>
      </c>
      <c r="O159" s="78"/>
    </row>
    <row r="160" spans="2:15" x14ac:dyDescent="0.2">
      <c r="B160" s="766">
        <v>2011</v>
      </c>
      <c r="C160" s="756" t="s">
        <v>133</v>
      </c>
      <c r="D160" s="275" t="s">
        <v>131</v>
      </c>
      <c r="E160" s="512">
        <v>17.769210000000001</v>
      </c>
      <c r="F160" s="493">
        <v>5.5967200000000004</v>
      </c>
      <c r="G160" s="512">
        <v>45.985610000000001</v>
      </c>
      <c r="H160" s="493">
        <v>0</v>
      </c>
      <c r="I160" s="493">
        <v>0</v>
      </c>
      <c r="J160" s="493">
        <v>0</v>
      </c>
      <c r="K160" s="493"/>
      <c r="L160" s="512">
        <v>12.435840000000001</v>
      </c>
      <c r="M160" s="512">
        <v>1.6022400000000001</v>
      </c>
      <c r="N160" s="494">
        <f>SUM(E160:M160)</f>
        <v>83.389619999999994</v>
      </c>
      <c r="O160" s="78"/>
    </row>
    <row r="161" spans="2:15" x14ac:dyDescent="0.2">
      <c r="B161" s="767"/>
      <c r="C161" s="757"/>
      <c r="D161" s="282" t="s">
        <v>132</v>
      </c>
      <c r="E161" s="490">
        <v>1.5872200000000001</v>
      </c>
      <c r="F161" s="491">
        <v>0.12792000000000001</v>
      </c>
      <c r="G161" s="491">
        <v>1.1183999999999998</v>
      </c>
      <c r="H161" s="491">
        <v>0</v>
      </c>
      <c r="I161" s="491">
        <v>0</v>
      </c>
      <c r="J161" s="491">
        <v>0</v>
      </c>
      <c r="K161" s="491">
        <v>0</v>
      </c>
      <c r="L161" s="491">
        <v>0</v>
      </c>
      <c r="M161" s="283">
        <v>0</v>
      </c>
      <c r="N161" s="492">
        <f>SUM(E161:M161)</f>
        <v>2.8335400000000002</v>
      </c>
      <c r="O161" s="78"/>
    </row>
    <row r="162" spans="2:15" x14ac:dyDescent="0.2">
      <c r="B162" s="767"/>
      <c r="C162" s="757"/>
      <c r="D162" s="277" t="s">
        <v>133</v>
      </c>
      <c r="E162" s="283">
        <v>63.154406000000002</v>
      </c>
      <c r="F162" s="283">
        <v>104.89981</v>
      </c>
      <c r="G162" s="283">
        <v>38.935329999999993</v>
      </c>
      <c r="H162" s="283">
        <v>0</v>
      </c>
      <c r="I162" s="283"/>
      <c r="J162" s="283">
        <v>0</v>
      </c>
      <c r="K162" s="283">
        <v>28.403009999999998</v>
      </c>
      <c r="L162" s="283">
        <v>46.740960000000001</v>
      </c>
      <c r="M162" s="283">
        <v>71.513273999999996</v>
      </c>
      <c r="N162" s="492">
        <f>SUM(E162:M162)</f>
        <v>353.64679000000001</v>
      </c>
      <c r="O162" s="78"/>
    </row>
    <row r="163" spans="2:15" x14ac:dyDescent="0.2">
      <c r="B163" s="767"/>
      <c r="C163" s="278" t="s">
        <v>141</v>
      </c>
      <c r="D163" s="279"/>
      <c r="E163" s="515">
        <f t="shared" ref="E163:N163" si="47">SUM(E160:E162)</f>
        <v>82.510835999999998</v>
      </c>
      <c r="F163" s="515">
        <f t="shared" si="47"/>
        <v>110.62445</v>
      </c>
      <c r="G163" s="515">
        <f t="shared" si="47"/>
        <v>86.039339999999996</v>
      </c>
      <c r="H163" s="515">
        <f t="shared" si="47"/>
        <v>0</v>
      </c>
      <c r="I163" s="515">
        <f t="shared" si="47"/>
        <v>0</v>
      </c>
      <c r="J163" s="515">
        <f t="shared" si="47"/>
        <v>0</v>
      </c>
      <c r="K163" s="515">
        <f t="shared" si="47"/>
        <v>28.403009999999998</v>
      </c>
      <c r="L163" s="515">
        <f t="shared" si="47"/>
        <v>59.1768</v>
      </c>
      <c r="M163" s="515">
        <f t="shared" si="47"/>
        <v>73.11551399999999</v>
      </c>
      <c r="N163" s="517">
        <f t="shared" si="47"/>
        <v>439.86995000000002</v>
      </c>
      <c r="O163" s="78"/>
    </row>
    <row r="164" spans="2:15" x14ac:dyDescent="0.2">
      <c r="B164" s="767"/>
      <c r="C164" s="758" t="s">
        <v>135</v>
      </c>
      <c r="D164" s="275" t="s">
        <v>131</v>
      </c>
      <c r="E164" s="283">
        <v>806.9720700000006</v>
      </c>
      <c r="F164" s="283">
        <v>838.511391</v>
      </c>
      <c r="G164" s="283">
        <v>908.84676400000035</v>
      </c>
      <c r="H164" s="283">
        <v>507.13883999999996</v>
      </c>
      <c r="I164" s="283">
        <v>626.2300170000002</v>
      </c>
      <c r="J164" s="283">
        <v>2361.3686629999979</v>
      </c>
      <c r="K164" s="283">
        <v>292.05166000000008</v>
      </c>
      <c r="L164" s="283">
        <v>2672.361850000003</v>
      </c>
      <c r="M164" s="283">
        <v>945.85644099999979</v>
      </c>
      <c r="N164" s="494">
        <f>SUM(E164:M164)</f>
        <v>9959.3376960000023</v>
      </c>
      <c r="O164" s="78"/>
    </row>
    <row r="165" spans="2:15" x14ac:dyDescent="0.2">
      <c r="B165" s="767"/>
      <c r="C165" s="758"/>
      <c r="D165" s="276" t="s">
        <v>132</v>
      </c>
      <c r="E165" s="283">
        <v>1082.2703190000004</v>
      </c>
      <c r="F165" s="283">
        <v>3485.1450839999984</v>
      </c>
      <c r="G165" s="283">
        <v>2681.662657999997</v>
      </c>
      <c r="H165" s="283">
        <v>1592.016116</v>
      </c>
      <c r="I165" s="283">
        <v>2305.862030000003</v>
      </c>
      <c r="J165" s="283">
        <v>2864.817724</v>
      </c>
      <c r="K165" s="283">
        <v>1138.1216590000004</v>
      </c>
      <c r="L165" s="283">
        <v>3831.0027580000005</v>
      </c>
      <c r="M165" s="283">
        <v>2301.3004390000037</v>
      </c>
      <c r="N165" s="492">
        <f>SUM(E165:M165)</f>
        <v>21282.198787000005</v>
      </c>
      <c r="O165" s="78"/>
    </row>
    <row r="166" spans="2:15" x14ac:dyDescent="0.2">
      <c r="B166" s="767"/>
      <c r="C166" s="758"/>
      <c r="D166" s="276" t="s">
        <v>133</v>
      </c>
      <c r="E166" s="283">
        <v>9.2401499999999999</v>
      </c>
      <c r="F166" s="283">
        <v>45.530300000000004</v>
      </c>
      <c r="G166" s="283">
        <v>13.934379999999996</v>
      </c>
      <c r="H166" s="283">
        <v>10.670859999999999</v>
      </c>
      <c r="I166" s="283">
        <v>161.51962199999997</v>
      </c>
      <c r="J166" s="283">
        <v>34.382807</v>
      </c>
      <c r="K166" s="283">
        <v>9.1499999999999998E-2</v>
      </c>
      <c r="L166" s="283">
        <v>88.006221000000025</v>
      </c>
      <c r="M166" s="283">
        <v>49.712899999999998</v>
      </c>
      <c r="N166" s="499">
        <f>SUM(E166:M166)</f>
        <v>413.08874000000003</v>
      </c>
      <c r="O166" s="78"/>
    </row>
    <row r="167" spans="2:15" x14ac:dyDescent="0.2">
      <c r="B167" s="767"/>
      <c r="C167" s="278" t="s">
        <v>136</v>
      </c>
      <c r="D167" s="279"/>
      <c r="E167" s="515">
        <f t="shared" ref="E167:N167" si="48">SUM(E164:E166)</f>
        <v>1898.482539000001</v>
      </c>
      <c r="F167" s="515">
        <f t="shared" si="48"/>
        <v>4369.1867749999983</v>
      </c>
      <c r="G167" s="515">
        <f t="shared" si="48"/>
        <v>3604.4438019999975</v>
      </c>
      <c r="H167" s="515">
        <f t="shared" si="48"/>
        <v>2109.825816</v>
      </c>
      <c r="I167" s="515">
        <f t="shared" si="48"/>
        <v>3093.6116690000031</v>
      </c>
      <c r="J167" s="515">
        <f t="shared" si="48"/>
        <v>5260.5691939999979</v>
      </c>
      <c r="K167" s="515">
        <f t="shared" si="48"/>
        <v>1430.2648190000004</v>
      </c>
      <c r="L167" s="515">
        <f t="shared" si="48"/>
        <v>6591.3708290000031</v>
      </c>
      <c r="M167" s="515">
        <f t="shared" si="48"/>
        <v>3296.8697800000036</v>
      </c>
      <c r="N167" s="517">
        <f t="shared" si="48"/>
        <v>31654.625223000006</v>
      </c>
      <c r="O167" s="78"/>
    </row>
    <row r="168" spans="2:15" x14ac:dyDescent="0.2">
      <c r="B168" s="767"/>
      <c r="C168" s="759" t="s">
        <v>137</v>
      </c>
      <c r="D168" s="275" t="s">
        <v>131</v>
      </c>
      <c r="E168" s="283">
        <v>782.84358099999997</v>
      </c>
      <c r="F168" s="283">
        <v>442.79400000000004</v>
      </c>
      <c r="G168" s="283">
        <v>890.33424600000001</v>
      </c>
      <c r="H168" s="283">
        <v>1284.9524299999998</v>
      </c>
      <c r="I168" s="284">
        <v>1072.549818</v>
      </c>
      <c r="J168" s="284">
        <v>2364.7676390000006</v>
      </c>
      <c r="K168" s="283">
        <v>364.92899999999997</v>
      </c>
      <c r="L168" s="284">
        <v>2235.3439739999999</v>
      </c>
      <c r="M168" s="283">
        <v>561.62870100000009</v>
      </c>
      <c r="N168" s="494">
        <f>SUM(E168:M168)</f>
        <v>10000.143389000001</v>
      </c>
      <c r="O168" s="78"/>
    </row>
    <row r="169" spans="2:15" x14ac:dyDescent="0.2">
      <c r="B169" s="767"/>
      <c r="C169" s="759"/>
      <c r="D169" s="276" t="s">
        <v>132</v>
      </c>
      <c r="E169" s="283">
        <v>0.67800000000000005</v>
      </c>
      <c r="F169" s="283">
        <v>0</v>
      </c>
      <c r="G169" s="283">
        <v>15.202449999999999</v>
      </c>
      <c r="H169" s="283">
        <v>24.088999999999999</v>
      </c>
      <c r="I169" s="283">
        <v>0</v>
      </c>
      <c r="J169" s="283">
        <v>0</v>
      </c>
      <c r="K169" s="283">
        <v>0</v>
      </c>
      <c r="L169" s="283">
        <v>5.5902329999999996</v>
      </c>
      <c r="M169" s="283">
        <v>0</v>
      </c>
      <c r="N169" s="492">
        <f>SUM(E169:M169)</f>
        <v>45.559682999999993</v>
      </c>
      <c r="O169" s="78"/>
    </row>
    <row r="170" spans="2:15" x14ac:dyDescent="0.2">
      <c r="B170" s="767"/>
      <c r="C170" s="759"/>
      <c r="D170" s="276" t="s">
        <v>133</v>
      </c>
      <c r="E170" s="283">
        <v>0</v>
      </c>
      <c r="F170" s="283">
        <v>0</v>
      </c>
      <c r="G170" s="283">
        <v>13.112</v>
      </c>
      <c r="H170" s="283">
        <v>0</v>
      </c>
      <c r="I170" s="283">
        <v>0</v>
      </c>
      <c r="J170" s="283">
        <v>0</v>
      </c>
      <c r="K170" s="283">
        <v>0</v>
      </c>
      <c r="L170" s="283">
        <v>0</v>
      </c>
      <c r="M170" s="283">
        <v>0</v>
      </c>
      <c r="N170" s="499">
        <f>SUM(E170:M170)</f>
        <v>13.112</v>
      </c>
      <c r="O170" s="78"/>
    </row>
    <row r="171" spans="2:15" x14ac:dyDescent="0.2">
      <c r="B171" s="767"/>
      <c r="C171" s="278" t="s">
        <v>138</v>
      </c>
      <c r="D171" s="279"/>
      <c r="E171" s="515">
        <f t="shared" ref="E171:N171" si="49">SUM(E168:E170)</f>
        <v>783.52158099999997</v>
      </c>
      <c r="F171" s="515">
        <f t="shared" si="49"/>
        <v>442.79400000000004</v>
      </c>
      <c r="G171" s="515">
        <f t="shared" si="49"/>
        <v>918.64869599999997</v>
      </c>
      <c r="H171" s="515">
        <f t="shared" si="49"/>
        <v>1309.0414299999998</v>
      </c>
      <c r="I171" s="515">
        <f t="shared" si="49"/>
        <v>1072.549818</v>
      </c>
      <c r="J171" s="515">
        <f t="shared" si="49"/>
        <v>2364.7676390000006</v>
      </c>
      <c r="K171" s="515">
        <f t="shared" si="49"/>
        <v>364.92899999999997</v>
      </c>
      <c r="L171" s="515">
        <f t="shared" si="49"/>
        <v>2240.9342069999998</v>
      </c>
      <c r="M171" s="515">
        <f t="shared" si="49"/>
        <v>561.62870100000009</v>
      </c>
      <c r="N171" s="517">
        <f t="shared" si="49"/>
        <v>10058.815071999999</v>
      </c>
      <c r="O171" s="78"/>
    </row>
    <row r="172" spans="2:15" x14ac:dyDescent="0.2">
      <c r="B172" s="767"/>
      <c r="C172" s="760" t="s">
        <v>139</v>
      </c>
      <c r="D172" s="275" t="s">
        <v>131</v>
      </c>
      <c r="E172" s="283">
        <v>0</v>
      </c>
      <c r="F172" s="283">
        <v>207.63113100000001</v>
      </c>
      <c r="G172" s="283">
        <v>3.9011500000000003</v>
      </c>
      <c r="H172" s="283">
        <v>0</v>
      </c>
      <c r="I172" s="283">
        <v>0</v>
      </c>
      <c r="J172" s="283">
        <v>3.9439000000000002</v>
      </c>
      <c r="K172" s="283">
        <v>0</v>
      </c>
      <c r="L172" s="283">
        <v>0</v>
      </c>
      <c r="M172" s="283">
        <v>0</v>
      </c>
      <c r="N172" s="492">
        <f>SUM(E172:M172)</f>
        <v>215.47618100000003</v>
      </c>
      <c r="O172" s="78"/>
    </row>
    <row r="173" spans="2:15" x14ac:dyDescent="0.2">
      <c r="B173" s="767"/>
      <c r="C173" s="760"/>
      <c r="D173" s="276" t="s">
        <v>132</v>
      </c>
      <c r="E173" s="283">
        <v>0</v>
      </c>
      <c r="F173" s="283">
        <v>290.84700000000009</v>
      </c>
      <c r="G173" s="283">
        <v>999.92616999999984</v>
      </c>
      <c r="H173" s="283">
        <v>592.652648</v>
      </c>
      <c r="I173" s="283">
        <v>82.199340000000007</v>
      </c>
      <c r="J173" s="283">
        <v>0</v>
      </c>
      <c r="K173" s="283">
        <v>0</v>
      </c>
      <c r="L173" s="283">
        <v>0</v>
      </c>
      <c r="M173" s="283">
        <v>0</v>
      </c>
      <c r="N173" s="492">
        <f>SUM(E173:M173)</f>
        <v>1965.6251579999998</v>
      </c>
      <c r="O173" s="78"/>
    </row>
    <row r="174" spans="2:15" x14ac:dyDescent="0.2">
      <c r="B174" s="767"/>
      <c r="C174" s="761"/>
      <c r="D174" s="277" t="s">
        <v>133</v>
      </c>
      <c r="E174" s="283">
        <v>0</v>
      </c>
      <c r="F174" s="283">
        <v>0</v>
      </c>
      <c r="G174" s="283">
        <v>0.25306000000000001</v>
      </c>
      <c r="H174" s="283">
        <v>113.10477900000001</v>
      </c>
      <c r="I174" s="283">
        <v>220.359847</v>
      </c>
      <c r="J174" s="283">
        <v>0</v>
      </c>
      <c r="K174" s="283">
        <v>0</v>
      </c>
      <c r="L174" s="283">
        <v>30.688080000000003</v>
      </c>
      <c r="M174" s="283">
        <v>0</v>
      </c>
      <c r="N174" s="492">
        <f>SUM(E174:M174)</f>
        <v>364.40576600000003</v>
      </c>
      <c r="O174" s="78"/>
    </row>
    <row r="175" spans="2:15" x14ac:dyDescent="0.2">
      <c r="B175" s="768"/>
      <c r="C175" s="280" t="s">
        <v>140</v>
      </c>
      <c r="D175" s="281"/>
      <c r="E175" s="514">
        <f t="shared" ref="E175:N175" si="50">SUM(E172:E174)</f>
        <v>0</v>
      </c>
      <c r="F175" s="514">
        <f t="shared" si="50"/>
        <v>498.47813100000008</v>
      </c>
      <c r="G175" s="514">
        <f t="shared" si="50"/>
        <v>1004.0803799999999</v>
      </c>
      <c r="H175" s="514">
        <f t="shared" si="50"/>
        <v>705.75742700000001</v>
      </c>
      <c r="I175" s="514">
        <f t="shared" si="50"/>
        <v>302.55918700000001</v>
      </c>
      <c r="J175" s="514">
        <f t="shared" si="50"/>
        <v>3.9439000000000002</v>
      </c>
      <c r="K175" s="514">
        <f t="shared" si="50"/>
        <v>0</v>
      </c>
      <c r="L175" s="514">
        <f t="shared" si="50"/>
        <v>30.688080000000003</v>
      </c>
      <c r="M175" s="514">
        <f t="shared" si="50"/>
        <v>0</v>
      </c>
      <c r="N175" s="517">
        <f t="shared" si="50"/>
        <v>2545.5071049999997</v>
      </c>
      <c r="O175" s="78"/>
    </row>
    <row r="176" spans="2:15" ht="15.75" customHeight="1" x14ac:dyDescent="0.2">
      <c r="B176" s="72" t="s">
        <v>114</v>
      </c>
      <c r="C176" s="73"/>
      <c r="D176" s="269"/>
      <c r="E176" s="495">
        <f t="shared" ref="E176:N176" si="51">+E175+E171+E167+E163</f>
        <v>2764.5149560000009</v>
      </c>
      <c r="F176" s="495">
        <f t="shared" si="51"/>
        <v>5421.0833559999983</v>
      </c>
      <c r="G176" s="495">
        <f t="shared" si="51"/>
        <v>5613.2122179999978</v>
      </c>
      <c r="H176" s="495">
        <f t="shared" si="51"/>
        <v>4124.6246730000003</v>
      </c>
      <c r="I176" s="495">
        <f t="shared" si="51"/>
        <v>4468.7206740000029</v>
      </c>
      <c r="J176" s="495">
        <f t="shared" si="51"/>
        <v>7629.2807329999987</v>
      </c>
      <c r="K176" s="495">
        <f t="shared" si="51"/>
        <v>1823.5968290000005</v>
      </c>
      <c r="L176" s="495">
        <f t="shared" si="51"/>
        <v>8922.1699160000026</v>
      </c>
      <c r="M176" s="495">
        <f t="shared" si="51"/>
        <v>3931.6139950000038</v>
      </c>
      <c r="N176" s="496">
        <f t="shared" si="51"/>
        <v>44698.817350000005</v>
      </c>
      <c r="O176" s="78"/>
    </row>
    <row r="177" spans="2:15" x14ac:dyDescent="0.2">
      <c r="B177" s="766">
        <v>2012</v>
      </c>
      <c r="C177" s="756" t="s">
        <v>133</v>
      </c>
      <c r="D177" s="275" t="s">
        <v>131</v>
      </c>
      <c r="E177" s="283">
        <v>52.575851000000007</v>
      </c>
      <c r="F177" s="283">
        <v>19.902920000000002</v>
      </c>
      <c r="G177" s="283">
        <v>129.00133</v>
      </c>
      <c r="H177" s="493">
        <v>0</v>
      </c>
      <c r="I177" s="493">
        <v>0</v>
      </c>
      <c r="J177" s="493">
        <v>0</v>
      </c>
      <c r="K177" s="283">
        <v>0</v>
      </c>
      <c r="L177" s="283">
        <v>11.687340000000001</v>
      </c>
      <c r="M177" s="283">
        <v>1.7486699999999999</v>
      </c>
      <c r="N177" s="494">
        <f>SUM(E177:M177)</f>
        <v>214.916111</v>
      </c>
      <c r="O177" s="78"/>
    </row>
    <row r="178" spans="2:15" x14ac:dyDescent="0.2">
      <c r="B178" s="767"/>
      <c r="C178" s="757"/>
      <c r="D178" s="282" t="s">
        <v>132</v>
      </c>
      <c r="E178" s="287">
        <v>2.5560999999999998</v>
      </c>
      <c r="F178" s="283">
        <v>0.23605999999999999</v>
      </c>
      <c r="G178" s="283">
        <v>13.062060000000002</v>
      </c>
      <c r="H178" s="491">
        <v>0</v>
      </c>
      <c r="I178" s="491">
        <v>0</v>
      </c>
      <c r="J178" s="491">
        <v>0</v>
      </c>
      <c r="K178" s="283">
        <v>0</v>
      </c>
      <c r="L178" s="283">
        <v>0</v>
      </c>
      <c r="M178" s="283">
        <v>2.1620000000000004E-2</v>
      </c>
      <c r="N178" s="492">
        <f>SUM(E178:M178)</f>
        <v>15.875840000000002</v>
      </c>
      <c r="O178" s="78"/>
    </row>
    <row r="179" spans="2:15" x14ac:dyDescent="0.2">
      <c r="B179" s="767"/>
      <c r="C179" s="757"/>
      <c r="D179" s="277" t="s">
        <v>133</v>
      </c>
      <c r="E179" s="283">
        <v>102.26317300000004</v>
      </c>
      <c r="F179" s="283">
        <v>78.143071999999989</v>
      </c>
      <c r="G179" s="283">
        <v>80.260879999999986</v>
      </c>
      <c r="H179" s="283">
        <v>0</v>
      </c>
      <c r="I179" s="283">
        <v>0</v>
      </c>
      <c r="J179" s="283">
        <v>0</v>
      </c>
      <c r="K179" s="283">
        <v>1.4967200000000001</v>
      </c>
      <c r="L179" s="283">
        <v>31.726699999999997</v>
      </c>
      <c r="M179" s="283">
        <v>55.191980999999984</v>
      </c>
      <c r="N179" s="492">
        <f>SUM(E179:M179)</f>
        <v>349.08252599999997</v>
      </c>
      <c r="O179" s="78"/>
    </row>
    <row r="180" spans="2:15" x14ac:dyDescent="0.2">
      <c r="B180" s="767"/>
      <c r="C180" s="278" t="s">
        <v>141</v>
      </c>
      <c r="D180" s="279"/>
      <c r="E180" s="515">
        <f t="shared" ref="E180:N180" si="52">SUM(E177:E179)</f>
        <v>157.39512400000004</v>
      </c>
      <c r="F180" s="515">
        <f t="shared" si="52"/>
        <v>98.282051999999993</v>
      </c>
      <c r="G180" s="515">
        <f t="shared" si="52"/>
        <v>222.32426999999998</v>
      </c>
      <c r="H180" s="515">
        <f t="shared" si="52"/>
        <v>0</v>
      </c>
      <c r="I180" s="515">
        <f t="shared" si="52"/>
        <v>0</v>
      </c>
      <c r="J180" s="515">
        <f t="shared" si="52"/>
        <v>0</v>
      </c>
      <c r="K180" s="515">
        <f t="shared" si="52"/>
        <v>1.4967200000000001</v>
      </c>
      <c r="L180" s="515">
        <f t="shared" si="52"/>
        <v>43.41404</v>
      </c>
      <c r="M180" s="515">
        <f t="shared" si="52"/>
        <v>56.962270999999987</v>
      </c>
      <c r="N180" s="517">
        <f t="shared" si="52"/>
        <v>579.87447699999996</v>
      </c>
      <c r="O180" s="78"/>
    </row>
    <row r="181" spans="2:15" x14ac:dyDescent="0.2">
      <c r="B181" s="767"/>
      <c r="C181" s="758" t="s">
        <v>135</v>
      </c>
      <c r="D181" s="275" t="s">
        <v>131</v>
      </c>
      <c r="E181" s="283">
        <v>843.12732400000004</v>
      </c>
      <c r="F181" s="283">
        <v>1368.6108030000003</v>
      </c>
      <c r="G181" s="283">
        <v>829.02540799999997</v>
      </c>
      <c r="H181" s="283">
        <v>302.23294999999996</v>
      </c>
      <c r="I181" s="283">
        <v>578.65622799999983</v>
      </c>
      <c r="J181" s="283">
        <v>1482.9668099999999</v>
      </c>
      <c r="K181" s="283">
        <v>397.829903</v>
      </c>
      <c r="L181" s="283">
        <v>2209.1500050000004</v>
      </c>
      <c r="M181" s="283">
        <v>684.23315599999955</v>
      </c>
      <c r="N181" s="494">
        <f>SUM(E181:M181)</f>
        <v>8695.8325870000008</v>
      </c>
      <c r="O181" s="78"/>
    </row>
    <row r="182" spans="2:15" x14ac:dyDescent="0.2">
      <c r="B182" s="767"/>
      <c r="C182" s="758"/>
      <c r="D182" s="276" t="s">
        <v>132</v>
      </c>
      <c r="E182" s="283">
        <v>926.76877299999956</v>
      </c>
      <c r="F182" s="283">
        <v>2829.1287639999987</v>
      </c>
      <c r="G182" s="283">
        <v>2380.3685290000003</v>
      </c>
      <c r="H182" s="283">
        <v>1472.6308910000002</v>
      </c>
      <c r="I182" s="283">
        <v>2151.3549630000002</v>
      </c>
      <c r="J182" s="283">
        <v>2577.4173060000003</v>
      </c>
      <c r="K182" s="283">
        <v>638.2274900000001</v>
      </c>
      <c r="L182" s="283">
        <v>3689.6266250000003</v>
      </c>
      <c r="M182" s="283">
        <v>2114.1301900000003</v>
      </c>
      <c r="N182" s="492">
        <f>SUM(E182:M182)</f>
        <v>18779.653530999996</v>
      </c>
      <c r="O182" s="78"/>
    </row>
    <row r="183" spans="2:15" x14ac:dyDescent="0.2">
      <c r="B183" s="767"/>
      <c r="C183" s="758"/>
      <c r="D183" s="276" t="s">
        <v>133</v>
      </c>
      <c r="E183" s="283">
        <v>11.660810000000001</v>
      </c>
      <c r="F183" s="283">
        <v>41.970289999999999</v>
      </c>
      <c r="G183" s="283">
        <v>7.3060900000000002</v>
      </c>
      <c r="H183" s="283">
        <v>9.2174399999999999</v>
      </c>
      <c r="I183" s="283">
        <v>27.361000000000001</v>
      </c>
      <c r="J183" s="283">
        <v>45.579571999999999</v>
      </c>
      <c r="K183" s="283">
        <v>8.2199999999999999E-3</v>
      </c>
      <c r="L183" s="283">
        <v>71.843168999999989</v>
      </c>
      <c r="M183" s="283">
        <v>145.60340899999997</v>
      </c>
      <c r="N183" s="499">
        <f>SUM(E183:M183)</f>
        <v>360.54999999999995</v>
      </c>
      <c r="O183" s="78"/>
    </row>
    <row r="184" spans="2:15" x14ac:dyDescent="0.2">
      <c r="B184" s="767"/>
      <c r="C184" s="278" t="s">
        <v>136</v>
      </c>
      <c r="D184" s="279"/>
      <c r="E184" s="515">
        <f t="shared" ref="E184:N184" si="53">SUM(E181:E183)</f>
        <v>1781.5569069999997</v>
      </c>
      <c r="F184" s="515">
        <f t="shared" si="53"/>
        <v>4239.7098569999989</v>
      </c>
      <c r="G184" s="515">
        <f t="shared" si="53"/>
        <v>3216.7000270000003</v>
      </c>
      <c r="H184" s="515">
        <f t="shared" si="53"/>
        <v>1784.0812810000002</v>
      </c>
      <c r="I184" s="515">
        <f t="shared" si="53"/>
        <v>2757.3721909999999</v>
      </c>
      <c r="J184" s="515">
        <f t="shared" si="53"/>
        <v>4105.9636879999998</v>
      </c>
      <c r="K184" s="515">
        <f t="shared" si="53"/>
        <v>1036.065613</v>
      </c>
      <c r="L184" s="515">
        <f t="shared" si="53"/>
        <v>5970.6197990000001</v>
      </c>
      <c r="M184" s="515">
        <f t="shared" si="53"/>
        <v>2943.9667549999999</v>
      </c>
      <c r="N184" s="517">
        <f t="shared" si="53"/>
        <v>27836.036117999996</v>
      </c>
      <c r="O184" s="78"/>
    </row>
    <row r="185" spans="2:15" x14ac:dyDescent="0.2">
      <c r="B185" s="767"/>
      <c r="C185" s="759" t="s">
        <v>137</v>
      </c>
      <c r="D185" s="275" t="s">
        <v>131</v>
      </c>
      <c r="E185" s="283">
        <v>850.3045689999999</v>
      </c>
      <c r="F185" s="283">
        <v>472.99782000000005</v>
      </c>
      <c r="G185" s="283">
        <v>821.087041</v>
      </c>
      <c r="H185" s="283">
        <v>1753.4599089999997</v>
      </c>
      <c r="I185" s="283">
        <v>965.50040999999999</v>
      </c>
      <c r="J185" s="283">
        <v>2340.1218430000004</v>
      </c>
      <c r="K185" s="283">
        <v>305.06799999999998</v>
      </c>
      <c r="L185" s="283">
        <v>2254.5141869999998</v>
      </c>
      <c r="M185" s="283">
        <v>552.68277999999998</v>
      </c>
      <c r="N185" s="494">
        <f>SUM(E185:M185)</f>
        <v>10315.736558999999</v>
      </c>
      <c r="O185" s="78"/>
    </row>
    <row r="186" spans="2:15" x14ac:dyDescent="0.2">
      <c r="B186" s="767"/>
      <c r="C186" s="759"/>
      <c r="D186" s="276" t="s">
        <v>132</v>
      </c>
      <c r="E186" s="283">
        <v>34.523241000000006</v>
      </c>
      <c r="F186" s="283">
        <v>0</v>
      </c>
      <c r="G186" s="283">
        <v>9.1999999999999993</v>
      </c>
      <c r="H186" s="283">
        <v>24.119999999999997</v>
      </c>
      <c r="I186" s="283">
        <v>0</v>
      </c>
      <c r="J186" s="283">
        <v>0</v>
      </c>
      <c r="K186" s="283">
        <v>15.151999999999999</v>
      </c>
      <c r="L186" s="283">
        <v>13.884988</v>
      </c>
      <c r="M186" s="283">
        <v>0</v>
      </c>
      <c r="N186" s="492">
        <f>SUM(E186:M186)</f>
        <v>96.880229000000014</v>
      </c>
      <c r="O186" s="78"/>
    </row>
    <row r="187" spans="2:15" x14ac:dyDescent="0.2">
      <c r="B187" s="767"/>
      <c r="C187" s="759"/>
      <c r="D187" s="276" t="s">
        <v>133</v>
      </c>
      <c r="E187" s="283">
        <v>0</v>
      </c>
      <c r="F187" s="283">
        <v>0</v>
      </c>
      <c r="G187" s="283">
        <v>0</v>
      </c>
      <c r="H187" s="283">
        <v>0</v>
      </c>
      <c r="I187" s="283">
        <v>0</v>
      </c>
      <c r="J187" s="283">
        <v>0</v>
      </c>
      <c r="K187" s="283">
        <v>0</v>
      </c>
      <c r="L187" s="283">
        <v>0</v>
      </c>
      <c r="M187" s="283">
        <v>0</v>
      </c>
      <c r="N187" s="499">
        <f>SUM(E187:M187)</f>
        <v>0</v>
      </c>
      <c r="O187" s="78"/>
    </row>
    <row r="188" spans="2:15" x14ac:dyDescent="0.2">
      <c r="B188" s="767"/>
      <c r="C188" s="278" t="s">
        <v>138</v>
      </c>
      <c r="D188" s="279"/>
      <c r="E188" s="515">
        <f t="shared" ref="E188:N188" si="54">SUM(E185:E187)</f>
        <v>884.82780999999989</v>
      </c>
      <c r="F188" s="515">
        <f t="shared" si="54"/>
        <v>472.99782000000005</v>
      </c>
      <c r="G188" s="515">
        <f t="shared" si="54"/>
        <v>830.28704100000004</v>
      </c>
      <c r="H188" s="515">
        <f t="shared" si="54"/>
        <v>1777.5799089999996</v>
      </c>
      <c r="I188" s="515">
        <f t="shared" si="54"/>
        <v>965.50040999999999</v>
      </c>
      <c r="J188" s="515">
        <f t="shared" si="54"/>
        <v>2340.1218430000004</v>
      </c>
      <c r="K188" s="515">
        <f t="shared" si="54"/>
        <v>320.21999999999997</v>
      </c>
      <c r="L188" s="515">
        <f t="shared" si="54"/>
        <v>2268.3991749999996</v>
      </c>
      <c r="M188" s="515">
        <f t="shared" si="54"/>
        <v>552.68277999999998</v>
      </c>
      <c r="N188" s="517">
        <f t="shared" si="54"/>
        <v>10412.616787999999</v>
      </c>
      <c r="O188" s="78"/>
    </row>
    <row r="189" spans="2:15" x14ac:dyDescent="0.2">
      <c r="B189" s="767"/>
      <c r="C189" s="760" t="s">
        <v>139</v>
      </c>
      <c r="D189" s="275" t="s">
        <v>131</v>
      </c>
      <c r="E189" s="283">
        <v>0</v>
      </c>
      <c r="F189" s="283">
        <v>211.78356199999999</v>
      </c>
      <c r="G189" s="283">
        <v>13.907619999999998</v>
      </c>
      <c r="H189" s="283">
        <v>2.101</v>
      </c>
      <c r="I189" s="283">
        <v>0</v>
      </c>
      <c r="J189" s="283">
        <v>0.72899999999999998</v>
      </c>
      <c r="K189" s="283">
        <v>0</v>
      </c>
      <c r="L189" s="283">
        <v>0</v>
      </c>
      <c r="M189" s="283">
        <v>0</v>
      </c>
      <c r="N189" s="492">
        <f>SUM(E189:M189)</f>
        <v>228.52118200000001</v>
      </c>
      <c r="O189" s="78"/>
    </row>
    <row r="190" spans="2:15" x14ac:dyDescent="0.2">
      <c r="B190" s="767"/>
      <c r="C190" s="760"/>
      <c r="D190" s="276" t="s">
        <v>132</v>
      </c>
      <c r="E190" s="283">
        <v>0</v>
      </c>
      <c r="F190" s="283">
        <v>169.01900000000001</v>
      </c>
      <c r="G190" s="283">
        <v>1389.2698440000001</v>
      </c>
      <c r="H190" s="283">
        <v>917.77471000000014</v>
      </c>
      <c r="I190" s="283">
        <v>69.466520000000003</v>
      </c>
      <c r="J190" s="283">
        <v>0</v>
      </c>
      <c r="K190" s="283">
        <v>0</v>
      </c>
      <c r="L190" s="283">
        <v>0</v>
      </c>
      <c r="M190" s="283">
        <v>0</v>
      </c>
      <c r="N190" s="492">
        <f>SUM(E190:M190)</f>
        <v>2545.5300740000002</v>
      </c>
      <c r="O190" s="78"/>
    </row>
    <row r="191" spans="2:15" x14ac:dyDescent="0.2">
      <c r="B191" s="767"/>
      <c r="C191" s="761"/>
      <c r="D191" s="277" t="s">
        <v>133</v>
      </c>
      <c r="E191" s="283">
        <v>0</v>
      </c>
      <c r="F191" s="283">
        <v>0</v>
      </c>
      <c r="G191" s="283">
        <v>7.7700000000000005E-2</v>
      </c>
      <c r="H191" s="283">
        <v>116.83043100000002</v>
      </c>
      <c r="I191" s="283">
        <v>45.420397999999999</v>
      </c>
      <c r="J191" s="283">
        <v>0</v>
      </c>
      <c r="K191" s="283">
        <v>0</v>
      </c>
      <c r="L191" s="283">
        <v>32.149419999999999</v>
      </c>
      <c r="M191" s="283">
        <v>0</v>
      </c>
      <c r="N191" s="492">
        <f>SUM(E191:M191)</f>
        <v>194.477949</v>
      </c>
      <c r="O191" s="78"/>
    </row>
    <row r="192" spans="2:15" x14ac:dyDescent="0.2">
      <c r="B192" s="768"/>
      <c r="C192" s="280" t="s">
        <v>140</v>
      </c>
      <c r="D192" s="281"/>
      <c r="E192" s="514">
        <f t="shared" ref="E192:N192" si="55">SUM(E189:E191)</f>
        <v>0</v>
      </c>
      <c r="F192" s="514">
        <f t="shared" si="55"/>
        <v>380.80256199999997</v>
      </c>
      <c r="G192" s="514">
        <f t="shared" si="55"/>
        <v>1403.2551640000001</v>
      </c>
      <c r="H192" s="514">
        <f t="shared" si="55"/>
        <v>1036.7061410000001</v>
      </c>
      <c r="I192" s="514">
        <f t="shared" si="55"/>
        <v>114.88691800000001</v>
      </c>
      <c r="J192" s="514">
        <f>SUM(J189:J191)</f>
        <v>0.72899999999999998</v>
      </c>
      <c r="K192" s="514">
        <f>SUM(K189:K191)</f>
        <v>0</v>
      </c>
      <c r="L192" s="514">
        <f t="shared" si="55"/>
        <v>32.149419999999999</v>
      </c>
      <c r="M192" s="514">
        <f t="shared" si="55"/>
        <v>0</v>
      </c>
      <c r="N192" s="517">
        <f t="shared" si="55"/>
        <v>2968.5292050000003</v>
      </c>
      <c r="O192" s="78"/>
    </row>
    <row r="193" spans="2:15" ht="17.25" customHeight="1" x14ac:dyDescent="0.2">
      <c r="B193" s="72" t="s">
        <v>115</v>
      </c>
      <c r="C193" s="73"/>
      <c r="D193" s="269"/>
      <c r="E193" s="495">
        <f t="shared" ref="E193:N193" si="56">+E192+E188+E184+E180</f>
        <v>2823.7798409999996</v>
      </c>
      <c r="F193" s="495">
        <f t="shared" si="56"/>
        <v>5191.7922909999988</v>
      </c>
      <c r="G193" s="495">
        <f t="shared" si="56"/>
        <v>5672.5665020000006</v>
      </c>
      <c r="H193" s="495">
        <f t="shared" si="56"/>
        <v>4598.3673309999995</v>
      </c>
      <c r="I193" s="495">
        <f t="shared" si="56"/>
        <v>3837.7595190000002</v>
      </c>
      <c r="J193" s="495">
        <f t="shared" si="56"/>
        <v>6446.814531</v>
      </c>
      <c r="K193" s="495">
        <f t="shared" si="56"/>
        <v>1357.7823330000001</v>
      </c>
      <c r="L193" s="495">
        <f t="shared" si="56"/>
        <v>8314.5824339999999</v>
      </c>
      <c r="M193" s="495">
        <f t="shared" si="56"/>
        <v>3553.6118059999999</v>
      </c>
      <c r="N193" s="496">
        <f t="shared" si="56"/>
        <v>41797.056587999992</v>
      </c>
      <c r="O193" s="78"/>
    </row>
    <row r="194" spans="2:15" x14ac:dyDescent="0.2">
      <c r="B194" s="762">
        <v>2013</v>
      </c>
      <c r="C194" s="756" t="s">
        <v>133</v>
      </c>
      <c r="D194" s="285" t="s">
        <v>131</v>
      </c>
      <c r="E194" s="502">
        <v>0</v>
      </c>
      <c r="F194" s="286">
        <v>6.7160380000000002</v>
      </c>
      <c r="G194" s="286">
        <v>79.425870000000003</v>
      </c>
      <c r="H194" s="493">
        <v>0</v>
      </c>
      <c r="I194" s="493">
        <v>0</v>
      </c>
      <c r="J194" s="493">
        <v>0</v>
      </c>
      <c r="K194" s="493">
        <v>0</v>
      </c>
      <c r="L194" s="286">
        <v>10.48324</v>
      </c>
      <c r="M194" s="286">
        <v>1.47864</v>
      </c>
      <c r="N194" s="494">
        <f>SUM(E194:M194)</f>
        <v>98.103787999999994</v>
      </c>
      <c r="O194" s="78"/>
    </row>
    <row r="195" spans="2:15" x14ac:dyDescent="0.2">
      <c r="B195" s="763"/>
      <c r="C195" s="757"/>
      <c r="D195" s="282" t="s">
        <v>132</v>
      </c>
      <c r="E195" s="287">
        <v>0.45397999999999999</v>
      </c>
      <c r="F195" s="286">
        <v>9.7239999999999993E-2</v>
      </c>
      <c r="G195" s="286">
        <v>5.7600000000000005E-2</v>
      </c>
      <c r="H195" s="491">
        <v>0</v>
      </c>
      <c r="I195" s="491">
        <v>0</v>
      </c>
      <c r="J195" s="491">
        <v>0</v>
      </c>
      <c r="K195" s="491">
        <v>0</v>
      </c>
      <c r="L195" s="491">
        <v>0</v>
      </c>
      <c r="M195" s="286">
        <v>0.28881999999999997</v>
      </c>
      <c r="N195" s="492">
        <f>SUM(E195:M195)</f>
        <v>0.89763999999999999</v>
      </c>
      <c r="O195" s="78"/>
    </row>
    <row r="196" spans="2:15" x14ac:dyDescent="0.2">
      <c r="B196" s="763"/>
      <c r="C196" s="757"/>
      <c r="D196" s="277" t="s">
        <v>133</v>
      </c>
      <c r="E196" s="286">
        <v>104.43751100000003</v>
      </c>
      <c r="F196" s="286">
        <v>111.136402</v>
      </c>
      <c r="G196" s="286">
        <v>100.11532100000001</v>
      </c>
      <c r="H196" s="283">
        <v>0</v>
      </c>
      <c r="I196" s="283">
        <v>0</v>
      </c>
      <c r="J196" s="283">
        <v>0</v>
      </c>
      <c r="K196" s="286">
        <v>0.43186000000000002</v>
      </c>
      <c r="L196" s="286">
        <v>28.38148</v>
      </c>
      <c r="M196" s="286">
        <v>60.761671000000007</v>
      </c>
      <c r="N196" s="492">
        <f>SUM(E196:M196)</f>
        <v>405.26424500000007</v>
      </c>
      <c r="O196" s="78"/>
    </row>
    <row r="197" spans="2:15" x14ac:dyDescent="0.2">
      <c r="B197" s="763"/>
      <c r="C197" s="278" t="s">
        <v>141</v>
      </c>
      <c r="D197" s="279"/>
      <c r="E197" s="515">
        <f t="shared" ref="E197:N197" si="57">SUM(E194:E196)</f>
        <v>104.89149100000003</v>
      </c>
      <c r="F197" s="515">
        <f t="shared" si="57"/>
        <v>117.94968</v>
      </c>
      <c r="G197" s="515">
        <f t="shared" si="57"/>
        <v>179.59879100000001</v>
      </c>
      <c r="H197" s="515">
        <f t="shared" si="57"/>
        <v>0</v>
      </c>
      <c r="I197" s="515">
        <f t="shared" si="57"/>
        <v>0</v>
      </c>
      <c r="J197" s="515">
        <f t="shared" si="57"/>
        <v>0</v>
      </c>
      <c r="K197" s="515">
        <f t="shared" si="57"/>
        <v>0.43186000000000002</v>
      </c>
      <c r="L197" s="515">
        <f t="shared" si="57"/>
        <v>38.864719999999998</v>
      </c>
      <c r="M197" s="515">
        <f t="shared" si="57"/>
        <v>62.529131000000007</v>
      </c>
      <c r="N197" s="517">
        <f t="shared" si="57"/>
        <v>504.26567300000005</v>
      </c>
      <c r="O197" s="78"/>
    </row>
    <row r="198" spans="2:15" x14ac:dyDescent="0.2">
      <c r="B198" s="763"/>
      <c r="C198" s="758" t="s">
        <v>135</v>
      </c>
      <c r="D198" s="275" t="s">
        <v>131</v>
      </c>
      <c r="E198" s="286">
        <v>977.36496399999987</v>
      </c>
      <c r="F198" s="286">
        <v>1485.2480820000003</v>
      </c>
      <c r="G198" s="286">
        <v>913.25114999999937</v>
      </c>
      <c r="H198" s="286">
        <v>293.03878100000009</v>
      </c>
      <c r="I198" s="286">
        <v>719.10409300000015</v>
      </c>
      <c r="J198" s="286">
        <v>2490.9670680000004</v>
      </c>
      <c r="K198" s="286">
        <v>414.85105400000015</v>
      </c>
      <c r="L198" s="286">
        <v>2000.2101570000002</v>
      </c>
      <c r="M198" s="286">
        <v>700.82775800000002</v>
      </c>
      <c r="N198" s="494">
        <f>SUM(E198:M198)</f>
        <v>9994.8631069999992</v>
      </c>
      <c r="O198" s="78"/>
    </row>
    <row r="199" spans="2:15" x14ac:dyDescent="0.2">
      <c r="B199" s="763"/>
      <c r="C199" s="758"/>
      <c r="D199" s="276" t="s">
        <v>132</v>
      </c>
      <c r="E199" s="286">
        <v>678.33978300000035</v>
      </c>
      <c r="F199" s="286">
        <v>2501.9261800000018</v>
      </c>
      <c r="G199" s="286">
        <v>2043.980637000001</v>
      </c>
      <c r="H199" s="286">
        <v>1700.7790479999996</v>
      </c>
      <c r="I199" s="286">
        <v>1840.3486180000002</v>
      </c>
      <c r="J199" s="286">
        <v>2244.2286000000004</v>
      </c>
      <c r="K199" s="286">
        <v>488.41602100000006</v>
      </c>
      <c r="L199" s="286">
        <v>3469.813286999999</v>
      </c>
      <c r="M199" s="286">
        <v>2071.2375379999985</v>
      </c>
      <c r="N199" s="492">
        <f>SUM(E199:M199)</f>
        <v>17039.069712</v>
      </c>
      <c r="O199" s="78"/>
    </row>
    <row r="200" spans="2:15" x14ac:dyDescent="0.2">
      <c r="B200" s="763"/>
      <c r="C200" s="758"/>
      <c r="D200" s="276" t="s">
        <v>133</v>
      </c>
      <c r="E200" s="286">
        <v>19.244389999999999</v>
      </c>
      <c r="F200" s="286">
        <v>41.315440000000002</v>
      </c>
      <c r="G200" s="286">
        <v>7.7061410000000006</v>
      </c>
      <c r="H200" s="286">
        <v>13.367669999999999</v>
      </c>
      <c r="I200" s="286">
        <v>33.871850000000002</v>
      </c>
      <c r="J200" s="286">
        <v>46.127394999999993</v>
      </c>
      <c r="K200" s="491">
        <v>0</v>
      </c>
      <c r="L200" s="286">
        <v>13.034380000000002</v>
      </c>
      <c r="M200" s="286">
        <v>47.858164000000002</v>
      </c>
      <c r="N200" s="499">
        <f>SUM(E200:M200)</f>
        <v>222.52542999999997</v>
      </c>
      <c r="O200" s="78"/>
    </row>
    <row r="201" spans="2:15" x14ac:dyDescent="0.2">
      <c r="B201" s="763"/>
      <c r="C201" s="278" t="s">
        <v>136</v>
      </c>
      <c r="D201" s="279"/>
      <c r="E201" s="515">
        <f t="shared" ref="E201:N201" si="58">SUM(E198:E200)</f>
        <v>1674.9491370000003</v>
      </c>
      <c r="F201" s="515">
        <f t="shared" si="58"/>
        <v>4028.4897020000021</v>
      </c>
      <c r="G201" s="515">
        <f t="shared" si="58"/>
        <v>2964.9379280000007</v>
      </c>
      <c r="H201" s="515">
        <f t="shared" si="58"/>
        <v>2007.1854989999997</v>
      </c>
      <c r="I201" s="515">
        <f t="shared" si="58"/>
        <v>2593.3245610000004</v>
      </c>
      <c r="J201" s="515">
        <f t="shared" si="58"/>
        <v>4781.3230630000007</v>
      </c>
      <c r="K201" s="515">
        <f t="shared" si="58"/>
        <v>903.2670750000002</v>
      </c>
      <c r="L201" s="515">
        <f t="shared" si="58"/>
        <v>5483.0578239999995</v>
      </c>
      <c r="M201" s="515">
        <f t="shared" si="58"/>
        <v>2819.9234599999986</v>
      </c>
      <c r="N201" s="517">
        <f t="shared" si="58"/>
        <v>27256.458249000003</v>
      </c>
      <c r="O201" s="78"/>
    </row>
    <row r="202" spans="2:15" x14ac:dyDescent="0.2">
      <c r="B202" s="763"/>
      <c r="C202" s="759" t="s">
        <v>137</v>
      </c>
      <c r="D202" s="275" t="s">
        <v>131</v>
      </c>
      <c r="E202" s="286">
        <v>885.92442600000004</v>
      </c>
      <c r="F202" s="286">
        <v>776.82090000000005</v>
      </c>
      <c r="G202" s="286">
        <v>672.68281700000011</v>
      </c>
      <c r="H202" s="286">
        <v>1739.8897810000001</v>
      </c>
      <c r="I202" s="286">
        <v>991.52245500000004</v>
      </c>
      <c r="J202" s="286">
        <v>2289.2237979999991</v>
      </c>
      <c r="K202" s="286">
        <v>537.56600000000003</v>
      </c>
      <c r="L202" s="286">
        <v>2183.6578890000001</v>
      </c>
      <c r="M202" s="286">
        <v>586.34595100000013</v>
      </c>
      <c r="N202" s="494">
        <f>SUM(E202:M202)</f>
        <v>10663.634016999998</v>
      </c>
      <c r="O202" s="78"/>
    </row>
    <row r="203" spans="2:15" x14ac:dyDescent="0.2">
      <c r="B203" s="763"/>
      <c r="C203" s="759"/>
      <c r="D203" s="276" t="s">
        <v>132</v>
      </c>
      <c r="E203" s="286">
        <v>23.305633</v>
      </c>
      <c r="F203" s="286">
        <v>1.62</v>
      </c>
      <c r="G203" s="286">
        <v>19.062690000000003</v>
      </c>
      <c r="H203" s="286">
        <v>53.256</v>
      </c>
      <c r="I203" s="283">
        <v>0</v>
      </c>
      <c r="J203" s="283">
        <v>0</v>
      </c>
      <c r="K203" s="286">
        <v>43.512</v>
      </c>
      <c r="L203" s="286">
        <v>21.945574000000001</v>
      </c>
      <c r="M203" s="286">
        <v>1.1999999999999999E-3</v>
      </c>
      <c r="N203" s="492">
        <f>SUM(E203:M203)</f>
        <v>162.70309700000001</v>
      </c>
      <c r="O203" s="78"/>
    </row>
    <row r="204" spans="2:15" x14ac:dyDescent="0.2">
      <c r="B204" s="763"/>
      <c r="C204" s="759"/>
      <c r="D204" s="276" t="s">
        <v>133</v>
      </c>
      <c r="E204" s="283">
        <v>0</v>
      </c>
      <c r="F204" s="283">
        <v>0</v>
      </c>
      <c r="G204" s="283">
        <v>0</v>
      </c>
      <c r="H204" s="283">
        <v>0</v>
      </c>
      <c r="I204" s="283">
        <v>0</v>
      </c>
      <c r="J204" s="286">
        <v>3.2659999999999995E-2</v>
      </c>
      <c r="K204" s="283">
        <v>0</v>
      </c>
      <c r="L204" s="286">
        <v>2.6500000000000003E-2</v>
      </c>
      <c r="M204" s="286">
        <v>8.1000000000000003E-2</v>
      </c>
      <c r="N204" s="499">
        <f>SUM(E204:M204)</f>
        <v>0.14016000000000001</v>
      </c>
      <c r="O204" s="78"/>
    </row>
    <row r="205" spans="2:15" x14ac:dyDescent="0.2">
      <c r="B205" s="763"/>
      <c r="C205" s="278" t="s">
        <v>138</v>
      </c>
      <c r="D205" s="279"/>
      <c r="E205" s="515">
        <f t="shared" ref="E205:N205" si="59">SUM(E202:E204)</f>
        <v>909.23005899999998</v>
      </c>
      <c r="F205" s="515">
        <f t="shared" si="59"/>
        <v>778.44090000000006</v>
      </c>
      <c r="G205" s="515">
        <f t="shared" si="59"/>
        <v>691.74550700000009</v>
      </c>
      <c r="H205" s="515">
        <f t="shared" si="59"/>
        <v>1793.1457810000002</v>
      </c>
      <c r="I205" s="515">
        <f t="shared" si="59"/>
        <v>991.52245500000004</v>
      </c>
      <c r="J205" s="515">
        <f t="shared" si="59"/>
        <v>2289.2564579999989</v>
      </c>
      <c r="K205" s="515">
        <f t="shared" si="59"/>
        <v>581.07799999999997</v>
      </c>
      <c r="L205" s="515">
        <f t="shared" si="59"/>
        <v>2205.6299629999999</v>
      </c>
      <c r="M205" s="515">
        <f t="shared" si="59"/>
        <v>586.42815100000018</v>
      </c>
      <c r="N205" s="517">
        <f t="shared" si="59"/>
        <v>10826.477273999999</v>
      </c>
      <c r="O205" s="78"/>
    </row>
    <row r="206" spans="2:15" x14ac:dyDescent="0.2">
      <c r="B206" s="763"/>
      <c r="C206" s="760" t="s">
        <v>139</v>
      </c>
      <c r="D206" s="275" t="s">
        <v>131</v>
      </c>
      <c r="E206" s="283">
        <v>0</v>
      </c>
      <c r="F206" s="286">
        <v>302.34217599999999</v>
      </c>
      <c r="G206" s="286">
        <v>7.3032900000000005</v>
      </c>
      <c r="H206" s="286">
        <v>14.4</v>
      </c>
      <c r="I206" s="283">
        <v>0</v>
      </c>
      <c r="J206" s="283">
        <v>0</v>
      </c>
      <c r="K206" s="283">
        <v>0</v>
      </c>
      <c r="L206" s="283">
        <v>0</v>
      </c>
      <c r="M206" s="283">
        <v>0</v>
      </c>
      <c r="N206" s="492">
        <f>SUM(E206:M206)</f>
        <v>324.04546599999998</v>
      </c>
      <c r="O206" s="78"/>
    </row>
    <row r="207" spans="2:15" x14ac:dyDescent="0.2">
      <c r="B207" s="763"/>
      <c r="C207" s="760"/>
      <c r="D207" s="276" t="s">
        <v>132</v>
      </c>
      <c r="E207" s="283">
        <v>0</v>
      </c>
      <c r="F207" s="286">
        <v>62.612591999999999</v>
      </c>
      <c r="G207" s="286">
        <v>1090.620461</v>
      </c>
      <c r="H207" s="286">
        <v>760.23515699999996</v>
      </c>
      <c r="I207" s="286">
        <v>54.143799999999999</v>
      </c>
      <c r="J207" s="283">
        <v>0</v>
      </c>
      <c r="K207" s="283">
        <v>0</v>
      </c>
      <c r="L207" s="283">
        <v>0</v>
      </c>
      <c r="M207" s="283">
        <v>0</v>
      </c>
      <c r="N207" s="492">
        <f>SUM(E207:M207)</f>
        <v>1967.6120100000001</v>
      </c>
      <c r="O207" s="78"/>
    </row>
    <row r="208" spans="2:15" x14ac:dyDescent="0.2">
      <c r="B208" s="763"/>
      <c r="C208" s="761"/>
      <c r="D208" s="277" t="s">
        <v>133</v>
      </c>
      <c r="E208" s="283">
        <v>0</v>
      </c>
      <c r="F208" s="283">
        <v>0</v>
      </c>
      <c r="G208" s="283">
        <v>0</v>
      </c>
      <c r="H208" s="286">
        <v>159.54678199999992</v>
      </c>
      <c r="I208" s="283">
        <v>0</v>
      </c>
      <c r="J208" s="283">
        <v>0</v>
      </c>
      <c r="K208" s="283">
        <v>0</v>
      </c>
      <c r="L208" s="286">
        <v>29.511458999999999</v>
      </c>
      <c r="M208" s="283">
        <v>0</v>
      </c>
      <c r="N208" s="492">
        <f>SUM(E208:M208)</f>
        <v>189.05824099999992</v>
      </c>
      <c r="O208" s="78"/>
    </row>
    <row r="209" spans="2:15" x14ac:dyDescent="0.2">
      <c r="B209" s="764"/>
      <c r="C209" s="280" t="s">
        <v>140</v>
      </c>
      <c r="D209" s="281"/>
      <c r="E209" s="514">
        <f t="shared" ref="E209:N209" si="60">SUM(E206:E208)</f>
        <v>0</v>
      </c>
      <c r="F209" s="514">
        <f t="shared" si="60"/>
        <v>364.954768</v>
      </c>
      <c r="G209" s="514">
        <f t="shared" si="60"/>
        <v>1097.923751</v>
      </c>
      <c r="H209" s="514">
        <f t="shared" si="60"/>
        <v>934.18193899999983</v>
      </c>
      <c r="I209" s="514">
        <f t="shared" si="60"/>
        <v>54.143799999999999</v>
      </c>
      <c r="J209" s="514">
        <f t="shared" si="60"/>
        <v>0</v>
      </c>
      <c r="K209" s="514">
        <f t="shared" si="60"/>
        <v>0</v>
      </c>
      <c r="L209" s="514">
        <f t="shared" si="60"/>
        <v>29.511458999999999</v>
      </c>
      <c r="M209" s="514">
        <f t="shared" si="60"/>
        <v>0</v>
      </c>
      <c r="N209" s="517">
        <f t="shared" si="60"/>
        <v>2480.7157169999996</v>
      </c>
      <c r="O209" s="78"/>
    </row>
    <row r="210" spans="2:15" ht="18.75" customHeight="1" x14ac:dyDescent="0.2">
      <c r="B210" s="72" t="s">
        <v>116</v>
      </c>
      <c r="C210" s="73"/>
      <c r="D210" s="269"/>
      <c r="E210" s="518">
        <f t="shared" ref="E210:N210" si="61">+E209+E205+E201+E197</f>
        <v>2689.0706869999999</v>
      </c>
      <c r="F210" s="495">
        <f t="shared" si="61"/>
        <v>5289.8350500000015</v>
      </c>
      <c r="G210" s="495">
        <f t="shared" si="61"/>
        <v>4934.2059770000014</v>
      </c>
      <c r="H210" s="495">
        <f t="shared" si="61"/>
        <v>4734.5132190000004</v>
      </c>
      <c r="I210" s="495">
        <f t="shared" si="61"/>
        <v>3638.9908160000005</v>
      </c>
      <c r="J210" s="495">
        <f t="shared" si="61"/>
        <v>7070.5795209999997</v>
      </c>
      <c r="K210" s="495">
        <f t="shared" si="61"/>
        <v>1484.7769350000001</v>
      </c>
      <c r="L210" s="495">
        <f t="shared" si="61"/>
        <v>7757.0639659999988</v>
      </c>
      <c r="M210" s="495">
        <f t="shared" si="61"/>
        <v>3468.8807419999985</v>
      </c>
      <c r="N210" s="496">
        <f t="shared" si="61"/>
        <v>41067.916913000001</v>
      </c>
      <c r="O210" s="78"/>
    </row>
    <row r="211" spans="2:15" ht="12.75" customHeight="1" x14ac:dyDescent="0.2">
      <c r="B211" s="762">
        <v>2014</v>
      </c>
      <c r="C211" s="756" t="s">
        <v>133</v>
      </c>
      <c r="D211" s="285" t="s">
        <v>131</v>
      </c>
      <c r="E211" s="502">
        <v>0</v>
      </c>
      <c r="F211" s="261">
        <v>2.2394400000000001</v>
      </c>
      <c r="G211" s="261">
        <v>25.642720000000001</v>
      </c>
      <c r="H211" s="491">
        <v>0</v>
      </c>
      <c r="I211" s="491">
        <v>0</v>
      </c>
      <c r="J211" s="491">
        <v>0</v>
      </c>
      <c r="K211" s="491">
        <v>0</v>
      </c>
      <c r="L211" s="261">
        <v>6.6683599999999998</v>
      </c>
      <c r="M211" s="261">
        <v>1.9351699999999998</v>
      </c>
      <c r="N211" s="494">
        <f>SUM(E211:M211)</f>
        <v>36.485689999999998</v>
      </c>
      <c r="O211" s="78"/>
    </row>
    <row r="212" spans="2:15" ht="12.75" customHeight="1" x14ac:dyDescent="0.2">
      <c r="B212" s="763"/>
      <c r="C212" s="757"/>
      <c r="D212" s="282" t="s">
        <v>132</v>
      </c>
      <c r="E212" s="490">
        <v>0</v>
      </c>
      <c r="F212" s="261">
        <v>0.27268000000000003</v>
      </c>
      <c r="G212" s="261">
        <v>4.8079999999999998E-2</v>
      </c>
      <c r="H212" s="491">
        <v>0</v>
      </c>
      <c r="I212" s="491">
        <v>0</v>
      </c>
      <c r="J212" s="491">
        <v>0</v>
      </c>
      <c r="K212" s="491">
        <v>0</v>
      </c>
      <c r="L212" s="491">
        <v>0</v>
      </c>
      <c r="M212" s="261">
        <v>0.14868000000000003</v>
      </c>
      <c r="N212" s="492">
        <f>SUM(E212:M212)</f>
        <v>0.46944000000000008</v>
      </c>
      <c r="O212" s="78"/>
    </row>
    <row r="213" spans="2:15" ht="12.75" customHeight="1" x14ac:dyDescent="0.2">
      <c r="B213" s="763"/>
      <c r="C213" s="757"/>
      <c r="D213" s="277" t="s">
        <v>133</v>
      </c>
      <c r="E213" s="261">
        <v>163.472194</v>
      </c>
      <c r="F213" s="261">
        <v>83.948650000000001</v>
      </c>
      <c r="G213" s="261">
        <v>108.608509</v>
      </c>
      <c r="H213" s="498">
        <v>0</v>
      </c>
      <c r="I213" s="498">
        <v>0</v>
      </c>
      <c r="J213" s="498">
        <v>0</v>
      </c>
      <c r="K213" s="498">
        <v>0</v>
      </c>
      <c r="L213" s="261">
        <v>30.447059999999997</v>
      </c>
      <c r="M213" s="261">
        <v>59.912447999999998</v>
      </c>
      <c r="N213" s="492">
        <f>SUM(E213:M213)</f>
        <v>446.38886100000002</v>
      </c>
      <c r="O213" s="78"/>
    </row>
    <row r="214" spans="2:15" ht="12.75" customHeight="1" x14ac:dyDescent="0.2">
      <c r="B214" s="763"/>
      <c r="C214" s="278" t="s">
        <v>141</v>
      </c>
      <c r="D214" s="279"/>
      <c r="E214" s="515">
        <f t="shared" ref="E214:N214" si="62">SUM(E211:E213)</f>
        <v>163.472194</v>
      </c>
      <c r="F214" s="515">
        <f t="shared" si="62"/>
        <v>86.460769999999997</v>
      </c>
      <c r="G214" s="515">
        <f t="shared" si="62"/>
        <v>134.29930899999999</v>
      </c>
      <c r="H214" s="515">
        <f t="shared" si="62"/>
        <v>0</v>
      </c>
      <c r="I214" s="515">
        <f t="shared" si="62"/>
        <v>0</v>
      </c>
      <c r="J214" s="515">
        <f t="shared" si="62"/>
        <v>0</v>
      </c>
      <c r="K214" s="515">
        <f t="shared" si="62"/>
        <v>0</v>
      </c>
      <c r="L214" s="515">
        <f t="shared" si="62"/>
        <v>37.11542</v>
      </c>
      <c r="M214" s="515">
        <f t="shared" si="62"/>
        <v>61.996297999999996</v>
      </c>
      <c r="N214" s="517">
        <f t="shared" si="62"/>
        <v>483.34399100000002</v>
      </c>
      <c r="O214" s="78"/>
    </row>
    <row r="215" spans="2:15" ht="12.75" customHeight="1" x14ac:dyDescent="0.2">
      <c r="B215" s="763"/>
      <c r="C215" s="758" t="s">
        <v>135</v>
      </c>
      <c r="D215" s="275" t="s">
        <v>131</v>
      </c>
      <c r="E215" s="261">
        <v>1136.1791800000001</v>
      </c>
      <c r="F215" s="261">
        <v>1511.9918589999997</v>
      </c>
      <c r="G215" s="261">
        <v>1066.726678</v>
      </c>
      <c r="H215" s="261">
        <v>610.77148200000022</v>
      </c>
      <c r="I215" s="261">
        <v>654.35447299999987</v>
      </c>
      <c r="J215" s="261">
        <v>2666.1751509999999</v>
      </c>
      <c r="K215" s="261">
        <v>565.21991500000001</v>
      </c>
      <c r="L215" s="261">
        <v>2307.6153539999996</v>
      </c>
      <c r="M215" s="261">
        <v>594.04191400000002</v>
      </c>
      <c r="N215" s="494">
        <f>SUM(E215:M215)</f>
        <v>11113.076005999998</v>
      </c>
      <c r="O215" s="78"/>
    </row>
    <row r="216" spans="2:15" ht="12.75" customHeight="1" x14ac:dyDescent="0.2">
      <c r="B216" s="763"/>
      <c r="C216" s="758"/>
      <c r="D216" s="276" t="s">
        <v>132</v>
      </c>
      <c r="E216" s="261">
        <v>596.25068399999975</v>
      </c>
      <c r="F216" s="261">
        <v>2161.9485649999988</v>
      </c>
      <c r="G216" s="261">
        <v>1752.1552870000014</v>
      </c>
      <c r="H216" s="261">
        <v>1463.2601260000001</v>
      </c>
      <c r="I216" s="261">
        <v>1683.4605580000007</v>
      </c>
      <c r="J216" s="261">
        <v>2387.0922759999994</v>
      </c>
      <c r="K216" s="261">
        <v>480.50357700000001</v>
      </c>
      <c r="L216" s="261">
        <v>3050.9128390000005</v>
      </c>
      <c r="M216" s="261">
        <v>1969.5964169999988</v>
      </c>
      <c r="N216" s="492">
        <f>SUM(E216:M216)</f>
        <v>15545.180328999999</v>
      </c>
      <c r="O216" s="78"/>
    </row>
    <row r="217" spans="2:15" ht="12.75" customHeight="1" x14ac:dyDescent="0.2">
      <c r="B217" s="763"/>
      <c r="C217" s="758"/>
      <c r="D217" s="276" t="s">
        <v>133</v>
      </c>
      <c r="E217" s="261">
        <v>16.95994</v>
      </c>
      <c r="F217" s="261">
        <v>22.715979999999998</v>
      </c>
      <c r="G217" s="261">
        <v>11.58942</v>
      </c>
      <c r="H217" s="261">
        <v>13.589700000000001</v>
      </c>
      <c r="I217" s="261">
        <v>19.1069</v>
      </c>
      <c r="J217" s="261">
        <v>43.181157999999996</v>
      </c>
      <c r="K217" s="498">
        <v>0</v>
      </c>
      <c r="L217" s="261">
        <v>29.896739</v>
      </c>
      <c r="M217" s="261">
        <v>49.338611</v>
      </c>
      <c r="N217" s="499">
        <f>SUM(E217:M217)</f>
        <v>206.37844799999999</v>
      </c>
      <c r="O217" s="78"/>
    </row>
    <row r="218" spans="2:15" ht="12.75" customHeight="1" x14ac:dyDescent="0.2">
      <c r="B218" s="763"/>
      <c r="C218" s="278" t="s">
        <v>136</v>
      </c>
      <c r="D218" s="279"/>
      <c r="E218" s="514">
        <f t="shared" ref="E218:N218" si="63">SUM(E215:E217)</f>
        <v>1749.3898039999997</v>
      </c>
      <c r="F218" s="514">
        <f t="shared" si="63"/>
        <v>3696.6564039999985</v>
      </c>
      <c r="G218" s="514">
        <f t="shared" si="63"/>
        <v>2830.4713850000012</v>
      </c>
      <c r="H218" s="514">
        <f t="shared" si="63"/>
        <v>2087.6213080000002</v>
      </c>
      <c r="I218" s="514">
        <f t="shared" si="63"/>
        <v>2356.9219310000008</v>
      </c>
      <c r="J218" s="514">
        <f t="shared" si="63"/>
        <v>5096.4485849999992</v>
      </c>
      <c r="K218" s="514">
        <f t="shared" si="63"/>
        <v>1045.7234920000001</v>
      </c>
      <c r="L218" s="514">
        <f t="shared" si="63"/>
        <v>5388.4249319999999</v>
      </c>
      <c r="M218" s="514">
        <f t="shared" si="63"/>
        <v>2612.9769419999989</v>
      </c>
      <c r="N218" s="517">
        <f t="shared" si="63"/>
        <v>26864.634782999998</v>
      </c>
      <c r="O218" s="78"/>
    </row>
    <row r="219" spans="2:15" ht="12.75" customHeight="1" x14ac:dyDescent="0.2">
      <c r="B219" s="763"/>
      <c r="C219" s="759" t="s">
        <v>137</v>
      </c>
      <c r="D219" s="285" t="s">
        <v>131</v>
      </c>
      <c r="E219" s="163">
        <v>1093.3025790000002</v>
      </c>
      <c r="F219" s="164">
        <v>994.74785999999995</v>
      </c>
      <c r="G219" s="164">
        <v>581.53305</v>
      </c>
      <c r="H219" s="164">
        <v>1864.0147079999999</v>
      </c>
      <c r="I219" s="164">
        <v>1846.5901449999997</v>
      </c>
      <c r="J219" s="164">
        <v>1935.6631169999996</v>
      </c>
      <c r="K219" s="164">
        <v>694.37920000000008</v>
      </c>
      <c r="L219" s="164">
        <v>2393.6291339999993</v>
      </c>
      <c r="M219" s="165">
        <v>733.27828899999997</v>
      </c>
      <c r="N219" s="509">
        <f>SUM(E219:M219)</f>
        <v>12137.138081999998</v>
      </c>
      <c r="O219" s="78"/>
    </row>
    <row r="220" spans="2:15" ht="12.75" customHeight="1" x14ac:dyDescent="0.2">
      <c r="B220" s="763"/>
      <c r="C220" s="759"/>
      <c r="D220" s="282" t="s">
        <v>132</v>
      </c>
      <c r="E220" s="490">
        <v>0</v>
      </c>
      <c r="F220" s="288">
        <v>2.08</v>
      </c>
      <c r="G220" s="288">
        <v>8.8091200000000001</v>
      </c>
      <c r="H220" s="288">
        <v>9.4779999999999998</v>
      </c>
      <c r="I220" s="491">
        <v>0</v>
      </c>
      <c r="J220" s="288">
        <v>16.851000000000003</v>
      </c>
      <c r="K220" s="288">
        <v>4.2623999999999995</v>
      </c>
      <c r="L220" s="288">
        <v>56.88053</v>
      </c>
      <c r="M220" s="289">
        <v>0.39768000000000003</v>
      </c>
      <c r="N220" s="510">
        <f>SUM(E220:M220)</f>
        <v>98.75873</v>
      </c>
      <c r="O220" s="78"/>
    </row>
    <row r="221" spans="2:15" ht="12.75" customHeight="1" x14ac:dyDescent="0.2">
      <c r="B221" s="763"/>
      <c r="C221" s="759"/>
      <c r="D221" s="282" t="s">
        <v>133</v>
      </c>
      <c r="E221" s="497">
        <v>0</v>
      </c>
      <c r="F221" s="290">
        <v>7.5499999999999998E-2</v>
      </c>
      <c r="G221" s="290">
        <v>0.39674999999999999</v>
      </c>
      <c r="H221" s="498">
        <v>0</v>
      </c>
      <c r="I221" s="498">
        <v>0</v>
      </c>
      <c r="J221" s="498">
        <v>0</v>
      </c>
      <c r="K221" s="498">
        <v>0</v>
      </c>
      <c r="L221" s="290">
        <v>1.7500000000000002E-2</v>
      </c>
      <c r="M221" s="511">
        <v>0</v>
      </c>
      <c r="N221" s="511">
        <f>SUM(E221:M221)</f>
        <v>0.48975000000000002</v>
      </c>
      <c r="O221" s="78"/>
    </row>
    <row r="222" spans="2:15" ht="12.75" customHeight="1" x14ac:dyDescent="0.2">
      <c r="B222" s="763"/>
      <c r="C222" s="278" t="s">
        <v>138</v>
      </c>
      <c r="D222" s="279"/>
      <c r="E222" s="519">
        <f t="shared" ref="E222:N222" si="64">SUM(E219:E221)</f>
        <v>1093.3025790000002</v>
      </c>
      <c r="F222" s="519">
        <f t="shared" si="64"/>
        <v>996.90336000000002</v>
      </c>
      <c r="G222" s="519">
        <f t="shared" si="64"/>
        <v>590.73892000000001</v>
      </c>
      <c r="H222" s="519">
        <f t="shared" si="64"/>
        <v>1873.492708</v>
      </c>
      <c r="I222" s="519">
        <f t="shared" si="64"/>
        <v>1846.5901449999997</v>
      </c>
      <c r="J222" s="519">
        <f t="shared" si="64"/>
        <v>1952.5141169999997</v>
      </c>
      <c r="K222" s="519">
        <f t="shared" si="64"/>
        <v>698.64160000000004</v>
      </c>
      <c r="L222" s="519">
        <f t="shared" si="64"/>
        <v>2450.5271639999992</v>
      </c>
      <c r="M222" s="519">
        <f t="shared" si="64"/>
        <v>733.67596900000001</v>
      </c>
      <c r="N222" s="517">
        <f t="shared" si="64"/>
        <v>12236.386561999998</v>
      </c>
      <c r="O222" s="78"/>
    </row>
    <row r="223" spans="2:15" ht="12.75" customHeight="1" x14ac:dyDescent="0.2">
      <c r="B223" s="763"/>
      <c r="C223" s="760" t="s">
        <v>139</v>
      </c>
      <c r="D223" s="275" t="s">
        <v>131</v>
      </c>
      <c r="E223" s="490">
        <v>0</v>
      </c>
      <c r="F223" s="164">
        <v>231.86073200000001</v>
      </c>
      <c r="G223" s="164">
        <v>14.240390000000001</v>
      </c>
      <c r="H223" s="491">
        <v>0</v>
      </c>
      <c r="I223" s="491">
        <v>0</v>
      </c>
      <c r="J223" s="491">
        <v>0</v>
      </c>
      <c r="K223" s="491">
        <v>0</v>
      </c>
      <c r="L223" s="491">
        <v>0</v>
      </c>
      <c r="M223" s="491">
        <v>0</v>
      </c>
      <c r="N223" s="492">
        <f>SUM(E223:M223)</f>
        <v>246.101122</v>
      </c>
      <c r="O223" s="78"/>
    </row>
    <row r="224" spans="2:15" ht="12.75" customHeight="1" x14ac:dyDescent="0.2">
      <c r="B224" s="763"/>
      <c r="C224" s="760"/>
      <c r="D224" s="276" t="s">
        <v>132</v>
      </c>
      <c r="E224" s="490">
        <v>0</v>
      </c>
      <c r="F224" s="288">
        <v>45.818869999999997</v>
      </c>
      <c r="G224" s="288">
        <v>761.70146699999998</v>
      </c>
      <c r="H224" s="288">
        <v>429.669352</v>
      </c>
      <c r="I224" s="288">
        <v>42.528750000000002</v>
      </c>
      <c r="J224" s="491">
        <v>0</v>
      </c>
      <c r="K224" s="491">
        <v>0</v>
      </c>
      <c r="L224" s="491">
        <v>0</v>
      </c>
      <c r="M224" s="491">
        <v>0</v>
      </c>
      <c r="N224" s="492">
        <f>SUM(E224:M224)</f>
        <v>1279.7184389999998</v>
      </c>
      <c r="O224" s="78"/>
    </row>
    <row r="225" spans="2:15" ht="12.75" customHeight="1" x14ac:dyDescent="0.2">
      <c r="B225" s="763"/>
      <c r="C225" s="761"/>
      <c r="D225" s="277" t="s">
        <v>133</v>
      </c>
      <c r="E225" s="490">
        <v>0</v>
      </c>
      <c r="F225" s="498">
        <v>0</v>
      </c>
      <c r="G225" s="491">
        <v>0</v>
      </c>
      <c r="H225" s="290">
        <v>144.21149</v>
      </c>
      <c r="I225" s="491">
        <v>0</v>
      </c>
      <c r="J225" s="491">
        <v>0</v>
      </c>
      <c r="K225" s="491">
        <v>0</v>
      </c>
      <c r="L225" s="290">
        <v>33.459821000000005</v>
      </c>
      <c r="M225" s="491">
        <v>0</v>
      </c>
      <c r="N225" s="492">
        <f>SUM(E225:M225)</f>
        <v>177.671311</v>
      </c>
      <c r="O225" s="78"/>
    </row>
    <row r="226" spans="2:15" ht="12.75" customHeight="1" x14ac:dyDescent="0.2">
      <c r="B226" s="764"/>
      <c r="C226" s="280" t="s">
        <v>140</v>
      </c>
      <c r="D226" s="281"/>
      <c r="E226" s="514">
        <f t="shared" ref="E226:N226" si="65">SUM(E223:E225)</f>
        <v>0</v>
      </c>
      <c r="F226" s="513">
        <f t="shared" si="65"/>
        <v>277.67960199999999</v>
      </c>
      <c r="G226" s="514">
        <f t="shared" si="65"/>
        <v>775.94185700000003</v>
      </c>
      <c r="H226" s="514">
        <f t="shared" si="65"/>
        <v>573.88084200000003</v>
      </c>
      <c r="I226" s="514">
        <f t="shared" si="65"/>
        <v>42.528750000000002</v>
      </c>
      <c r="J226" s="514">
        <f t="shared" si="65"/>
        <v>0</v>
      </c>
      <c r="K226" s="514">
        <f t="shared" si="65"/>
        <v>0</v>
      </c>
      <c r="L226" s="514">
        <f t="shared" si="65"/>
        <v>33.459821000000005</v>
      </c>
      <c r="M226" s="514">
        <f t="shared" si="65"/>
        <v>0</v>
      </c>
      <c r="N226" s="517">
        <f t="shared" si="65"/>
        <v>1703.4908719999999</v>
      </c>
      <c r="O226" s="78"/>
    </row>
    <row r="227" spans="2:15" ht="18.75" customHeight="1" x14ac:dyDescent="0.2">
      <c r="B227" s="72" t="s">
        <v>648</v>
      </c>
      <c r="C227" s="73"/>
      <c r="D227" s="269"/>
      <c r="E227" s="495">
        <f t="shared" ref="E227:N227" si="66">+E226+E222+E218+E214</f>
        <v>3006.1645769999996</v>
      </c>
      <c r="F227" s="495">
        <f t="shared" si="66"/>
        <v>5057.7001359999977</v>
      </c>
      <c r="G227" s="495">
        <f t="shared" si="66"/>
        <v>4331.4514710000012</v>
      </c>
      <c r="H227" s="495">
        <f t="shared" si="66"/>
        <v>4534.994858</v>
      </c>
      <c r="I227" s="495">
        <f t="shared" si="66"/>
        <v>4246.0408260000004</v>
      </c>
      <c r="J227" s="495">
        <f t="shared" si="66"/>
        <v>7048.9627019999989</v>
      </c>
      <c r="K227" s="495">
        <f t="shared" si="66"/>
        <v>1744.365092</v>
      </c>
      <c r="L227" s="495">
        <f t="shared" si="66"/>
        <v>7909.5273369999995</v>
      </c>
      <c r="M227" s="495">
        <f t="shared" si="66"/>
        <v>3408.6492089999988</v>
      </c>
      <c r="N227" s="496">
        <f t="shared" si="66"/>
        <v>41287.856207999997</v>
      </c>
      <c r="O227" s="78"/>
    </row>
    <row r="228" spans="2:15" x14ac:dyDescent="0.2">
      <c r="B228" s="762">
        <v>2015</v>
      </c>
      <c r="C228" s="756" t="s">
        <v>133</v>
      </c>
      <c r="D228" s="285" t="s">
        <v>131</v>
      </c>
      <c r="E228" s="490">
        <v>0</v>
      </c>
      <c r="F228" s="261">
        <v>9.7539680000000004</v>
      </c>
      <c r="G228" s="261">
        <v>41.335580000000007</v>
      </c>
      <c r="H228" s="491">
        <v>0</v>
      </c>
      <c r="I228" s="491">
        <v>0</v>
      </c>
      <c r="J228" s="491">
        <v>0</v>
      </c>
      <c r="K228" s="491">
        <v>0</v>
      </c>
      <c r="L228" s="261">
        <v>7.2333400000000001</v>
      </c>
      <c r="M228" s="261">
        <v>1.73342</v>
      </c>
      <c r="N228" s="494">
        <f>SUM(E228:M228)</f>
        <v>60.056308000000008</v>
      </c>
      <c r="O228" s="78"/>
    </row>
    <row r="229" spans="2:15" x14ac:dyDescent="0.2">
      <c r="B229" s="763"/>
      <c r="C229" s="757"/>
      <c r="D229" s="282" t="s">
        <v>132</v>
      </c>
      <c r="E229" s="490">
        <v>0</v>
      </c>
      <c r="F229" s="491">
        <v>0</v>
      </c>
      <c r="G229" s="261">
        <v>1.864E-2</v>
      </c>
      <c r="H229" s="491">
        <v>0</v>
      </c>
      <c r="I229" s="491">
        <v>0</v>
      </c>
      <c r="J229" s="491">
        <v>0</v>
      </c>
      <c r="K229" s="491">
        <v>0</v>
      </c>
      <c r="L229" s="491">
        <v>0</v>
      </c>
      <c r="M229" s="261">
        <v>0.25739999999999996</v>
      </c>
      <c r="N229" s="492">
        <f>SUM(E229:M229)</f>
        <v>0.27603999999999995</v>
      </c>
      <c r="O229" s="78"/>
    </row>
    <row r="230" spans="2:15" x14ac:dyDescent="0.2">
      <c r="B230" s="763"/>
      <c r="C230" s="757"/>
      <c r="D230" s="277" t="s">
        <v>133</v>
      </c>
      <c r="E230" s="261">
        <v>126.30024899999999</v>
      </c>
      <c r="F230" s="261">
        <v>55.36169300000001</v>
      </c>
      <c r="G230" s="261">
        <v>228.99961999999999</v>
      </c>
      <c r="H230" s="290">
        <v>166.18356</v>
      </c>
      <c r="I230" s="491">
        <v>0</v>
      </c>
      <c r="J230" s="491">
        <v>0</v>
      </c>
      <c r="K230" s="491">
        <v>0</v>
      </c>
      <c r="L230" s="261">
        <v>24.990209999999998</v>
      </c>
      <c r="M230" s="261">
        <v>76.66219099999995</v>
      </c>
      <c r="N230" s="492">
        <f>SUM(E230:M230)</f>
        <v>678.497523</v>
      </c>
      <c r="O230" s="78"/>
    </row>
    <row r="231" spans="2:15" x14ac:dyDescent="0.2">
      <c r="B231" s="763"/>
      <c r="C231" s="278" t="s">
        <v>141</v>
      </c>
      <c r="D231" s="279"/>
      <c r="E231" s="515">
        <f t="shared" ref="E231:N231" si="67">SUM(E228:E230)</f>
        <v>126.30024899999999</v>
      </c>
      <c r="F231" s="515">
        <f t="shared" si="67"/>
        <v>65.115661000000017</v>
      </c>
      <c r="G231" s="515">
        <f t="shared" si="67"/>
        <v>270.35383999999999</v>
      </c>
      <c r="H231" s="515">
        <f t="shared" si="67"/>
        <v>166.18356</v>
      </c>
      <c r="I231" s="515">
        <f t="shared" si="67"/>
        <v>0</v>
      </c>
      <c r="J231" s="515">
        <f t="shared" si="67"/>
        <v>0</v>
      </c>
      <c r="K231" s="515">
        <f t="shared" si="67"/>
        <v>0</v>
      </c>
      <c r="L231" s="515">
        <f t="shared" si="67"/>
        <v>32.223549999999996</v>
      </c>
      <c r="M231" s="515">
        <f t="shared" si="67"/>
        <v>78.65301099999995</v>
      </c>
      <c r="N231" s="517">
        <f t="shared" si="67"/>
        <v>738.82987100000003</v>
      </c>
      <c r="O231" s="78"/>
    </row>
    <row r="232" spans="2:15" x14ac:dyDescent="0.2">
      <c r="B232" s="763"/>
      <c r="C232" s="758" t="s">
        <v>135</v>
      </c>
      <c r="D232" s="275" t="s">
        <v>131</v>
      </c>
      <c r="E232" s="261">
        <v>1060.8976729999999</v>
      </c>
      <c r="F232" s="261">
        <v>1105.7937280000001</v>
      </c>
      <c r="G232" s="261">
        <v>1528.7488999999996</v>
      </c>
      <c r="H232" s="261">
        <v>796.99322900000016</v>
      </c>
      <c r="I232" s="261">
        <v>1345.4413080000002</v>
      </c>
      <c r="J232" s="261">
        <v>3283.6607709999994</v>
      </c>
      <c r="K232" s="261">
        <v>561.04919800000005</v>
      </c>
      <c r="L232" s="261">
        <v>3052.992839</v>
      </c>
      <c r="M232" s="261">
        <v>952.77568699999972</v>
      </c>
      <c r="N232" s="494">
        <f>SUM(E232:M232)</f>
        <v>13688.353333000001</v>
      </c>
      <c r="O232" s="78"/>
    </row>
    <row r="233" spans="2:15" x14ac:dyDescent="0.2">
      <c r="B233" s="763"/>
      <c r="C233" s="758"/>
      <c r="D233" s="276" t="s">
        <v>132</v>
      </c>
      <c r="E233" s="261">
        <v>709.58333299999958</v>
      </c>
      <c r="F233" s="261">
        <v>1996.196148</v>
      </c>
      <c r="G233" s="261">
        <v>1613.4914630000003</v>
      </c>
      <c r="H233" s="261">
        <v>1332.1070920000002</v>
      </c>
      <c r="I233" s="261">
        <v>1557.2400649999995</v>
      </c>
      <c r="J233" s="261">
        <v>2153.6110680000002</v>
      </c>
      <c r="K233" s="261">
        <v>609.77627199999995</v>
      </c>
      <c r="L233" s="261">
        <v>2550.2288290000001</v>
      </c>
      <c r="M233" s="261">
        <v>1635.0816369999991</v>
      </c>
      <c r="N233" s="492">
        <f>SUM(E233:M233)</f>
        <v>14157.315906999998</v>
      </c>
      <c r="O233" s="78"/>
    </row>
    <row r="234" spans="2:15" x14ac:dyDescent="0.2">
      <c r="B234" s="763"/>
      <c r="C234" s="758"/>
      <c r="D234" s="276" t="s">
        <v>133</v>
      </c>
      <c r="E234" s="261">
        <v>25.512880000000003</v>
      </c>
      <c r="F234" s="261">
        <v>9.4216799999999985</v>
      </c>
      <c r="G234" s="261">
        <v>22.828120000000006</v>
      </c>
      <c r="H234" s="261">
        <v>13.070499999999999</v>
      </c>
      <c r="I234" s="261">
        <v>16.898209999999999</v>
      </c>
      <c r="J234" s="263">
        <v>51.907347999999999</v>
      </c>
      <c r="K234" s="491">
        <v>0</v>
      </c>
      <c r="L234" s="261">
        <v>2.6783299999999999</v>
      </c>
      <c r="M234" s="261">
        <v>80.213028999999992</v>
      </c>
      <c r="N234" s="499">
        <f>SUM(E234:M234)</f>
        <v>222.53009699999996</v>
      </c>
      <c r="O234" s="78"/>
    </row>
    <row r="235" spans="2:15" x14ac:dyDescent="0.2">
      <c r="B235" s="763"/>
      <c r="C235" s="278" t="s">
        <v>136</v>
      </c>
      <c r="D235" s="279"/>
      <c r="E235" s="514">
        <f t="shared" ref="E235:N235" si="68">SUM(E232:E234)</f>
        <v>1795.9938859999995</v>
      </c>
      <c r="F235" s="514">
        <f t="shared" si="68"/>
        <v>3111.411556</v>
      </c>
      <c r="G235" s="514">
        <f t="shared" si="68"/>
        <v>3165.068483</v>
      </c>
      <c r="H235" s="514">
        <f>SUM(H232:H234)</f>
        <v>2142.1708210000002</v>
      </c>
      <c r="I235" s="514">
        <f t="shared" si="68"/>
        <v>2919.5795829999993</v>
      </c>
      <c r="J235" s="514">
        <f t="shared" si="68"/>
        <v>5489.1791869999988</v>
      </c>
      <c r="K235" s="514">
        <f t="shared" si="68"/>
        <v>1170.82547</v>
      </c>
      <c r="L235" s="514">
        <f t="shared" si="68"/>
        <v>5605.8999979999999</v>
      </c>
      <c r="M235" s="514">
        <f t="shared" si="68"/>
        <v>2668.0703529999987</v>
      </c>
      <c r="N235" s="517">
        <f t="shared" si="68"/>
        <v>28068.199336999998</v>
      </c>
      <c r="O235" s="78"/>
    </row>
    <row r="236" spans="2:15" x14ac:dyDescent="0.2">
      <c r="B236" s="763"/>
      <c r="C236" s="759" t="s">
        <v>137</v>
      </c>
      <c r="D236" s="275" t="s">
        <v>131</v>
      </c>
      <c r="E236" s="164">
        <v>1253.7032610000001</v>
      </c>
      <c r="F236" s="164">
        <v>993.20971699999984</v>
      </c>
      <c r="G236" s="164">
        <v>799.83418899999992</v>
      </c>
      <c r="H236" s="164">
        <v>1704.4758960000001</v>
      </c>
      <c r="I236" s="164">
        <v>1904.0653989999996</v>
      </c>
      <c r="J236" s="164">
        <v>3391.5981339999998</v>
      </c>
      <c r="K236" s="164">
        <v>547.17000000000007</v>
      </c>
      <c r="L236" s="164">
        <v>2669.0642920000005</v>
      </c>
      <c r="M236" s="164">
        <v>714.658726</v>
      </c>
      <c r="N236" s="494">
        <f>SUM(E236:M236)</f>
        <v>13977.779613999999</v>
      </c>
      <c r="O236" s="78"/>
    </row>
    <row r="237" spans="2:15" x14ac:dyDescent="0.2">
      <c r="B237" s="763"/>
      <c r="C237" s="759"/>
      <c r="D237" s="276" t="s">
        <v>132</v>
      </c>
      <c r="E237" s="491">
        <v>0</v>
      </c>
      <c r="F237" s="261">
        <v>1.72</v>
      </c>
      <c r="G237" s="261">
        <v>46.838299999999997</v>
      </c>
      <c r="H237" s="261">
        <v>13.955798</v>
      </c>
      <c r="I237" s="491">
        <v>0</v>
      </c>
      <c r="J237" s="261">
        <v>5.0750399999999996</v>
      </c>
      <c r="K237" s="491">
        <v>0</v>
      </c>
      <c r="L237" s="261">
        <v>49.228598000000005</v>
      </c>
      <c r="M237" s="491">
        <v>0</v>
      </c>
      <c r="N237" s="492">
        <f>SUM(E237:M237)</f>
        <v>116.817736</v>
      </c>
    </row>
    <row r="238" spans="2:15" x14ac:dyDescent="0.2">
      <c r="B238" s="763"/>
      <c r="C238" s="759"/>
      <c r="D238" s="277" t="s">
        <v>133</v>
      </c>
      <c r="E238" s="261">
        <v>1.2160000000000001E-2</v>
      </c>
      <c r="F238" s="491">
        <v>0</v>
      </c>
      <c r="G238" s="491">
        <v>0</v>
      </c>
      <c r="H238" s="491">
        <v>0</v>
      </c>
      <c r="I238" s="491">
        <v>0</v>
      </c>
      <c r="J238" s="261">
        <v>3.2986300000000002</v>
      </c>
      <c r="K238" s="491">
        <v>0</v>
      </c>
      <c r="L238" s="261">
        <v>8.1140000000000014E-3</v>
      </c>
      <c r="M238" s="491">
        <v>0</v>
      </c>
      <c r="N238" s="499">
        <f>SUM(E238:M238)</f>
        <v>3.3189040000000003</v>
      </c>
    </row>
    <row r="239" spans="2:15" x14ac:dyDescent="0.2">
      <c r="B239" s="763"/>
      <c r="C239" s="278" t="s">
        <v>138</v>
      </c>
      <c r="D239" s="279"/>
      <c r="E239" s="515">
        <f t="shared" ref="E239:N239" si="69">SUM(E236:E238)</f>
        <v>1253.7154210000001</v>
      </c>
      <c r="F239" s="515">
        <f t="shared" si="69"/>
        <v>994.92971699999987</v>
      </c>
      <c r="G239" s="515">
        <f t="shared" si="69"/>
        <v>846.67248899999993</v>
      </c>
      <c r="H239" s="515">
        <f t="shared" si="69"/>
        <v>1718.4316940000001</v>
      </c>
      <c r="I239" s="515">
        <f t="shared" si="69"/>
        <v>1904.0653989999996</v>
      </c>
      <c r="J239" s="515">
        <f t="shared" si="69"/>
        <v>3399.9718039999998</v>
      </c>
      <c r="K239" s="515">
        <f t="shared" si="69"/>
        <v>547.17000000000007</v>
      </c>
      <c r="L239" s="515">
        <f t="shared" si="69"/>
        <v>2718.3010040000008</v>
      </c>
      <c r="M239" s="520">
        <f t="shared" si="69"/>
        <v>714.658726</v>
      </c>
      <c r="N239" s="517">
        <f t="shared" si="69"/>
        <v>14097.916254</v>
      </c>
    </row>
    <row r="240" spans="2:15" x14ac:dyDescent="0.2">
      <c r="B240" s="763"/>
      <c r="C240" s="760" t="s">
        <v>139</v>
      </c>
      <c r="D240" s="275" t="s">
        <v>131</v>
      </c>
      <c r="E240" s="490">
        <v>0</v>
      </c>
      <c r="F240" s="164">
        <v>224.01886199999996</v>
      </c>
      <c r="G240" s="164">
        <v>12.579129999999999</v>
      </c>
      <c r="H240" s="491">
        <v>0</v>
      </c>
      <c r="I240" s="491">
        <v>0</v>
      </c>
      <c r="J240" s="491">
        <v>0</v>
      </c>
      <c r="K240" s="491">
        <v>0</v>
      </c>
      <c r="L240" s="491">
        <v>0</v>
      </c>
      <c r="M240" s="491">
        <v>0</v>
      </c>
      <c r="N240" s="492">
        <f>SUM(E240:M240)</f>
        <v>236.59799199999995</v>
      </c>
    </row>
    <row r="241" spans="2:14" x14ac:dyDescent="0.2">
      <c r="B241" s="763"/>
      <c r="C241" s="760"/>
      <c r="D241" s="276" t="s">
        <v>132</v>
      </c>
      <c r="E241" s="490">
        <v>0</v>
      </c>
      <c r="F241" s="288">
        <v>2.4476799999999996</v>
      </c>
      <c r="G241" s="288">
        <v>503.85736199999997</v>
      </c>
      <c r="H241" s="288">
        <v>229.37900000000002</v>
      </c>
      <c r="I241" s="288">
        <v>23.507950000000001</v>
      </c>
      <c r="J241" s="491">
        <v>0</v>
      </c>
      <c r="K241" s="491">
        <v>0</v>
      </c>
      <c r="L241" s="491">
        <v>0</v>
      </c>
      <c r="M241" s="491">
        <v>0</v>
      </c>
      <c r="N241" s="492">
        <f>SUM(E241:M241)</f>
        <v>759.19199200000003</v>
      </c>
    </row>
    <row r="242" spans="2:14" x14ac:dyDescent="0.2">
      <c r="B242" s="763"/>
      <c r="C242" s="761"/>
      <c r="D242" s="277" t="s">
        <v>133</v>
      </c>
      <c r="E242" s="490">
        <v>0</v>
      </c>
      <c r="F242" s="498">
        <v>0</v>
      </c>
      <c r="G242" s="491">
        <v>0</v>
      </c>
      <c r="H242" s="491">
        <v>0</v>
      </c>
      <c r="I242" s="491">
        <v>0</v>
      </c>
      <c r="J242" s="491">
        <v>0</v>
      </c>
      <c r="K242" s="491">
        <v>0</v>
      </c>
      <c r="L242" s="290">
        <v>31.08005</v>
      </c>
      <c r="M242" s="491">
        <v>0</v>
      </c>
      <c r="N242" s="492">
        <f>SUM(E242:M242)</f>
        <v>31.08005</v>
      </c>
    </row>
    <row r="243" spans="2:14" x14ac:dyDescent="0.2">
      <c r="B243" s="764"/>
      <c r="C243" s="280" t="s">
        <v>140</v>
      </c>
      <c r="D243" s="281"/>
      <c r="E243" s="514">
        <f t="shared" ref="E243:M243" si="70">SUM(E240:E242)</f>
        <v>0</v>
      </c>
      <c r="F243" s="513">
        <f t="shared" si="70"/>
        <v>226.46654199999995</v>
      </c>
      <c r="G243" s="514">
        <f t="shared" si="70"/>
        <v>516.43649199999993</v>
      </c>
      <c r="H243" s="514">
        <f t="shared" si="70"/>
        <v>229.37900000000002</v>
      </c>
      <c r="I243" s="514">
        <f t="shared" si="70"/>
        <v>23.507950000000001</v>
      </c>
      <c r="J243" s="514">
        <f t="shared" si="70"/>
        <v>0</v>
      </c>
      <c r="K243" s="514">
        <f t="shared" si="70"/>
        <v>0</v>
      </c>
      <c r="L243" s="514">
        <f t="shared" si="70"/>
        <v>31.08005</v>
      </c>
      <c r="M243" s="514">
        <f t="shared" si="70"/>
        <v>0</v>
      </c>
      <c r="N243" s="517">
        <f>SUM(N240:N242)</f>
        <v>1026.870034</v>
      </c>
    </row>
    <row r="244" spans="2:14" x14ac:dyDescent="0.2">
      <c r="B244" s="72" t="s">
        <v>728</v>
      </c>
      <c r="C244" s="73"/>
      <c r="D244" s="269"/>
      <c r="E244" s="495">
        <f t="shared" ref="E244:N244" si="71">+E243+E239+E235+E231</f>
        <v>3176.0095559999995</v>
      </c>
      <c r="F244" s="495">
        <f t="shared" si="71"/>
        <v>4397.9234759999999</v>
      </c>
      <c r="G244" s="495">
        <f t="shared" si="71"/>
        <v>4798.5313040000001</v>
      </c>
      <c r="H244" s="495">
        <f t="shared" si="71"/>
        <v>4256.1650750000008</v>
      </c>
      <c r="I244" s="495">
        <f t="shared" si="71"/>
        <v>4847.1529319999991</v>
      </c>
      <c r="J244" s="495">
        <f t="shared" si="71"/>
        <v>8889.1509909999986</v>
      </c>
      <c r="K244" s="495">
        <f t="shared" si="71"/>
        <v>1717.9954700000001</v>
      </c>
      <c r="L244" s="495">
        <f t="shared" si="71"/>
        <v>8387.5046020000009</v>
      </c>
      <c r="M244" s="495">
        <f t="shared" si="71"/>
        <v>3461.3820899999987</v>
      </c>
      <c r="N244" s="496">
        <f t="shared" si="71"/>
        <v>43931.815496000003</v>
      </c>
    </row>
    <row r="245" spans="2:14" x14ac:dyDescent="0.2">
      <c r="B245" s="762">
        <v>2016</v>
      </c>
      <c r="C245" s="756" t="s">
        <v>133</v>
      </c>
      <c r="D245" s="275" t="s">
        <v>131</v>
      </c>
      <c r="E245" s="477" t="s">
        <v>260</v>
      </c>
      <c r="F245" s="261">
        <v>5.4678650000000006</v>
      </c>
      <c r="G245" s="261">
        <v>14.282560000000004</v>
      </c>
      <c r="H245" s="477" t="s">
        <v>260</v>
      </c>
      <c r="I245" s="477" t="s">
        <v>260</v>
      </c>
      <c r="J245" s="477" t="s">
        <v>260</v>
      </c>
      <c r="K245" s="477" t="s">
        <v>260</v>
      </c>
      <c r="L245" s="261">
        <v>4.1160399999999999</v>
      </c>
      <c r="M245" s="261">
        <v>2.17692</v>
      </c>
      <c r="N245" s="494">
        <f>SUM(E245:M245)</f>
        <v>26.043385000000004</v>
      </c>
    </row>
    <row r="246" spans="2:14" x14ac:dyDescent="0.2">
      <c r="B246" s="763"/>
      <c r="C246" s="757"/>
      <c r="D246" s="276" t="s">
        <v>132</v>
      </c>
      <c r="E246" s="477" t="s">
        <v>260</v>
      </c>
      <c r="F246" s="477" t="s">
        <v>260</v>
      </c>
      <c r="G246" s="477" t="s">
        <v>260</v>
      </c>
      <c r="H246" s="477" t="s">
        <v>260</v>
      </c>
      <c r="I246" s="477" t="s">
        <v>260</v>
      </c>
      <c r="J246" s="477" t="s">
        <v>260</v>
      </c>
      <c r="K246" s="477" t="s">
        <v>260</v>
      </c>
      <c r="L246" s="477" t="s">
        <v>260</v>
      </c>
      <c r="M246" s="261">
        <v>0.45680999999999994</v>
      </c>
      <c r="N246" s="492">
        <f>SUM(E246:M246)</f>
        <v>0.45680999999999994</v>
      </c>
    </row>
    <row r="247" spans="2:14" x14ac:dyDescent="0.2">
      <c r="B247" s="763"/>
      <c r="C247" s="757"/>
      <c r="D247" s="277" t="s">
        <v>133</v>
      </c>
      <c r="E247" s="261">
        <v>107.44264100000001</v>
      </c>
      <c r="F247" s="261">
        <v>33.223228999999996</v>
      </c>
      <c r="G247" s="261">
        <v>76.707170000000005</v>
      </c>
      <c r="H247" s="290">
        <v>131.77367900000002</v>
      </c>
      <c r="I247" s="477" t="s">
        <v>260</v>
      </c>
      <c r="J247" s="477" t="s">
        <v>260</v>
      </c>
      <c r="K247" s="477" t="s">
        <v>260</v>
      </c>
      <c r="L247" s="261">
        <v>9.4219000000000008</v>
      </c>
      <c r="M247" s="261">
        <v>145.07151100000002</v>
      </c>
      <c r="N247" s="492">
        <f>SUM(E247:M247)</f>
        <v>503.64013</v>
      </c>
    </row>
    <row r="248" spans="2:14" x14ac:dyDescent="0.2">
      <c r="B248" s="763"/>
      <c r="C248" s="278" t="s">
        <v>141</v>
      </c>
      <c r="D248" s="279"/>
      <c r="E248" s="515">
        <f>SUM(E245:E247)</f>
        <v>107.44264100000001</v>
      </c>
      <c r="F248" s="515">
        <f t="shared" ref="F248:M248" si="72">SUM(F245:F247)</f>
        <v>38.691094</v>
      </c>
      <c r="G248" s="515">
        <f t="shared" si="72"/>
        <v>90.989730000000009</v>
      </c>
      <c r="H248" s="515">
        <f t="shared" si="72"/>
        <v>131.77367900000002</v>
      </c>
      <c r="I248" s="515">
        <f t="shared" si="72"/>
        <v>0</v>
      </c>
      <c r="J248" s="515">
        <f t="shared" si="72"/>
        <v>0</v>
      </c>
      <c r="K248" s="515">
        <f t="shared" si="72"/>
        <v>0</v>
      </c>
      <c r="L248" s="515">
        <f t="shared" si="72"/>
        <v>13.537940000000001</v>
      </c>
      <c r="M248" s="515">
        <f t="shared" si="72"/>
        <v>147.705241</v>
      </c>
      <c r="N248" s="517">
        <f>SUM(N245:N247)</f>
        <v>530.14032499999996</v>
      </c>
    </row>
    <row r="249" spans="2:14" x14ac:dyDescent="0.2">
      <c r="B249" s="763"/>
      <c r="C249" s="758" t="s">
        <v>135</v>
      </c>
      <c r="D249" s="275" t="s">
        <v>131</v>
      </c>
      <c r="E249" s="730">
        <v>1276.7767200000003</v>
      </c>
      <c r="F249" s="730">
        <v>1273.5403540000002</v>
      </c>
      <c r="G249" s="730">
        <v>1288.0048669999999</v>
      </c>
      <c r="H249" s="730">
        <v>653.85287200000062</v>
      </c>
      <c r="I249" s="730">
        <v>1002.6825969999996</v>
      </c>
      <c r="J249" s="730">
        <v>3216.4242690000001</v>
      </c>
      <c r="K249" s="730">
        <v>1057.9629910000001</v>
      </c>
      <c r="L249" s="730">
        <v>2857.2228670000004</v>
      </c>
      <c r="M249" s="730">
        <v>787.70850599999937</v>
      </c>
      <c r="N249" s="494">
        <f>SUM(E249:M249)</f>
        <v>13414.176042999999</v>
      </c>
    </row>
    <row r="250" spans="2:14" x14ac:dyDescent="0.2">
      <c r="B250" s="763"/>
      <c r="C250" s="758"/>
      <c r="D250" s="276" t="s">
        <v>132</v>
      </c>
      <c r="E250" s="730">
        <v>656.92081900000028</v>
      </c>
      <c r="F250" s="730">
        <v>2048.6139460000009</v>
      </c>
      <c r="G250" s="730">
        <v>1841.3989179999999</v>
      </c>
      <c r="H250" s="730">
        <v>1089.7584700000007</v>
      </c>
      <c r="I250" s="730">
        <v>1838.0038750000024</v>
      </c>
      <c r="J250" s="730">
        <v>2328.9902020000031</v>
      </c>
      <c r="K250" s="730">
        <v>455.85025800000011</v>
      </c>
      <c r="L250" s="730">
        <v>2351.8029700000011</v>
      </c>
      <c r="M250" s="730">
        <v>1390.942560999998</v>
      </c>
      <c r="N250" s="492">
        <f>SUM(E250:M250)</f>
        <v>14002.282019000006</v>
      </c>
    </row>
    <row r="251" spans="2:14" x14ac:dyDescent="0.2">
      <c r="B251" s="763"/>
      <c r="C251" s="758"/>
      <c r="D251" s="276" t="s">
        <v>133</v>
      </c>
      <c r="E251" s="730">
        <v>14.560599999999999</v>
      </c>
      <c r="F251" s="730">
        <v>9.9810299999999987</v>
      </c>
      <c r="G251" s="730">
        <v>44.179449999999996</v>
      </c>
      <c r="H251" s="730">
        <v>17.405100000000004</v>
      </c>
      <c r="I251" s="730">
        <v>28.612599999999986</v>
      </c>
      <c r="J251" s="730">
        <v>53.040248999999989</v>
      </c>
      <c r="K251" s="477" t="s">
        <v>260</v>
      </c>
      <c r="L251" s="730">
        <v>1.1999999999999999E-4</v>
      </c>
      <c r="M251" s="730">
        <v>51.506719999999994</v>
      </c>
      <c r="N251" s="499">
        <f>SUM(E251:M251)</f>
        <v>219.28586899999999</v>
      </c>
    </row>
    <row r="252" spans="2:14" x14ac:dyDescent="0.2">
      <c r="B252" s="763"/>
      <c r="C252" s="278" t="s">
        <v>136</v>
      </c>
      <c r="D252" s="279"/>
      <c r="E252" s="514">
        <f>SUM(E249:E251)</f>
        <v>1948.2581390000007</v>
      </c>
      <c r="F252" s="514">
        <f t="shared" ref="F252:M252" si="73">SUM(F249:F251)</f>
        <v>3332.135330000001</v>
      </c>
      <c r="G252" s="514">
        <f t="shared" si="73"/>
        <v>3173.5832349999996</v>
      </c>
      <c r="H252" s="514">
        <f t="shared" si="73"/>
        <v>1761.0164420000012</v>
      </c>
      <c r="I252" s="514">
        <f t="shared" si="73"/>
        <v>2869.2990720000021</v>
      </c>
      <c r="J252" s="514">
        <f t="shared" si="73"/>
        <v>5598.4547200000034</v>
      </c>
      <c r="K252" s="514">
        <f t="shared" si="73"/>
        <v>1513.8132490000003</v>
      </c>
      <c r="L252" s="514">
        <f t="shared" si="73"/>
        <v>5209.0259570000007</v>
      </c>
      <c r="M252" s="514">
        <f t="shared" si="73"/>
        <v>2230.1577869999974</v>
      </c>
      <c r="N252" s="517">
        <f>SUM(N249:N251)</f>
        <v>27635.743931000005</v>
      </c>
    </row>
    <row r="253" spans="2:14" x14ac:dyDescent="0.2">
      <c r="B253" s="763"/>
      <c r="C253" s="759" t="s">
        <v>137</v>
      </c>
      <c r="D253" s="275" t="s">
        <v>131</v>
      </c>
      <c r="E253" s="164">
        <v>1076.0722670000002</v>
      </c>
      <c r="F253" s="164">
        <v>546.98906999999997</v>
      </c>
      <c r="G253" s="164">
        <v>1247.975854</v>
      </c>
      <c r="H253" s="164">
        <v>2187.0608800000005</v>
      </c>
      <c r="I253" s="164">
        <v>2514.3013590000005</v>
      </c>
      <c r="J253" s="164">
        <v>4288.6969870000021</v>
      </c>
      <c r="K253" s="164">
        <v>757.29299999999989</v>
      </c>
      <c r="L253" s="164">
        <v>2755.6681390000003</v>
      </c>
      <c r="M253" s="164">
        <v>660.43291099999988</v>
      </c>
      <c r="N253" s="494">
        <f>SUM(E253:M253)</f>
        <v>16034.490467000003</v>
      </c>
    </row>
    <row r="254" spans="2:14" x14ac:dyDescent="0.2">
      <c r="B254" s="763"/>
      <c r="C254" s="759"/>
      <c r="D254" s="276" t="s">
        <v>132</v>
      </c>
      <c r="E254" s="261">
        <v>0.45</v>
      </c>
      <c r="F254" s="261">
        <v>0.16</v>
      </c>
      <c r="G254" s="261">
        <v>18.9315</v>
      </c>
      <c r="H254" s="261">
        <v>34.963104999999999</v>
      </c>
      <c r="I254" s="477" t="s">
        <v>260</v>
      </c>
      <c r="J254" s="261">
        <v>70.314850000000007</v>
      </c>
      <c r="K254" s="477" t="s">
        <v>260</v>
      </c>
      <c r="L254" s="261">
        <v>36.155493999999997</v>
      </c>
      <c r="M254" s="477" t="s">
        <v>260</v>
      </c>
      <c r="N254" s="492">
        <f>SUM(E254:M254)</f>
        <v>160.97494900000001</v>
      </c>
    </row>
    <row r="255" spans="2:14" x14ac:dyDescent="0.2">
      <c r="B255" s="763"/>
      <c r="C255" s="759"/>
      <c r="D255" s="277" t="s">
        <v>133</v>
      </c>
      <c r="E255" s="261">
        <v>1.7180000000000001E-2</v>
      </c>
      <c r="F255" s="477" t="s">
        <v>260</v>
      </c>
      <c r="G255" s="477" t="s">
        <v>260</v>
      </c>
      <c r="H255" s="477" t="s">
        <v>260</v>
      </c>
      <c r="I255" s="477" t="s">
        <v>260</v>
      </c>
      <c r="J255" s="261">
        <v>49.998059999999995</v>
      </c>
      <c r="K255" s="477" t="s">
        <v>260</v>
      </c>
      <c r="L255" s="261">
        <v>3.7579999999999995E-2</v>
      </c>
      <c r="M255" s="477" t="s">
        <v>260</v>
      </c>
      <c r="N255" s="499">
        <f>SUM(E255:M255)</f>
        <v>50.052819999999997</v>
      </c>
    </row>
    <row r="256" spans="2:14" x14ac:dyDescent="0.2">
      <c r="B256" s="763"/>
      <c r="C256" s="278" t="s">
        <v>138</v>
      </c>
      <c r="D256" s="279"/>
      <c r="E256" s="515">
        <f>SUM(E253:E255)</f>
        <v>1076.5394470000003</v>
      </c>
      <c r="F256" s="515">
        <f t="shared" ref="F256:M256" si="74">SUM(F253:F255)</f>
        <v>547.14906999999994</v>
      </c>
      <c r="G256" s="515">
        <f t="shared" si="74"/>
        <v>1266.9073539999999</v>
      </c>
      <c r="H256" s="515">
        <f t="shared" si="74"/>
        <v>2222.0239850000003</v>
      </c>
      <c r="I256" s="515">
        <f t="shared" si="74"/>
        <v>2514.3013590000005</v>
      </c>
      <c r="J256" s="515">
        <f t="shared" si="74"/>
        <v>4409.0098970000017</v>
      </c>
      <c r="K256" s="515">
        <f t="shared" si="74"/>
        <v>757.29299999999989</v>
      </c>
      <c r="L256" s="515">
        <f t="shared" si="74"/>
        <v>2791.8612130000006</v>
      </c>
      <c r="M256" s="515">
        <f t="shared" si="74"/>
        <v>660.43291099999988</v>
      </c>
      <c r="N256" s="517">
        <f>SUM(N253:N255)</f>
        <v>16245.518236000004</v>
      </c>
    </row>
    <row r="257" spans="2:16" x14ac:dyDescent="0.2">
      <c r="B257" s="763"/>
      <c r="C257" s="760" t="s">
        <v>139</v>
      </c>
      <c r="D257" s="275" t="s">
        <v>131</v>
      </c>
      <c r="E257" s="477" t="s">
        <v>260</v>
      </c>
      <c r="F257" s="164">
        <v>4.0074630000000004</v>
      </c>
      <c r="G257" s="164">
        <v>0.52774999999999994</v>
      </c>
      <c r="H257" s="477" t="s">
        <v>260</v>
      </c>
      <c r="I257" s="477" t="s">
        <v>260</v>
      </c>
      <c r="J257" s="477" t="s">
        <v>260</v>
      </c>
      <c r="K257" s="477" t="s">
        <v>260</v>
      </c>
      <c r="L257" s="477" t="s">
        <v>260</v>
      </c>
      <c r="M257" s="477" t="s">
        <v>260</v>
      </c>
      <c r="N257" s="492">
        <f>SUM(E257:M257)</f>
        <v>4.5352130000000006</v>
      </c>
    </row>
    <row r="258" spans="2:16" x14ac:dyDescent="0.2">
      <c r="B258" s="763"/>
      <c r="C258" s="760"/>
      <c r="D258" s="276" t="s">
        <v>132</v>
      </c>
      <c r="E258" s="477" t="s">
        <v>260</v>
      </c>
      <c r="F258" s="477" t="s">
        <v>260</v>
      </c>
      <c r="G258" s="288">
        <v>217.78055600000002</v>
      </c>
      <c r="H258" s="288">
        <v>57.856999999999999</v>
      </c>
      <c r="I258" s="288">
        <v>2.10006</v>
      </c>
      <c r="J258" s="477" t="s">
        <v>260</v>
      </c>
      <c r="K258" s="477" t="s">
        <v>260</v>
      </c>
      <c r="L258" s="477" t="s">
        <v>260</v>
      </c>
      <c r="M258" s="477" t="s">
        <v>260</v>
      </c>
      <c r="N258" s="492">
        <f>SUM(E258:M258)</f>
        <v>277.737616</v>
      </c>
    </row>
    <row r="259" spans="2:16" x14ac:dyDescent="0.2">
      <c r="B259" s="763"/>
      <c r="C259" s="761"/>
      <c r="D259" s="277" t="s">
        <v>133</v>
      </c>
      <c r="E259" s="477" t="s">
        <v>260</v>
      </c>
      <c r="F259" s="477" t="s">
        <v>260</v>
      </c>
      <c r="G259" s="477" t="s">
        <v>260</v>
      </c>
      <c r="H259" s="477" t="s">
        <v>260</v>
      </c>
      <c r="I259" s="477" t="s">
        <v>260</v>
      </c>
      <c r="J259" s="477" t="s">
        <v>260</v>
      </c>
      <c r="K259" s="477" t="s">
        <v>260</v>
      </c>
      <c r="L259" s="729">
        <v>21.221919999999997</v>
      </c>
      <c r="M259" s="477" t="s">
        <v>260</v>
      </c>
      <c r="N259" s="492">
        <f>SUM(E259:M259)</f>
        <v>21.221919999999997</v>
      </c>
    </row>
    <row r="260" spans="2:16" x14ac:dyDescent="0.2">
      <c r="B260" s="764"/>
      <c r="C260" s="280" t="s">
        <v>140</v>
      </c>
      <c r="D260" s="281"/>
      <c r="E260" s="514">
        <f t="shared" ref="E260:M260" si="75">SUM(E257:E259)</f>
        <v>0</v>
      </c>
      <c r="F260" s="515">
        <f t="shared" si="75"/>
        <v>4.0074630000000004</v>
      </c>
      <c r="G260" s="514">
        <f t="shared" si="75"/>
        <v>218.30830600000002</v>
      </c>
      <c r="H260" s="514">
        <f t="shared" si="75"/>
        <v>57.856999999999999</v>
      </c>
      <c r="I260" s="514">
        <f t="shared" si="75"/>
        <v>2.10006</v>
      </c>
      <c r="J260" s="514">
        <f t="shared" si="75"/>
        <v>0</v>
      </c>
      <c r="K260" s="514">
        <f t="shared" si="75"/>
        <v>0</v>
      </c>
      <c r="L260" s="514">
        <f t="shared" si="75"/>
        <v>21.221919999999997</v>
      </c>
      <c r="M260" s="514">
        <f t="shared" si="75"/>
        <v>0</v>
      </c>
      <c r="N260" s="517">
        <f>SUM(N257:N259)</f>
        <v>303.49474900000001</v>
      </c>
    </row>
    <row r="261" spans="2:16" x14ac:dyDescent="0.2">
      <c r="B261" s="72" t="s">
        <v>797</v>
      </c>
      <c r="C261" s="73"/>
      <c r="D261" s="269"/>
      <c r="E261" s="495">
        <f>+E260+E256+E252+E248</f>
        <v>3132.2402270000011</v>
      </c>
      <c r="F261" s="495">
        <f t="shared" ref="F261:M261" si="76">+F260+F256+F252+F248</f>
        <v>3921.9829570000006</v>
      </c>
      <c r="G261" s="495">
        <f t="shared" si="76"/>
        <v>4749.7886250000001</v>
      </c>
      <c r="H261" s="495">
        <f t="shared" si="76"/>
        <v>4172.6711060000016</v>
      </c>
      <c r="I261" s="495">
        <f t="shared" si="76"/>
        <v>5385.7004910000032</v>
      </c>
      <c r="J261" s="495">
        <f>+J260+J256+J252+J248</f>
        <v>10007.464617000005</v>
      </c>
      <c r="K261" s="495">
        <f t="shared" si="76"/>
        <v>2271.1062490000004</v>
      </c>
      <c r="L261" s="495">
        <f t="shared" si="76"/>
        <v>8035.6470300000019</v>
      </c>
      <c r="M261" s="495">
        <f t="shared" si="76"/>
        <v>3038.2959389999974</v>
      </c>
      <c r="N261" s="495">
        <f>+N260+N256+N252+N248</f>
        <v>44714.897241000013</v>
      </c>
    </row>
    <row r="262" spans="2:16" x14ac:dyDescent="0.2">
      <c r="B262" s="85"/>
      <c r="C262" s="116"/>
      <c r="D262" s="291"/>
      <c r="E262" s="292"/>
      <c r="F262" s="292"/>
      <c r="G262" s="292"/>
      <c r="H262" s="292"/>
      <c r="I262" s="292"/>
      <c r="J262" s="292"/>
      <c r="K262" s="292"/>
      <c r="L262" s="292"/>
      <c r="M262" s="292"/>
      <c r="N262" s="293"/>
    </row>
    <row r="263" spans="2:16" x14ac:dyDescent="0.2">
      <c r="B263" s="116" t="s">
        <v>142</v>
      </c>
      <c r="C263" s="78"/>
      <c r="D263" s="79"/>
      <c r="E263" s="78"/>
      <c r="F263" s="78"/>
      <c r="G263" s="78"/>
      <c r="H263" s="78"/>
      <c r="I263" s="78"/>
      <c r="J263" s="78"/>
      <c r="K263" s="78"/>
      <c r="L263" s="78"/>
      <c r="M263" s="78"/>
      <c r="N263" s="78"/>
    </row>
    <row r="264" spans="2:16" x14ac:dyDescent="0.2">
      <c r="B264" s="78" t="s">
        <v>29</v>
      </c>
      <c r="C264" s="78"/>
      <c r="D264" s="79"/>
      <c r="E264" s="78"/>
      <c r="F264" s="78"/>
      <c r="G264" s="78"/>
      <c r="H264" s="78"/>
      <c r="I264" s="78"/>
      <c r="J264" s="78"/>
      <c r="K264" s="78"/>
      <c r="L264" s="78"/>
      <c r="M264" s="78"/>
      <c r="N264" s="78"/>
    </row>
    <row r="265" spans="2:16" x14ac:dyDescent="0.2">
      <c r="B265" s="78" t="s">
        <v>39</v>
      </c>
      <c r="C265" s="78"/>
      <c r="D265" s="79"/>
      <c r="E265" s="78"/>
      <c r="F265" s="78"/>
      <c r="G265" s="78"/>
      <c r="H265" s="78"/>
      <c r="I265" s="78"/>
      <c r="J265" s="78"/>
      <c r="K265" s="78"/>
      <c r="L265" s="78"/>
      <c r="M265" s="78"/>
      <c r="N265" s="78"/>
    </row>
    <row r="266" spans="2:16" x14ac:dyDescent="0.2">
      <c r="B266" s="78" t="s">
        <v>143</v>
      </c>
      <c r="C266" s="78"/>
      <c r="D266" s="79"/>
      <c r="E266" s="78"/>
      <c r="F266" s="78"/>
      <c r="G266" s="78"/>
      <c r="H266" s="78"/>
      <c r="I266" s="78"/>
      <c r="J266" s="78"/>
      <c r="K266" s="78"/>
      <c r="L266" s="78"/>
      <c r="M266" s="78"/>
      <c r="N266" s="78"/>
    </row>
    <row r="267" spans="2:16" x14ac:dyDescent="0.2">
      <c r="B267" s="78" t="s">
        <v>144</v>
      </c>
      <c r="C267" s="78"/>
      <c r="D267" s="79"/>
      <c r="E267" s="78"/>
      <c r="F267" s="78"/>
      <c r="G267" s="78"/>
      <c r="H267" s="78"/>
      <c r="I267" s="78"/>
      <c r="J267" s="78"/>
      <c r="K267" s="78"/>
      <c r="L267" s="78"/>
      <c r="M267" s="78"/>
      <c r="N267" s="78"/>
    </row>
    <row r="268" spans="2:16" x14ac:dyDescent="0.2">
      <c r="B268" s="78" t="s">
        <v>145</v>
      </c>
      <c r="C268" s="78"/>
      <c r="D268" s="79"/>
      <c r="E268" s="78"/>
      <c r="F268" s="78"/>
      <c r="G268" s="78"/>
      <c r="H268" s="78"/>
      <c r="I268" s="78"/>
      <c r="J268" s="78"/>
      <c r="K268" s="78"/>
      <c r="L268" s="78"/>
      <c r="M268" s="78"/>
      <c r="N268" s="78"/>
    </row>
    <row r="269" spans="2:16" x14ac:dyDescent="0.2">
      <c r="B269" s="755" t="s">
        <v>1055</v>
      </c>
      <c r="C269" s="755"/>
      <c r="D269" s="755"/>
      <c r="E269" s="755"/>
      <c r="F269" s="755"/>
      <c r="G269" s="755"/>
      <c r="H269" s="755"/>
      <c r="I269" s="755"/>
      <c r="J269" s="78"/>
      <c r="K269" s="78"/>
      <c r="L269" s="78"/>
      <c r="M269" s="78"/>
      <c r="N269" s="78"/>
    </row>
    <row r="270" spans="2:16" x14ac:dyDescent="0.2">
      <c r="B270" s="737"/>
      <c r="C270" s="737"/>
      <c r="D270" s="737"/>
      <c r="E270" s="737"/>
      <c r="F270" s="737"/>
      <c r="G270" s="737"/>
      <c r="H270" s="737"/>
      <c r="I270" s="737"/>
      <c r="J270" s="728"/>
      <c r="K270" s="728"/>
      <c r="L270" s="728"/>
      <c r="M270" s="728"/>
      <c r="N270" s="728"/>
    </row>
    <row r="271" spans="2:16" ht="15.75" x14ac:dyDescent="0.25">
      <c r="B271" s="78" t="s">
        <v>146</v>
      </c>
      <c r="C271" s="78"/>
      <c r="D271" s="79"/>
      <c r="E271" s="78"/>
      <c r="F271" s="78"/>
      <c r="G271" s="78"/>
      <c r="H271" s="731"/>
      <c r="I271" s="731"/>
      <c r="J271" s="731"/>
      <c r="K271" s="731"/>
      <c r="L271" s="731"/>
      <c r="M271" s="731"/>
      <c r="N271" s="731"/>
      <c r="O271" s="731"/>
      <c r="P271" s="732"/>
    </row>
    <row r="272" spans="2:16" x14ac:dyDescent="0.2">
      <c r="H272" s="733"/>
      <c r="I272" s="734"/>
      <c r="J272" s="734"/>
      <c r="K272" s="734"/>
      <c r="L272" s="734"/>
      <c r="M272" s="734"/>
      <c r="N272" s="734"/>
      <c r="O272" s="734"/>
      <c r="P272" s="732"/>
    </row>
    <row r="273" spans="8:16" x14ac:dyDescent="0.2">
      <c r="H273" s="733"/>
      <c r="I273" s="734"/>
      <c r="J273" s="734"/>
      <c r="K273" s="734"/>
      <c r="L273" s="734"/>
      <c r="M273" s="734"/>
      <c r="N273" s="734"/>
      <c r="O273" s="734"/>
      <c r="P273" s="732"/>
    </row>
    <row r="274" spans="8:16" x14ac:dyDescent="0.2">
      <c r="H274" s="733"/>
      <c r="I274" s="734"/>
      <c r="J274" s="734"/>
      <c r="K274" s="734"/>
      <c r="L274" s="734"/>
      <c r="M274" s="734"/>
      <c r="N274" s="734"/>
      <c r="O274" s="734"/>
      <c r="P274" s="732"/>
    </row>
    <row r="275" spans="8:16" ht="15.75" x14ac:dyDescent="0.25">
      <c r="H275" s="735"/>
      <c r="I275" s="736"/>
      <c r="J275" s="736"/>
      <c r="K275" s="736"/>
      <c r="L275" s="736"/>
      <c r="M275" s="736"/>
      <c r="N275" s="736"/>
      <c r="O275" s="736"/>
      <c r="P275" s="732"/>
    </row>
    <row r="276" spans="8:16" x14ac:dyDescent="0.2">
      <c r="H276" s="732"/>
      <c r="I276" s="732"/>
      <c r="J276" s="732"/>
      <c r="K276" s="732"/>
      <c r="L276" s="732"/>
      <c r="M276" s="732"/>
      <c r="N276" s="732"/>
      <c r="O276" s="732"/>
      <c r="P276" s="732"/>
    </row>
    <row r="277" spans="8:16" ht="15.75" x14ac:dyDescent="0.25">
      <c r="H277" s="731"/>
      <c r="I277" s="731"/>
      <c r="J277" s="731"/>
      <c r="K277" s="731"/>
      <c r="L277" s="731"/>
      <c r="M277" s="731"/>
      <c r="N277" s="731"/>
      <c r="O277" s="732"/>
      <c r="P277" s="732"/>
    </row>
    <row r="278" spans="8:16" x14ac:dyDescent="0.2">
      <c r="H278" s="733"/>
      <c r="I278" s="734"/>
      <c r="J278" s="734"/>
      <c r="K278" s="734"/>
      <c r="L278" s="734"/>
      <c r="M278" s="734"/>
      <c r="N278" s="734"/>
      <c r="O278" s="732"/>
      <c r="P278" s="732"/>
    </row>
    <row r="279" spans="8:16" x14ac:dyDescent="0.2">
      <c r="H279" s="733"/>
      <c r="I279" s="734"/>
      <c r="J279" s="734"/>
      <c r="K279" s="734"/>
      <c r="L279" s="734"/>
      <c r="M279" s="734"/>
      <c r="N279" s="734"/>
      <c r="O279" s="732"/>
      <c r="P279" s="732"/>
    </row>
    <row r="280" spans="8:16" x14ac:dyDescent="0.2">
      <c r="H280" s="733"/>
      <c r="I280" s="734"/>
      <c r="J280" s="734"/>
      <c r="K280" s="734"/>
      <c r="L280" s="734"/>
      <c r="M280" s="734"/>
      <c r="N280" s="734"/>
      <c r="O280" s="732"/>
      <c r="P280" s="732"/>
    </row>
    <row r="281" spans="8:16" ht="15.75" x14ac:dyDescent="0.25">
      <c r="H281" s="735"/>
      <c r="I281" s="736"/>
      <c r="J281" s="736"/>
      <c r="K281" s="736"/>
      <c r="L281" s="736"/>
      <c r="M281" s="736"/>
      <c r="N281" s="736"/>
      <c r="O281" s="732"/>
      <c r="P281" s="732"/>
    </row>
  </sheetData>
  <mergeCells count="77">
    <mergeCell ref="B269:I269"/>
    <mergeCell ref="C245:C247"/>
    <mergeCell ref="C249:C251"/>
    <mergeCell ref="C253:C255"/>
    <mergeCell ref="C257:C259"/>
    <mergeCell ref="B245:B260"/>
    <mergeCell ref="B211:B226"/>
    <mergeCell ref="C211:C213"/>
    <mergeCell ref="C215:C217"/>
    <mergeCell ref="C219:C221"/>
    <mergeCell ref="C223:C225"/>
    <mergeCell ref="B194:B209"/>
    <mergeCell ref="C194:C196"/>
    <mergeCell ref="C198:C200"/>
    <mergeCell ref="C202:C204"/>
    <mergeCell ref="C206:C208"/>
    <mergeCell ref="B160:B175"/>
    <mergeCell ref="C160:C162"/>
    <mergeCell ref="C164:C166"/>
    <mergeCell ref="C168:C170"/>
    <mergeCell ref="C172:C174"/>
    <mergeCell ref="B177:B192"/>
    <mergeCell ref="C177:C179"/>
    <mergeCell ref="C181:C183"/>
    <mergeCell ref="C185:C187"/>
    <mergeCell ref="C189:C191"/>
    <mergeCell ref="B126:B141"/>
    <mergeCell ref="C126:C128"/>
    <mergeCell ref="C130:C132"/>
    <mergeCell ref="C134:C136"/>
    <mergeCell ref="C138:C140"/>
    <mergeCell ref="B143:B158"/>
    <mergeCell ref="C143:C145"/>
    <mergeCell ref="C147:C149"/>
    <mergeCell ref="C151:C153"/>
    <mergeCell ref="C155:C157"/>
    <mergeCell ref="B92:B107"/>
    <mergeCell ref="C92:C94"/>
    <mergeCell ref="C96:C98"/>
    <mergeCell ref="C100:C102"/>
    <mergeCell ref="C104:C106"/>
    <mergeCell ref="B109:B124"/>
    <mergeCell ref="C109:C111"/>
    <mergeCell ref="C113:C115"/>
    <mergeCell ref="C117:C119"/>
    <mergeCell ref="C121:C123"/>
    <mergeCell ref="B58:B73"/>
    <mergeCell ref="C58:C60"/>
    <mergeCell ref="C62:C64"/>
    <mergeCell ref="C66:C68"/>
    <mergeCell ref="C70:C72"/>
    <mergeCell ref="B75:B90"/>
    <mergeCell ref="C75:C77"/>
    <mergeCell ref="C79:C81"/>
    <mergeCell ref="C83:C85"/>
    <mergeCell ref="C87:C89"/>
    <mergeCell ref="B24:B39"/>
    <mergeCell ref="C24:C26"/>
    <mergeCell ref="C28:C30"/>
    <mergeCell ref="C32:C34"/>
    <mergeCell ref="C36:C38"/>
    <mergeCell ref="B41:B56"/>
    <mergeCell ref="C41:C43"/>
    <mergeCell ref="C45:C47"/>
    <mergeCell ref="C49:C51"/>
    <mergeCell ref="C53:C55"/>
    <mergeCell ref="D5:M5"/>
    <mergeCell ref="B7:B22"/>
    <mergeCell ref="C7:C9"/>
    <mergeCell ref="C11:C13"/>
    <mergeCell ref="C15:C17"/>
    <mergeCell ref="C19:C21"/>
    <mergeCell ref="C228:C230"/>
    <mergeCell ref="C232:C234"/>
    <mergeCell ref="C236:C238"/>
    <mergeCell ref="C240:C242"/>
    <mergeCell ref="B228:B243"/>
  </mergeCells>
  <pageMargins left="0.70866141732283472" right="0.70866141732283472" top="0.74803149606299213" bottom="0.74803149606299213" header="0.31496062992125984" footer="0.31496062992125984"/>
  <pageSetup paperSize="8" scale="77" fitToHeight="3" orientation="portrait"/>
  <ignoredErrors>
    <ignoredError sqref="N188 N2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M22"/>
  <sheetViews>
    <sheetView showGridLines="0" workbookViewId="0"/>
  </sheetViews>
  <sheetFormatPr defaultRowHeight="12.75" x14ac:dyDescent="0.2"/>
  <cols>
    <col min="1" max="1" width="5.7109375" style="78" customWidth="1"/>
    <col min="2" max="2" width="33.5703125" style="78" customWidth="1"/>
    <col min="3" max="3" width="16" style="78" customWidth="1"/>
    <col min="4" max="4" width="15.42578125" style="78" customWidth="1"/>
    <col min="5" max="5" width="18.140625" style="78" customWidth="1"/>
    <col min="6" max="6" width="17" style="78" customWidth="1"/>
    <col min="7" max="7" width="15.7109375" style="78" customWidth="1"/>
    <col min="8" max="8" width="15" style="78" customWidth="1"/>
    <col min="9" max="9" width="11.42578125" style="78" customWidth="1"/>
    <col min="10" max="10" width="10" style="78" bestFit="1" customWidth="1"/>
    <col min="11" max="11" width="14.42578125" style="78" customWidth="1"/>
    <col min="12" max="12" width="12.5703125" style="78" customWidth="1"/>
    <col min="13" max="16" width="12" style="78" customWidth="1"/>
    <col min="17" max="17" width="14.28515625" style="78" customWidth="1"/>
    <col min="18" max="18" width="12" style="78" customWidth="1"/>
    <col min="19" max="16384" width="9.140625" style="78"/>
  </cols>
  <sheetData>
    <row r="1" spans="1:13" x14ac:dyDescent="0.2">
      <c r="A1" s="242"/>
    </row>
    <row r="2" spans="1:13" ht="18" customHeight="1" x14ac:dyDescent="0.2">
      <c r="B2" s="86" t="s">
        <v>798</v>
      </c>
      <c r="C2" s="295"/>
      <c r="D2" s="243"/>
      <c r="E2" s="295"/>
      <c r="F2" s="295"/>
      <c r="G2" s="116"/>
      <c r="H2" s="295"/>
      <c r="I2" s="296"/>
    </row>
    <row r="3" spans="1:13" ht="18.75" x14ac:dyDescent="0.2">
      <c r="B3" s="244" t="s">
        <v>30</v>
      </c>
      <c r="C3" s="295"/>
      <c r="D3" s="295"/>
      <c r="E3" s="295"/>
      <c r="F3" s="295"/>
      <c r="G3" s="116"/>
      <c r="H3" s="295"/>
      <c r="I3" s="296"/>
    </row>
    <row r="4" spans="1:13" x14ac:dyDescent="0.2">
      <c r="B4" s="297"/>
    </row>
    <row r="5" spans="1:13" ht="12.75" customHeight="1" x14ac:dyDescent="0.2">
      <c r="B5" s="781" t="s">
        <v>22</v>
      </c>
      <c r="C5" s="783" t="s">
        <v>117</v>
      </c>
      <c r="D5" s="784"/>
      <c r="E5" s="784"/>
      <c r="F5" s="784"/>
      <c r="G5" s="784"/>
      <c r="H5" s="784"/>
      <c r="I5" s="784"/>
      <c r="J5" s="784"/>
      <c r="K5" s="785"/>
      <c r="L5" s="777" t="s">
        <v>118</v>
      </c>
    </row>
    <row r="6" spans="1:13" ht="37.5" customHeight="1" x14ac:dyDescent="0.2">
      <c r="B6" s="782"/>
      <c r="C6" s="76" t="s">
        <v>119</v>
      </c>
      <c r="D6" s="76" t="s">
        <v>120</v>
      </c>
      <c r="E6" s="76" t="s">
        <v>121</v>
      </c>
      <c r="F6" s="76" t="s">
        <v>67</v>
      </c>
      <c r="G6" s="76" t="s">
        <v>122</v>
      </c>
      <c r="H6" s="76" t="s">
        <v>123</v>
      </c>
      <c r="I6" s="76" t="s">
        <v>124</v>
      </c>
      <c r="J6" s="76" t="s">
        <v>125</v>
      </c>
      <c r="K6" s="76" t="s">
        <v>126</v>
      </c>
      <c r="L6" s="778"/>
    </row>
    <row r="7" spans="1:13" ht="24.95" customHeight="1" x14ac:dyDescent="0.2">
      <c r="B7" s="298" t="s">
        <v>24</v>
      </c>
      <c r="C7" s="476">
        <v>6985.4660000000003</v>
      </c>
      <c r="D7" s="476">
        <v>6481.2469999999994</v>
      </c>
      <c r="E7" s="476">
        <v>2514.3670000000002</v>
      </c>
      <c r="F7" s="476">
        <v>1040.1300000000001</v>
      </c>
      <c r="G7" s="477" t="s">
        <v>260</v>
      </c>
      <c r="H7" s="477" t="s">
        <v>260</v>
      </c>
      <c r="I7" s="477" t="s">
        <v>260</v>
      </c>
      <c r="J7" s="476">
        <v>550</v>
      </c>
      <c r="K7" s="476">
        <v>1748.002</v>
      </c>
      <c r="L7" s="478">
        <f>SUM(C7:K7)</f>
        <v>19319.212</v>
      </c>
    </row>
    <row r="8" spans="1:13" ht="24.95" customHeight="1" x14ac:dyDescent="0.2">
      <c r="B8" s="299" t="s">
        <v>25</v>
      </c>
      <c r="C8" s="477" t="s">
        <v>260</v>
      </c>
      <c r="D8" s="476">
        <v>150</v>
      </c>
      <c r="E8" s="477" t="s">
        <v>260</v>
      </c>
      <c r="F8" s="477" t="s">
        <v>260</v>
      </c>
      <c r="G8" s="476">
        <v>535.048</v>
      </c>
      <c r="H8" s="477" t="s">
        <v>260</v>
      </c>
      <c r="I8" s="477" t="s">
        <v>260</v>
      </c>
      <c r="J8" s="476">
        <v>10.175000000000001</v>
      </c>
      <c r="K8" s="477" t="s">
        <v>260</v>
      </c>
      <c r="L8" s="479">
        <f t="shared" ref="L8:L11" si="0">SUM(C8:K8)</f>
        <v>695.22299999999996</v>
      </c>
    </row>
    <row r="9" spans="1:13" ht="24.95" customHeight="1" x14ac:dyDescent="0.2">
      <c r="B9" s="299" t="s">
        <v>37</v>
      </c>
      <c r="C9" s="476">
        <v>4284.6939999999995</v>
      </c>
      <c r="D9" s="476">
        <v>8979.0720000000001</v>
      </c>
      <c r="E9" s="476">
        <v>1686.864</v>
      </c>
      <c r="F9" s="476">
        <v>19119.228999999999</v>
      </c>
      <c r="G9" s="476">
        <v>10919.196</v>
      </c>
      <c r="H9" s="476">
        <v>6527.6970000000001</v>
      </c>
      <c r="I9" s="477" t="s">
        <v>260</v>
      </c>
      <c r="J9" s="476">
        <v>29386.295999999998</v>
      </c>
      <c r="K9" s="476">
        <v>4361.9780000000001</v>
      </c>
      <c r="L9" s="479">
        <f t="shared" si="0"/>
        <v>85265.025999999998</v>
      </c>
      <c r="M9" s="261"/>
    </row>
    <row r="10" spans="1:13" ht="24.95" customHeight="1" x14ac:dyDescent="0.2">
      <c r="B10" s="299" t="s">
        <v>27</v>
      </c>
      <c r="C10" s="476">
        <v>10759.859</v>
      </c>
      <c r="D10" s="476">
        <v>24797.593000000008</v>
      </c>
      <c r="E10" s="476">
        <v>42939.455999999998</v>
      </c>
      <c r="F10" s="476">
        <v>16360.335999999999</v>
      </c>
      <c r="G10" s="476">
        <v>31921.87</v>
      </c>
      <c r="H10" s="476">
        <v>28620.496999999996</v>
      </c>
      <c r="I10" s="476">
        <v>2931.4989999999998</v>
      </c>
      <c r="J10" s="476">
        <v>17237.291000000005</v>
      </c>
      <c r="K10" s="476">
        <v>11024.91</v>
      </c>
      <c r="L10" s="479">
        <f t="shared" si="0"/>
        <v>186593.31099999999</v>
      </c>
    </row>
    <row r="11" spans="1:13" ht="24.95" customHeight="1" x14ac:dyDescent="0.2">
      <c r="B11" s="300" t="s">
        <v>28</v>
      </c>
      <c r="C11" s="477" t="s">
        <v>260</v>
      </c>
      <c r="D11" s="476">
        <v>5558.7640000000001</v>
      </c>
      <c r="E11" s="476">
        <v>15560.825999999999</v>
      </c>
      <c r="F11" s="476">
        <v>3564.3379999999997</v>
      </c>
      <c r="G11" s="476">
        <v>105.82899999999999</v>
      </c>
      <c r="H11" s="476">
        <v>484.09199999999998</v>
      </c>
      <c r="I11" s="477" t="s">
        <v>260</v>
      </c>
      <c r="J11" s="477" t="s">
        <v>260</v>
      </c>
      <c r="K11" s="477" t="s">
        <v>260</v>
      </c>
      <c r="L11" s="479">
        <f t="shared" si="0"/>
        <v>25273.849000000002</v>
      </c>
    </row>
    <row r="12" spans="1:13" ht="24.95" customHeight="1" x14ac:dyDescent="0.2">
      <c r="B12" s="301" t="s">
        <v>13</v>
      </c>
      <c r="C12" s="476">
        <v>10236.951000000001</v>
      </c>
      <c r="D12" s="476">
        <v>6680.4979999999996</v>
      </c>
      <c r="E12" s="476">
        <v>16746.657389999997</v>
      </c>
      <c r="F12" s="476">
        <v>23524.196999999996</v>
      </c>
      <c r="G12" s="476">
        <v>14558.859</v>
      </c>
      <c r="H12" s="477">
        <v>35952.15800000001</v>
      </c>
      <c r="I12" s="477">
        <v>518.03800000000001</v>
      </c>
      <c r="J12" s="476">
        <v>29794.744999999999</v>
      </c>
      <c r="K12" s="476">
        <v>9762.7569999999996</v>
      </c>
      <c r="L12" s="479">
        <f t="shared" ref="L12" si="1">SUM(C12:K12)</f>
        <v>147774.86039000002</v>
      </c>
    </row>
    <row r="13" spans="1:13" ht="24.95" customHeight="1" x14ac:dyDescent="0.2">
      <c r="B13" s="302" t="s">
        <v>33</v>
      </c>
      <c r="C13" s="481">
        <f>SUM(C7:C12)</f>
        <v>32266.97</v>
      </c>
      <c r="D13" s="481">
        <f t="shared" ref="D13:K13" si="2">SUM(D7:D12)</f>
        <v>52647.174000000014</v>
      </c>
      <c r="E13" s="481">
        <f t="shared" si="2"/>
        <v>79448.170389999999</v>
      </c>
      <c r="F13" s="481">
        <f t="shared" si="2"/>
        <v>63608.229999999996</v>
      </c>
      <c r="G13" s="481">
        <f t="shared" si="2"/>
        <v>58040.801999999996</v>
      </c>
      <c r="H13" s="481">
        <f t="shared" si="2"/>
        <v>71584.444000000003</v>
      </c>
      <c r="I13" s="481">
        <f t="shared" si="2"/>
        <v>3449.5369999999998</v>
      </c>
      <c r="J13" s="481">
        <f t="shared" si="2"/>
        <v>76978.506999999998</v>
      </c>
      <c r="K13" s="481">
        <f t="shared" si="2"/>
        <v>26897.646999999997</v>
      </c>
      <c r="L13" s="480">
        <f>+L12+L11+L10+L9+L8+L7</f>
        <v>464921.48139000003</v>
      </c>
    </row>
    <row r="14" spans="1:13" x14ac:dyDescent="0.2">
      <c r="B14" s="303" t="s">
        <v>70</v>
      </c>
      <c r="I14" s="304"/>
    </row>
    <row r="15" spans="1:13" ht="6" customHeight="1" x14ac:dyDescent="0.2">
      <c r="B15" s="303"/>
      <c r="C15" s="116"/>
      <c r="D15" s="116"/>
      <c r="E15" s="116"/>
      <c r="F15" s="116"/>
      <c r="G15" s="116"/>
      <c r="I15" s="304"/>
    </row>
    <row r="16" spans="1:13" x14ac:dyDescent="0.2">
      <c r="B16" s="254" t="s">
        <v>31</v>
      </c>
      <c r="C16" s="258"/>
      <c r="D16" s="258"/>
      <c r="E16" s="258"/>
      <c r="F16" s="258"/>
      <c r="G16" s="258"/>
      <c r="H16" s="258"/>
      <c r="I16" s="304"/>
    </row>
    <row r="17" spans="2:13" x14ac:dyDescent="0.2">
      <c r="B17" s="116" t="s">
        <v>799</v>
      </c>
      <c r="C17" s="258"/>
      <c r="D17" s="258"/>
      <c r="E17" s="258"/>
      <c r="F17" s="258"/>
      <c r="G17" s="258"/>
      <c r="H17" s="258"/>
      <c r="I17" s="304"/>
    </row>
    <row r="18" spans="2:13" x14ac:dyDescent="0.2">
      <c r="B18" s="78" t="s">
        <v>800</v>
      </c>
      <c r="I18" s="304"/>
    </row>
    <row r="19" spans="2:13" ht="13.5" customHeight="1" x14ac:dyDescent="0.2">
      <c r="B19" s="779"/>
      <c r="C19" s="779"/>
      <c r="D19" s="779"/>
      <c r="E19" s="779"/>
      <c r="F19" s="779"/>
      <c r="G19" s="779"/>
      <c r="H19" s="780"/>
      <c r="I19" s="304"/>
    </row>
    <row r="20" spans="2:13" x14ac:dyDescent="0.2">
      <c r="C20" s="261"/>
      <c r="D20" s="261"/>
      <c r="E20" s="261"/>
      <c r="F20" s="261"/>
      <c r="G20" s="261"/>
      <c r="H20" s="261"/>
      <c r="I20" s="261"/>
      <c r="J20" s="261"/>
      <c r="K20" s="261"/>
      <c r="L20" s="261"/>
      <c r="M20" s="261"/>
    </row>
    <row r="21" spans="2:13" x14ac:dyDescent="0.2">
      <c r="C21" s="261"/>
      <c r="D21" s="261"/>
      <c r="E21" s="261"/>
      <c r="F21" s="261"/>
      <c r="G21" s="261"/>
      <c r="H21" s="261"/>
      <c r="I21" s="261"/>
      <c r="J21" s="261"/>
      <c r="K21" s="261"/>
      <c r="L21" s="261"/>
    </row>
    <row r="22" spans="2:13" x14ac:dyDescent="0.2">
      <c r="E22" s="261"/>
    </row>
  </sheetData>
  <mergeCells count="4">
    <mergeCell ref="L5:L6"/>
    <mergeCell ref="B19:H19"/>
    <mergeCell ref="B5:B6"/>
    <mergeCell ref="C5:K5"/>
  </mergeCells>
  <phoneticPr fontId="2" type="noConversion"/>
  <pageMargins left="0.74803149606299213" right="0.74803149606299213" top="0.98425196850393704" bottom="0.98425196850393704" header="0.51181102362204722" footer="0.51181102362204722"/>
  <pageSetup paperSize="9" scale="74"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
  <sheetViews>
    <sheetView topLeftCell="C1" workbookViewId="0">
      <selection activeCell="D2" sqref="D2"/>
    </sheetView>
  </sheetViews>
  <sheetFormatPr defaultRowHeight="12.75" customHeight="1" x14ac:dyDescent="0.2"/>
  <cols>
    <col min="1" max="1" width="20.5703125" customWidth="1"/>
  </cols>
  <sheetData>
    <row r="1" spans="1:19" ht="12.75" customHeight="1" x14ac:dyDescent="0.2">
      <c r="A1" s="2" t="s">
        <v>40</v>
      </c>
      <c r="B1" s="2" t="s">
        <v>41</v>
      </c>
      <c r="C1" s="2" t="s">
        <v>56</v>
      </c>
      <c r="D1" s="2" t="s">
        <v>57</v>
      </c>
      <c r="E1" s="2" t="s">
        <v>58</v>
      </c>
      <c r="F1" s="2" t="s">
        <v>59</v>
      </c>
      <c r="G1" s="2" t="s">
        <v>60</v>
      </c>
      <c r="H1" s="2" t="s">
        <v>42</v>
      </c>
      <c r="I1" s="2" t="s">
        <v>42</v>
      </c>
      <c r="J1" s="2" t="s">
        <v>42</v>
      </c>
      <c r="K1" s="2" t="s">
        <v>42</v>
      </c>
      <c r="L1" s="2" t="s">
        <v>42</v>
      </c>
      <c r="M1" s="2" t="s">
        <v>42</v>
      </c>
      <c r="N1" s="2" t="s">
        <v>42</v>
      </c>
      <c r="O1" s="2" t="s">
        <v>42</v>
      </c>
      <c r="P1" s="2" t="s">
        <v>42</v>
      </c>
      <c r="Q1" s="2" t="s">
        <v>42</v>
      </c>
      <c r="R1" s="2" t="s">
        <v>42</v>
      </c>
      <c r="S1" s="2" t="s">
        <v>42</v>
      </c>
    </row>
    <row r="2" spans="1:19" ht="12.75" customHeight="1" x14ac:dyDescent="0.2">
      <c r="A2" s="1" t="s">
        <v>24</v>
      </c>
      <c r="B2" s="1" t="s">
        <v>61</v>
      </c>
      <c r="C2" s="1"/>
      <c r="D2" s="1"/>
      <c r="E2" s="1"/>
      <c r="F2" s="1">
        <v>101507.6806574259</v>
      </c>
      <c r="G2" s="1"/>
      <c r="H2" s="1">
        <v>0</v>
      </c>
      <c r="I2" s="1">
        <v>0</v>
      </c>
      <c r="J2" s="1">
        <v>0</v>
      </c>
      <c r="K2" s="1">
        <v>0</v>
      </c>
      <c r="L2" s="1">
        <v>0</v>
      </c>
      <c r="M2" s="1">
        <v>0</v>
      </c>
      <c r="N2" s="1">
        <v>0</v>
      </c>
      <c r="O2" s="1">
        <v>0</v>
      </c>
      <c r="P2" s="1">
        <v>0</v>
      </c>
      <c r="Q2" s="1">
        <v>0</v>
      </c>
      <c r="R2" s="1">
        <v>0</v>
      </c>
      <c r="S2" s="1">
        <v>0</v>
      </c>
    </row>
    <row r="3" spans="1:19" ht="12.75" customHeight="1" x14ac:dyDescent="0.2">
      <c r="A3" s="1" t="s">
        <v>25</v>
      </c>
      <c r="B3" s="1" t="s">
        <v>62</v>
      </c>
      <c r="C3" s="1"/>
      <c r="D3" s="1">
        <v>3123.0599975585937</v>
      </c>
      <c r="E3" s="1"/>
      <c r="F3" s="1"/>
      <c r="G3" s="1"/>
      <c r="H3" s="1">
        <v>0</v>
      </c>
      <c r="I3" s="1">
        <v>0</v>
      </c>
      <c r="J3" s="1">
        <v>0</v>
      </c>
      <c r="K3" s="1">
        <v>0</v>
      </c>
      <c r="L3" s="1">
        <v>0</v>
      </c>
      <c r="M3" s="1">
        <v>0</v>
      </c>
      <c r="N3" s="1">
        <v>0</v>
      </c>
      <c r="O3" s="1">
        <v>0</v>
      </c>
      <c r="P3" s="1">
        <v>0</v>
      </c>
      <c r="Q3" s="1">
        <v>0</v>
      </c>
      <c r="R3" s="1">
        <v>0</v>
      </c>
      <c r="S3" s="1">
        <v>0</v>
      </c>
    </row>
    <row r="4" spans="1:19" ht="12.75" customHeight="1" x14ac:dyDescent="0.2">
      <c r="A4" s="1" t="s">
        <v>26</v>
      </c>
      <c r="B4" s="1" t="s">
        <v>63</v>
      </c>
      <c r="C4" s="1">
        <v>337489.73020474985</v>
      </c>
      <c r="D4" s="1">
        <v>355566.2149105072</v>
      </c>
      <c r="E4" s="1"/>
      <c r="F4" s="1"/>
      <c r="G4" s="1"/>
      <c r="H4" s="1">
        <v>0</v>
      </c>
      <c r="I4" s="1">
        <v>0</v>
      </c>
      <c r="J4" s="1">
        <v>0</v>
      </c>
      <c r="K4" s="1">
        <v>0</v>
      </c>
      <c r="L4" s="1">
        <v>0</v>
      </c>
      <c r="M4" s="1">
        <v>0</v>
      </c>
      <c r="N4" s="1">
        <v>0</v>
      </c>
      <c r="O4" s="1">
        <v>0</v>
      </c>
      <c r="P4" s="1">
        <v>0</v>
      </c>
      <c r="Q4" s="1">
        <v>0</v>
      </c>
      <c r="R4" s="1">
        <v>0</v>
      </c>
      <c r="S4" s="1">
        <v>0</v>
      </c>
    </row>
    <row r="5" spans="1:19" ht="12.75" customHeight="1" x14ac:dyDescent="0.2">
      <c r="A5" s="1" t="s">
        <v>27</v>
      </c>
      <c r="B5" s="1" t="s">
        <v>64</v>
      </c>
      <c r="C5" s="1">
        <v>525450.74613016844</v>
      </c>
      <c r="D5" s="1">
        <v>850466.12842583656</v>
      </c>
      <c r="E5" s="1">
        <v>272692.6303473264</v>
      </c>
      <c r="F5" s="1">
        <v>720991.3239916712</v>
      </c>
      <c r="G5" s="1">
        <v>728843.60285353661</v>
      </c>
      <c r="H5" s="1">
        <v>0</v>
      </c>
      <c r="I5" s="1">
        <v>0</v>
      </c>
      <c r="J5" s="1">
        <v>0</v>
      </c>
      <c r="K5" s="1">
        <v>0</v>
      </c>
      <c r="L5" s="1">
        <v>0</v>
      </c>
      <c r="M5" s="1">
        <v>0</v>
      </c>
      <c r="N5" s="1">
        <v>0</v>
      </c>
      <c r="O5" s="1">
        <v>0</v>
      </c>
      <c r="P5" s="1">
        <v>0</v>
      </c>
      <c r="Q5" s="1">
        <v>0</v>
      </c>
      <c r="R5" s="1">
        <v>0</v>
      </c>
      <c r="S5" s="1">
        <v>0</v>
      </c>
    </row>
    <row r="6" spans="1:19" ht="12.75" customHeight="1" x14ac:dyDescent="0.2">
      <c r="A6" s="1" t="s">
        <v>28</v>
      </c>
      <c r="B6" s="1" t="s">
        <v>65</v>
      </c>
      <c r="C6" s="1">
        <v>7664</v>
      </c>
      <c r="D6" s="1">
        <v>10483</v>
      </c>
      <c r="E6" s="1">
        <v>4235</v>
      </c>
      <c r="F6" s="1"/>
      <c r="G6" s="1">
        <v>572540.46875</v>
      </c>
      <c r="H6" s="1">
        <v>0</v>
      </c>
      <c r="I6" s="1">
        <v>0</v>
      </c>
      <c r="J6" s="1">
        <v>0</v>
      </c>
      <c r="K6" s="1">
        <v>0</v>
      </c>
      <c r="L6" s="1">
        <v>0</v>
      </c>
      <c r="M6" s="1">
        <v>0</v>
      </c>
      <c r="N6" s="1">
        <v>0</v>
      </c>
      <c r="O6" s="1">
        <v>0</v>
      </c>
      <c r="P6" s="1">
        <v>0</v>
      </c>
      <c r="Q6" s="1">
        <v>0</v>
      </c>
      <c r="R6" s="1">
        <v>0</v>
      </c>
      <c r="S6" s="1">
        <v>0</v>
      </c>
    </row>
    <row r="7" spans="1:19" ht="12.75" customHeight="1" x14ac:dyDescent="0.2">
      <c r="A7" s="1" t="s">
        <v>13</v>
      </c>
      <c r="B7" s="1" t="s">
        <v>66</v>
      </c>
      <c r="C7" s="1">
        <v>408902</v>
      </c>
      <c r="D7" s="1">
        <v>312232.42006015778</v>
      </c>
      <c r="E7" s="1">
        <v>294459.0892496109</v>
      </c>
      <c r="F7" s="1">
        <v>442927.875</v>
      </c>
      <c r="G7" s="1">
        <v>230556</v>
      </c>
      <c r="H7" s="1">
        <v>0</v>
      </c>
      <c r="I7" s="1">
        <v>0</v>
      </c>
      <c r="J7" s="1">
        <v>0</v>
      </c>
      <c r="K7" s="1">
        <v>0</v>
      </c>
      <c r="L7" s="1">
        <v>0</v>
      </c>
      <c r="M7" s="1">
        <v>0</v>
      </c>
      <c r="N7" s="1">
        <v>0</v>
      </c>
      <c r="O7" s="1">
        <v>0</v>
      </c>
      <c r="P7" s="1">
        <v>0</v>
      </c>
      <c r="Q7" s="1">
        <v>0</v>
      </c>
      <c r="R7" s="1">
        <v>0</v>
      </c>
      <c r="S7" s="1">
        <v>0</v>
      </c>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72"/>
  <sheetViews>
    <sheetView showGridLines="0" workbookViewId="0"/>
  </sheetViews>
  <sheetFormatPr defaultRowHeight="12.75" x14ac:dyDescent="0.2"/>
  <cols>
    <col min="1" max="1" width="5.7109375" style="264" customWidth="1"/>
    <col min="2" max="2" width="20" style="264" customWidth="1"/>
    <col min="3" max="3" width="16.28515625" style="264" customWidth="1"/>
    <col min="4" max="4" width="16.140625" style="264" customWidth="1"/>
    <col min="5" max="5" width="14.85546875" style="264" customWidth="1"/>
    <col min="6" max="6" width="11.85546875" style="264" customWidth="1"/>
    <col min="7" max="7" width="17.140625" style="264" customWidth="1"/>
    <col min="8" max="8" width="17.7109375" style="264" customWidth="1"/>
    <col min="9" max="9" width="12.85546875" style="264" customWidth="1"/>
    <col min="10" max="10" width="9.140625" style="264"/>
    <col min="11" max="11" width="11.28515625" style="264" customWidth="1"/>
    <col min="12" max="12" width="11.140625" style="264" customWidth="1"/>
    <col min="13" max="16384" width="9.140625" style="264"/>
  </cols>
  <sheetData>
    <row r="1" spans="1:17" x14ac:dyDescent="0.2">
      <c r="A1" s="242"/>
    </row>
    <row r="2" spans="1:17" ht="18.75" x14ac:dyDescent="0.2">
      <c r="B2" s="305" t="s">
        <v>801</v>
      </c>
      <c r="C2" s="306"/>
      <c r="D2" s="306"/>
      <c r="E2" s="306"/>
      <c r="F2" s="306"/>
      <c r="G2" s="306"/>
      <c r="H2" s="306"/>
      <c r="I2" s="306"/>
    </row>
    <row r="3" spans="1:17" ht="18.75" x14ac:dyDescent="0.2">
      <c r="B3" s="244" t="s">
        <v>30</v>
      </c>
      <c r="C3" s="306"/>
      <c r="D3" s="306"/>
      <c r="E3" s="306"/>
      <c r="F3" s="306"/>
      <c r="G3" s="306"/>
      <c r="H3" s="306"/>
      <c r="I3" s="306"/>
    </row>
    <row r="4" spans="1:17" ht="18" x14ac:dyDescent="0.2">
      <c r="B4" s="307"/>
      <c r="C4" s="306"/>
      <c r="D4" s="306"/>
      <c r="E4" s="306"/>
      <c r="F4" s="306"/>
      <c r="G4" s="306"/>
      <c r="H4" s="306"/>
      <c r="I4" s="306"/>
    </row>
    <row r="5" spans="1:17" ht="12.75" customHeight="1" x14ac:dyDescent="0.2">
      <c r="B5" s="790" t="s">
        <v>87</v>
      </c>
      <c r="C5" s="792" t="s">
        <v>12</v>
      </c>
      <c r="D5" s="765" t="s">
        <v>117</v>
      </c>
      <c r="E5" s="765"/>
      <c r="F5" s="765"/>
      <c r="G5" s="765"/>
      <c r="H5" s="765"/>
      <c r="I5" s="765"/>
      <c r="J5" s="765"/>
      <c r="K5" s="765"/>
      <c r="L5" s="765"/>
      <c r="M5" s="788" t="s">
        <v>147</v>
      </c>
      <c r="N5" s="78"/>
      <c r="O5" s="78"/>
      <c r="P5" s="78"/>
      <c r="Q5" s="78"/>
    </row>
    <row r="6" spans="1:17" ht="25.5" x14ac:dyDescent="0.2">
      <c r="B6" s="791"/>
      <c r="C6" s="793"/>
      <c r="D6" s="75" t="s">
        <v>119</v>
      </c>
      <c r="E6" s="48" t="s">
        <v>120</v>
      </c>
      <c r="F6" s="48" t="s">
        <v>128</v>
      </c>
      <c r="G6" s="48" t="s">
        <v>67</v>
      </c>
      <c r="H6" s="48" t="s">
        <v>122</v>
      </c>
      <c r="I6" s="48" t="s">
        <v>123</v>
      </c>
      <c r="J6" s="48" t="s">
        <v>124</v>
      </c>
      <c r="K6" s="48" t="s">
        <v>125</v>
      </c>
      <c r="L6" s="49" t="s">
        <v>129</v>
      </c>
      <c r="M6" s="789"/>
      <c r="N6" s="78"/>
      <c r="O6" s="78"/>
      <c r="P6" s="78"/>
      <c r="Q6" s="78"/>
    </row>
    <row r="7" spans="1:17" x14ac:dyDescent="0.2">
      <c r="B7" s="794" t="s">
        <v>88</v>
      </c>
      <c r="C7" s="308" t="s">
        <v>13</v>
      </c>
      <c r="D7" s="309">
        <v>200</v>
      </c>
      <c r="E7" s="309">
        <v>12712</v>
      </c>
      <c r="F7" s="309">
        <v>8473</v>
      </c>
      <c r="G7" s="309">
        <v>13897</v>
      </c>
      <c r="H7" s="309">
        <v>8178</v>
      </c>
      <c r="I7" s="309">
        <v>9412</v>
      </c>
      <c r="J7" s="309">
        <v>3949</v>
      </c>
      <c r="K7" s="309">
        <v>18706</v>
      </c>
      <c r="L7" s="309">
        <v>8221</v>
      </c>
      <c r="M7" s="310">
        <f>SUM(D7:L7)</f>
        <v>83748</v>
      </c>
      <c r="N7" s="78"/>
      <c r="O7" s="78"/>
      <c r="P7" s="78"/>
      <c r="Q7" s="78"/>
    </row>
    <row r="8" spans="1:17" x14ac:dyDescent="0.2">
      <c r="B8" s="795"/>
      <c r="C8" s="311" t="s">
        <v>89</v>
      </c>
      <c r="D8" s="312">
        <v>38973</v>
      </c>
      <c r="E8" s="312">
        <v>64115</v>
      </c>
      <c r="F8" s="312">
        <v>78615</v>
      </c>
      <c r="G8" s="312">
        <v>57612</v>
      </c>
      <c r="H8" s="312">
        <v>69559</v>
      </c>
      <c r="I8" s="312">
        <v>91918</v>
      </c>
      <c r="J8" s="312">
        <v>15661</v>
      </c>
      <c r="K8" s="312">
        <v>96723</v>
      </c>
      <c r="L8" s="312">
        <v>41158</v>
      </c>
      <c r="M8" s="313">
        <f>SUM(D8:L8)</f>
        <v>554334</v>
      </c>
      <c r="N8" s="78"/>
      <c r="O8" s="78"/>
      <c r="P8" s="78"/>
      <c r="Q8" s="78"/>
    </row>
    <row r="9" spans="1:17" x14ac:dyDescent="0.2">
      <c r="B9" s="796"/>
      <c r="C9" s="314" t="s">
        <v>90</v>
      </c>
      <c r="D9" s="315">
        <v>4079</v>
      </c>
      <c r="E9" s="315">
        <v>4611</v>
      </c>
      <c r="F9" s="315">
        <v>38901</v>
      </c>
      <c r="G9" s="315">
        <v>17809</v>
      </c>
      <c r="H9" s="315">
        <v>10589</v>
      </c>
      <c r="I9" s="315">
        <v>491</v>
      </c>
      <c r="J9" s="315">
        <v>1100</v>
      </c>
      <c r="K9" s="315">
        <v>6850</v>
      </c>
      <c r="L9" s="315">
        <v>1240</v>
      </c>
      <c r="M9" s="316">
        <f>SUM(D9:L9)</f>
        <v>85670</v>
      </c>
      <c r="N9" s="78"/>
      <c r="O9" s="78"/>
      <c r="P9" s="78"/>
      <c r="Q9" s="78"/>
    </row>
    <row r="10" spans="1:17" ht="17.25" customHeight="1" x14ac:dyDescent="0.2">
      <c r="B10" s="70" t="s">
        <v>148</v>
      </c>
      <c r="C10" s="317"/>
      <c r="D10" s="54">
        <f>SUBTOTAL(9,D7:D9)</f>
        <v>43252</v>
      </c>
      <c r="E10" s="54">
        <f>SUBTOTAL(9,E7:E9)</f>
        <v>81438</v>
      </c>
      <c r="F10" s="54">
        <f>SUBTOTAL(9,F7:F9)</f>
        <v>125989</v>
      </c>
      <c r="G10" s="54">
        <v>89318</v>
      </c>
      <c r="H10" s="54">
        <f t="shared" ref="H10:M10" si="0">SUBTOTAL(9,H7:H9)</f>
        <v>88326</v>
      </c>
      <c r="I10" s="54">
        <f t="shared" si="0"/>
        <v>101821</v>
      </c>
      <c r="J10" s="54">
        <f t="shared" si="0"/>
        <v>20710</v>
      </c>
      <c r="K10" s="54">
        <f t="shared" si="0"/>
        <v>122279</v>
      </c>
      <c r="L10" s="54">
        <f t="shared" si="0"/>
        <v>50619</v>
      </c>
      <c r="M10" s="123">
        <f t="shared" si="0"/>
        <v>723752</v>
      </c>
      <c r="N10" s="78"/>
      <c r="O10" s="78"/>
      <c r="P10" s="78"/>
      <c r="Q10" s="78"/>
    </row>
    <row r="11" spans="1:17" x14ac:dyDescent="0.2">
      <c r="B11" s="794" t="s">
        <v>91</v>
      </c>
      <c r="C11" s="311" t="s">
        <v>13</v>
      </c>
      <c r="D11" s="312">
        <v>3290</v>
      </c>
      <c r="E11" s="312">
        <v>3701</v>
      </c>
      <c r="F11" s="312">
        <v>8437</v>
      </c>
      <c r="G11" s="312">
        <v>9113</v>
      </c>
      <c r="H11" s="312">
        <v>11205</v>
      </c>
      <c r="I11" s="312">
        <v>6628</v>
      </c>
      <c r="J11" s="312">
        <v>3462</v>
      </c>
      <c r="K11" s="312">
        <v>12676</v>
      </c>
      <c r="L11" s="312">
        <v>3641</v>
      </c>
      <c r="M11" s="313">
        <f>SUM(D11:L11)</f>
        <v>62153</v>
      </c>
      <c r="N11" s="78"/>
      <c r="O11" s="78"/>
      <c r="P11" s="78"/>
      <c r="Q11" s="78"/>
    </row>
    <row r="12" spans="1:17" x14ac:dyDescent="0.2">
      <c r="B12" s="795"/>
      <c r="C12" s="311" t="s">
        <v>89</v>
      </c>
      <c r="D12" s="312">
        <v>39839</v>
      </c>
      <c r="E12" s="312">
        <v>60429</v>
      </c>
      <c r="F12" s="312">
        <v>65936</v>
      </c>
      <c r="G12" s="312">
        <v>60273</v>
      </c>
      <c r="H12" s="312">
        <v>76515</v>
      </c>
      <c r="I12" s="312">
        <v>87820</v>
      </c>
      <c r="J12" s="312">
        <v>15490</v>
      </c>
      <c r="K12" s="312">
        <v>110601</v>
      </c>
      <c r="L12" s="312">
        <v>50898</v>
      </c>
      <c r="M12" s="313">
        <f>SUM(D12:L12)</f>
        <v>567801</v>
      </c>
      <c r="N12" s="78"/>
      <c r="O12" s="78"/>
      <c r="P12" s="78"/>
      <c r="Q12" s="78"/>
    </row>
    <row r="13" spans="1:17" x14ac:dyDescent="0.2">
      <c r="B13" s="796"/>
      <c r="C13" s="314" t="s">
        <v>90</v>
      </c>
      <c r="D13" s="315">
        <v>1148</v>
      </c>
      <c r="E13" s="315">
        <v>4028</v>
      </c>
      <c r="F13" s="315">
        <v>43491</v>
      </c>
      <c r="G13" s="315">
        <v>20474</v>
      </c>
      <c r="H13" s="315">
        <v>9493</v>
      </c>
      <c r="I13" s="315">
        <v>235</v>
      </c>
      <c r="J13" s="315">
        <v>852</v>
      </c>
      <c r="K13" s="315">
        <v>4568</v>
      </c>
      <c r="L13" s="315">
        <v>800</v>
      </c>
      <c r="M13" s="316">
        <f>SUM(D13:L13)</f>
        <v>85089</v>
      </c>
      <c r="N13" s="78"/>
      <c r="O13" s="78"/>
      <c r="P13" s="78"/>
      <c r="Q13" s="78"/>
    </row>
    <row r="14" spans="1:17" ht="15.75" customHeight="1" x14ac:dyDescent="0.2">
      <c r="B14" s="53" t="s">
        <v>149</v>
      </c>
      <c r="C14" s="318"/>
      <c r="D14" s="54">
        <f t="shared" ref="D14:M14" si="1">SUBTOTAL(9,D11:D13)</f>
        <v>44277</v>
      </c>
      <c r="E14" s="54">
        <f t="shared" si="1"/>
        <v>68158</v>
      </c>
      <c r="F14" s="54">
        <f t="shared" si="1"/>
        <v>117864</v>
      </c>
      <c r="G14" s="54">
        <f t="shared" si="1"/>
        <v>89860</v>
      </c>
      <c r="H14" s="54">
        <f t="shared" si="1"/>
        <v>97213</v>
      </c>
      <c r="I14" s="54">
        <f t="shared" si="1"/>
        <v>94683</v>
      </c>
      <c r="J14" s="54">
        <f t="shared" si="1"/>
        <v>19804</v>
      </c>
      <c r="K14" s="54">
        <f t="shared" si="1"/>
        <v>127845</v>
      </c>
      <c r="L14" s="54">
        <f t="shared" si="1"/>
        <v>55339</v>
      </c>
      <c r="M14" s="123">
        <f t="shared" si="1"/>
        <v>715043</v>
      </c>
      <c r="N14" s="78"/>
      <c r="O14" s="78"/>
      <c r="P14" s="78"/>
      <c r="Q14" s="78"/>
    </row>
    <row r="15" spans="1:17" x14ac:dyDescent="0.2">
      <c r="B15" s="794">
        <v>2004</v>
      </c>
      <c r="C15" s="311" t="s">
        <v>13</v>
      </c>
      <c r="D15" s="312">
        <v>4332</v>
      </c>
      <c r="E15" s="312">
        <v>11830</v>
      </c>
      <c r="F15" s="312">
        <v>14929</v>
      </c>
      <c r="G15" s="312">
        <v>13023</v>
      </c>
      <c r="H15" s="312">
        <v>15219</v>
      </c>
      <c r="I15" s="312">
        <v>5586</v>
      </c>
      <c r="J15" s="312">
        <v>1986</v>
      </c>
      <c r="K15" s="312">
        <v>24275</v>
      </c>
      <c r="L15" s="312">
        <v>5592</v>
      </c>
      <c r="M15" s="313">
        <f>SUM(D15:L15)</f>
        <v>96772</v>
      </c>
      <c r="N15" s="78"/>
      <c r="O15" s="78"/>
      <c r="P15" s="78"/>
      <c r="Q15" s="78"/>
    </row>
    <row r="16" spans="1:17" x14ac:dyDescent="0.2">
      <c r="B16" s="795"/>
      <c r="C16" s="311" t="s">
        <v>89</v>
      </c>
      <c r="D16" s="312">
        <v>43449</v>
      </c>
      <c r="E16" s="312">
        <v>76191</v>
      </c>
      <c r="F16" s="312">
        <v>74263</v>
      </c>
      <c r="G16" s="312">
        <v>56189</v>
      </c>
      <c r="H16" s="312">
        <v>61607</v>
      </c>
      <c r="I16" s="312">
        <v>61734</v>
      </c>
      <c r="J16" s="312">
        <v>11627</v>
      </c>
      <c r="K16" s="312">
        <v>96787</v>
      </c>
      <c r="L16" s="312">
        <v>47109</v>
      </c>
      <c r="M16" s="313">
        <f>SUM(D16:L16)</f>
        <v>528956</v>
      </c>
      <c r="N16" s="78"/>
      <c r="O16" s="78"/>
      <c r="P16" s="78"/>
      <c r="Q16" s="78"/>
    </row>
    <row r="17" spans="2:17" x14ac:dyDescent="0.2">
      <c r="B17" s="796"/>
      <c r="C17" s="314" t="s">
        <v>90</v>
      </c>
      <c r="D17" s="315">
        <v>73</v>
      </c>
      <c r="E17" s="315">
        <v>782</v>
      </c>
      <c r="F17" s="315">
        <v>18498</v>
      </c>
      <c r="G17" s="315">
        <v>2654</v>
      </c>
      <c r="H17" s="315">
        <v>996</v>
      </c>
      <c r="I17" s="315">
        <v>940</v>
      </c>
      <c r="J17" s="315">
        <v>0</v>
      </c>
      <c r="K17" s="315">
        <v>364</v>
      </c>
      <c r="L17" s="315">
        <v>412</v>
      </c>
      <c r="M17" s="316">
        <f>SUM(D17:L17)</f>
        <v>24719</v>
      </c>
      <c r="N17" s="78"/>
      <c r="O17" s="78"/>
      <c r="P17" s="78"/>
      <c r="Q17" s="78"/>
    </row>
    <row r="18" spans="2:17" ht="17.25" customHeight="1" x14ac:dyDescent="0.2">
      <c r="B18" s="53" t="s">
        <v>150</v>
      </c>
      <c r="C18" s="318"/>
      <c r="D18" s="54">
        <f t="shared" ref="D18:M18" si="2">SUBTOTAL(9,D15:D17)</f>
        <v>47854</v>
      </c>
      <c r="E18" s="54">
        <f t="shared" si="2"/>
        <v>88803</v>
      </c>
      <c r="F18" s="54">
        <f t="shared" si="2"/>
        <v>107690</v>
      </c>
      <c r="G18" s="54">
        <f t="shared" si="2"/>
        <v>71866</v>
      </c>
      <c r="H18" s="54">
        <f t="shared" si="2"/>
        <v>77822</v>
      </c>
      <c r="I18" s="54">
        <f t="shared" si="2"/>
        <v>68260</v>
      </c>
      <c r="J18" s="54">
        <f t="shared" si="2"/>
        <v>13613</v>
      </c>
      <c r="K18" s="54">
        <f t="shared" si="2"/>
        <v>121426</v>
      </c>
      <c r="L18" s="54">
        <f t="shared" si="2"/>
        <v>53113</v>
      </c>
      <c r="M18" s="123">
        <f t="shared" si="2"/>
        <v>650447</v>
      </c>
      <c r="N18" s="78"/>
      <c r="O18" s="78"/>
      <c r="P18" s="78"/>
      <c r="Q18" s="78"/>
    </row>
    <row r="19" spans="2:17" x14ac:dyDescent="0.2">
      <c r="B19" s="794">
        <v>2005</v>
      </c>
      <c r="C19" s="311" t="s">
        <v>13</v>
      </c>
      <c r="D19" s="312">
        <f>7105922/1000</f>
        <v>7105.9219999999996</v>
      </c>
      <c r="E19" s="312">
        <f>12299171/1000</f>
        <v>12299.171</v>
      </c>
      <c r="F19" s="312">
        <f>7667301/1000</f>
        <v>7667.3010000000004</v>
      </c>
      <c r="G19" s="312">
        <f>10675218/1000</f>
        <v>10675.218000000001</v>
      </c>
      <c r="H19" s="312">
        <f>15063697/1000</f>
        <v>15063.697</v>
      </c>
      <c r="I19" s="312">
        <f>5541669/1000</f>
        <v>5541.6689999999999</v>
      </c>
      <c r="J19" s="312">
        <f>1322398/1000</f>
        <v>1322.3979999999999</v>
      </c>
      <c r="K19" s="312">
        <f>13811521/1000</f>
        <v>13811.521000000001</v>
      </c>
      <c r="L19" s="312">
        <f>5958454/1000</f>
        <v>5958.4539999999997</v>
      </c>
      <c r="M19" s="313">
        <f>SUM(D19:L19)</f>
        <v>79445.350999999995</v>
      </c>
      <c r="N19" s="78"/>
      <c r="O19" s="78"/>
      <c r="P19" s="78"/>
      <c r="Q19" s="78"/>
    </row>
    <row r="20" spans="2:17" x14ac:dyDescent="0.2">
      <c r="B20" s="795"/>
      <c r="C20" s="311" t="s">
        <v>89</v>
      </c>
      <c r="D20" s="312">
        <f>49036775/1000</f>
        <v>49036.775000000001</v>
      </c>
      <c r="E20" s="312">
        <f>74827954/1000</f>
        <v>74827.953999999998</v>
      </c>
      <c r="F20" s="312">
        <f>80915865/1000</f>
        <v>80915.865000000005</v>
      </c>
      <c r="G20" s="312">
        <f>52311833/1000</f>
        <v>52311.832999999999</v>
      </c>
      <c r="H20" s="312">
        <f>66223630/1000</f>
        <v>66223.63</v>
      </c>
      <c r="I20" s="312">
        <f>59116622/1000</f>
        <v>59116.622000000003</v>
      </c>
      <c r="J20" s="312">
        <f>10245785/1000</f>
        <v>10245.785</v>
      </c>
      <c r="K20" s="312">
        <f>94387009/1000</f>
        <v>94387.009000000005</v>
      </c>
      <c r="L20" s="312">
        <f>46816030/1000</f>
        <v>46816.03</v>
      </c>
      <c r="M20" s="313">
        <f>SUM(D20:L20)</f>
        <v>533881.50300000003</v>
      </c>
      <c r="N20" s="78"/>
      <c r="O20" s="78"/>
      <c r="P20" s="78"/>
      <c r="Q20" s="78"/>
    </row>
    <row r="21" spans="2:17" x14ac:dyDescent="0.2">
      <c r="B21" s="796"/>
      <c r="C21" s="314" t="s">
        <v>90</v>
      </c>
      <c r="D21" s="315">
        <f>16556/1000</f>
        <v>16.556000000000001</v>
      </c>
      <c r="E21" s="315">
        <f>6303033/1000</f>
        <v>6303.0330000000004</v>
      </c>
      <c r="F21" s="315">
        <f>16427040/1000</f>
        <v>16427.04</v>
      </c>
      <c r="G21" s="315">
        <f>6203017/1000</f>
        <v>6203.0169999999998</v>
      </c>
      <c r="H21" s="315">
        <f>1762134/1000</f>
        <v>1762.134</v>
      </c>
      <c r="I21" s="315">
        <f>512004/1000</f>
        <v>512.00400000000002</v>
      </c>
      <c r="J21" s="315">
        <v>0</v>
      </c>
      <c r="K21" s="315">
        <f>1780991/1000</f>
        <v>1780.991</v>
      </c>
      <c r="L21" s="315">
        <f>211808/1000</f>
        <v>211.80799999999999</v>
      </c>
      <c r="M21" s="316">
        <f>SUM(D21:L21)</f>
        <v>33216.582999999999</v>
      </c>
      <c r="N21" s="78"/>
      <c r="O21" s="78"/>
      <c r="P21" s="78"/>
      <c r="Q21" s="78"/>
    </row>
    <row r="22" spans="2:17" ht="16.5" customHeight="1" x14ac:dyDescent="0.2">
      <c r="B22" s="53" t="s">
        <v>108</v>
      </c>
      <c r="C22" s="318"/>
      <c r="D22" s="54">
        <f t="shared" ref="D22:M22" si="3">SUBTOTAL(9,D19:D21)</f>
        <v>56159.252999999997</v>
      </c>
      <c r="E22" s="54">
        <f t="shared" si="3"/>
        <v>93430.157999999996</v>
      </c>
      <c r="F22" s="54">
        <f t="shared" si="3"/>
        <v>105010.20600000001</v>
      </c>
      <c r="G22" s="54">
        <f t="shared" si="3"/>
        <v>69190.067999999999</v>
      </c>
      <c r="H22" s="54">
        <f t="shared" si="3"/>
        <v>83049.46100000001</v>
      </c>
      <c r="I22" s="54">
        <f t="shared" si="3"/>
        <v>65170.295000000006</v>
      </c>
      <c r="J22" s="54">
        <f t="shared" si="3"/>
        <v>11568.182999999999</v>
      </c>
      <c r="K22" s="54">
        <f t="shared" si="3"/>
        <v>109979.52099999999</v>
      </c>
      <c r="L22" s="54">
        <f t="shared" si="3"/>
        <v>52986.291999999994</v>
      </c>
      <c r="M22" s="123">
        <f t="shared" si="3"/>
        <v>646543.43700000003</v>
      </c>
      <c r="N22" s="78"/>
      <c r="O22" s="78"/>
      <c r="P22" s="78"/>
      <c r="Q22" s="78"/>
    </row>
    <row r="23" spans="2:17" x14ac:dyDescent="0.2">
      <c r="B23" s="794">
        <v>2006</v>
      </c>
      <c r="C23" s="311" t="s">
        <v>13</v>
      </c>
      <c r="D23" s="312">
        <v>8401.5190000000002</v>
      </c>
      <c r="E23" s="312">
        <v>20772.467000000001</v>
      </c>
      <c r="F23" s="312">
        <v>9843.4269999999997</v>
      </c>
      <c r="G23" s="312">
        <v>10037.148999999999</v>
      </c>
      <c r="H23" s="312">
        <v>13756.255999999999</v>
      </c>
      <c r="I23" s="312">
        <v>9954.3529999999992</v>
      </c>
      <c r="J23" s="312">
        <v>1124.768</v>
      </c>
      <c r="K23" s="312">
        <v>15025.737999999999</v>
      </c>
      <c r="L23" s="312">
        <v>6814.683</v>
      </c>
      <c r="M23" s="313">
        <f>SUM(D23:L23)</f>
        <v>95730.36</v>
      </c>
      <c r="N23" s="78"/>
      <c r="O23" s="78"/>
      <c r="P23" s="78"/>
      <c r="Q23" s="78"/>
    </row>
    <row r="24" spans="2:17" x14ac:dyDescent="0.2">
      <c r="B24" s="795"/>
      <c r="C24" s="311" t="s">
        <v>89</v>
      </c>
      <c r="D24" s="312">
        <v>60264.707000000002</v>
      </c>
      <c r="E24" s="312">
        <f>70201.724+60</f>
        <v>70261.724000000002</v>
      </c>
      <c r="F24" s="319">
        <v>79446.274000000005</v>
      </c>
      <c r="G24" s="312">
        <f>50628.04+99.5</f>
        <v>50727.54</v>
      </c>
      <c r="H24" s="312">
        <v>69462.937000000005</v>
      </c>
      <c r="I24" s="312">
        <f>59116.428+805.51</f>
        <v>59921.938000000002</v>
      </c>
      <c r="J24" s="312">
        <v>8930.17</v>
      </c>
      <c r="K24" s="319">
        <v>78887.331000000006</v>
      </c>
      <c r="L24" s="312">
        <f>50206.828+530.334</f>
        <v>50737.162000000004</v>
      </c>
      <c r="M24" s="313">
        <f>SUM(D24:L24)</f>
        <v>528639.78300000005</v>
      </c>
      <c r="N24" s="78"/>
      <c r="O24" s="78"/>
      <c r="P24" s="78"/>
      <c r="Q24" s="78"/>
    </row>
    <row r="25" spans="2:17" x14ac:dyDescent="0.2">
      <c r="B25" s="796"/>
      <c r="C25" s="314" t="s">
        <v>90</v>
      </c>
      <c r="D25" s="315">
        <v>12.945</v>
      </c>
      <c r="E25" s="315">
        <v>6581.0140000000001</v>
      </c>
      <c r="F25" s="315">
        <v>15138.205</v>
      </c>
      <c r="G25" s="315">
        <v>5600.4610000000002</v>
      </c>
      <c r="H25" s="315">
        <v>1383.8040000000001</v>
      </c>
      <c r="I25" s="315">
        <v>450.988</v>
      </c>
      <c r="J25" s="315">
        <v>0</v>
      </c>
      <c r="K25" s="315">
        <v>2092.183</v>
      </c>
      <c r="L25" s="315">
        <v>117.527</v>
      </c>
      <c r="M25" s="316">
        <f>SUM(D25:L25)</f>
        <v>31377.127</v>
      </c>
      <c r="N25" s="78"/>
      <c r="O25" s="78"/>
      <c r="P25" s="78"/>
      <c r="Q25" s="78"/>
    </row>
    <row r="26" spans="2:17" ht="18.75" customHeight="1" x14ac:dyDescent="0.2">
      <c r="B26" s="53" t="s">
        <v>109</v>
      </c>
      <c r="C26" s="318"/>
      <c r="D26" s="54">
        <f t="shared" ref="D26:M26" si="4">SUBTOTAL(9,D23:D25)</f>
        <v>68679.171000000002</v>
      </c>
      <c r="E26" s="54">
        <f t="shared" si="4"/>
        <v>97615.205000000002</v>
      </c>
      <c r="F26" s="54">
        <f t="shared" si="4"/>
        <v>104427.906</v>
      </c>
      <c r="G26" s="54">
        <f t="shared" si="4"/>
        <v>66365.149999999994</v>
      </c>
      <c r="H26" s="54">
        <f t="shared" si="4"/>
        <v>84602.997000000003</v>
      </c>
      <c r="I26" s="54">
        <f t="shared" si="4"/>
        <v>70327.278999999995</v>
      </c>
      <c r="J26" s="54">
        <f t="shared" si="4"/>
        <v>10054.938</v>
      </c>
      <c r="K26" s="54">
        <f t="shared" si="4"/>
        <v>96005.252000000008</v>
      </c>
      <c r="L26" s="54">
        <f t="shared" si="4"/>
        <v>57669.372000000003</v>
      </c>
      <c r="M26" s="123">
        <f t="shared" si="4"/>
        <v>655747.27</v>
      </c>
      <c r="N26" s="78"/>
      <c r="O26" s="78"/>
      <c r="P26" s="78"/>
      <c r="Q26" s="78"/>
    </row>
    <row r="27" spans="2:17" x14ac:dyDescent="0.2">
      <c r="B27" s="794">
        <v>2007</v>
      </c>
      <c r="C27" s="311" t="s">
        <v>13</v>
      </c>
      <c r="D27" s="312">
        <v>8099.3580000000002</v>
      </c>
      <c r="E27" s="312">
        <v>13881</v>
      </c>
      <c r="F27" s="312">
        <v>11104.512000000001</v>
      </c>
      <c r="G27" s="312">
        <v>34467.226999999999</v>
      </c>
      <c r="H27" s="312">
        <v>11673.043</v>
      </c>
      <c r="I27" s="312">
        <v>10879</v>
      </c>
      <c r="J27" s="312">
        <v>403.29300000000001</v>
      </c>
      <c r="K27" s="312">
        <v>23033.746999999999</v>
      </c>
      <c r="L27" s="312">
        <v>5970.4539999999997</v>
      </c>
      <c r="M27" s="313">
        <f>SUM(D27:L27)</f>
        <v>119511.63400000002</v>
      </c>
      <c r="N27" s="78"/>
      <c r="O27" s="78"/>
      <c r="P27" s="78"/>
      <c r="Q27" s="78"/>
    </row>
    <row r="28" spans="2:17" x14ac:dyDescent="0.2">
      <c r="B28" s="795"/>
      <c r="C28" s="311" t="s">
        <v>89</v>
      </c>
      <c r="D28" s="312">
        <v>45196.998</v>
      </c>
      <c r="E28" s="312">
        <f>58051.623+60</f>
        <v>58111.623</v>
      </c>
      <c r="F28" s="319">
        <f>75055.921+264.55</f>
        <v>75320.471000000005</v>
      </c>
      <c r="G28" s="312">
        <f>45514.495+110</f>
        <v>45624.495000000003</v>
      </c>
      <c r="H28" s="312">
        <f>70252.714+382.614</f>
        <v>70635.328000000009</v>
      </c>
      <c r="I28" s="312">
        <f>55758.935+551.701</f>
        <v>56310.635999999999</v>
      </c>
      <c r="J28" s="312">
        <v>8583.0319999999992</v>
      </c>
      <c r="K28" s="319">
        <f>75562.238+14.4</f>
        <v>75576.637999999992</v>
      </c>
      <c r="L28" s="312">
        <f>46462.047+531.334</f>
        <v>46993.381000000001</v>
      </c>
      <c r="M28" s="313">
        <f>SUM(D28:L28)</f>
        <v>482352.60200000001</v>
      </c>
      <c r="N28" s="78"/>
      <c r="O28" s="78"/>
      <c r="P28" s="78"/>
      <c r="Q28" s="78"/>
    </row>
    <row r="29" spans="2:17" x14ac:dyDescent="0.2">
      <c r="B29" s="796"/>
      <c r="C29" s="314" t="s">
        <v>90</v>
      </c>
      <c r="D29" s="315">
        <v>11.449</v>
      </c>
      <c r="E29" s="315">
        <v>10741.184600000001</v>
      </c>
      <c r="F29" s="315">
        <v>19675.359</v>
      </c>
      <c r="G29" s="315">
        <v>7303.0079999999998</v>
      </c>
      <c r="H29" s="315">
        <v>1335.9</v>
      </c>
      <c r="I29" s="315">
        <v>239.64099999999999</v>
      </c>
      <c r="J29" s="315">
        <v>0</v>
      </c>
      <c r="K29" s="315">
        <v>1906.414</v>
      </c>
      <c r="L29" s="315">
        <v>114.44499999999999</v>
      </c>
      <c r="M29" s="316">
        <f>SUM(D29:L29)</f>
        <v>41327.400600000001</v>
      </c>
      <c r="N29" s="78"/>
      <c r="O29" s="78"/>
      <c r="P29" s="78"/>
      <c r="Q29" s="78"/>
    </row>
    <row r="30" spans="2:17" ht="18" customHeight="1" x14ac:dyDescent="0.2">
      <c r="B30" s="53" t="s">
        <v>110</v>
      </c>
      <c r="C30" s="318"/>
      <c r="D30" s="54">
        <f t="shared" ref="D30:M30" si="5">SUBTOTAL(9,D27:D29)</f>
        <v>53307.805</v>
      </c>
      <c r="E30" s="54">
        <f t="shared" si="5"/>
        <v>82733.8076</v>
      </c>
      <c r="F30" s="54">
        <f t="shared" si="5"/>
        <v>106100.342</v>
      </c>
      <c r="G30" s="54">
        <f t="shared" si="5"/>
        <v>87394.73000000001</v>
      </c>
      <c r="H30" s="54">
        <f t="shared" si="5"/>
        <v>83644.271000000008</v>
      </c>
      <c r="I30" s="54">
        <f t="shared" si="5"/>
        <v>67429.277000000002</v>
      </c>
      <c r="J30" s="54">
        <f t="shared" si="5"/>
        <v>8986.3249999999989</v>
      </c>
      <c r="K30" s="54">
        <f t="shared" si="5"/>
        <v>100516.799</v>
      </c>
      <c r="L30" s="54">
        <f t="shared" si="5"/>
        <v>53078.28</v>
      </c>
      <c r="M30" s="123">
        <f t="shared" si="5"/>
        <v>643191.63660000009</v>
      </c>
      <c r="N30" s="78"/>
      <c r="O30" s="78"/>
      <c r="P30" s="78"/>
      <c r="Q30" s="78"/>
    </row>
    <row r="31" spans="2:17" x14ac:dyDescent="0.2">
      <c r="B31" s="786">
        <v>2008</v>
      </c>
      <c r="C31" s="311" t="s">
        <v>13</v>
      </c>
      <c r="D31" s="320">
        <v>7782.5159999999996</v>
      </c>
      <c r="E31" s="320">
        <v>13477.714</v>
      </c>
      <c r="F31" s="320">
        <v>12447.99</v>
      </c>
      <c r="G31" s="216">
        <v>19510.021000000001</v>
      </c>
      <c r="H31" s="320">
        <v>11241.28</v>
      </c>
      <c r="I31" s="320">
        <v>10342.432000000001</v>
      </c>
      <c r="J31" s="320">
        <v>471.262</v>
      </c>
      <c r="K31" s="320">
        <v>28377.625</v>
      </c>
      <c r="L31" s="320">
        <v>5418.0469999999996</v>
      </c>
      <c r="M31" s="313">
        <f>SUM(D31:L31)</f>
        <v>109068.88700000002</v>
      </c>
      <c r="N31" s="78"/>
      <c r="O31" s="78"/>
      <c r="P31" s="78"/>
      <c r="Q31" s="78"/>
    </row>
    <row r="32" spans="2:17" x14ac:dyDescent="0.2">
      <c r="B32" s="787"/>
      <c r="C32" s="311" t="s">
        <v>89</v>
      </c>
      <c r="D32" s="217">
        <v>41775.347000000002</v>
      </c>
      <c r="E32" s="217">
        <v>56628.781999999999</v>
      </c>
      <c r="F32" s="217">
        <v>70283.933999999994</v>
      </c>
      <c r="G32" s="321">
        <v>46091.834999999999</v>
      </c>
      <c r="H32" s="217">
        <v>67143.61</v>
      </c>
      <c r="I32" s="217">
        <v>63852.718999999997</v>
      </c>
      <c r="J32" s="217">
        <v>5814.6570000000002</v>
      </c>
      <c r="K32" s="217">
        <v>76051.56</v>
      </c>
      <c r="L32" s="217">
        <v>45477.813999999998</v>
      </c>
      <c r="M32" s="313">
        <f>SUM(D32:L32)</f>
        <v>473120.25799999997</v>
      </c>
      <c r="N32" s="78"/>
      <c r="O32" s="78"/>
      <c r="P32" s="78"/>
      <c r="Q32" s="78"/>
    </row>
    <row r="33" spans="2:17" x14ac:dyDescent="0.2">
      <c r="B33" s="787"/>
      <c r="C33" s="311" t="s">
        <v>90</v>
      </c>
      <c r="D33" s="217">
        <v>10.154</v>
      </c>
      <c r="E33" s="217">
        <v>4730.6310000000003</v>
      </c>
      <c r="F33" s="217">
        <v>14555.721</v>
      </c>
      <c r="G33" s="322">
        <v>3914.1979999999999</v>
      </c>
      <c r="H33" s="217">
        <v>922.19899999999996</v>
      </c>
      <c r="I33" s="217">
        <v>230.33199999999999</v>
      </c>
      <c r="J33" s="217">
        <v>0</v>
      </c>
      <c r="K33" s="217">
        <v>1877.105</v>
      </c>
      <c r="L33" s="217">
        <v>4834.1009999999997</v>
      </c>
      <c r="M33" s="316">
        <f>SUM(D33:L33)</f>
        <v>31074.440999999999</v>
      </c>
      <c r="N33" s="78"/>
      <c r="O33" s="78"/>
      <c r="P33" s="78"/>
      <c r="Q33" s="78"/>
    </row>
    <row r="34" spans="2:17" ht="18.75" customHeight="1" x14ac:dyDescent="0.2">
      <c r="B34" s="323" t="s">
        <v>111</v>
      </c>
      <c r="C34" s="318"/>
      <c r="D34" s="54">
        <f>SUM(D31:D33)</f>
        <v>49568.017</v>
      </c>
      <c r="E34" s="54">
        <f t="shared" ref="E34:M34" si="6">SUM(E31:E33)</f>
        <v>74837.126999999993</v>
      </c>
      <c r="F34" s="54">
        <f t="shared" si="6"/>
        <v>97287.645000000004</v>
      </c>
      <c r="G34" s="54">
        <f t="shared" si="6"/>
        <v>69516.054000000004</v>
      </c>
      <c r="H34" s="54">
        <f t="shared" si="6"/>
        <v>79307.088999999993</v>
      </c>
      <c r="I34" s="54">
        <f t="shared" si="6"/>
        <v>74425.482999999993</v>
      </c>
      <c r="J34" s="54">
        <f t="shared" si="6"/>
        <v>6285.9189999999999</v>
      </c>
      <c r="K34" s="54">
        <f t="shared" si="6"/>
        <v>106306.29</v>
      </c>
      <c r="L34" s="54">
        <f t="shared" si="6"/>
        <v>55729.962</v>
      </c>
      <c r="M34" s="123">
        <f t="shared" si="6"/>
        <v>613263.58600000001</v>
      </c>
      <c r="N34" s="78"/>
      <c r="O34" s="78"/>
      <c r="P34" s="78"/>
      <c r="Q34" s="78"/>
    </row>
    <row r="35" spans="2:17" x14ac:dyDescent="0.2">
      <c r="B35" s="786">
        <v>2009</v>
      </c>
      <c r="C35" s="311" t="s">
        <v>13</v>
      </c>
      <c r="D35" s="320">
        <v>7279.4830000000002</v>
      </c>
      <c r="E35" s="320">
        <v>18825.555</v>
      </c>
      <c r="F35" s="320">
        <v>16919.674999999999</v>
      </c>
      <c r="G35" s="216">
        <v>24356.766</v>
      </c>
      <c r="H35" s="320">
        <v>12888.344999999999</v>
      </c>
      <c r="I35" s="320">
        <v>8203.7459999999992</v>
      </c>
      <c r="J35" s="320">
        <v>289.10000000000002</v>
      </c>
      <c r="K35" s="320">
        <v>29077.306</v>
      </c>
      <c r="L35" s="320">
        <v>5860.2240000000002</v>
      </c>
      <c r="M35" s="313">
        <f>SUM(D35:L35)</f>
        <v>123700.20000000001</v>
      </c>
      <c r="N35" s="78"/>
      <c r="O35" s="78"/>
      <c r="P35" s="78"/>
      <c r="Q35" s="78"/>
    </row>
    <row r="36" spans="2:17" x14ac:dyDescent="0.2">
      <c r="B36" s="787"/>
      <c r="C36" s="311" t="s">
        <v>89</v>
      </c>
      <c r="D36" s="217">
        <v>38039.209000000003</v>
      </c>
      <c r="E36" s="217">
        <v>55955.803</v>
      </c>
      <c r="F36" s="217">
        <v>61182.087</v>
      </c>
      <c r="G36" s="321">
        <v>39820.565000000002</v>
      </c>
      <c r="H36" s="217">
        <v>55056.508000000002</v>
      </c>
      <c r="I36" s="217">
        <v>58869.764999999999</v>
      </c>
      <c r="J36" s="217">
        <v>4394.6049999999996</v>
      </c>
      <c r="K36" s="217">
        <v>62355.300999999999</v>
      </c>
      <c r="L36" s="217">
        <v>34933.097000000002</v>
      </c>
      <c r="M36" s="313">
        <f>SUM(D36:L36)</f>
        <v>410606.93999999994</v>
      </c>
      <c r="N36" s="78"/>
      <c r="O36" s="78"/>
      <c r="P36" s="78"/>
      <c r="Q36" s="78"/>
    </row>
    <row r="37" spans="2:17" x14ac:dyDescent="0.2">
      <c r="B37" s="787"/>
      <c r="C37" s="311" t="s">
        <v>90</v>
      </c>
      <c r="D37" s="217">
        <v>0</v>
      </c>
      <c r="E37" s="217">
        <v>3733.4430000000002</v>
      </c>
      <c r="F37" s="217">
        <v>26080.294999999998</v>
      </c>
      <c r="G37" s="322">
        <v>3503.4789999999998</v>
      </c>
      <c r="H37" s="217">
        <v>1054.5519999999999</v>
      </c>
      <c r="I37" s="217">
        <v>350.33199999999999</v>
      </c>
      <c r="J37" s="217">
        <v>0</v>
      </c>
      <c r="K37" s="217">
        <v>1816.8050000000001</v>
      </c>
      <c r="L37" s="217">
        <v>4743.549</v>
      </c>
      <c r="M37" s="316">
        <f>SUM(D37:L37)</f>
        <v>41282.455000000002</v>
      </c>
      <c r="N37" s="78"/>
      <c r="O37" s="78"/>
      <c r="P37" s="78"/>
      <c r="Q37" s="78"/>
    </row>
    <row r="38" spans="2:17" ht="17.25" customHeight="1" x14ac:dyDescent="0.2">
      <c r="B38" s="323" t="s">
        <v>112</v>
      </c>
      <c r="C38" s="318"/>
      <c r="D38" s="54">
        <f t="shared" ref="D38:M38" si="7">SUM(D35:D37)</f>
        <v>45318.692000000003</v>
      </c>
      <c r="E38" s="54">
        <f t="shared" si="7"/>
        <v>78514.801000000007</v>
      </c>
      <c r="F38" s="54">
        <f t="shared" si="7"/>
        <v>104182.057</v>
      </c>
      <c r="G38" s="54">
        <f t="shared" si="7"/>
        <v>67680.810000000012</v>
      </c>
      <c r="H38" s="54">
        <f t="shared" si="7"/>
        <v>68999.404999999999</v>
      </c>
      <c r="I38" s="54">
        <f t="shared" si="7"/>
        <v>67423.842999999993</v>
      </c>
      <c r="J38" s="54">
        <f t="shared" si="7"/>
        <v>4683.7049999999999</v>
      </c>
      <c r="K38" s="54">
        <f t="shared" si="7"/>
        <v>93249.411999999997</v>
      </c>
      <c r="L38" s="54">
        <f t="shared" si="7"/>
        <v>45536.87</v>
      </c>
      <c r="M38" s="123">
        <f t="shared" si="7"/>
        <v>575589.59499999986</v>
      </c>
      <c r="N38" s="78"/>
      <c r="O38" s="78"/>
      <c r="P38" s="78"/>
      <c r="Q38" s="78"/>
    </row>
    <row r="39" spans="2:17" x14ac:dyDescent="0.2">
      <c r="B39" s="786">
        <v>2010</v>
      </c>
      <c r="C39" s="311" t="s">
        <v>13</v>
      </c>
      <c r="D39" s="320">
        <v>11834.032999999999</v>
      </c>
      <c r="E39" s="320">
        <v>14028.992</v>
      </c>
      <c r="F39" s="320">
        <v>15837.18</v>
      </c>
      <c r="G39" s="216">
        <v>22670.756000000001</v>
      </c>
      <c r="H39" s="320">
        <v>11549.504000000001</v>
      </c>
      <c r="I39" s="320">
        <v>7154.8779999999997</v>
      </c>
      <c r="J39" s="320">
        <v>1109.2349999999999</v>
      </c>
      <c r="K39" s="320">
        <v>29227.638999999999</v>
      </c>
      <c r="L39" s="320">
        <v>4415.4470000000001</v>
      </c>
      <c r="M39" s="313">
        <f>SUM(D39:L39)</f>
        <v>117827.66399999999</v>
      </c>
      <c r="N39" s="78"/>
      <c r="O39" s="78"/>
      <c r="P39" s="78"/>
      <c r="Q39" s="78"/>
    </row>
    <row r="40" spans="2:17" x14ac:dyDescent="0.2">
      <c r="B40" s="787"/>
      <c r="C40" s="311" t="s">
        <v>89</v>
      </c>
      <c r="D40" s="217">
        <v>30806.151000000002</v>
      </c>
      <c r="E40" s="217">
        <v>55051.998</v>
      </c>
      <c r="F40" s="217">
        <v>56652.915999999997</v>
      </c>
      <c r="G40" s="321">
        <v>41239.938999999998</v>
      </c>
      <c r="H40" s="217">
        <v>53492.667999999998</v>
      </c>
      <c r="I40" s="217">
        <v>54749.934000000001</v>
      </c>
      <c r="J40" s="217">
        <v>8221.4719999999998</v>
      </c>
      <c r="K40" s="217">
        <v>71030.948999999993</v>
      </c>
      <c r="L40" s="217">
        <v>33465.927000000003</v>
      </c>
      <c r="M40" s="313">
        <f>SUM(D40:L40)</f>
        <v>404711.95400000003</v>
      </c>
      <c r="N40" s="78"/>
      <c r="O40" s="78"/>
      <c r="P40" s="78"/>
      <c r="Q40" s="78"/>
    </row>
    <row r="41" spans="2:17" x14ac:dyDescent="0.2">
      <c r="B41" s="787"/>
      <c r="C41" s="311" t="s">
        <v>90</v>
      </c>
      <c r="D41" s="217">
        <v>0</v>
      </c>
      <c r="E41" s="217">
        <v>3585.0749999999998</v>
      </c>
      <c r="F41" s="217">
        <v>25625.716</v>
      </c>
      <c r="G41" s="322">
        <v>4987.2070000000003</v>
      </c>
      <c r="H41" s="217">
        <v>658.94399999999996</v>
      </c>
      <c r="I41" s="217">
        <v>445.33199999999999</v>
      </c>
      <c r="J41" s="217">
        <v>0</v>
      </c>
      <c r="K41" s="217">
        <v>1784.317</v>
      </c>
      <c r="L41" s="217">
        <v>4742.2160000000003</v>
      </c>
      <c r="M41" s="316">
        <f>SUM(D41:L41)</f>
        <v>41828.807000000008</v>
      </c>
      <c r="N41" s="78"/>
      <c r="O41" s="78"/>
      <c r="P41" s="78"/>
      <c r="Q41" s="78"/>
    </row>
    <row r="42" spans="2:17" ht="17.25" customHeight="1" x14ac:dyDescent="0.2">
      <c r="B42" s="323" t="s">
        <v>113</v>
      </c>
      <c r="C42" s="318"/>
      <c r="D42" s="54">
        <f t="shared" ref="D42:M42" si="8">SUM(D39:D41)</f>
        <v>42640.184000000001</v>
      </c>
      <c r="E42" s="54">
        <f t="shared" si="8"/>
        <v>72666.065000000002</v>
      </c>
      <c r="F42" s="54">
        <f t="shared" si="8"/>
        <v>98115.811999999991</v>
      </c>
      <c r="G42" s="54">
        <f t="shared" si="8"/>
        <v>68897.902000000002</v>
      </c>
      <c r="H42" s="54">
        <f t="shared" si="8"/>
        <v>65701.115999999995</v>
      </c>
      <c r="I42" s="54">
        <f t="shared" si="8"/>
        <v>62350.144</v>
      </c>
      <c r="J42" s="54">
        <f t="shared" si="8"/>
        <v>9330.7070000000003</v>
      </c>
      <c r="K42" s="54">
        <f t="shared" si="8"/>
        <v>102042.90499999998</v>
      </c>
      <c r="L42" s="54">
        <f t="shared" si="8"/>
        <v>42623.590000000004</v>
      </c>
      <c r="M42" s="123">
        <f t="shared" si="8"/>
        <v>564368.42500000005</v>
      </c>
      <c r="N42" s="78"/>
      <c r="O42" s="78"/>
      <c r="P42" s="78"/>
      <c r="Q42" s="78"/>
    </row>
    <row r="43" spans="2:17" x14ac:dyDescent="0.2">
      <c r="B43" s="786">
        <v>2011</v>
      </c>
      <c r="C43" s="311" t="s">
        <v>13</v>
      </c>
      <c r="D43" s="320">
        <v>12147.467999999999</v>
      </c>
      <c r="E43" s="320">
        <v>13884.886999999999</v>
      </c>
      <c r="F43" s="320">
        <v>16297.263000000001</v>
      </c>
      <c r="G43" s="216">
        <v>22753.666400000002</v>
      </c>
      <c r="H43" s="320">
        <v>10431.149000000001</v>
      </c>
      <c r="I43" s="320">
        <v>7670.3670000000002</v>
      </c>
      <c r="J43" s="320">
        <v>749.49</v>
      </c>
      <c r="K43" s="320">
        <v>27888.388999999999</v>
      </c>
      <c r="L43" s="320">
        <v>9493.5280000000002</v>
      </c>
      <c r="M43" s="313">
        <f>SUM(D43:L43)</f>
        <v>121316.2074</v>
      </c>
      <c r="N43" s="78"/>
      <c r="O43" s="78"/>
      <c r="P43" s="78"/>
      <c r="Q43" s="78"/>
    </row>
    <row r="44" spans="2:17" x14ac:dyDescent="0.2">
      <c r="B44" s="787"/>
      <c r="C44" s="311" t="s">
        <v>89</v>
      </c>
      <c r="D44" s="217">
        <v>31204.323</v>
      </c>
      <c r="E44" s="217">
        <v>54054.974000000002</v>
      </c>
      <c r="F44" s="217">
        <v>60240.545999999995</v>
      </c>
      <c r="G44" s="321">
        <v>37126.268000000004</v>
      </c>
      <c r="H44" s="217">
        <v>50558.831999999995</v>
      </c>
      <c r="I44" s="217">
        <v>50666.281000000003</v>
      </c>
      <c r="J44" s="217">
        <v>8991.6610000000001</v>
      </c>
      <c r="K44" s="217">
        <v>67144.679000000004</v>
      </c>
      <c r="L44" s="217">
        <v>30058.378000000004</v>
      </c>
      <c r="M44" s="313">
        <f>SUM(D44:L44)</f>
        <v>390045.94200000004</v>
      </c>
      <c r="N44" s="78"/>
      <c r="O44" s="78"/>
      <c r="P44" s="78"/>
      <c r="Q44" s="78"/>
    </row>
    <row r="45" spans="2:17" x14ac:dyDescent="0.2">
      <c r="B45" s="787"/>
      <c r="C45" s="311" t="s">
        <v>90</v>
      </c>
      <c r="D45" s="217">
        <v>0</v>
      </c>
      <c r="E45" s="217">
        <v>3636.1350000000002</v>
      </c>
      <c r="F45" s="217">
        <v>24670.046999999999</v>
      </c>
      <c r="G45" s="322">
        <v>5002.4579999999996</v>
      </c>
      <c r="H45" s="217">
        <v>607.32500000000005</v>
      </c>
      <c r="I45" s="217">
        <v>487.43799999999999</v>
      </c>
      <c r="J45" s="217">
        <v>0</v>
      </c>
      <c r="K45" s="217">
        <v>999.55</v>
      </c>
      <c r="L45" s="217">
        <v>40.731999999999999</v>
      </c>
      <c r="M45" s="316">
        <f>SUM(D45:L45)</f>
        <v>35443.685000000005</v>
      </c>
      <c r="N45" s="78"/>
      <c r="O45" s="78"/>
      <c r="P45" s="78"/>
      <c r="Q45" s="78"/>
    </row>
    <row r="46" spans="2:17" ht="19.5" customHeight="1" x14ac:dyDescent="0.2">
      <c r="B46" s="323" t="s">
        <v>114</v>
      </c>
      <c r="C46" s="318"/>
      <c r="D46" s="54">
        <f t="shared" ref="D46:M46" si="9">SUM(D43:D45)</f>
        <v>43351.790999999997</v>
      </c>
      <c r="E46" s="54">
        <f t="shared" si="9"/>
        <v>71575.995999999999</v>
      </c>
      <c r="F46" s="54">
        <f t="shared" si="9"/>
        <v>101207.856</v>
      </c>
      <c r="G46" s="54">
        <f t="shared" si="9"/>
        <v>64882.392400000004</v>
      </c>
      <c r="H46" s="54">
        <f t="shared" si="9"/>
        <v>61597.305999999997</v>
      </c>
      <c r="I46" s="54">
        <f t="shared" si="9"/>
        <v>58824.086000000003</v>
      </c>
      <c r="J46" s="54">
        <f t="shared" si="9"/>
        <v>9741.1509999999998</v>
      </c>
      <c r="K46" s="54">
        <f t="shared" si="9"/>
        <v>96032.618000000002</v>
      </c>
      <c r="L46" s="54">
        <f t="shared" si="9"/>
        <v>39592.638000000006</v>
      </c>
      <c r="M46" s="123">
        <f t="shared" si="9"/>
        <v>546805.83440000005</v>
      </c>
      <c r="N46" s="78"/>
      <c r="O46" s="78"/>
      <c r="P46" s="78"/>
      <c r="Q46" s="78"/>
    </row>
    <row r="47" spans="2:17" x14ac:dyDescent="0.2">
      <c r="B47" s="786">
        <v>2012</v>
      </c>
      <c r="C47" s="311" t="s">
        <v>13</v>
      </c>
      <c r="D47" s="324">
        <v>11569.713</v>
      </c>
      <c r="E47" s="324">
        <v>13880.603999999999</v>
      </c>
      <c r="F47" s="324">
        <v>15367.537000000004</v>
      </c>
      <c r="G47" s="324">
        <v>21165.592000000001</v>
      </c>
      <c r="H47" s="324">
        <v>10011.849</v>
      </c>
      <c r="I47" s="324">
        <v>6481.7129999999997</v>
      </c>
      <c r="J47" s="324">
        <v>1266.6100000000001</v>
      </c>
      <c r="K47" s="324">
        <v>22200.076999999997</v>
      </c>
      <c r="L47" s="324">
        <v>9468.4410000000007</v>
      </c>
      <c r="M47" s="313">
        <f>SUM(D47:L47)</f>
        <v>111412.13600000001</v>
      </c>
      <c r="N47" s="78"/>
      <c r="O47" s="78"/>
      <c r="P47" s="78"/>
      <c r="Q47" s="78"/>
    </row>
    <row r="48" spans="2:17" x14ac:dyDescent="0.2">
      <c r="B48" s="787"/>
      <c r="C48" s="311" t="s">
        <v>89</v>
      </c>
      <c r="D48" s="288">
        <v>28764.494999999999</v>
      </c>
      <c r="E48" s="261">
        <v>47798.27</v>
      </c>
      <c r="F48" s="261">
        <v>61921.629000000001</v>
      </c>
      <c r="G48" s="261">
        <v>35998.874000000003</v>
      </c>
      <c r="H48" s="261">
        <v>49085.034</v>
      </c>
      <c r="I48" s="261">
        <v>48604.104999999989</v>
      </c>
      <c r="J48" s="261">
        <v>6094.1260000000002</v>
      </c>
      <c r="K48" s="261">
        <v>62446.275999999998</v>
      </c>
      <c r="L48" s="261">
        <v>27633.702000000001</v>
      </c>
      <c r="M48" s="313">
        <f>SUM(D48:L48)</f>
        <v>368346.511</v>
      </c>
      <c r="N48" s="78"/>
      <c r="O48" s="78"/>
      <c r="P48" s="78"/>
      <c r="Q48" s="78"/>
    </row>
    <row r="49" spans="2:17" x14ac:dyDescent="0.2">
      <c r="B49" s="787"/>
      <c r="C49" s="311" t="s">
        <v>90</v>
      </c>
      <c r="D49" s="217">
        <v>0</v>
      </c>
      <c r="E49" s="261">
        <v>3474.625</v>
      </c>
      <c r="F49" s="261">
        <v>17185.330999999998</v>
      </c>
      <c r="G49" s="261">
        <v>3752.9010000000003</v>
      </c>
      <c r="H49" s="261">
        <v>725.69799999999998</v>
      </c>
      <c r="I49" s="261">
        <v>75</v>
      </c>
      <c r="J49" s="217">
        <v>0</v>
      </c>
      <c r="K49" s="261">
        <v>465.83800000000002</v>
      </c>
      <c r="L49" s="217">
        <v>0</v>
      </c>
      <c r="M49" s="316">
        <f>SUM(D49:L49)</f>
        <v>25679.393</v>
      </c>
      <c r="N49" s="78"/>
      <c r="O49" s="78"/>
      <c r="P49" s="78"/>
      <c r="Q49" s="78"/>
    </row>
    <row r="50" spans="2:17" ht="19.5" customHeight="1" x14ac:dyDescent="0.2">
      <c r="B50" s="323" t="s">
        <v>115</v>
      </c>
      <c r="C50" s="318"/>
      <c r="D50" s="115">
        <f t="shared" ref="D50:M50" si="10">SUM(D47:D49)</f>
        <v>40334.207999999999</v>
      </c>
      <c r="E50" s="115">
        <f t="shared" si="10"/>
        <v>65153.498999999996</v>
      </c>
      <c r="F50" s="115">
        <f t="shared" si="10"/>
        <v>94474.497000000003</v>
      </c>
      <c r="G50" s="115">
        <f t="shared" si="10"/>
        <v>60917.366999999998</v>
      </c>
      <c r="H50" s="115">
        <f t="shared" si="10"/>
        <v>59822.580999999998</v>
      </c>
      <c r="I50" s="115">
        <f t="shared" si="10"/>
        <v>55160.817999999985</v>
      </c>
      <c r="J50" s="115">
        <f t="shared" si="10"/>
        <v>7360.7360000000008</v>
      </c>
      <c r="K50" s="115">
        <f t="shared" si="10"/>
        <v>85112.191000000006</v>
      </c>
      <c r="L50" s="115">
        <f t="shared" si="10"/>
        <v>37102.143000000004</v>
      </c>
      <c r="M50" s="123">
        <f t="shared" si="10"/>
        <v>505438.04</v>
      </c>
      <c r="N50" s="78"/>
      <c r="O50" s="78"/>
      <c r="P50" s="78"/>
      <c r="Q50" s="78"/>
    </row>
    <row r="51" spans="2:17" x14ac:dyDescent="0.2">
      <c r="B51" s="786">
        <v>2013</v>
      </c>
      <c r="C51" s="311" t="s">
        <v>13</v>
      </c>
      <c r="D51" s="324">
        <v>11059.892</v>
      </c>
      <c r="E51" s="324">
        <v>14679.126</v>
      </c>
      <c r="F51" s="324">
        <v>16233.077999999998</v>
      </c>
      <c r="G51" s="324">
        <v>26684.03</v>
      </c>
      <c r="H51" s="324">
        <v>15948.651</v>
      </c>
      <c r="I51" s="324">
        <v>16107.344999999999</v>
      </c>
      <c r="J51" s="324">
        <v>1608.758</v>
      </c>
      <c r="K51" s="324">
        <v>19002.340000000004</v>
      </c>
      <c r="L51" s="324">
        <v>9736.67</v>
      </c>
      <c r="M51" s="313">
        <f>SUM(D51:L51)</f>
        <v>131059.89</v>
      </c>
      <c r="N51" s="78"/>
      <c r="O51" s="78"/>
      <c r="P51" s="78"/>
      <c r="Q51" s="78"/>
    </row>
    <row r="52" spans="2:17" x14ac:dyDescent="0.2">
      <c r="B52" s="787"/>
      <c r="C52" s="311" t="s">
        <v>89</v>
      </c>
      <c r="D52" s="288">
        <v>26844.352999999999</v>
      </c>
      <c r="E52" s="261">
        <v>44870.400999999991</v>
      </c>
      <c r="F52" s="261">
        <v>53204.313000000002</v>
      </c>
      <c r="G52" s="261">
        <v>43567.123</v>
      </c>
      <c r="H52" s="261">
        <v>48405.034999999996</v>
      </c>
      <c r="I52" s="261">
        <v>45613.633999999998</v>
      </c>
      <c r="J52" s="261">
        <v>5471.2</v>
      </c>
      <c r="K52" s="261">
        <v>57263.385000000009</v>
      </c>
      <c r="L52" s="261">
        <v>25410.557000000001</v>
      </c>
      <c r="M52" s="313">
        <f>SUM(D52:L52)</f>
        <v>350650.00100000005</v>
      </c>
      <c r="N52" s="78"/>
      <c r="O52" s="78"/>
      <c r="P52" s="78"/>
      <c r="Q52" s="78"/>
    </row>
    <row r="53" spans="2:17" x14ac:dyDescent="0.2">
      <c r="B53" s="787"/>
      <c r="C53" s="311" t="s">
        <v>90</v>
      </c>
      <c r="D53" s="217">
        <v>0</v>
      </c>
      <c r="E53" s="261">
        <v>3422.1109999999999</v>
      </c>
      <c r="F53" s="261">
        <v>20075.366999999998</v>
      </c>
      <c r="G53" s="261">
        <v>4129.9280000000008</v>
      </c>
      <c r="H53" s="261">
        <v>831.09</v>
      </c>
      <c r="I53" s="261">
        <v>502.21899999999999</v>
      </c>
      <c r="J53" s="217">
        <v>0</v>
      </c>
      <c r="K53" s="261">
        <v>426.44900000000001</v>
      </c>
      <c r="L53" s="261">
        <v>33.134</v>
      </c>
      <c r="M53" s="316">
        <f>SUM(D53:L53)</f>
        <v>29420.297999999999</v>
      </c>
      <c r="N53" s="78"/>
      <c r="O53" s="78"/>
      <c r="P53" s="78"/>
      <c r="Q53" s="78"/>
    </row>
    <row r="54" spans="2:17" ht="21" customHeight="1" x14ac:dyDescent="0.2">
      <c r="B54" s="323" t="s">
        <v>116</v>
      </c>
      <c r="C54" s="318"/>
      <c r="D54" s="115">
        <f t="shared" ref="D54:M54" si="11">SUM(D51:D53)</f>
        <v>37904.244999999995</v>
      </c>
      <c r="E54" s="115">
        <f t="shared" si="11"/>
        <v>62971.637999999984</v>
      </c>
      <c r="F54" s="115">
        <f t="shared" si="11"/>
        <v>89512.758000000002</v>
      </c>
      <c r="G54" s="115">
        <f t="shared" si="11"/>
        <v>74381.080999999991</v>
      </c>
      <c r="H54" s="115">
        <f t="shared" si="11"/>
        <v>65184.775999999991</v>
      </c>
      <c r="I54" s="115">
        <f t="shared" si="11"/>
        <v>62223.197999999997</v>
      </c>
      <c r="J54" s="115">
        <f t="shared" si="11"/>
        <v>7079.9579999999996</v>
      </c>
      <c r="K54" s="115">
        <f t="shared" si="11"/>
        <v>76692.173999999999</v>
      </c>
      <c r="L54" s="115">
        <f t="shared" si="11"/>
        <v>35180.360999999997</v>
      </c>
      <c r="M54" s="123">
        <f t="shared" si="11"/>
        <v>511130.18900000007</v>
      </c>
      <c r="N54" s="78"/>
      <c r="O54" s="78"/>
      <c r="P54" s="78"/>
      <c r="Q54" s="78"/>
    </row>
    <row r="55" spans="2:17" x14ac:dyDescent="0.2">
      <c r="B55" s="786">
        <v>2014</v>
      </c>
      <c r="C55" s="311" t="s">
        <v>13</v>
      </c>
      <c r="D55" s="114">
        <v>11194.138000000001</v>
      </c>
      <c r="E55" s="114">
        <v>8276.0249999999996</v>
      </c>
      <c r="F55" s="114">
        <v>15643.652000000002</v>
      </c>
      <c r="G55" s="114">
        <v>23851.812000000002</v>
      </c>
      <c r="H55" s="114">
        <v>17578.899000000001</v>
      </c>
      <c r="I55" s="114">
        <v>18231.498</v>
      </c>
      <c r="J55" s="114">
        <v>1255.46</v>
      </c>
      <c r="K55" s="114">
        <v>21097.21</v>
      </c>
      <c r="L55" s="114">
        <v>9537.8050000000003</v>
      </c>
      <c r="M55" s="313">
        <f>SUM(D55:L55)</f>
        <v>126666.49900000001</v>
      </c>
      <c r="N55" s="78"/>
      <c r="O55" s="78"/>
      <c r="P55" s="78"/>
      <c r="Q55" s="78"/>
    </row>
    <row r="56" spans="2:17" x14ac:dyDescent="0.2">
      <c r="B56" s="787"/>
      <c r="C56" s="311" t="s">
        <v>89</v>
      </c>
      <c r="D56" s="114">
        <v>26173.646999999997</v>
      </c>
      <c r="E56" s="114">
        <v>43885.486000000004</v>
      </c>
      <c r="F56" s="114">
        <v>54047.034000000007</v>
      </c>
      <c r="G56" s="114">
        <v>38771.238000000005</v>
      </c>
      <c r="H56" s="114">
        <v>45568.913</v>
      </c>
      <c r="I56" s="114">
        <v>39844.936000000009</v>
      </c>
      <c r="J56" s="114">
        <v>4675.75</v>
      </c>
      <c r="K56" s="114">
        <v>53734.221000000005</v>
      </c>
      <c r="L56" s="114">
        <v>22780.560999999998</v>
      </c>
      <c r="M56" s="313">
        <f>SUM(D56:L56)</f>
        <v>329481.78600000002</v>
      </c>
      <c r="N56" s="78"/>
      <c r="O56" s="78"/>
      <c r="P56" s="78"/>
      <c r="Q56" s="78"/>
    </row>
    <row r="57" spans="2:17" x14ac:dyDescent="0.2">
      <c r="B57" s="787"/>
      <c r="C57" s="314" t="s">
        <v>90</v>
      </c>
      <c r="D57" s="217">
        <v>0</v>
      </c>
      <c r="E57" s="114">
        <v>3362.1689999999999</v>
      </c>
      <c r="F57" s="114">
        <v>19948.309999999998</v>
      </c>
      <c r="G57" s="114">
        <v>3487.3850000000002</v>
      </c>
      <c r="H57" s="114">
        <v>640.44000000000005</v>
      </c>
      <c r="I57" s="114">
        <v>425.59899999999999</v>
      </c>
      <c r="J57" s="114"/>
      <c r="K57" s="114">
        <v>357.84500000000003</v>
      </c>
      <c r="L57" s="114">
        <v>0</v>
      </c>
      <c r="M57" s="316">
        <f>SUM(D57:L57)</f>
        <v>28221.748</v>
      </c>
      <c r="N57" s="78"/>
      <c r="O57" s="78"/>
      <c r="P57" s="78"/>
      <c r="Q57" s="78"/>
    </row>
    <row r="58" spans="2:17" x14ac:dyDescent="0.2">
      <c r="B58" s="323" t="s">
        <v>648</v>
      </c>
      <c r="C58" s="325"/>
      <c r="D58" s="115">
        <f t="shared" ref="D58:M58" si="12">SUM(D55:D57)</f>
        <v>37367.784999999996</v>
      </c>
      <c r="E58" s="115">
        <f t="shared" si="12"/>
        <v>55523.680000000008</v>
      </c>
      <c r="F58" s="115">
        <f t="shared" si="12"/>
        <v>89638.996000000014</v>
      </c>
      <c r="G58" s="115">
        <f t="shared" si="12"/>
        <v>66110.434999999998</v>
      </c>
      <c r="H58" s="115">
        <f t="shared" si="12"/>
        <v>63788.252000000008</v>
      </c>
      <c r="I58" s="115">
        <f t="shared" si="12"/>
        <v>58502.03300000001</v>
      </c>
      <c r="J58" s="115">
        <f t="shared" si="12"/>
        <v>5931.21</v>
      </c>
      <c r="K58" s="115">
        <f t="shared" si="12"/>
        <v>75189.276000000013</v>
      </c>
      <c r="L58" s="115">
        <f t="shared" si="12"/>
        <v>32318.365999999998</v>
      </c>
      <c r="M58" s="123">
        <f t="shared" si="12"/>
        <v>484370.03300000005</v>
      </c>
      <c r="N58" s="78"/>
      <c r="O58" s="78"/>
      <c r="P58" s="78"/>
      <c r="Q58" s="78"/>
    </row>
    <row r="59" spans="2:17" x14ac:dyDescent="0.2">
      <c r="B59" s="786">
        <v>2015</v>
      </c>
      <c r="C59" s="311" t="s">
        <v>13</v>
      </c>
      <c r="D59" s="114">
        <v>10784.967999999999</v>
      </c>
      <c r="E59" s="114">
        <v>6292.0309999999999</v>
      </c>
      <c r="F59" s="114">
        <v>17189.895</v>
      </c>
      <c r="G59" s="114">
        <v>25322.525000000001</v>
      </c>
      <c r="H59" s="114">
        <v>15207.148000000001</v>
      </c>
      <c r="I59" s="114">
        <v>19487.915000000001</v>
      </c>
      <c r="J59" s="114">
        <v>866.69</v>
      </c>
      <c r="K59" s="114">
        <v>26530.706699999992</v>
      </c>
      <c r="L59" s="114">
        <v>10896.840999999999</v>
      </c>
      <c r="M59" s="313">
        <f>SUM(D59:L59)</f>
        <v>132578.71970000002</v>
      </c>
      <c r="N59" s="78"/>
      <c r="O59" s="78"/>
      <c r="P59" s="78"/>
      <c r="Q59" s="78"/>
    </row>
    <row r="60" spans="2:17" x14ac:dyDescent="0.2">
      <c r="B60" s="787"/>
      <c r="C60" s="311" t="s">
        <v>89</v>
      </c>
      <c r="D60" s="114">
        <v>24082.970000000005</v>
      </c>
      <c r="E60" s="114">
        <v>41173.807999999997</v>
      </c>
      <c r="F60" s="114">
        <v>52704.31</v>
      </c>
      <c r="G60" s="114">
        <v>37603.890999999996</v>
      </c>
      <c r="H60" s="114">
        <v>44847.328700000005</v>
      </c>
      <c r="I60" s="114">
        <v>38221.724999999999</v>
      </c>
      <c r="J60" s="114">
        <v>3844.4540000000002</v>
      </c>
      <c r="K60" s="114">
        <v>48637.155000000006</v>
      </c>
      <c r="L60" s="114">
        <v>19555.660999999996</v>
      </c>
      <c r="M60" s="313">
        <f>SUM(D60:L60)</f>
        <v>310671.30270000006</v>
      </c>
      <c r="N60" s="78"/>
      <c r="O60" s="78"/>
      <c r="P60" s="78"/>
      <c r="Q60" s="78"/>
    </row>
    <row r="61" spans="2:17" x14ac:dyDescent="0.2">
      <c r="B61" s="787"/>
      <c r="C61" s="314" t="s">
        <v>90</v>
      </c>
      <c r="D61" s="224" t="s">
        <v>260</v>
      </c>
      <c r="E61" s="114">
        <v>3374.1909999999998</v>
      </c>
      <c r="F61" s="114">
        <v>19539.274000000001</v>
      </c>
      <c r="G61" s="114">
        <v>3439.0770000000002</v>
      </c>
      <c r="H61" s="114">
        <v>640.87699999999995</v>
      </c>
      <c r="I61" s="114">
        <v>484.09199999999998</v>
      </c>
      <c r="J61" s="224" t="s">
        <v>260</v>
      </c>
      <c r="K61" s="114">
        <v>30.11</v>
      </c>
      <c r="L61" s="224" t="s">
        <v>260</v>
      </c>
      <c r="M61" s="316">
        <f>SUM(D61:L61)</f>
        <v>27507.621000000003</v>
      </c>
      <c r="N61" s="78"/>
      <c r="O61" s="78"/>
      <c r="P61" s="78"/>
      <c r="Q61" s="78"/>
    </row>
    <row r="62" spans="2:17" x14ac:dyDescent="0.2">
      <c r="B62" s="323" t="s">
        <v>728</v>
      </c>
      <c r="C62" s="325"/>
      <c r="D62" s="115">
        <f t="shared" ref="D62:M62" si="13">SUM(D59:D61)</f>
        <v>34867.938000000002</v>
      </c>
      <c r="E62" s="115">
        <f t="shared" si="13"/>
        <v>50840.03</v>
      </c>
      <c r="F62" s="115">
        <f t="shared" si="13"/>
        <v>89433.479000000007</v>
      </c>
      <c r="G62" s="115">
        <f t="shared" si="13"/>
        <v>66365.493000000002</v>
      </c>
      <c r="H62" s="115">
        <f t="shared" si="13"/>
        <v>60695.353700000007</v>
      </c>
      <c r="I62" s="115">
        <f t="shared" si="13"/>
        <v>58193.731999999996</v>
      </c>
      <c r="J62" s="115">
        <f t="shared" si="13"/>
        <v>4711.1440000000002</v>
      </c>
      <c r="K62" s="115">
        <f t="shared" si="13"/>
        <v>75197.971699999995</v>
      </c>
      <c r="L62" s="115">
        <f t="shared" si="13"/>
        <v>30452.501999999993</v>
      </c>
      <c r="M62" s="123">
        <f t="shared" si="13"/>
        <v>470757.64340000006</v>
      </c>
      <c r="N62" s="78"/>
      <c r="O62" s="78"/>
      <c r="P62" s="78"/>
      <c r="Q62" s="78"/>
    </row>
    <row r="63" spans="2:17" x14ac:dyDescent="0.2">
      <c r="B63" s="786">
        <v>2016</v>
      </c>
      <c r="C63" s="311" t="s">
        <v>13</v>
      </c>
      <c r="D63" s="114">
        <v>10236.951000000001</v>
      </c>
      <c r="E63" s="114">
        <v>6680.4979999999996</v>
      </c>
      <c r="F63" s="114">
        <v>16746.657389999997</v>
      </c>
      <c r="G63" s="114">
        <v>23524.196999999996</v>
      </c>
      <c r="H63" s="114">
        <v>14558.859</v>
      </c>
      <c r="I63" s="114">
        <v>35952.15800000001</v>
      </c>
      <c r="J63" s="114">
        <v>518.03800000000001</v>
      </c>
      <c r="K63" s="114">
        <v>29794.744999999999</v>
      </c>
      <c r="L63" s="114">
        <v>9762.7569999999996</v>
      </c>
      <c r="M63" s="313">
        <f>SUM(D63:L63)</f>
        <v>147774.86039000002</v>
      </c>
      <c r="N63" s="78"/>
      <c r="O63" s="78"/>
      <c r="P63" s="78"/>
      <c r="Q63" s="78"/>
    </row>
    <row r="64" spans="2:17" x14ac:dyDescent="0.2">
      <c r="B64" s="787"/>
      <c r="C64" s="311" t="s">
        <v>89</v>
      </c>
      <c r="D64" s="114">
        <v>22030.018999999997</v>
      </c>
      <c r="E64" s="114">
        <v>40257.911999999997</v>
      </c>
      <c r="F64" s="114">
        <v>47140.686999999998</v>
      </c>
      <c r="G64" s="114">
        <v>36519.694999999992</v>
      </c>
      <c r="H64" s="114">
        <v>42841.066000000006</v>
      </c>
      <c r="I64" s="114">
        <v>35148.194000000003</v>
      </c>
      <c r="J64" s="114">
        <v>2931.4989999999998</v>
      </c>
      <c r="K64" s="114">
        <v>47173.587000000007</v>
      </c>
      <c r="L64" s="114">
        <v>17134.89</v>
      </c>
      <c r="M64" s="313">
        <f>SUM(D64:L64)</f>
        <v>291177.549</v>
      </c>
      <c r="N64" s="78"/>
      <c r="O64" s="78"/>
      <c r="P64" s="78"/>
      <c r="Q64" s="78"/>
    </row>
    <row r="65" spans="2:17" x14ac:dyDescent="0.2">
      <c r="B65" s="787"/>
      <c r="C65" s="314" t="s">
        <v>90</v>
      </c>
      <c r="D65" s="224" t="s">
        <v>260</v>
      </c>
      <c r="E65" s="114">
        <v>5708.7640000000001</v>
      </c>
      <c r="F65" s="476">
        <v>15560.825999999999</v>
      </c>
      <c r="G65" s="114">
        <v>3564.3379999999997</v>
      </c>
      <c r="H65" s="114">
        <v>640.87699999999995</v>
      </c>
      <c r="I65" s="114">
        <v>484.09199999999998</v>
      </c>
      <c r="J65" s="224" t="s">
        <v>260</v>
      </c>
      <c r="K65" s="114">
        <v>10.175000000000001</v>
      </c>
      <c r="L65" s="224" t="s">
        <v>260</v>
      </c>
      <c r="M65" s="316">
        <f>SUM(D65:L65)</f>
        <v>25969.072</v>
      </c>
      <c r="N65" s="78"/>
      <c r="O65" s="78"/>
      <c r="P65" s="78"/>
      <c r="Q65" s="78"/>
    </row>
    <row r="66" spans="2:17" x14ac:dyDescent="0.2">
      <c r="B66" s="323" t="s">
        <v>797</v>
      </c>
      <c r="C66" s="325"/>
      <c r="D66" s="115">
        <f t="shared" ref="D66:M66" si="14">SUM(D63:D65)</f>
        <v>32266.969999999998</v>
      </c>
      <c r="E66" s="115">
        <f t="shared" si="14"/>
        <v>52647.173999999999</v>
      </c>
      <c r="F66" s="115">
        <f t="shared" si="14"/>
        <v>79448.170389999999</v>
      </c>
      <c r="G66" s="115">
        <f t="shared" si="14"/>
        <v>63608.229999999996</v>
      </c>
      <c r="H66" s="115">
        <f t="shared" si="14"/>
        <v>58040.802000000003</v>
      </c>
      <c r="I66" s="115">
        <f t="shared" si="14"/>
        <v>71584.444000000018</v>
      </c>
      <c r="J66" s="115">
        <f t="shared" si="14"/>
        <v>3449.5369999999998</v>
      </c>
      <c r="K66" s="115">
        <f t="shared" si="14"/>
        <v>76978.507000000012</v>
      </c>
      <c r="L66" s="115">
        <f t="shared" si="14"/>
        <v>26897.646999999997</v>
      </c>
      <c r="M66" s="123">
        <f t="shared" si="14"/>
        <v>464921.48139000003</v>
      </c>
      <c r="N66" s="78"/>
      <c r="O66" s="78"/>
      <c r="P66" s="78"/>
      <c r="Q66" s="78"/>
    </row>
    <row r="67" spans="2:17" x14ac:dyDescent="0.2">
      <c r="B67" s="326"/>
      <c r="C67" s="247"/>
      <c r="D67" s="247"/>
      <c r="E67" s="247"/>
      <c r="F67" s="247"/>
      <c r="G67" s="247"/>
      <c r="H67" s="247"/>
      <c r="I67" s="247"/>
      <c r="J67" s="78"/>
      <c r="K67" s="78"/>
      <c r="L67" s="78"/>
      <c r="M67" s="78"/>
      <c r="N67" s="78"/>
      <c r="O67" s="78"/>
      <c r="P67" s="78"/>
      <c r="Q67" s="78"/>
    </row>
    <row r="68" spans="2:17" x14ac:dyDescent="0.2">
      <c r="B68" s="326" t="s">
        <v>31</v>
      </c>
      <c r="C68" s="247"/>
      <c r="D68" s="247"/>
      <c r="E68" s="247"/>
      <c r="F68" s="247"/>
      <c r="G68" s="247"/>
      <c r="H68" s="247"/>
      <c r="I68" s="247"/>
      <c r="J68" s="78"/>
      <c r="K68" s="78"/>
      <c r="L68" s="78"/>
      <c r="M68" s="78"/>
      <c r="N68" s="78"/>
      <c r="O68" s="78"/>
      <c r="P68" s="78"/>
      <c r="Q68" s="78"/>
    </row>
    <row r="69" spans="2:17" x14ac:dyDescent="0.2">
      <c r="B69" s="247" t="s">
        <v>92</v>
      </c>
      <c r="C69" s="247"/>
      <c r="D69" s="247"/>
      <c r="E69" s="247"/>
      <c r="F69" s="247"/>
      <c r="G69" s="247"/>
      <c r="H69" s="247"/>
      <c r="I69" s="247"/>
      <c r="J69" s="78"/>
      <c r="K69" s="78"/>
      <c r="L69" s="78"/>
      <c r="M69" s="78"/>
      <c r="N69" s="78"/>
      <c r="O69" s="78"/>
      <c r="P69" s="78"/>
      <c r="Q69" s="78"/>
    </row>
    <row r="70" spans="2:17" x14ac:dyDescent="0.2">
      <c r="B70" s="247" t="s">
        <v>93</v>
      </c>
      <c r="C70" s="247"/>
      <c r="D70" s="247"/>
      <c r="E70" s="247"/>
      <c r="F70" s="247"/>
      <c r="G70" s="247"/>
      <c r="H70" s="247"/>
      <c r="I70" s="247"/>
      <c r="J70" s="78"/>
      <c r="K70" s="78"/>
      <c r="L70" s="78"/>
      <c r="M70" s="78"/>
      <c r="N70" s="78"/>
      <c r="O70" s="78"/>
      <c r="P70" s="78"/>
      <c r="Q70" s="78"/>
    </row>
    <row r="71" spans="2:17" x14ac:dyDescent="0.2">
      <c r="B71" s="247" t="s">
        <v>94</v>
      </c>
      <c r="C71" s="247"/>
      <c r="D71" s="247"/>
      <c r="E71" s="247"/>
      <c r="F71" s="247"/>
      <c r="G71" s="247"/>
      <c r="H71" s="247"/>
      <c r="I71" s="247"/>
      <c r="J71" s="78"/>
      <c r="K71" s="78"/>
      <c r="L71" s="78"/>
      <c r="M71" s="78"/>
      <c r="N71" s="78"/>
      <c r="O71" s="78"/>
      <c r="P71" s="78"/>
      <c r="Q71" s="78"/>
    </row>
    <row r="72" spans="2:17" x14ac:dyDescent="0.2">
      <c r="B72" s="247" t="s">
        <v>95</v>
      </c>
      <c r="C72" s="247"/>
      <c r="D72" s="247"/>
      <c r="E72" s="247"/>
      <c r="F72" s="247"/>
      <c r="G72" s="247"/>
      <c r="H72" s="247"/>
      <c r="I72" s="247"/>
      <c r="J72" s="78"/>
      <c r="K72" s="78"/>
      <c r="L72" s="78"/>
      <c r="M72" s="78"/>
      <c r="N72" s="78"/>
      <c r="O72" s="78"/>
      <c r="P72" s="78"/>
      <c r="Q72" s="78"/>
    </row>
  </sheetData>
  <mergeCells count="19">
    <mergeCell ref="M5:M6"/>
    <mergeCell ref="B5:B6"/>
    <mergeCell ref="C5:C6"/>
    <mergeCell ref="B7:B9"/>
    <mergeCell ref="B39:B41"/>
    <mergeCell ref="B15:B17"/>
    <mergeCell ref="B19:B21"/>
    <mergeCell ref="B23:B25"/>
    <mergeCell ref="B27:B29"/>
    <mergeCell ref="B31:B33"/>
    <mergeCell ref="B35:B37"/>
    <mergeCell ref="B11:B13"/>
    <mergeCell ref="D5:L5"/>
    <mergeCell ref="B63:B65"/>
    <mergeCell ref="B43:B45"/>
    <mergeCell ref="B47:B49"/>
    <mergeCell ref="B51:B53"/>
    <mergeCell ref="B59:B61"/>
    <mergeCell ref="B55:B57"/>
  </mergeCells>
  <pageMargins left="0.70866141732283472" right="0.70866141732283472" top="0.74803149606299213" bottom="0.74803149606299213" header="0.31496062992125984" footer="0.31496062992125984"/>
  <pageSetup paperSize="9" scale="51" fitToWidth="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N30"/>
  <sheetViews>
    <sheetView showGridLines="0" zoomScaleNormal="100" workbookViewId="0"/>
  </sheetViews>
  <sheetFormatPr defaultRowHeight="12.75" x14ac:dyDescent="0.2"/>
  <cols>
    <col min="1" max="1" width="5.7109375" style="78" customWidth="1"/>
    <col min="2" max="2" width="18.140625" style="78" customWidth="1"/>
    <col min="3" max="3" width="18" style="78" customWidth="1"/>
    <col min="4" max="4" width="17.28515625" style="78" customWidth="1"/>
    <col min="5" max="6" width="14.140625" style="78" customWidth="1"/>
    <col min="7" max="7" width="12" style="78" customWidth="1"/>
    <col min="8" max="8" width="13.28515625" style="78" customWidth="1"/>
    <col min="9" max="9" width="12.5703125" style="78" customWidth="1"/>
    <col min="10" max="10" width="9.140625" style="78"/>
    <col min="11" max="11" width="10" style="78" customWidth="1"/>
    <col min="12" max="12" width="12.85546875" style="78" customWidth="1"/>
    <col min="13" max="13" width="11.7109375" style="78" customWidth="1"/>
    <col min="14" max="14" width="12.85546875" style="78" bestFit="1" customWidth="1"/>
    <col min="15" max="17" width="9.140625" style="78"/>
    <col min="18" max="18" width="15.85546875" style="78" customWidth="1"/>
    <col min="19" max="16384" width="9.140625" style="78"/>
  </cols>
  <sheetData>
    <row r="1" spans="1:14" ht="12.75" customHeight="1" x14ac:dyDescent="0.2">
      <c r="A1" s="242"/>
    </row>
    <row r="2" spans="1:14" ht="18.75" x14ac:dyDescent="0.2">
      <c r="B2" s="86" t="s">
        <v>802</v>
      </c>
    </row>
    <row r="3" spans="1:14" ht="18.75" x14ac:dyDescent="0.2">
      <c r="B3" s="244" t="s">
        <v>16</v>
      </c>
      <c r="D3" s="243"/>
    </row>
    <row r="4" spans="1:14" x14ac:dyDescent="0.2">
      <c r="B4" s="294"/>
      <c r="E4" s="327"/>
    </row>
    <row r="5" spans="1:14" ht="12.75" customHeight="1" x14ac:dyDescent="0.2">
      <c r="B5" s="790" t="s">
        <v>12</v>
      </c>
      <c r="C5" s="803"/>
      <c r="D5" s="805" t="s">
        <v>117</v>
      </c>
      <c r="E5" s="806"/>
      <c r="F5" s="806"/>
      <c r="G5" s="806"/>
      <c r="H5" s="806"/>
      <c r="I5" s="806"/>
      <c r="J5" s="806"/>
      <c r="K5" s="806"/>
      <c r="L5" s="807"/>
      <c r="M5" s="792" t="s">
        <v>118</v>
      </c>
    </row>
    <row r="6" spans="1:14" s="16" customFormat="1" ht="42.75" customHeight="1" x14ac:dyDescent="0.2">
      <c r="B6" s="791"/>
      <c r="C6" s="804"/>
      <c r="D6" s="48" t="s">
        <v>119</v>
      </c>
      <c r="E6" s="48" t="s">
        <v>120</v>
      </c>
      <c r="F6" s="48" t="s">
        <v>121</v>
      </c>
      <c r="G6" s="48" t="s">
        <v>67</v>
      </c>
      <c r="H6" s="48" t="s">
        <v>122</v>
      </c>
      <c r="I6" s="48" t="s">
        <v>123</v>
      </c>
      <c r="J6" s="48" t="s">
        <v>124</v>
      </c>
      <c r="K6" s="48" t="s">
        <v>125</v>
      </c>
      <c r="L6" s="48" t="s">
        <v>126</v>
      </c>
      <c r="M6" s="793"/>
    </row>
    <row r="7" spans="1:14" ht="19.5" customHeight="1" x14ac:dyDescent="0.2">
      <c r="B7" s="797" t="s">
        <v>97</v>
      </c>
      <c r="C7" s="122" t="s">
        <v>151</v>
      </c>
      <c r="D7" s="524">
        <v>556.79288900000006</v>
      </c>
      <c r="E7" s="476">
        <v>950.08235899998056</v>
      </c>
      <c r="F7" s="476">
        <v>763.07364699999664</v>
      </c>
      <c r="G7" s="476">
        <v>620.9108409999925</v>
      </c>
      <c r="H7" s="476">
        <v>600.23951999998906</v>
      </c>
      <c r="I7" s="476">
        <v>1094.2070679999933</v>
      </c>
      <c r="J7" s="476">
        <v>669.21560399999976</v>
      </c>
      <c r="K7" s="476">
        <v>849.03482899999733</v>
      </c>
      <c r="L7" s="476">
        <v>588.91867899999841</v>
      </c>
      <c r="M7" s="525">
        <f t="shared" ref="M7:M18" si="0">SUM(D7:L7)</f>
        <v>6692.4754359999479</v>
      </c>
    </row>
    <row r="8" spans="1:14" ht="19.5" customHeight="1" x14ac:dyDescent="0.2">
      <c r="B8" s="798"/>
      <c r="C8" s="120" t="s">
        <v>7</v>
      </c>
      <c r="D8" s="526">
        <v>1898.4638329999991</v>
      </c>
      <c r="E8" s="476">
        <v>4121.3308329999991</v>
      </c>
      <c r="F8" s="476">
        <v>3382.3245709999997</v>
      </c>
      <c r="G8" s="476">
        <v>2708.6195510000039</v>
      </c>
      <c r="H8" s="476">
        <v>3333.0275449999981</v>
      </c>
      <c r="I8" s="476">
        <v>2832.2434680000042</v>
      </c>
      <c r="J8" s="476">
        <v>5859.8639499999999</v>
      </c>
      <c r="K8" s="476">
        <v>4380.5248850000016</v>
      </c>
      <c r="L8" s="476">
        <v>2136.4758550000015</v>
      </c>
      <c r="M8" s="525">
        <f t="shared" si="0"/>
        <v>30652.874491000006</v>
      </c>
    </row>
    <row r="9" spans="1:14" ht="19.5" customHeight="1" x14ac:dyDescent="0.2">
      <c r="B9" s="798"/>
      <c r="C9" s="120" t="s">
        <v>8</v>
      </c>
      <c r="D9" s="526">
        <v>120.809989</v>
      </c>
      <c r="E9" s="476">
        <v>15.82815400000001</v>
      </c>
      <c r="F9" s="476">
        <v>13.478255000000003</v>
      </c>
      <c r="G9" s="476">
        <v>11.932825000000001</v>
      </c>
      <c r="H9" s="476">
        <v>37.258291999999983</v>
      </c>
      <c r="I9" s="476">
        <v>185.93418400000007</v>
      </c>
      <c r="J9" s="476">
        <v>10.370803999999998</v>
      </c>
      <c r="K9" s="476">
        <v>125.27664199999992</v>
      </c>
      <c r="L9" s="476">
        <v>43.712683000000013</v>
      </c>
      <c r="M9" s="525">
        <f t="shared" si="0"/>
        <v>564.60182799999995</v>
      </c>
    </row>
    <row r="10" spans="1:14" ht="19.5" customHeight="1" x14ac:dyDescent="0.2">
      <c r="B10" s="798"/>
      <c r="C10" s="121" t="s">
        <v>10</v>
      </c>
      <c r="D10" s="526">
        <v>277.37108500000005</v>
      </c>
      <c r="E10" s="476">
        <v>846.19886199999894</v>
      </c>
      <c r="F10" s="476">
        <v>571.45176600000025</v>
      </c>
      <c r="G10" s="476">
        <v>432.64746000000025</v>
      </c>
      <c r="H10" s="476">
        <v>524.75735699999984</v>
      </c>
      <c r="I10" s="476">
        <v>576.40850900000123</v>
      </c>
      <c r="J10" s="476">
        <v>512.97216200000014</v>
      </c>
      <c r="K10" s="476">
        <v>1496.9103449999998</v>
      </c>
      <c r="L10" s="476">
        <v>854.66412899999955</v>
      </c>
      <c r="M10" s="525">
        <f>SUM(D10:L10)</f>
        <v>6093.3816749999996</v>
      </c>
    </row>
    <row r="11" spans="1:14" ht="19.5" customHeight="1" x14ac:dyDescent="0.2">
      <c r="B11" s="798"/>
      <c r="C11" s="122" t="s">
        <v>9</v>
      </c>
      <c r="D11" s="527">
        <v>70.083870000000005</v>
      </c>
      <c r="E11" s="476">
        <v>103.20574199999999</v>
      </c>
      <c r="F11" s="476">
        <v>147.20986099999999</v>
      </c>
      <c r="G11" s="476">
        <v>252.75269</v>
      </c>
      <c r="H11" s="476">
        <v>52.181664999999995</v>
      </c>
      <c r="I11" s="476">
        <v>394.50594000000001</v>
      </c>
      <c r="J11" s="476">
        <v>1416.2298039999998</v>
      </c>
      <c r="K11" s="476">
        <v>170.72184999999999</v>
      </c>
      <c r="L11" s="476">
        <v>73.828370000000007</v>
      </c>
      <c r="M11" s="525">
        <f>SUM(D11:L11)</f>
        <v>2680.7197919999999</v>
      </c>
    </row>
    <row r="12" spans="1:14" ht="19.5" customHeight="1" x14ac:dyDescent="0.2">
      <c r="B12" s="799" t="s">
        <v>33</v>
      </c>
      <c r="C12" s="800"/>
      <c r="D12" s="522">
        <f t="shared" ref="D12:L12" si="1">D11+D10+D9+D8+D7</f>
        <v>2923.5216659999996</v>
      </c>
      <c r="E12" s="523">
        <f t="shared" si="1"/>
        <v>6036.6459499999792</v>
      </c>
      <c r="F12" s="523">
        <f t="shared" si="1"/>
        <v>4877.5380999999961</v>
      </c>
      <c r="G12" s="523">
        <f t="shared" si="1"/>
        <v>4026.8633669999967</v>
      </c>
      <c r="H12" s="523">
        <f t="shared" si="1"/>
        <v>4547.4643789999873</v>
      </c>
      <c r="I12" s="523">
        <f t="shared" si="1"/>
        <v>5083.299168999999</v>
      </c>
      <c r="J12" s="523">
        <f t="shared" si="1"/>
        <v>8468.6523239999988</v>
      </c>
      <c r="K12" s="523">
        <f t="shared" si="1"/>
        <v>7022.468550999999</v>
      </c>
      <c r="L12" s="530">
        <f t="shared" si="1"/>
        <v>3697.5997159999997</v>
      </c>
      <c r="M12" s="530">
        <f>M11+M10+M9+M8+M7</f>
        <v>46684.053221999959</v>
      </c>
    </row>
    <row r="13" spans="1:14" ht="19.5" customHeight="1" x14ac:dyDescent="0.2">
      <c r="B13" s="801" t="s">
        <v>99</v>
      </c>
      <c r="C13" s="118" t="s">
        <v>0</v>
      </c>
      <c r="D13" s="524">
        <v>651.41048600000101</v>
      </c>
      <c r="E13" s="476">
        <v>1870.9099470000006</v>
      </c>
      <c r="F13" s="476">
        <v>1582.8603559999985</v>
      </c>
      <c r="G13" s="476">
        <v>611.38678699999969</v>
      </c>
      <c r="H13" s="476">
        <v>901.25889799999936</v>
      </c>
      <c r="I13" s="476">
        <v>1167.2784249999995</v>
      </c>
      <c r="J13" s="476">
        <v>1698.239865</v>
      </c>
      <c r="K13" s="476">
        <v>1563.5594919999999</v>
      </c>
      <c r="L13" s="476">
        <v>441.46000499999985</v>
      </c>
      <c r="M13" s="525">
        <f t="shared" si="0"/>
        <v>10488.364260999997</v>
      </c>
      <c r="N13" s="250"/>
    </row>
    <row r="14" spans="1:14" ht="19.5" customHeight="1" x14ac:dyDescent="0.2">
      <c r="B14" s="802"/>
      <c r="C14" s="119" t="s">
        <v>1</v>
      </c>
      <c r="D14" s="526">
        <v>1509.2555820000014</v>
      </c>
      <c r="E14" s="528">
        <v>4618.4870010000404</v>
      </c>
      <c r="F14" s="476">
        <v>4511.8950780000041</v>
      </c>
      <c r="G14" s="476">
        <v>2737.6096939999989</v>
      </c>
      <c r="H14" s="476">
        <v>2230.0377520000134</v>
      </c>
      <c r="I14" s="476">
        <v>3784.1054030000128</v>
      </c>
      <c r="J14" s="476">
        <v>3295.5865990000011</v>
      </c>
      <c r="K14" s="529">
        <v>5657.3316040000127</v>
      </c>
      <c r="L14" s="476">
        <v>2693.9719590000009</v>
      </c>
      <c r="M14" s="525">
        <f t="shared" si="0"/>
        <v>31038.280672000088</v>
      </c>
      <c r="N14" s="250"/>
    </row>
    <row r="15" spans="1:14" ht="19.5" customHeight="1" x14ac:dyDescent="0.2">
      <c r="B15" s="802"/>
      <c r="C15" s="119" t="s">
        <v>2</v>
      </c>
      <c r="D15" s="526">
        <v>94.063127999999921</v>
      </c>
      <c r="E15" s="476">
        <v>1077.0362989999917</v>
      </c>
      <c r="F15" s="476">
        <v>482.95464599999985</v>
      </c>
      <c r="G15" s="476">
        <v>666.28053500000146</v>
      </c>
      <c r="H15" s="476">
        <v>367.10139599999633</v>
      </c>
      <c r="I15" s="476">
        <v>1222.2335090000004</v>
      </c>
      <c r="J15" s="476">
        <v>515.07778799999994</v>
      </c>
      <c r="K15" s="476">
        <v>303.2945149999984</v>
      </c>
      <c r="L15" s="476">
        <v>700.83527099999765</v>
      </c>
      <c r="M15" s="525">
        <f t="shared" si="0"/>
        <v>5428.8770869999862</v>
      </c>
      <c r="N15" s="250"/>
    </row>
    <row r="16" spans="1:14" ht="19.5" customHeight="1" x14ac:dyDescent="0.2">
      <c r="B16" s="802"/>
      <c r="C16" s="225" t="s">
        <v>3</v>
      </c>
      <c r="D16" s="516" t="s">
        <v>260</v>
      </c>
      <c r="E16" s="476">
        <v>27.426950999999999</v>
      </c>
      <c r="F16" s="476">
        <v>357.85627399999828</v>
      </c>
      <c r="G16" s="476">
        <v>38.461987000000022</v>
      </c>
      <c r="H16" s="476">
        <v>5.0583490000000024</v>
      </c>
      <c r="I16" s="476">
        <v>15.519721999999994</v>
      </c>
      <c r="J16" s="516" t="s">
        <v>260</v>
      </c>
      <c r="K16" s="476">
        <v>3.1419999999999999</v>
      </c>
      <c r="L16" s="476">
        <v>34.586941000000024</v>
      </c>
      <c r="M16" s="525">
        <f t="shared" si="0"/>
        <v>482.05222399999832</v>
      </c>
      <c r="N16" s="250"/>
    </row>
    <row r="17" spans="2:14" ht="19.5" customHeight="1" x14ac:dyDescent="0.2">
      <c r="B17" s="802"/>
      <c r="C17" s="120" t="s">
        <v>4</v>
      </c>
      <c r="D17" s="526">
        <v>139.708574</v>
      </c>
      <c r="E17" s="476">
        <v>693.33839800000032</v>
      </c>
      <c r="F17" s="476">
        <v>506.97500500000018</v>
      </c>
      <c r="G17" s="476">
        <v>657.23041000000012</v>
      </c>
      <c r="H17" s="476">
        <v>532.10630699999979</v>
      </c>
      <c r="I17" s="476">
        <v>947.23924099999988</v>
      </c>
      <c r="J17" s="476">
        <v>134.85827</v>
      </c>
      <c r="K17" s="476">
        <v>986.58393499999977</v>
      </c>
      <c r="L17" s="476">
        <v>677.60436899999934</v>
      </c>
      <c r="M17" s="525">
        <f t="shared" si="0"/>
        <v>5275.6445089999997</v>
      </c>
      <c r="N17" s="250"/>
    </row>
    <row r="18" spans="2:14" ht="19.5" customHeight="1" x14ac:dyDescent="0.2">
      <c r="B18" s="802"/>
      <c r="C18" s="121" t="s">
        <v>5</v>
      </c>
      <c r="D18" s="527">
        <v>917.2343239999966</v>
      </c>
      <c r="E18" s="476">
        <v>7495.3487980000018</v>
      </c>
      <c r="F18" s="476">
        <v>1008.7205739999989</v>
      </c>
      <c r="G18" s="476">
        <v>1305.9074590000005</v>
      </c>
      <c r="H18" s="476">
        <v>1740.9348180000006</v>
      </c>
      <c r="I18" s="476">
        <v>2054.6147690000012</v>
      </c>
      <c r="J18" s="476">
        <v>683.00092799999982</v>
      </c>
      <c r="K18" s="476">
        <v>1839.2156279999977</v>
      </c>
      <c r="L18" s="476">
        <v>2660.4554979999998</v>
      </c>
      <c r="M18" s="525">
        <f t="shared" si="0"/>
        <v>19705.432795999997</v>
      </c>
      <c r="N18" s="250"/>
    </row>
    <row r="19" spans="2:14" ht="21.75" customHeight="1" x14ac:dyDescent="0.2">
      <c r="B19" s="799" t="s">
        <v>33</v>
      </c>
      <c r="C19" s="800"/>
      <c r="D19" s="531">
        <f>SUM(D13:D18)</f>
        <v>3311.6720939999987</v>
      </c>
      <c r="E19" s="532">
        <f t="shared" ref="E19:L19" si="2">+E18+E17+E16+E15+E14+E13</f>
        <v>15782.547394000034</v>
      </c>
      <c r="F19" s="532">
        <f t="shared" si="2"/>
        <v>8451.2619329999998</v>
      </c>
      <c r="G19" s="532">
        <f t="shared" si="2"/>
        <v>6016.8768720000007</v>
      </c>
      <c r="H19" s="532">
        <f t="shared" si="2"/>
        <v>5776.497520000009</v>
      </c>
      <c r="I19" s="532">
        <f t="shared" si="2"/>
        <v>9190.9910690000142</v>
      </c>
      <c r="J19" s="532">
        <f>SUM(J13:J18)</f>
        <v>6326.7634500000004</v>
      </c>
      <c r="K19" s="532">
        <f t="shared" si="2"/>
        <v>10353.127174000008</v>
      </c>
      <c r="L19" s="533">
        <f t="shared" si="2"/>
        <v>7208.9140429999979</v>
      </c>
      <c r="M19" s="530">
        <f>+M18+M17+M16+M15+M14+M13</f>
        <v>72418.651549000075</v>
      </c>
      <c r="N19" s="250"/>
    </row>
    <row r="20" spans="2:14" ht="20.100000000000001" customHeight="1" x14ac:dyDescent="0.2">
      <c r="B20" s="797" t="s">
        <v>152</v>
      </c>
      <c r="C20" s="116" t="s">
        <v>77</v>
      </c>
      <c r="D20" s="526">
        <v>80.002648000000022</v>
      </c>
      <c r="E20" s="476">
        <v>232.09231400000004</v>
      </c>
      <c r="F20" s="476">
        <v>230.51369100000011</v>
      </c>
      <c r="G20" s="476">
        <v>58.517379999999953</v>
      </c>
      <c r="H20" s="476">
        <v>224.13548899999964</v>
      </c>
      <c r="I20" s="476">
        <v>235.99846399999981</v>
      </c>
      <c r="J20" s="476">
        <v>237.64967200000001</v>
      </c>
      <c r="K20" s="476">
        <v>322.15027000000038</v>
      </c>
      <c r="L20" s="476">
        <v>358.66462099999978</v>
      </c>
      <c r="M20" s="525">
        <f>SUM(D20:L20)</f>
        <v>1979.724549</v>
      </c>
    </row>
    <row r="21" spans="2:14" ht="20.25" customHeight="1" x14ac:dyDescent="0.2">
      <c r="B21" s="798"/>
      <c r="C21" s="117" t="s">
        <v>34</v>
      </c>
      <c r="D21" s="527">
        <v>571.57147200000009</v>
      </c>
      <c r="E21" s="476">
        <v>2136.1779549999992</v>
      </c>
      <c r="F21" s="476">
        <v>1734.5548730000007</v>
      </c>
      <c r="G21" s="476">
        <v>905.24629399999992</v>
      </c>
      <c r="H21" s="476">
        <v>1461.6409489999946</v>
      </c>
      <c r="I21" s="476">
        <v>2051.9570070000022</v>
      </c>
      <c r="J21" s="476">
        <v>800.17709300000013</v>
      </c>
      <c r="K21" s="476">
        <v>948.90104199999951</v>
      </c>
      <c r="L21" s="476">
        <v>1177.1660740000004</v>
      </c>
      <c r="M21" s="525">
        <f>SUM(D21:L21)</f>
        <v>11787.392758999997</v>
      </c>
    </row>
    <row r="22" spans="2:14" ht="23.25" customHeight="1" x14ac:dyDescent="0.2">
      <c r="B22" s="799" t="s">
        <v>33</v>
      </c>
      <c r="C22" s="800"/>
      <c r="D22" s="522">
        <f>D21+D20</f>
        <v>651.57412000000011</v>
      </c>
      <c r="E22" s="523">
        <f t="shared" ref="E22:L22" si="3">E21+E20</f>
        <v>2368.2702689999992</v>
      </c>
      <c r="F22" s="523">
        <f t="shared" si="3"/>
        <v>1965.0685640000008</v>
      </c>
      <c r="G22" s="523">
        <f t="shared" si="3"/>
        <v>963.76367399999992</v>
      </c>
      <c r="H22" s="523">
        <f t="shared" si="3"/>
        <v>1685.7764379999942</v>
      </c>
      <c r="I22" s="523">
        <f t="shared" si="3"/>
        <v>2287.955471000002</v>
      </c>
      <c r="J22" s="523">
        <f t="shared" si="3"/>
        <v>1037.8267650000003</v>
      </c>
      <c r="K22" s="523">
        <f t="shared" si="3"/>
        <v>1271.0513119999998</v>
      </c>
      <c r="L22" s="523">
        <f t="shared" si="3"/>
        <v>1535.8306950000001</v>
      </c>
      <c r="M22" s="726">
        <f>M21+M20</f>
        <v>13767.117307999997</v>
      </c>
    </row>
    <row r="23" spans="2:14" x14ac:dyDescent="0.2">
      <c r="C23" s="217"/>
      <c r="D23" s="217"/>
      <c r="E23" s="217"/>
      <c r="F23" s="217"/>
      <c r="G23" s="217"/>
      <c r="H23" s="217"/>
      <c r="I23" s="217"/>
      <c r="J23" s="217"/>
      <c r="K23" s="217"/>
      <c r="L23" s="217"/>
      <c r="M23" s="217"/>
      <c r="N23" s="217"/>
    </row>
    <row r="24" spans="2:14" x14ac:dyDescent="0.2">
      <c r="D24" s="217"/>
      <c r="E24" s="217"/>
      <c r="F24" s="217"/>
      <c r="G24" s="217"/>
      <c r="H24" s="217"/>
      <c r="I24" s="217"/>
      <c r="J24" s="217"/>
      <c r="K24" s="516"/>
      <c r="L24" s="217"/>
      <c r="M24" s="217"/>
    </row>
    <row r="25" spans="2:14" x14ac:dyDescent="0.2">
      <c r="D25" s="217"/>
      <c r="E25" s="217"/>
      <c r="F25" s="217"/>
      <c r="G25" s="217"/>
      <c r="H25" s="217"/>
      <c r="I25" s="217"/>
      <c r="J25" s="217"/>
      <c r="K25" s="217"/>
      <c r="L25" s="217"/>
      <c r="M25" s="217"/>
    </row>
    <row r="26" spans="2:14" x14ac:dyDescent="0.2">
      <c r="D26" s="217"/>
      <c r="E26" s="217"/>
      <c r="F26" s="217"/>
      <c r="G26" s="217"/>
      <c r="H26" s="217"/>
      <c r="I26" s="217"/>
      <c r="J26" s="217"/>
      <c r="K26" s="217"/>
      <c r="L26" s="217"/>
      <c r="M26" s="217"/>
    </row>
    <row r="27" spans="2:14" x14ac:dyDescent="0.2">
      <c r="D27" s="217"/>
      <c r="E27" s="217"/>
      <c r="F27" s="217"/>
      <c r="G27" s="217"/>
      <c r="H27" s="217"/>
      <c r="I27" s="217"/>
      <c r="J27" s="217"/>
      <c r="K27" s="217"/>
      <c r="L27" s="217"/>
      <c r="M27" s="217"/>
    </row>
    <row r="28" spans="2:14" x14ac:dyDescent="0.2">
      <c r="D28" s="217"/>
      <c r="E28" s="217"/>
      <c r="F28" s="217"/>
      <c r="G28" s="217"/>
      <c r="H28" s="217"/>
      <c r="I28" s="217"/>
      <c r="J28" s="217"/>
      <c r="K28" s="217"/>
      <c r="L28" s="217"/>
      <c r="M28" s="217"/>
    </row>
    <row r="29" spans="2:14" x14ac:dyDescent="0.2">
      <c r="D29" s="217"/>
      <c r="E29" s="217"/>
      <c r="F29" s="217"/>
      <c r="G29" s="217"/>
      <c r="H29" s="217"/>
      <c r="I29" s="217"/>
      <c r="J29" s="217"/>
      <c r="K29" s="217"/>
      <c r="L29" s="217"/>
      <c r="M29" s="217"/>
    </row>
    <row r="30" spans="2:14" x14ac:dyDescent="0.2">
      <c r="D30" s="217"/>
      <c r="E30" s="217"/>
      <c r="F30" s="217"/>
      <c r="G30" s="217"/>
      <c r="H30" s="217"/>
      <c r="I30" s="217"/>
      <c r="J30" s="217"/>
      <c r="K30" s="217"/>
      <c r="L30" s="217"/>
      <c r="M30" s="217"/>
    </row>
  </sheetData>
  <mergeCells count="9">
    <mergeCell ref="B20:B21"/>
    <mergeCell ref="B22:C22"/>
    <mergeCell ref="M5:M6"/>
    <mergeCell ref="B7:B11"/>
    <mergeCell ref="B12:C12"/>
    <mergeCell ref="B13:B18"/>
    <mergeCell ref="B19:C19"/>
    <mergeCell ref="B5:C6"/>
    <mergeCell ref="D5:L5"/>
  </mergeCells>
  <phoneticPr fontId="2" type="noConversion"/>
  <pageMargins left="0.75" right="0.75" top="1" bottom="1" header="0.5" footer="0.5"/>
  <pageSetup paperSize="9" scale="78"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5"/>
  <sheetViews>
    <sheetView workbookViewId="0">
      <selection activeCell="A2" sqref="A2"/>
    </sheetView>
  </sheetViews>
  <sheetFormatPr defaultRowHeight="12" customHeight="1" x14ac:dyDescent="0.2"/>
  <cols>
    <col min="1" max="1" width="19.140625" customWidth="1"/>
    <col min="2" max="2" width="6.5703125" customWidth="1"/>
    <col min="3" max="5" width="17.7109375" customWidth="1"/>
  </cols>
  <sheetData>
    <row r="1" spans="1:18" ht="12" customHeight="1" x14ac:dyDescent="0.2">
      <c r="A1" s="4" t="s">
        <v>40</v>
      </c>
      <c r="B1" s="4" t="s">
        <v>41</v>
      </c>
      <c r="C1" s="4" t="s">
        <v>56</v>
      </c>
      <c r="D1" s="4" t="s">
        <v>57</v>
      </c>
      <c r="E1" s="4" t="s">
        <v>58</v>
      </c>
      <c r="F1" s="4" t="s">
        <v>59</v>
      </c>
      <c r="G1" s="4" t="s">
        <v>60</v>
      </c>
      <c r="H1" s="4" t="s">
        <v>42</v>
      </c>
      <c r="I1" s="4" t="s">
        <v>42</v>
      </c>
      <c r="J1" s="4" t="s">
        <v>42</v>
      </c>
      <c r="K1" s="4" t="s">
        <v>42</v>
      </c>
      <c r="L1" s="4" t="s">
        <v>42</v>
      </c>
      <c r="M1" s="4" t="s">
        <v>42</v>
      </c>
      <c r="N1" s="4" t="s">
        <v>42</v>
      </c>
      <c r="O1" s="4" t="s">
        <v>42</v>
      </c>
      <c r="P1" s="4" t="s">
        <v>42</v>
      </c>
      <c r="Q1" s="4" t="s">
        <v>42</v>
      </c>
      <c r="R1" s="4" t="s">
        <v>42</v>
      </c>
    </row>
    <row r="2" spans="1:18" ht="12" customHeight="1" x14ac:dyDescent="0.2">
      <c r="A2" s="3" t="s">
        <v>32</v>
      </c>
      <c r="B2" s="3" t="s">
        <v>43</v>
      </c>
      <c r="C2" s="5">
        <v>287192.0743586719</v>
      </c>
      <c r="D2" s="5">
        <v>190201.92469714291</v>
      </c>
      <c r="E2" s="5">
        <v>89462.302239708602</v>
      </c>
      <c r="F2" s="5">
        <v>176384.50999713445</v>
      </c>
      <c r="G2" s="5">
        <v>196743.22645492846</v>
      </c>
      <c r="H2" s="5">
        <v>0</v>
      </c>
      <c r="I2" s="5">
        <v>0</v>
      </c>
      <c r="J2" s="5">
        <v>0</v>
      </c>
      <c r="K2" s="5">
        <v>0</v>
      </c>
      <c r="L2" s="5">
        <v>0</v>
      </c>
      <c r="M2" s="5">
        <v>0</v>
      </c>
      <c r="N2" s="5">
        <v>0</v>
      </c>
      <c r="O2" s="5">
        <v>0</v>
      </c>
      <c r="P2" s="5">
        <v>0</v>
      </c>
      <c r="Q2" s="5">
        <v>0</v>
      </c>
      <c r="R2" s="5">
        <v>0</v>
      </c>
    </row>
    <row r="3" spans="1:18" ht="12" customHeight="1" x14ac:dyDescent="0.2">
      <c r="A3" s="3" t="s">
        <v>7</v>
      </c>
      <c r="B3" s="3" t="s">
        <v>44</v>
      </c>
      <c r="C3" s="5">
        <v>347923.16054361686</v>
      </c>
      <c r="D3" s="5">
        <v>740884.97674654424</v>
      </c>
      <c r="E3" s="5">
        <v>244009.09882306075</v>
      </c>
      <c r="F3" s="5">
        <v>495262.69682332873</v>
      </c>
      <c r="G3" s="5">
        <v>330100.94599634409</v>
      </c>
      <c r="H3" s="5">
        <v>0</v>
      </c>
      <c r="I3" s="5">
        <v>0</v>
      </c>
      <c r="J3" s="5">
        <v>0</v>
      </c>
      <c r="K3" s="5">
        <v>0</v>
      </c>
      <c r="L3" s="5">
        <v>0</v>
      </c>
      <c r="M3" s="5">
        <v>0</v>
      </c>
      <c r="N3" s="5">
        <v>0</v>
      </c>
      <c r="O3" s="5">
        <v>0</v>
      </c>
      <c r="P3" s="5">
        <v>0</v>
      </c>
      <c r="Q3" s="5">
        <v>0</v>
      </c>
      <c r="R3" s="5">
        <v>0</v>
      </c>
    </row>
    <row r="4" spans="1:18" ht="12" customHeight="1" x14ac:dyDescent="0.2">
      <c r="A4" s="3" t="s">
        <v>8</v>
      </c>
      <c r="B4" s="3" t="s">
        <v>45</v>
      </c>
      <c r="C4" s="5"/>
      <c r="D4" s="5">
        <v>0</v>
      </c>
      <c r="E4" s="5"/>
      <c r="F4" s="5">
        <v>573.00060227513313</v>
      </c>
      <c r="G4" s="5">
        <v>3828.838067740202</v>
      </c>
      <c r="H4" s="5">
        <v>0</v>
      </c>
      <c r="I4" s="5">
        <v>0</v>
      </c>
      <c r="J4" s="5">
        <v>0</v>
      </c>
      <c r="K4" s="5">
        <v>0</v>
      </c>
      <c r="L4" s="5">
        <v>0</v>
      </c>
      <c r="M4" s="5">
        <v>0</v>
      </c>
      <c r="N4" s="5">
        <v>0</v>
      </c>
      <c r="O4" s="5">
        <v>0</v>
      </c>
      <c r="P4" s="5">
        <v>0</v>
      </c>
      <c r="Q4" s="5">
        <v>0</v>
      </c>
      <c r="R4" s="5">
        <v>0</v>
      </c>
    </row>
    <row r="5" spans="1:18" ht="12" customHeight="1" x14ac:dyDescent="0.2">
      <c r="A5" s="3" t="s">
        <v>9</v>
      </c>
      <c r="B5" s="3" t="s">
        <v>46</v>
      </c>
      <c r="C5" s="5"/>
      <c r="D5" s="5">
        <v>34277.340148925781</v>
      </c>
      <c r="E5" s="5">
        <v>128148</v>
      </c>
      <c r="F5" s="5">
        <v>650.75</v>
      </c>
      <c r="G5" s="5">
        <v>20080</v>
      </c>
      <c r="H5" s="5">
        <v>0</v>
      </c>
      <c r="I5" s="5">
        <v>0</v>
      </c>
      <c r="J5" s="5">
        <v>0</v>
      </c>
      <c r="K5" s="5">
        <v>0</v>
      </c>
      <c r="L5" s="5">
        <v>0</v>
      </c>
      <c r="M5" s="5">
        <v>0</v>
      </c>
      <c r="N5" s="5">
        <v>0</v>
      </c>
      <c r="O5" s="5">
        <v>0</v>
      </c>
      <c r="P5" s="5">
        <v>0</v>
      </c>
      <c r="Q5" s="5">
        <v>0</v>
      </c>
      <c r="R5" s="5">
        <v>0</v>
      </c>
    </row>
    <row r="6" spans="1:18" ht="12" customHeight="1" x14ac:dyDescent="0.2">
      <c r="A6" s="3" t="s">
        <v>10</v>
      </c>
      <c r="B6" s="3" t="s">
        <v>47</v>
      </c>
      <c r="C6" s="5">
        <v>42133.489921569824</v>
      </c>
      <c r="D6" s="5">
        <v>40456.55283510685</v>
      </c>
      <c r="E6" s="5">
        <v>78126.182544767857</v>
      </c>
      <c r="F6" s="5">
        <v>75379.698590278393</v>
      </c>
      <c r="G6" s="5">
        <v>114165.92408340797</v>
      </c>
      <c r="H6" s="5">
        <v>0</v>
      </c>
      <c r="I6" s="5">
        <v>0</v>
      </c>
      <c r="J6" s="5">
        <v>0</v>
      </c>
      <c r="K6" s="5">
        <v>0</v>
      </c>
      <c r="L6" s="5">
        <v>0</v>
      </c>
      <c r="M6" s="5">
        <v>0</v>
      </c>
      <c r="N6" s="5">
        <v>0</v>
      </c>
      <c r="O6" s="5">
        <v>0</v>
      </c>
      <c r="P6" s="5">
        <v>0</v>
      </c>
      <c r="Q6" s="5">
        <v>0</v>
      </c>
      <c r="R6" s="5">
        <v>0</v>
      </c>
    </row>
    <row r="7" spans="1:18" ht="12" customHeight="1" x14ac:dyDescent="0.2">
      <c r="A7" s="3" t="s">
        <v>0</v>
      </c>
      <c r="B7" s="3" t="s">
        <v>48</v>
      </c>
      <c r="C7" s="5">
        <v>129649.84987053275</v>
      </c>
      <c r="D7" s="5">
        <v>79992</v>
      </c>
      <c r="E7" s="5">
        <v>58108.254010677338</v>
      </c>
      <c r="F7" s="5">
        <v>9637.3500025868416</v>
      </c>
      <c r="G7" s="5">
        <v>352135.67996883392</v>
      </c>
      <c r="H7" s="5">
        <v>0</v>
      </c>
      <c r="I7" s="5">
        <v>0</v>
      </c>
      <c r="J7" s="5">
        <v>0</v>
      </c>
      <c r="K7" s="5">
        <v>0</v>
      </c>
      <c r="L7" s="5">
        <v>0</v>
      </c>
      <c r="M7" s="5">
        <v>0</v>
      </c>
      <c r="N7" s="5">
        <v>0</v>
      </c>
      <c r="O7" s="5">
        <v>0</v>
      </c>
      <c r="P7" s="5">
        <v>0</v>
      </c>
      <c r="Q7" s="5">
        <v>0</v>
      </c>
      <c r="R7" s="5">
        <v>0</v>
      </c>
    </row>
    <row r="8" spans="1:18" ht="12" customHeight="1" x14ac:dyDescent="0.2">
      <c r="A8" s="3" t="s">
        <v>1</v>
      </c>
      <c r="B8" s="3" t="s">
        <v>49</v>
      </c>
      <c r="C8" s="5">
        <v>137789.37832455337</v>
      </c>
      <c r="D8" s="5">
        <v>141827.77685303241</v>
      </c>
      <c r="E8" s="5">
        <v>14122.940002441406</v>
      </c>
      <c r="F8" s="5">
        <v>171151.11161246896</v>
      </c>
      <c r="G8" s="5">
        <v>345522.88006591797</v>
      </c>
      <c r="H8" s="5">
        <v>0</v>
      </c>
      <c r="I8" s="5">
        <v>0</v>
      </c>
      <c r="J8" s="5">
        <v>0</v>
      </c>
      <c r="K8" s="5">
        <v>0</v>
      </c>
      <c r="L8" s="5">
        <v>0</v>
      </c>
      <c r="M8" s="5">
        <v>0</v>
      </c>
      <c r="N8" s="5">
        <v>0</v>
      </c>
      <c r="O8" s="5">
        <v>0</v>
      </c>
      <c r="P8" s="5">
        <v>0</v>
      </c>
      <c r="Q8" s="5">
        <v>0</v>
      </c>
      <c r="R8" s="5">
        <v>0</v>
      </c>
    </row>
    <row r="9" spans="1:18" ht="12" customHeight="1" x14ac:dyDescent="0.2">
      <c r="A9" s="3" t="s">
        <v>2</v>
      </c>
      <c r="B9" s="3" t="s">
        <v>50</v>
      </c>
      <c r="C9" s="5">
        <v>45897.848565113185</v>
      </c>
      <c r="D9" s="5">
        <v>457.05999455600977</v>
      </c>
      <c r="E9" s="5"/>
      <c r="F9" s="5">
        <v>23958.538387323497</v>
      </c>
      <c r="G9" s="5">
        <v>34.301001803949475</v>
      </c>
      <c r="H9" s="5">
        <v>0</v>
      </c>
      <c r="I9" s="5">
        <v>0</v>
      </c>
      <c r="J9" s="5">
        <v>0</v>
      </c>
      <c r="K9" s="5">
        <v>0</v>
      </c>
      <c r="L9" s="5">
        <v>0</v>
      </c>
      <c r="M9" s="5">
        <v>0</v>
      </c>
      <c r="N9" s="5">
        <v>0</v>
      </c>
      <c r="O9" s="5">
        <v>0</v>
      </c>
      <c r="P9" s="5">
        <v>0</v>
      </c>
      <c r="Q9" s="5">
        <v>0</v>
      </c>
      <c r="R9" s="5">
        <v>0</v>
      </c>
    </row>
    <row r="10" spans="1:18" ht="12" customHeight="1" x14ac:dyDescent="0.2">
      <c r="A10" s="3" t="s">
        <v>3</v>
      </c>
      <c r="B10" s="3" t="s">
        <v>51</v>
      </c>
      <c r="C10" s="5">
        <v>121952.53281187906</v>
      </c>
      <c r="D10" s="5">
        <v>45464.807763695717</v>
      </c>
      <c r="E10" s="5">
        <v>78138.006896018982</v>
      </c>
      <c r="F10" s="5">
        <v>100775.86777418002</v>
      </c>
      <c r="G10" s="5">
        <v>15178.419921875</v>
      </c>
      <c r="H10" s="5">
        <v>0</v>
      </c>
      <c r="I10" s="5">
        <v>0</v>
      </c>
      <c r="J10" s="5">
        <v>0</v>
      </c>
      <c r="K10" s="5">
        <v>0</v>
      </c>
      <c r="L10" s="5">
        <v>0</v>
      </c>
      <c r="M10" s="5">
        <v>0</v>
      </c>
      <c r="N10" s="5">
        <v>0</v>
      </c>
      <c r="O10" s="5">
        <v>0</v>
      </c>
      <c r="P10" s="5">
        <v>0</v>
      </c>
      <c r="Q10" s="5">
        <v>0</v>
      </c>
      <c r="R10" s="5">
        <v>0</v>
      </c>
    </row>
    <row r="11" spans="1:18" ht="12" customHeight="1" x14ac:dyDescent="0.2">
      <c r="A11" s="3" t="s">
        <v>4</v>
      </c>
      <c r="B11" s="3"/>
      <c r="C11" s="5"/>
      <c r="D11" s="5"/>
      <c r="E11" s="5"/>
      <c r="F11" s="5"/>
      <c r="G11" s="5"/>
      <c r="H11" s="5">
        <v>0</v>
      </c>
      <c r="I11" s="5">
        <v>0</v>
      </c>
      <c r="J11" s="5">
        <v>0</v>
      </c>
      <c r="K11" s="5">
        <v>0</v>
      </c>
      <c r="L11" s="5">
        <v>0</v>
      </c>
      <c r="M11" s="5">
        <v>0</v>
      </c>
      <c r="N11" s="5">
        <v>0</v>
      </c>
      <c r="O11" s="5">
        <v>0</v>
      </c>
      <c r="P11" s="5">
        <v>0</v>
      </c>
      <c r="Q11" s="5">
        <v>0</v>
      </c>
      <c r="R11" s="5">
        <v>0</v>
      </c>
    </row>
    <row r="12" spans="1:18" ht="12" customHeight="1" x14ac:dyDescent="0.2">
      <c r="A12" s="3" t="s">
        <v>5</v>
      </c>
      <c r="B12" s="3" t="s">
        <v>52</v>
      </c>
      <c r="C12" s="5">
        <v>4160.4600524902344</v>
      </c>
      <c r="D12" s="5">
        <v>46475.150116324425</v>
      </c>
      <c r="E12" s="5">
        <v>82508.0859375</v>
      </c>
      <c r="F12" s="5"/>
      <c r="G12" s="5"/>
      <c r="H12" s="5">
        <v>0</v>
      </c>
      <c r="I12" s="5">
        <v>0</v>
      </c>
      <c r="J12" s="5">
        <v>0</v>
      </c>
      <c r="K12" s="5">
        <v>0</v>
      </c>
      <c r="L12" s="5">
        <v>0</v>
      </c>
      <c r="M12" s="5">
        <v>0</v>
      </c>
      <c r="N12" s="5">
        <v>0</v>
      </c>
      <c r="O12" s="5">
        <v>0</v>
      </c>
      <c r="P12" s="5">
        <v>0</v>
      </c>
      <c r="Q12" s="5">
        <v>0</v>
      </c>
      <c r="R12" s="5">
        <v>0</v>
      </c>
    </row>
    <row r="13" spans="1:18" ht="12" customHeight="1" x14ac:dyDescent="0.2">
      <c r="A13" s="3" t="s">
        <v>17</v>
      </c>
      <c r="B13" s="3" t="s">
        <v>53</v>
      </c>
      <c r="C13" s="5">
        <v>6800.2509918212891</v>
      </c>
      <c r="D13" s="5">
        <v>5154.5999972820282</v>
      </c>
      <c r="E13" s="5">
        <v>14846.385043181479</v>
      </c>
      <c r="F13" s="5">
        <v>1788.4750366210937</v>
      </c>
      <c r="G13" s="5">
        <v>10960.686000004411</v>
      </c>
      <c r="H13" s="5">
        <v>0</v>
      </c>
      <c r="I13" s="5">
        <v>0</v>
      </c>
      <c r="J13" s="5">
        <v>0</v>
      </c>
      <c r="K13" s="5">
        <v>0</v>
      </c>
      <c r="L13" s="5">
        <v>0</v>
      </c>
      <c r="M13" s="5">
        <v>0</v>
      </c>
      <c r="N13" s="5">
        <v>0</v>
      </c>
      <c r="O13" s="5">
        <v>0</v>
      </c>
      <c r="P13" s="5">
        <v>0</v>
      </c>
      <c r="Q13" s="5">
        <v>0</v>
      </c>
      <c r="R13" s="5">
        <v>0</v>
      </c>
    </row>
    <row r="14" spans="1:18" ht="12" customHeight="1" x14ac:dyDescent="0.2">
      <c r="A14" s="3" t="s">
        <v>17</v>
      </c>
      <c r="B14" s="3" t="s">
        <v>54</v>
      </c>
      <c r="C14" s="5">
        <v>4223.2969970703125</v>
      </c>
      <c r="D14" s="5">
        <v>349.08300399780273</v>
      </c>
      <c r="E14" s="5">
        <v>1216.6525513529778</v>
      </c>
      <c r="F14" s="5">
        <v>7495.9599951207638</v>
      </c>
      <c r="G14" s="5">
        <v>6605.4581127166748</v>
      </c>
      <c r="H14" s="5">
        <v>0</v>
      </c>
      <c r="I14" s="5">
        <v>0</v>
      </c>
      <c r="J14" s="5">
        <v>0</v>
      </c>
      <c r="K14" s="5">
        <v>0</v>
      </c>
      <c r="L14" s="5">
        <v>0</v>
      </c>
      <c r="M14" s="5">
        <v>0</v>
      </c>
      <c r="N14" s="5">
        <v>0</v>
      </c>
      <c r="O14" s="5">
        <v>0</v>
      </c>
      <c r="P14" s="5">
        <v>0</v>
      </c>
      <c r="Q14" s="5">
        <v>0</v>
      </c>
      <c r="R14" s="5">
        <v>0</v>
      </c>
    </row>
    <row r="15" spans="1:18" ht="12" customHeight="1" x14ac:dyDescent="0.2">
      <c r="A15" s="3" t="s">
        <v>34</v>
      </c>
      <c r="B15" s="3" t="s">
        <v>55</v>
      </c>
      <c r="C15" s="5">
        <v>410701.44157287385</v>
      </c>
      <c r="D15" s="5">
        <v>38348.722038015723</v>
      </c>
      <c r="E15" s="5">
        <v>83716.083842153661</v>
      </c>
      <c r="F15" s="5">
        <v>63200.758948859715</v>
      </c>
      <c r="G15" s="5">
        <v>354561.01787090302</v>
      </c>
      <c r="H15" s="5">
        <v>0</v>
      </c>
      <c r="I15" s="5">
        <v>0</v>
      </c>
      <c r="J15" s="5">
        <v>0</v>
      </c>
      <c r="K15" s="5">
        <v>0</v>
      </c>
      <c r="L15" s="5">
        <v>0</v>
      </c>
      <c r="M15" s="5">
        <v>0</v>
      </c>
      <c r="N15" s="5">
        <v>0</v>
      </c>
      <c r="O15" s="5">
        <v>0</v>
      </c>
      <c r="P15" s="5">
        <v>0</v>
      </c>
      <c r="Q15" s="5">
        <v>0</v>
      </c>
      <c r="R15" s="5">
        <v>0</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17"/>
  <sheetViews>
    <sheetView showGridLines="0" zoomScaleNormal="100" workbookViewId="0"/>
  </sheetViews>
  <sheetFormatPr defaultRowHeight="12.75" x14ac:dyDescent="0.2"/>
  <cols>
    <col min="1" max="1" width="5.28515625" style="264" customWidth="1"/>
    <col min="2" max="2" width="12.5703125" style="264" customWidth="1"/>
    <col min="3" max="3" width="12.42578125" style="264" customWidth="1"/>
    <col min="4" max="4" width="20.5703125" style="264" customWidth="1"/>
    <col min="5" max="5" width="12.85546875" style="264" customWidth="1"/>
    <col min="6" max="6" width="14.28515625" style="264" customWidth="1"/>
    <col min="7" max="7" width="13.7109375" style="264" customWidth="1"/>
    <col min="8" max="8" width="12.85546875" style="264" customWidth="1"/>
    <col min="9" max="9" width="13.140625" style="264" customWidth="1"/>
    <col min="10" max="10" width="13.5703125" style="264" customWidth="1"/>
    <col min="11" max="11" width="9.140625" style="264"/>
    <col min="12" max="12" width="10.7109375" style="264" customWidth="1"/>
    <col min="13" max="13" width="11.28515625" style="264" customWidth="1"/>
    <col min="14" max="14" width="12.7109375" style="264" customWidth="1"/>
    <col min="15" max="16384" width="9.140625" style="264"/>
  </cols>
  <sheetData>
    <row r="1" spans="1:20" x14ac:dyDescent="0.2">
      <c r="A1" s="242"/>
    </row>
    <row r="2" spans="1:20" ht="18.75" x14ac:dyDescent="0.2">
      <c r="B2" s="17" t="s">
        <v>803</v>
      </c>
      <c r="C2" s="61"/>
      <c r="D2" s="61"/>
      <c r="E2" s="16"/>
      <c r="F2" s="16"/>
      <c r="G2" s="16"/>
      <c r="H2" s="16"/>
      <c r="I2" s="16"/>
      <c r="J2" s="16"/>
      <c r="K2" s="78"/>
      <c r="L2" s="78"/>
      <c r="M2" s="78"/>
      <c r="N2" s="78"/>
      <c r="O2" s="78"/>
      <c r="P2" s="78"/>
      <c r="Q2" s="78"/>
      <c r="R2" s="78"/>
      <c r="S2" s="78"/>
      <c r="T2" s="78"/>
    </row>
    <row r="3" spans="1:20" ht="18.75" x14ac:dyDescent="0.2">
      <c r="B3" s="244" t="s">
        <v>16</v>
      </c>
      <c r="C3" s="61"/>
      <c r="D3" s="61"/>
      <c r="E3" s="16"/>
      <c r="F3" s="16"/>
      <c r="G3" s="16"/>
      <c r="H3" s="16"/>
      <c r="I3" s="16"/>
      <c r="J3" s="16"/>
      <c r="K3" s="78"/>
      <c r="L3" s="78"/>
      <c r="M3" s="78"/>
      <c r="N3" s="78"/>
      <c r="O3" s="78"/>
      <c r="P3" s="78"/>
      <c r="Q3" s="78"/>
      <c r="R3" s="78"/>
      <c r="S3" s="78"/>
      <c r="T3" s="78"/>
    </row>
    <row r="4" spans="1:20" ht="18.75" x14ac:dyDescent="0.2">
      <c r="B4" s="243"/>
      <c r="C4" s="61"/>
      <c r="D4" s="61"/>
      <c r="E4" s="16"/>
      <c r="F4" s="16"/>
      <c r="G4" s="16"/>
      <c r="H4" s="16"/>
      <c r="I4" s="16"/>
      <c r="J4" s="16"/>
      <c r="K4" s="78"/>
      <c r="L4" s="78"/>
      <c r="M4" s="78"/>
      <c r="N4" s="78"/>
      <c r="O4" s="78"/>
      <c r="P4" s="78"/>
      <c r="Q4" s="78"/>
      <c r="R4" s="78"/>
      <c r="S4" s="78"/>
      <c r="T4" s="78"/>
    </row>
    <row r="5" spans="1:20" x14ac:dyDescent="0.2">
      <c r="B5" s="220" t="s">
        <v>78</v>
      </c>
      <c r="C5" s="62" t="s">
        <v>78</v>
      </c>
      <c r="D5" s="63"/>
      <c r="E5" s="806" t="s">
        <v>117</v>
      </c>
      <c r="F5" s="806"/>
      <c r="G5" s="806"/>
      <c r="H5" s="806"/>
      <c r="I5" s="806"/>
      <c r="J5" s="806"/>
      <c r="K5" s="806"/>
      <c r="L5" s="806"/>
      <c r="M5" s="806"/>
      <c r="N5" s="219" t="s">
        <v>78</v>
      </c>
      <c r="O5" s="78"/>
      <c r="P5" s="78"/>
      <c r="Q5" s="78"/>
      <c r="R5" s="78"/>
      <c r="S5" s="78"/>
      <c r="T5" s="78"/>
    </row>
    <row r="6" spans="1:20" ht="25.5" x14ac:dyDescent="0.2">
      <c r="B6" s="64" t="s">
        <v>87</v>
      </c>
      <c r="C6" s="65" t="s">
        <v>12</v>
      </c>
      <c r="D6" s="66"/>
      <c r="E6" s="66" t="s">
        <v>119</v>
      </c>
      <c r="F6" s="222" t="s">
        <v>120</v>
      </c>
      <c r="G6" s="222" t="s">
        <v>128</v>
      </c>
      <c r="H6" s="222" t="s">
        <v>67</v>
      </c>
      <c r="I6" s="222" t="s">
        <v>122</v>
      </c>
      <c r="J6" s="222" t="s">
        <v>123</v>
      </c>
      <c r="K6" s="222" t="s">
        <v>124</v>
      </c>
      <c r="L6" s="222" t="s">
        <v>125</v>
      </c>
      <c r="M6" s="65" t="s">
        <v>129</v>
      </c>
      <c r="N6" s="67" t="s">
        <v>118</v>
      </c>
      <c r="O6" s="78"/>
      <c r="P6" s="78"/>
      <c r="Q6" s="78"/>
      <c r="R6" s="78"/>
      <c r="S6" s="78"/>
      <c r="T6" s="78"/>
    </row>
    <row r="7" spans="1:20" x14ac:dyDescent="0.2">
      <c r="B7" s="811" t="s">
        <v>96</v>
      </c>
      <c r="C7" s="814" t="s">
        <v>97</v>
      </c>
      <c r="D7" s="328" t="s">
        <v>97</v>
      </c>
      <c r="E7" s="490">
        <v>2148</v>
      </c>
      <c r="F7" s="491">
        <v>6993.51</v>
      </c>
      <c r="G7" s="491">
        <v>4082</v>
      </c>
      <c r="H7" s="491">
        <v>1533</v>
      </c>
      <c r="I7" s="491">
        <v>2764</v>
      </c>
      <c r="J7" s="491">
        <v>2608.0538031246283</v>
      </c>
      <c r="K7" s="491">
        <v>6904.9</v>
      </c>
      <c r="L7" s="491">
        <v>4891</v>
      </c>
      <c r="M7" s="510">
        <v>2477</v>
      </c>
      <c r="N7" s="492">
        <v>34401.463803124629</v>
      </c>
      <c r="O7" s="78"/>
      <c r="P7" s="78"/>
      <c r="Q7" s="78"/>
      <c r="R7" s="78"/>
      <c r="S7" s="78"/>
      <c r="T7" s="78"/>
    </row>
    <row r="8" spans="1:20" x14ac:dyDescent="0.2">
      <c r="B8" s="812"/>
      <c r="C8" s="814"/>
      <c r="D8" s="328" t="s">
        <v>98</v>
      </c>
      <c r="E8" s="490">
        <v>155</v>
      </c>
      <c r="F8" s="491">
        <v>647.79999999999995</v>
      </c>
      <c r="G8" s="491">
        <v>604</v>
      </c>
      <c r="H8" s="491">
        <v>471</v>
      </c>
      <c r="I8" s="491">
        <v>656</v>
      </c>
      <c r="J8" s="491">
        <v>612.10325435899802</v>
      </c>
      <c r="K8" s="491">
        <v>694</v>
      </c>
      <c r="L8" s="491">
        <v>536</v>
      </c>
      <c r="M8" s="510">
        <v>657</v>
      </c>
      <c r="N8" s="492">
        <v>5032.9032543589974</v>
      </c>
      <c r="O8" s="78"/>
      <c r="P8" s="78"/>
      <c r="Q8" s="78"/>
      <c r="R8" s="78"/>
      <c r="S8" s="78"/>
      <c r="T8" s="78"/>
    </row>
    <row r="9" spans="1:20" x14ac:dyDescent="0.2">
      <c r="B9" s="812"/>
      <c r="C9" s="68" t="s">
        <v>11</v>
      </c>
      <c r="D9" s="329"/>
      <c r="E9" s="534">
        <f t="shared" ref="E9:N9" si="0">SUBTOTAL(9,E7:E8)</f>
        <v>2303</v>
      </c>
      <c r="F9" s="535">
        <f t="shared" si="0"/>
        <v>7641.31</v>
      </c>
      <c r="G9" s="535">
        <f t="shared" si="0"/>
        <v>4686</v>
      </c>
      <c r="H9" s="535">
        <f t="shared" si="0"/>
        <v>2004</v>
      </c>
      <c r="I9" s="535">
        <f t="shared" si="0"/>
        <v>3420</v>
      </c>
      <c r="J9" s="535">
        <f t="shared" si="0"/>
        <v>3220.1570574836264</v>
      </c>
      <c r="K9" s="535">
        <f t="shared" si="0"/>
        <v>7598.9</v>
      </c>
      <c r="L9" s="535">
        <f t="shared" si="0"/>
        <v>5427</v>
      </c>
      <c r="M9" s="536">
        <f t="shared" si="0"/>
        <v>3134</v>
      </c>
      <c r="N9" s="537">
        <f t="shared" si="0"/>
        <v>39434.367057483629</v>
      </c>
      <c r="O9" s="78"/>
      <c r="P9" s="78"/>
      <c r="Q9" s="78"/>
      <c r="R9" s="78"/>
      <c r="S9" s="78"/>
      <c r="T9" s="78"/>
    </row>
    <row r="10" spans="1:20" x14ac:dyDescent="0.2">
      <c r="B10" s="812"/>
      <c r="C10" s="814" t="s">
        <v>99</v>
      </c>
      <c r="D10" s="328" t="s">
        <v>0</v>
      </c>
      <c r="E10" s="490">
        <v>36</v>
      </c>
      <c r="F10" s="491">
        <v>33.567</v>
      </c>
      <c r="G10" s="491">
        <v>21</v>
      </c>
      <c r="H10" s="491">
        <v>117.232</v>
      </c>
      <c r="I10" s="491">
        <v>230</v>
      </c>
      <c r="J10" s="491">
        <v>402</v>
      </c>
      <c r="K10" s="491">
        <v>0</v>
      </c>
      <c r="L10" s="491">
        <v>160</v>
      </c>
      <c r="M10" s="510">
        <v>80</v>
      </c>
      <c r="N10" s="492">
        <v>1079.799</v>
      </c>
      <c r="O10" s="78"/>
      <c r="P10" s="78"/>
      <c r="Q10" s="78"/>
      <c r="R10" s="78"/>
      <c r="S10" s="78"/>
      <c r="T10" s="78"/>
    </row>
    <row r="11" spans="1:20" x14ac:dyDescent="0.2">
      <c r="B11" s="812"/>
      <c r="C11" s="814"/>
      <c r="D11" s="328" t="s">
        <v>1</v>
      </c>
      <c r="E11" s="490">
        <v>268.8</v>
      </c>
      <c r="F11" s="491">
        <v>653</v>
      </c>
      <c r="G11" s="491">
        <v>687</v>
      </c>
      <c r="H11" s="491">
        <v>640</v>
      </c>
      <c r="I11" s="491">
        <v>791</v>
      </c>
      <c r="J11" s="491">
        <v>642</v>
      </c>
      <c r="K11" s="491">
        <v>854</v>
      </c>
      <c r="L11" s="491">
        <v>1978.4110000000001</v>
      </c>
      <c r="M11" s="510">
        <v>231</v>
      </c>
      <c r="N11" s="492">
        <v>6745.2110000000011</v>
      </c>
      <c r="O11" s="78"/>
      <c r="P11" s="78"/>
      <c r="Q11" s="78"/>
      <c r="R11" s="78"/>
      <c r="S11" s="78"/>
      <c r="T11" s="78"/>
    </row>
    <row r="12" spans="1:20" x14ac:dyDescent="0.2">
      <c r="B12" s="812"/>
      <c r="C12" s="814"/>
      <c r="D12" s="328" t="s">
        <v>3</v>
      </c>
      <c r="E12" s="490">
        <v>0</v>
      </c>
      <c r="F12" s="491">
        <v>0</v>
      </c>
      <c r="G12" s="491">
        <v>99</v>
      </c>
      <c r="H12" s="491">
        <v>10</v>
      </c>
      <c r="I12" s="491">
        <v>2</v>
      </c>
      <c r="J12" s="491">
        <v>96</v>
      </c>
      <c r="K12" s="491">
        <v>0</v>
      </c>
      <c r="L12" s="491">
        <v>3</v>
      </c>
      <c r="M12" s="510">
        <v>43</v>
      </c>
      <c r="N12" s="492">
        <v>253</v>
      </c>
      <c r="O12" s="78"/>
      <c r="P12" s="78"/>
      <c r="Q12" s="78"/>
      <c r="R12" s="78"/>
      <c r="S12" s="78"/>
      <c r="T12" s="78"/>
    </row>
    <row r="13" spans="1:20" x14ac:dyDescent="0.2">
      <c r="B13" s="812"/>
      <c r="C13" s="814"/>
      <c r="D13" s="328" t="s">
        <v>4</v>
      </c>
      <c r="E13" s="490">
        <v>6</v>
      </c>
      <c r="F13" s="491">
        <v>17</v>
      </c>
      <c r="G13" s="491">
        <v>10</v>
      </c>
      <c r="H13" s="491">
        <v>58</v>
      </c>
      <c r="I13" s="491">
        <v>34</v>
      </c>
      <c r="J13" s="491">
        <v>114</v>
      </c>
      <c r="K13" s="491">
        <v>4</v>
      </c>
      <c r="L13" s="491">
        <v>194</v>
      </c>
      <c r="M13" s="510">
        <v>165</v>
      </c>
      <c r="N13" s="492">
        <v>602</v>
      </c>
      <c r="O13" s="78"/>
      <c r="P13" s="78"/>
      <c r="Q13" s="78"/>
      <c r="R13" s="78"/>
      <c r="S13" s="78"/>
      <c r="T13" s="78"/>
    </row>
    <row r="14" spans="1:20" x14ac:dyDescent="0.2">
      <c r="B14" s="812"/>
      <c r="C14" s="814"/>
      <c r="D14" s="328" t="s">
        <v>5</v>
      </c>
      <c r="E14" s="490">
        <v>17</v>
      </c>
      <c r="F14" s="491">
        <v>468</v>
      </c>
      <c r="G14" s="491">
        <v>11</v>
      </c>
      <c r="H14" s="491">
        <v>39</v>
      </c>
      <c r="I14" s="491">
        <v>127</v>
      </c>
      <c r="J14" s="491">
        <v>35</v>
      </c>
      <c r="K14" s="491">
        <v>0</v>
      </c>
      <c r="L14" s="491">
        <v>41</v>
      </c>
      <c r="M14" s="510">
        <v>1162</v>
      </c>
      <c r="N14" s="492">
        <v>1900</v>
      </c>
      <c r="O14" s="78"/>
      <c r="P14" s="78"/>
      <c r="Q14" s="78"/>
      <c r="R14" s="78"/>
      <c r="S14" s="78"/>
      <c r="T14" s="78"/>
    </row>
    <row r="15" spans="1:20" x14ac:dyDescent="0.2">
      <c r="B15" s="812"/>
      <c r="C15" s="69" t="s">
        <v>6</v>
      </c>
      <c r="D15" s="329"/>
      <c r="E15" s="534">
        <f t="shared" ref="E15:N15" si="1">SUBTOTAL(9,E10:E14)</f>
        <v>327.8</v>
      </c>
      <c r="F15" s="535">
        <f t="shared" si="1"/>
        <v>1171.567</v>
      </c>
      <c r="G15" s="535">
        <f t="shared" si="1"/>
        <v>828</v>
      </c>
      <c r="H15" s="535">
        <f t="shared" si="1"/>
        <v>864.23199999999997</v>
      </c>
      <c r="I15" s="535">
        <f t="shared" si="1"/>
        <v>1184</v>
      </c>
      <c r="J15" s="535">
        <f t="shared" si="1"/>
        <v>1289</v>
      </c>
      <c r="K15" s="535">
        <f t="shared" si="1"/>
        <v>858</v>
      </c>
      <c r="L15" s="535">
        <f t="shared" si="1"/>
        <v>2376.4110000000001</v>
      </c>
      <c r="M15" s="536">
        <f t="shared" si="1"/>
        <v>1681</v>
      </c>
      <c r="N15" s="537">
        <f t="shared" si="1"/>
        <v>10580.010000000002</v>
      </c>
      <c r="O15" s="78"/>
      <c r="P15" s="78"/>
      <c r="Q15" s="78"/>
      <c r="R15" s="78"/>
      <c r="S15" s="78"/>
      <c r="T15" s="78"/>
    </row>
    <row r="16" spans="1:20" x14ac:dyDescent="0.2">
      <c r="B16" s="812"/>
      <c r="C16" s="223" t="s">
        <v>100</v>
      </c>
      <c r="D16" s="328" t="s">
        <v>101</v>
      </c>
      <c r="E16" s="490">
        <v>296.3</v>
      </c>
      <c r="F16" s="491">
        <v>969</v>
      </c>
      <c r="G16" s="491">
        <v>1244.4580000000001</v>
      </c>
      <c r="H16" s="491">
        <v>733</v>
      </c>
      <c r="I16" s="491">
        <v>1810</v>
      </c>
      <c r="J16" s="491">
        <v>1335</v>
      </c>
      <c r="K16" s="491">
        <v>980</v>
      </c>
      <c r="L16" s="491">
        <v>900</v>
      </c>
      <c r="M16" s="510">
        <v>970</v>
      </c>
      <c r="N16" s="492">
        <v>9237.7579999999998</v>
      </c>
      <c r="O16" s="78"/>
      <c r="P16" s="78"/>
      <c r="Q16" s="78"/>
      <c r="R16" s="78"/>
      <c r="S16" s="78"/>
      <c r="T16" s="78"/>
    </row>
    <row r="17" spans="2:20" x14ac:dyDescent="0.2">
      <c r="B17" s="813"/>
      <c r="C17" s="69" t="s">
        <v>102</v>
      </c>
      <c r="D17" s="329"/>
      <c r="E17" s="534">
        <f t="shared" ref="E17:N17" si="2">SUBTOTAL(9,E16:E16)</f>
        <v>296.3</v>
      </c>
      <c r="F17" s="535">
        <f t="shared" si="2"/>
        <v>969</v>
      </c>
      <c r="G17" s="535">
        <f t="shared" si="2"/>
        <v>1244.4580000000001</v>
      </c>
      <c r="H17" s="535">
        <f t="shared" si="2"/>
        <v>733</v>
      </c>
      <c r="I17" s="535">
        <f t="shared" si="2"/>
        <v>1810</v>
      </c>
      <c r="J17" s="535">
        <f t="shared" si="2"/>
        <v>1335</v>
      </c>
      <c r="K17" s="535">
        <f t="shared" si="2"/>
        <v>980</v>
      </c>
      <c r="L17" s="535">
        <f t="shared" si="2"/>
        <v>900</v>
      </c>
      <c r="M17" s="536">
        <f t="shared" si="2"/>
        <v>970</v>
      </c>
      <c r="N17" s="537">
        <f t="shared" si="2"/>
        <v>9237.7579999999998</v>
      </c>
      <c r="O17" s="78"/>
      <c r="P17" s="78"/>
      <c r="Q17" s="78"/>
      <c r="R17" s="78"/>
      <c r="S17" s="78"/>
      <c r="T17" s="78"/>
    </row>
    <row r="18" spans="2:20" ht="28.5" customHeight="1" x14ac:dyDescent="0.2">
      <c r="B18" s="70" t="s">
        <v>103</v>
      </c>
      <c r="C18" s="73"/>
      <c r="D18" s="73"/>
      <c r="E18" s="538">
        <f t="shared" ref="E18:N18" si="3">SUBTOTAL(9,E7:E16)</f>
        <v>2927.1000000000004</v>
      </c>
      <c r="F18" s="495">
        <f t="shared" si="3"/>
        <v>9781.8770000000004</v>
      </c>
      <c r="G18" s="495">
        <f t="shared" si="3"/>
        <v>6758.4580000000005</v>
      </c>
      <c r="H18" s="495">
        <f t="shared" si="3"/>
        <v>3601.232</v>
      </c>
      <c r="I18" s="495">
        <f t="shared" si="3"/>
        <v>6414</v>
      </c>
      <c r="J18" s="495">
        <f t="shared" si="3"/>
        <v>5844.157057483626</v>
      </c>
      <c r="K18" s="495">
        <f t="shared" si="3"/>
        <v>9436.9</v>
      </c>
      <c r="L18" s="495">
        <f t="shared" si="3"/>
        <v>8703.4110000000001</v>
      </c>
      <c r="M18" s="501">
        <f t="shared" si="3"/>
        <v>5785</v>
      </c>
      <c r="N18" s="496">
        <f t="shared" si="3"/>
        <v>59252.135057483632</v>
      </c>
      <c r="O18" s="78"/>
      <c r="P18" s="78"/>
      <c r="Q18" s="78"/>
      <c r="R18" s="78"/>
      <c r="S18" s="78"/>
      <c r="T18" s="78"/>
    </row>
    <row r="19" spans="2:20" x14ac:dyDescent="0.2">
      <c r="B19" s="811" t="s">
        <v>104</v>
      </c>
      <c r="C19" s="815" t="s">
        <v>97</v>
      </c>
      <c r="D19" s="328" t="s">
        <v>97</v>
      </c>
      <c r="E19" s="490">
        <v>1888.9812715277435</v>
      </c>
      <c r="F19" s="491">
        <v>6029.3829478591833</v>
      </c>
      <c r="G19" s="491">
        <v>3930.2654900632892</v>
      </c>
      <c r="H19" s="491">
        <v>2241.078</v>
      </c>
      <c r="I19" s="491">
        <v>3571.4424308100965</v>
      </c>
      <c r="J19" s="491">
        <v>3669</v>
      </c>
      <c r="K19" s="491">
        <v>6180.4048382934452</v>
      </c>
      <c r="L19" s="491">
        <v>7216.6509999999998</v>
      </c>
      <c r="M19" s="510">
        <v>3250.3957712118026</v>
      </c>
      <c r="N19" s="492">
        <v>37977.601749765556</v>
      </c>
      <c r="O19" s="78"/>
      <c r="P19" s="78"/>
      <c r="Q19" s="78"/>
      <c r="R19" s="78"/>
      <c r="S19" s="78"/>
      <c r="T19" s="78"/>
    </row>
    <row r="20" spans="2:20" x14ac:dyDescent="0.2">
      <c r="B20" s="812"/>
      <c r="C20" s="816"/>
      <c r="D20" s="328" t="s">
        <v>98</v>
      </c>
      <c r="E20" s="490">
        <v>242.64099999999999</v>
      </c>
      <c r="F20" s="491">
        <v>74.338999999999999</v>
      </c>
      <c r="G20" s="491">
        <v>335.03299999999996</v>
      </c>
      <c r="H20" s="491">
        <v>308.34799999999996</v>
      </c>
      <c r="I20" s="491">
        <v>158.13201992628723</v>
      </c>
      <c r="J20" s="491">
        <v>187</v>
      </c>
      <c r="K20" s="491">
        <v>463.80111843183641</v>
      </c>
      <c r="L20" s="491">
        <v>490.7176</v>
      </c>
      <c r="M20" s="510">
        <v>662.84523953660164</v>
      </c>
      <c r="N20" s="492">
        <v>2922.8569778947253</v>
      </c>
      <c r="O20" s="78"/>
      <c r="P20" s="78"/>
      <c r="Q20" s="78"/>
      <c r="R20" s="78"/>
      <c r="S20" s="78"/>
      <c r="T20" s="78"/>
    </row>
    <row r="21" spans="2:20" x14ac:dyDescent="0.2">
      <c r="B21" s="812"/>
      <c r="C21" s="69" t="s">
        <v>11</v>
      </c>
      <c r="D21" s="329"/>
      <c r="E21" s="534">
        <f t="shared" ref="E21:N21" si="4">SUBTOTAL(9,E19:E20)</f>
        <v>2131.6222715277436</v>
      </c>
      <c r="F21" s="535">
        <f t="shared" si="4"/>
        <v>6103.7219478591833</v>
      </c>
      <c r="G21" s="535">
        <f t="shared" si="4"/>
        <v>4265.2984900632891</v>
      </c>
      <c r="H21" s="535">
        <f t="shared" si="4"/>
        <v>2549.4259999999999</v>
      </c>
      <c r="I21" s="535">
        <f t="shared" si="4"/>
        <v>3729.5744507363838</v>
      </c>
      <c r="J21" s="535">
        <f t="shared" si="4"/>
        <v>3856</v>
      </c>
      <c r="K21" s="535">
        <f t="shared" si="4"/>
        <v>6644.2059567252818</v>
      </c>
      <c r="L21" s="535">
        <f t="shared" si="4"/>
        <v>7707.3685999999998</v>
      </c>
      <c r="M21" s="536">
        <f t="shared" si="4"/>
        <v>3913.2410107484043</v>
      </c>
      <c r="N21" s="537">
        <f t="shared" si="4"/>
        <v>40900.458727660283</v>
      </c>
      <c r="O21" s="78"/>
      <c r="P21" s="78"/>
      <c r="Q21" s="78"/>
      <c r="R21" s="78"/>
      <c r="S21" s="78"/>
      <c r="T21" s="78"/>
    </row>
    <row r="22" spans="2:20" x14ac:dyDescent="0.2">
      <c r="B22" s="812"/>
      <c r="C22" s="815" t="s">
        <v>99</v>
      </c>
      <c r="D22" s="328" t="s">
        <v>0</v>
      </c>
      <c r="E22" s="490">
        <v>190.262</v>
      </c>
      <c r="F22" s="491">
        <v>169.56799999999998</v>
      </c>
      <c r="G22" s="491">
        <v>725.36</v>
      </c>
      <c r="H22" s="491">
        <v>86.654910188034179</v>
      </c>
      <c r="I22" s="491">
        <v>309.80561324381824</v>
      </c>
      <c r="J22" s="491">
        <v>462</v>
      </c>
      <c r="K22" s="491">
        <v>90.632000000000005</v>
      </c>
      <c r="L22" s="491">
        <v>158.71700000000001</v>
      </c>
      <c r="M22" s="510">
        <v>68.004999999999995</v>
      </c>
      <c r="N22" s="492">
        <v>2261.0045234318522</v>
      </c>
      <c r="O22" s="78"/>
      <c r="P22" s="78"/>
      <c r="Q22" s="78"/>
      <c r="R22" s="78"/>
      <c r="S22" s="78"/>
      <c r="T22" s="78"/>
    </row>
    <row r="23" spans="2:20" x14ac:dyDescent="0.2">
      <c r="B23" s="812"/>
      <c r="C23" s="814"/>
      <c r="D23" s="328" t="s">
        <v>1</v>
      </c>
      <c r="E23" s="490">
        <v>3209.1139999999996</v>
      </c>
      <c r="F23" s="491">
        <v>1170.2420000000002</v>
      </c>
      <c r="G23" s="491">
        <v>545.44399999999996</v>
      </c>
      <c r="H23" s="491">
        <v>691.99600000000009</v>
      </c>
      <c r="I23" s="491">
        <v>632.90642235681594</v>
      </c>
      <c r="J23" s="491">
        <v>221</v>
      </c>
      <c r="K23" s="491">
        <v>359.84605663204195</v>
      </c>
      <c r="L23" s="491">
        <v>1804.491</v>
      </c>
      <c r="M23" s="510">
        <v>526.82000000000005</v>
      </c>
      <c r="N23" s="492">
        <v>9161.8594789888593</v>
      </c>
      <c r="O23" s="78"/>
      <c r="P23" s="78"/>
      <c r="Q23" s="78"/>
      <c r="R23" s="78"/>
      <c r="S23" s="78"/>
      <c r="T23" s="78"/>
    </row>
    <row r="24" spans="2:20" x14ac:dyDescent="0.2">
      <c r="B24" s="812"/>
      <c r="C24" s="814"/>
      <c r="D24" s="328" t="s">
        <v>3</v>
      </c>
      <c r="E24" s="490">
        <v>0</v>
      </c>
      <c r="F24" s="491">
        <v>0</v>
      </c>
      <c r="G24" s="491">
        <v>156.41200000000001</v>
      </c>
      <c r="H24" s="491">
        <v>12.185</v>
      </c>
      <c r="I24" s="491">
        <v>5.0187679928001021</v>
      </c>
      <c r="J24" s="491">
        <v>113</v>
      </c>
      <c r="K24" s="491">
        <v>0</v>
      </c>
      <c r="L24" s="491">
        <v>6.7710000000000008</v>
      </c>
      <c r="M24" s="510">
        <v>27.552</v>
      </c>
      <c r="N24" s="492">
        <v>320.93876799280008</v>
      </c>
      <c r="O24" s="78"/>
      <c r="P24" s="78"/>
      <c r="Q24" s="78"/>
      <c r="R24" s="78"/>
      <c r="S24" s="78"/>
      <c r="T24" s="78"/>
    </row>
    <row r="25" spans="2:20" x14ac:dyDescent="0.2">
      <c r="B25" s="812"/>
      <c r="C25" s="814"/>
      <c r="D25" s="328" t="s">
        <v>4</v>
      </c>
      <c r="E25" s="490">
        <v>21.154000000000003</v>
      </c>
      <c r="F25" s="491">
        <v>47.056000000000004</v>
      </c>
      <c r="G25" s="491">
        <v>9.5939999999999994</v>
      </c>
      <c r="H25" s="491">
        <v>93.534999999999997</v>
      </c>
      <c r="I25" s="491">
        <v>130.4816000328064</v>
      </c>
      <c r="J25" s="491">
        <v>195</v>
      </c>
      <c r="K25" s="491">
        <v>3.15</v>
      </c>
      <c r="L25" s="491">
        <v>234.42099999999999</v>
      </c>
      <c r="M25" s="510">
        <v>124.64</v>
      </c>
      <c r="N25" s="492">
        <v>859.0316000328063</v>
      </c>
      <c r="O25" s="78"/>
      <c r="P25" s="78"/>
      <c r="Q25" s="78"/>
      <c r="R25" s="78"/>
      <c r="S25" s="78"/>
      <c r="T25" s="78"/>
    </row>
    <row r="26" spans="2:20" x14ac:dyDescent="0.2">
      <c r="B26" s="812"/>
      <c r="C26" s="816"/>
      <c r="D26" s="328" t="s">
        <v>5</v>
      </c>
      <c r="E26" s="490">
        <v>0.89500000000000002</v>
      </c>
      <c r="F26" s="491">
        <v>489.47800000000007</v>
      </c>
      <c r="G26" s="491">
        <v>2.0110000000000001</v>
      </c>
      <c r="H26" s="491">
        <v>376.09212402510644</v>
      </c>
      <c r="I26" s="491">
        <v>177.21433986623589</v>
      </c>
      <c r="J26" s="491">
        <v>54</v>
      </c>
      <c r="K26" s="491">
        <v>0</v>
      </c>
      <c r="L26" s="491">
        <v>347.72800000000001</v>
      </c>
      <c r="M26" s="510">
        <v>952.57</v>
      </c>
      <c r="N26" s="492">
        <v>2399.9884638913422</v>
      </c>
      <c r="O26" s="78"/>
      <c r="P26" s="78"/>
      <c r="Q26" s="78"/>
      <c r="R26" s="78"/>
      <c r="S26" s="78"/>
      <c r="T26" s="78"/>
    </row>
    <row r="27" spans="2:20" x14ac:dyDescent="0.2">
      <c r="B27" s="812"/>
      <c r="C27" s="69" t="s">
        <v>6</v>
      </c>
      <c r="D27" s="329"/>
      <c r="E27" s="534">
        <f t="shared" ref="E27:N27" si="5">SUBTOTAL(9,E22:E26)</f>
        <v>3421.4249999999997</v>
      </c>
      <c r="F27" s="535">
        <f t="shared" si="5"/>
        <v>1876.3440000000003</v>
      </c>
      <c r="G27" s="535">
        <f t="shared" si="5"/>
        <v>1438.8210000000001</v>
      </c>
      <c r="H27" s="535">
        <f t="shared" si="5"/>
        <v>1260.4630342131406</v>
      </c>
      <c r="I27" s="535">
        <f t="shared" si="5"/>
        <v>1255.4267434924766</v>
      </c>
      <c r="J27" s="535">
        <f t="shared" si="5"/>
        <v>1045</v>
      </c>
      <c r="K27" s="535">
        <f t="shared" si="5"/>
        <v>453.62805663204193</v>
      </c>
      <c r="L27" s="535">
        <f t="shared" si="5"/>
        <v>2552.1280000000002</v>
      </c>
      <c r="M27" s="536">
        <f t="shared" si="5"/>
        <v>1699.587</v>
      </c>
      <c r="N27" s="537">
        <f t="shared" si="5"/>
        <v>15002.822834337661</v>
      </c>
      <c r="O27" s="78"/>
      <c r="P27" s="78"/>
      <c r="Q27" s="78"/>
      <c r="R27" s="78"/>
      <c r="S27" s="78"/>
      <c r="T27" s="78"/>
    </row>
    <row r="28" spans="2:20" x14ac:dyDescent="0.2">
      <c r="B28" s="812"/>
      <c r="C28" s="817" t="s">
        <v>100</v>
      </c>
      <c r="D28" s="817" t="s">
        <v>101</v>
      </c>
      <c r="E28" s="490">
        <v>340.43599999999998</v>
      </c>
      <c r="F28" s="491">
        <v>1341.6865945006016</v>
      </c>
      <c r="G28" s="491">
        <v>1259.39056214225</v>
      </c>
      <c r="H28" s="491">
        <v>869.2</v>
      </c>
      <c r="I28" s="491">
        <v>1920.2583050504959</v>
      </c>
      <c r="J28" s="491">
        <v>1361</v>
      </c>
      <c r="K28" s="491">
        <v>801.18878270966388</v>
      </c>
      <c r="L28" s="491">
        <v>1222.7275999999999</v>
      </c>
      <c r="M28" s="510">
        <v>942.14032805342674</v>
      </c>
      <c r="N28" s="492">
        <v>10058.028172456439</v>
      </c>
      <c r="O28" s="78"/>
      <c r="P28" s="78"/>
      <c r="Q28" s="78"/>
      <c r="R28" s="78"/>
      <c r="S28" s="78"/>
      <c r="T28" s="78"/>
    </row>
    <row r="29" spans="2:20" x14ac:dyDescent="0.2">
      <c r="B29" s="813"/>
      <c r="C29" s="71" t="s">
        <v>102</v>
      </c>
      <c r="D29" s="330"/>
      <c r="E29" s="539">
        <f t="shared" ref="E29:N29" si="6">SUBTOTAL(9,E28:E28)</f>
        <v>340.43599999999998</v>
      </c>
      <c r="F29" s="540">
        <f t="shared" si="6"/>
        <v>1341.6865945006016</v>
      </c>
      <c r="G29" s="540">
        <f t="shared" si="6"/>
        <v>1259.39056214225</v>
      </c>
      <c r="H29" s="540">
        <f t="shared" si="6"/>
        <v>869.2</v>
      </c>
      <c r="I29" s="540">
        <f t="shared" si="6"/>
        <v>1920.2583050504959</v>
      </c>
      <c r="J29" s="540">
        <f t="shared" si="6"/>
        <v>1361</v>
      </c>
      <c r="K29" s="540">
        <f t="shared" si="6"/>
        <v>801.18878270966388</v>
      </c>
      <c r="L29" s="540">
        <f t="shared" si="6"/>
        <v>1222.7275999999999</v>
      </c>
      <c r="M29" s="541">
        <f t="shared" si="6"/>
        <v>942.14032805342674</v>
      </c>
      <c r="N29" s="542">
        <f t="shared" si="6"/>
        <v>10058.028172456439</v>
      </c>
      <c r="O29" s="78"/>
      <c r="P29" s="78"/>
      <c r="Q29" s="78"/>
      <c r="R29" s="78"/>
      <c r="S29" s="78"/>
      <c r="T29" s="78"/>
    </row>
    <row r="30" spans="2:20" ht="22.5" customHeight="1" x14ac:dyDescent="0.2">
      <c r="B30" s="53" t="s">
        <v>105</v>
      </c>
      <c r="C30" s="73"/>
      <c r="D30" s="73"/>
      <c r="E30" s="538">
        <f t="shared" ref="E30:N30" si="7">SUBTOTAL(9,E19:E28)</f>
        <v>5893.4832715277444</v>
      </c>
      <c r="F30" s="495">
        <f t="shared" si="7"/>
        <v>9321.7525423597854</v>
      </c>
      <c r="G30" s="495">
        <f t="shared" si="7"/>
        <v>6963.51005220554</v>
      </c>
      <c r="H30" s="495">
        <f t="shared" si="7"/>
        <v>4679.0890342131406</v>
      </c>
      <c r="I30" s="495">
        <f t="shared" si="7"/>
        <v>6905.2594992793565</v>
      </c>
      <c r="J30" s="495">
        <f t="shared" si="7"/>
        <v>6262</v>
      </c>
      <c r="K30" s="495">
        <f t="shared" si="7"/>
        <v>7899.0227960669872</v>
      </c>
      <c r="L30" s="495">
        <f t="shared" si="7"/>
        <v>11482.224200000001</v>
      </c>
      <c r="M30" s="501">
        <f t="shared" si="7"/>
        <v>6554.9683388018311</v>
      </c>
      <c r="N30" s="496">
        <f t="shared" si="7"/>
        <v>65961.309734454378</v>
      </c>
      <c r="O30" s="78"/>
      <c r="P30" s="78"/>
      <c r="Q30" s="78"/>
      <c r="R30" s="78"/>
      <c r="S30" s="78"/>
      <c r="T30" s="78"/>
    </row>
    <row r="31" spans="2:20" x14ac:dyDescent="0.2">
      <c r="B31" s="766" t="s">
        <v>106</v>
      </c>
      <c r="C31" s="808" t="s">
        <v>97</v>
      </c>
      <c r="D31" s="331" t="s">
        <v>97</v>
      </c>
      <c r="E31" s="485">
        <v>2402.4565752482958</v>
      </c>
      <c r="F31" s="486">
        <v>7315.0290681833185</v>
      </c>
      <c r="G31" s="486">
        <v>4199.6731591399275</v>
      </c>
      <c r="H31" s="486">
        <v>2552.3640268751055</v>
      </c>
      <c r="I31" s="486">
        <v>4041.5566658648322</v>
      </c>
      <c r="J31" s="486">
        <v>3398</v>
      </c>
      <c r="K31" s="486">
        <v>6931.5116073296922</v>
      </c>
      <c r="L31" s="486">
        <v>5905.1826407724102</v>
      </c>
      <c r="M31" s="543">
        <v>4509.630996505899</v>
      </c>
      <c r="N31" s="487">
        <v>41255.404739919475</v>
      </c>
      <c r="O31" s="78"/>
      <c r="P31" s="78"/>
      <c r="Q31" s="78"/>
      <c r="R31" s="78"/>
      <c r="S31" s="78"/>
      <c r="T31" s="78"/>
    </row>
    <row r="32" spans="2:20" x14ac:dyDescent="0.2">
      <c r="B32" s="767"/>
      <c r="C32" s="809"/>
      <c r="D32" s="331" t="s">
        <v>98</v>
      </c>
      <c r="E32" s="485">
        <v>243.08002846746143</v>
      </c>
      <c r="F32" s="486">
        <v>100.59890991941094</v>
      </c>
      <c r="G32" s="486">
        <v>414.50550893740353</v>
      </c>
      <c r="H32" s="486">
        <v>329.36910430621356</v>
      </c>
      <c r="I32" s="486">
        <v>203.26460981459377</v>
      </c>
      <c r="J32" s="486">
        <v>144</v>
      </c>
      <c r="K32" s="486">
        <v>239.46495842474252</v>
      </c>
      <c r="L32" s="486">
        <v>684.3296964685768</v>
      </c>
      <c r="M32" s="543">
        <v>621.97622431489071</v>
      </c>
      <c r="N32" s="487">
        <v>2980.5890406532935</v>
      </c>
      <c r="O32" s="78"/>
      <c r="P32" s="78"/>
      <c r="Q32" s="78"/>
      <c r="R32" s="78"/>
      <c r="S32" s="78"/>
      <c r="T32" s="78"/>
    </row>
    <row r="33" spans="2:20" x14ac:dyDescent="0.2">
      <c r="B33" s="767"/>
      <c r="C33" s="69" t="s">
        <v>11</v>
      </c>
      <c r="D33" s="332"/>
      <c r="E33" s="534">
        <f t="shared" ref="E33:N33" si="8">SUBTOTAL(9,E31:E32)</f>
        <v>2645.5366037157573</v>
      </c>
      <c r="F33" s="535">
        <f t="shared" si="8"/>
        <v>7415.6279781027297</v>
      </c>
      <c r="G33" s="535">
        <f t="shared" si="8"/>
        <v>4614.1786680773312</v>
      </c>
      <c r="H33" s="535">
        <f t="shared" si="8"/>
        <v>2881.7331311813191</v>
      </c>
      <c r="I33" s="535">
        <f t="shared" si="8"/>
        <v>4244.8212756794255</v>
      </c>
      <c r="J33" s="535">
        <f t="shared" si="8"/>
        <v>3542</v>
      </c>
      <c r="K33" s="535">
        <f t="shared" si="8"/>
        <v>7170.9765657544349</v>
      </c>
      <c r="L33" s="535">
        <f t="shared" si="8"/>
        <v>6589.5123372409871</v>
      </c>
      <c r="M33" s="536">
        <f t="shared" si="8"/>
        <v>5131.6072208207897</v>
      </c>
      <c r="N33" s="537">
        <f t="shared" si="8"/>
        <v>44235.993780572768</v>
      </c>
      <c r="O33" s="78"/>
      <c r="P33" s="78"/>
      <c r="Q33" s="78"/>
      <c r="R33" s="78"/>
      <c r="S33" s="78"/>
      <c r="T33" s="78"/>
    </row>
    <row r="34" spans="2:20" x14ac:dyDescent="0.2">
      <c r="B34" s="767"/>
      <c r="C34" s="808" t="s">
        <v>99</v>
      </c>
      <c r="D34" s="331" t="s">
        <v>0</v>
      </c>
      <c r="E34" s="485">
        <v>226.43183908964824</v>
      </c>
      <c r="F34" s="486">
        <v>288.22345921592051</v>
      </c>
      <c r="G34" s="486">
        <v>1220.0312234526762</v>
      </c>
      <c r="H34" s="486">
        <v>280.95556908895077</v>
      </c>
      <c r="I34" s="486">
        <v>211.34899645861981</v>
      </c>
      <c r="J34" s="486">
        <v>468</v>
      </c>
      <c r="K34" s="486">
        <v>157.8594218945708</v>
      </c>
      <c r="L34" s="486">
        <v>221.61056968605519</v>
      </c>
      <c r="M34" s="543">
        <v>321.43972725088895</v>
      </c>
      <c r="N34" s="487">
        <v>3395.9008061373306</v>
      </c>
      <c r="O34" s="78"/>
      <c r="P34" s="78"/>
      <c r="Q34" s="78"/>
      <c r="R34" s="78"/>
      <c r="S34" s="78"/>
      <c r="T34" s="78"/>
    </row>
    <row r="35" spans="2:20" x14ac:dyDescent="0.2">
      <c r="B35" s="767"/>
      <c r="C35" s="810"/>
      <c r="D35" s="331" t="s">
        <v>1</v>
      </c>
      <c r="E35" s="485">
        <v>7181.6451849876194</v>
      </c>
      <c r="F35" s="486">
        <v>836.88791762118717</v>
      </c>
      <c r="G35" s="486">
        <v>807.13869884389544</v>
      </c>
      <c r="H35" s="486">
        <v>709.39822157829428</v>
      </c>
      <c r="I35" s="486">
        <v>422.97519280395085</v>
      </c>
      <c r="J35" s="486">
        <v>229</v>
      </c>
      <c r="K35" s="486">
        <v>327.75754062223433</v>
      </c>
      <c r="L35" s="486">
        <v>1581.607653897092</v>
      </c>
      <c r="M35" s="543">
        <v>367.63793905672429</v>
      </c>
      <c r="N35" s="487">
        <v>12464.048349410998</v>
      </c>
      <c r="O35" s="78"/>
      <c r="P35" s="78"/>
      <c r="Q35" s="78"/>
      <c r="R35" s="78"/>
      <c r="S35" s="78"/>
      <c r="T35" s="78"/>
    </row>
    <row r="36" spans="2:20" x14ac:dyDescent="0.2">
      <c r="B36" s="767"/>
      <c r="C36" s="810"/>
      <c r="D36" s="331" t="s">
        <v>2</v>
      </c>
      <c r="E36" s="485">
        <v>0</v>
      </c>
      <c r="F36" s="486">
        <v>391.77533742183448</v>
      </c>
      <c r="G36" s="486">
        <v>103.33386710587143</v>
      </c>
      <c r="H36" s="486">
        <v>12.49600599324447</v>
      </c>
      <c r="I36" s="486">
        <v>216.85830533096194</v>
      </c>
      <c r="J36" s="486">
        <v>6</v>
      </c>
      <c r="K36" s="486">
        <v>0</v>
      </c>
      <c r="L36" s="486">
        <v>11.491791016624775</v>
      </c>
      <c r="M36" s="543">
        <v>121.15460651232303</v>
      </c>
      <c r="N36" s="487">
        <v>863.10991338086023</v>
      </c>
      <c r="O36" s="78"/>
      <c r="P36" s="78"/>
      <c r="Q36" s="78"/>
      <c r="R36" s="78"/>
      <c r="S36" s="78"/>
      <c r="T36" s="78"/>
    </row>
    <row r="37" spans="2:20" x14ac:dyDescent="0.2">
      <c r="B37" s="767"/>
      <c r="C37" s="810"/>
      <c r="D37" s="331" t="s">
        <v>3</v>
      </c>
      <c r="E37" s="485">
        <v>0</v>
      </c>
      <c r="F37" s="486">
        <v>0.8731500005722046</v>
      </c>
      <c r="G37" s="486">
        <v>140.53563571915123</v>
      </c>
      <c r="H37" s="486">
        <v>27.868429808001967</v>
      </c>
      <c r="I37" s="486">
        <v>1.0088761004562765</v>
      </c>
      <c r="J37" s="486">
        <v>103</v>
      </c>
      <c r="K37" s="486">
        <v>0</v>
      </c>
      <c r="L37" s="486">
        <v>54.060977867579666</v>
      </c>
      <c r="M37" s="543">
        <v>33.953961407292397</v>
      </c>
      <c r="N37" s="487">
        <v>361.30103090305374</v>
      </c>
      <c r="O37" s="78"/>
      <c r="P37" s="78"/>
      <c r="Q37" s="78"/>
      <c r="R37" s="78"/>
      <c r="S37" s="78"/>
      <c r="T37" s="78"/>
    </row>
    <row r="38" spans="2:20" x14ac:dyDescent="0.2">
      <c r="B38" s="767"/>
      <c r="C38" s="810"/>
      <c r="D38" s="331" t="s">
        <v>4</v>
      </c>
      <c r="E38" s="485">
        <v>42.225580047011377</v>
      </c>
      <c r="F38" s="486">
        <v>373.17855433857443</v>
      </c>
      <c r="G38" s="486">
        <v>14.9232569770813</v>
      </c>
      <c r="H38" s="486">
        <v>120.62219025039674</v>
      </c>
      <c r="I38" s="486">
        <v>163.88283994847535</v>
      </c>
      <c r="J38" s="486">
        <v>356</v>
      </c>
      <c r="K38" s="486">
        <v>20.176460017681123</v>
      </c>
      <c r="L38" s="486">
        <v>490.16341343045224</v>
      </c>
      <c r="M38" s="543">
        <v>133.35088079324368</v>
      </c>
      <c r="N38" s="487">
        <v>1714.5231758029163</v>
      </c>
      <c r="O38" s="78"/>
      <c r="P38" s="78"/>
      <c r="Q38" s="78"/>
      <c r="R38" s="78"/>
      <c r="S38" s="78"/>
      <c r="T38" s="78"/>
    </row>
    <row r="39" spans="2:20" x14ac:dyDescent="0.2">
      <c r="B39" s="767"/>
      <c r="C39" s="809"/>
      <c r="D39" s="331" t="s">
        <v>5</v>
      </c>
      <c r="E39" s="485">
        <v>9.452</v>
      </c>
      <c r="F39" s="486">
        <v>699.703268321991</v>
      </c>
      <c r="G39" s="486">
        <v>3.8647700042724611</v>
      </c>
      <c r="H39" s="486">
        <v>360.91283537888529</v>
      </c>
      <c r="I39" s="486">
        <v>125.35332809638976</v>
      </c>
      <c r="J39" s="486">
        <v>98</v>
      </c>
      <c r="K39" s="486">
        <v>0</v>
      </c>
      <c r="L39" s="486">
        <v>338.99971521134859</v>
      </c>
      <c r="M39" s="543">
        <v>613.56316009616864</v>
      </c>
      <c r="N39" s="487">
        <v>2249.849077109056</v>
      </c>
      <c r="O39" s="78"/>
      <c r="P39" s="78"/>
      <c r="Q39" s="78"/>
      <c r="R39" s="78"/>
      <c r="S39" s="78"/>
      <c r="T39" s="78"/>
    </row>
    <row r="40" spans="2:20" x14ac:dyDescent="0.2">
      <c r="B40" s="767"/>
      <c r="C40" s="69" t="s">
        <v>6</v>
      </c>
      <c r="D40" s="332"/>
      <c r="E40" s="534">
        <f t="shared" ref="E40:N40" si="9">SUBTOTAL(9,E34:E39)</f>
        <v>7459.7546041242786</v>
      </c>
      <c r="F40" s="535">
        <f t="shared" si="9"/>
        <v>2590.6416869200798</v>
      </c>
      <c r="G40" s="535">
        <f t="shared" si="9"/>
        <v>2289.827452102948</v>
      </c>
      <c r="H40" s="535">
        <f t="shared" si="9"/>
        <v>1512.2532520977734</v>
      </c>
      <c r="I40" s="535">
        <f t="shared" si="9"/>
        <v>1141.4275387388539</v>
      </c>
      <c r="J40" s="535">
        <f t="shared" si="9"/>
        <v>1260</v>
      </c>
      <c r="K40" s="535">
        <f t="shared" si="9"/>
        <v>505.79342253448624</v>
      </c>
      <c r="L40" s="535">
        <f t="shared" si="9"/>
        <v>2697.9341211091528</v>
      </c>
      <c r="M40" s="536">
        <f t="shared" si="9"/>
        <v>1591.1002751166411</v>
      </c>
      <c r="N40" s="537">
        <f t="shared" si="9"/>
        <v>21048.732352744213</v>
      </c>
      <c r="O40" s="78"/>
      <c r="P40" s="78"/>
      <c r="Q40" s="78"/>
      <c r="R40" s="78"/>
      <c r="S40" s="78"/>
      <c r="T40" s="78"/>
    </row>
    <row r="41" spans="2:20" x14ac:dyDescent="0.2">
      <c r="B41" s="767"/>
      <c r="C41" s="808" t="s">
        <v>100</v>
      </c>
      <c r="D41" s="331" t="s">
        <v>17</v>
      </c>
      <c r="E41" s="485">
        <v>18.075790254309361</v>
      </c>
      <c r="F41" s="486">
        <v>64.775257829130567</v>
      </c>
      <c r="G41" s="486">
        <v>88.540772100597621</v>
      </c>
      <c r="H41" s="486">
        <v>214.88696592974665</v>
      </c>
      <c r="I41" s="486">
        <v>38.37234004175663</v>
      </c>
      <c r="J41" s="486">
        <v>119</v>
      </c>
      <c r="K41" s="486">
        <v>15.325419982910157</v>
      </c>
      <c r="L41" s="486">
        <v>175.47827464844659</v>
      </c>
      <c r="M41" s="543">
        <v>74.588537288045003</v>
      </c>
      <c r="N41" s="487">
        <v>809.0433580749426</v>
      </c>
      <c r="O41" s="78"/>
      <c r="P41" s="78"/>
      <c r="Q41" s="78"/>
      <c r="R41" s="78"/>
      <c r="S41" s="78"/>
      <c r="T41" s="78"/>
    </row>
    <row r="42" spans="2:20" x14ac:dyDescent="0.2">
      <c r="B42" s="767"/>
      <c r="C42" s="809"/>
      <c r="D42" s="331" t="s">
        <v>101</v>
      </c>
      <c r="E42" s="485">
        <v>562.36169817758901</v>
      </c>
      <c r="F42" s="486">
        <v>1609.5573638507424</v>
      </c>
      <c r="G42" s="486">
        <v>1485.9209716971977</v>
      </c>
      <c r="H42" s="486">
        <v>879.56043654824362</v>
      </c>
      <c r="I42" s="486">
        <v>2161.6796775299013</v>
      </c>
      <c r="J42" s="486">
        <v>946</v>
      </c>
      <c r="K42" s="486">
        <v>474.645539100647</v>
      </c>
      <c r="L42" s="486">
        <v>1394.5949945940099</v>
      </c>
      <c r="M42" s="543">
        <v>954.50187981820477</v>
      </c>
      <c r="N42" s="487">
        <v>10468.822561316534</v>
      </c>
      <c r="O42" s="78"/>
      <c r="P42" s="78"/>
      <c r="Q42" s="78"/>
      <c r="R42" s="78"/>
      <c r="S42" s="78"/>
      <c r="T42" s="78"/>
    </row>
    <row r="43" spans="2:20" x14ac:dyDescent="0.2">
      <c r="B43" s="768"/>
      <c r="C43" s="71" t="s">
        <v>102</v>
      </c>
      <c r="D43" s="333"/>
      <c r="E43" s="539">
        <f t="shared" ref="E43:N43" si="10">SUBTOTAL(9,E41:E42)</f>
        <v>580.43748843189837</v>
      </c>
      <c r="F43" s="540">
        <f t="shared" si="10"/>
        <v>1674.332621679873</v>
      </c>
      <c r="G43" s="540">
        <f t="shared" si="10"/>
        <v>1574.4617437977954</v>
      </c>
      <c r="H43" s="540">
        <f t="shared" si="10"/>
        <v>1094.4474024779902</v>
      </c>
      <c r="I43" s="540">
        <f t="shared" si="10"/>
        <v>2200.0520175716579</v>
      </c>
      <c r="J43" s="540">
        <f t="shared" si="10"/>
        <v>1065</v>
      </c>
      <c r="K43" s="540">
        <f t="shared" si="10"/>
        <v>489.97095908355715</v>
      </c>
      <c r="L43" s="540">
        <f t="shared" si="10"/>
        <v>1570.0732692424565</v>
      </c>
      <c r="M43" s="541">
        <f t="shared" si="10"/>
        <v>1029.0904171062498</v>
      </c>
      <c r="N43" s="542">
        <f t="shared" si="10"/>
        <v>11277.865919391477</v>
      </c>
      <c r="O43" s="78"/>
      <c r="P43" s="78"/>
      <c r="Q43" s="78"/>
      <c r="R43" s="78"/>
      <c r="S43" s="78"/>
      <c r="T43" s="78"/>
    </row>
    <row r="44" spans="2:20" ht="21" customHeight="1" x14ac:dyDescent="0.2">
      <c r="B44" s="72" t="s">
        <v>107</v>
      </c>
      <c r="C44" s="73"/>
      <c r="D44" s="73"/>
      <c r="E44" s="538">
        <f t="shared" ref="E44:N44" si="11">SUBTOTAL(9,E31:E42)</f>
        <v>10685.728696271935</v>
      </c>
      <c r="F44" s="495">
        <f t="shared" si="11"/>
        <v>11680.602286702682</v>
      </c>
      <c r="G44" s="495">
        <f t="shared" si="11"/>
        <v>8478.4678639780741</v>
      </c>
      <c r="H44" s="495">
        <f t="shared" si="11"/>
        <v>5488.4337857570827</v>
      </c>
      <c r="I44" s="495">
        <f t="shared" si="11"/>
        <v>7586.3008319899363</v>
      </c>
      <c r="J44" s="495">
        <f t="shared" si="11"/>
        <v>5867</v>
      </c>
      <c r="K44" s="495">
        <f t="shared" si="11"/>
        <v>8166.7409473724774</v>
      </c>
      <c r="L44" s="495">
        <f t="shared" si="11"/>
        <v>10857.519727592595</v>
      </c>
      <c r="M44" s="501">
        <f t="shared" si="11"/>
        <v>7751.7979130436806</v>
      </c>
      <c r="N44" s="496">
        <f t="shared" si="11"/>
        <v>76562.592052708467</v>
      </c>
      <c r="O44" s="78"/>
      <c r="P44" s="78"/>
      <c r="Q44" s="78"/>
      <c r="R44" s="78"/>
      <c r="S44" s="78"/>
      <c r="T44" s="78"/>
    </row>
    <row r="45" spans="2:20" x14ac:dyDescent="0.2">
      <c r="B45" s="766">
        <v>2005</v>
      </c>
      <c r="C45" s="808" t="s">
        <v>97</v>
      </c>
      <c r="D45" s="331" t="s">
        <v>97</v>
      </c>
      <c r="E45" s="485">
        <v>2433.8654992681199</v>
      </c>
      <c r="F45" s="486">
        <v>6745.3646186173801</v>
      </c>
      <c r="G45" s="486">
        <v>4082.4345420843601</v>
      </c>
      <c r="H45" s="486">
        <v>3149.1786246930797</v>
      </c>
      <c r="I45" s="486">
        <v>4248.8542489215797</v>
      </c>
      <c r="J45" s="486">
        <v>4054.5495528298002</v>
      </c>
      <c r="K45" s="486">
        <v>7683.3612129370304</v>
      </c>
      <c r="L45" s="486">
        <v>5466.1974039378401</v>
      </c>
      <c r="M45" s="543">
        <v>3966.7726400984102</v>
      </c>
      <c r="N45" s="487">
        <f>SUM(E45:M45)</f>
        <v>41830.578343387606</v>
      </c>
      <c r="O45" s="78"/>
      <c r="P45" s="78"/>
      <c r="Q45" s="78"/>
      <c r="R45" s="78"/>
      <c r="S45" s="78"/>
      <c r="T45" s="78"/>
    </row>
    <row r="46" spans="2:20" x14ac:dyDescent="0.2">
      <c r="B46" s="767"/>
      <c r="C46" s="809"/>
      <c r="D46" s="331" t="s">
        <v>98</v>
      </c>
      <c r="E46" s="485">
        <v>215.51415572684701</v>
      </c>
      <c r="F46" s="486">
        <v>102.159087464094</v>
      </c>
      <c r="G46" s="486">
        <v>420.68793284035496</v>
      </c>
      <c r="H46" s="486">
        <v>46.647703477310003</v>
      </c>
      <c r="I46" s="486">
        <v>108.70668720502401</v>
      </c>
      <c r="J46" s="486">
        <v>138.896813702229</v>
      </c>
      <c r="K46" s="486">
        <v>291.28823434497497</v>
      </c>
      <c r="L46" s="486">
        <v>696.77173342503806</v>
      </c>
      <c r="M46" s="543">
        <v>628.76186359617407</v>
      </c>
      <c r="N46" s="487">
        <f>SUM(E46:M46)</f>
        <v>2649.4342117820461</v>
      </c>
      <c r="O46" s="78"/>
      <c r="P46" s="78"/>
      <c r="Q46" s="78"/>
      <c r="R46" s="78"/>
      <c r="S46" s="78"/>
      <c r="T46" s="78"/>
    </row>
    <row r="47" spans="2:20" x14ac:dyDescent="0.2">
      <c r="B47" s="767"/>
      <c r="C47" s="69" t="s">
        <v>11</v>
      </c>
      <c r="D47" s="332"/>
      <c r="E47" s="534">
        <f t="shared" ref="E47:N47" si="12">SUBTOTAL(9,E45:E46)</f>
        <v>2649.379654994967</v>
      </c>
      <c r="F47" s="535">
        <f t="shared" si="12"/>
        <v>6847.5237060814743</v>
      </c>
      <c r="G47" s="535">
        <f t="shared" si="12"/>
        <v>4503.1224749247149</v>
      </c>
      <c r="H47" s="535">
        <f t="shared" si="12"/>
        <v>3195.8263281703898</v>
      </c>
      <c r="I47" s="535">
        <f t="shared" si="12"/>
        <v>4357.5609361266033</v>
      </c>
      <c r="J47" s="535">
        <f t="shared" si="12"/>
        <v>4193.4463665320291</v>
      </c>
      <c r="K47" s="535">
        <f t="shared" si="12"/>
        <v>7974.649447282005</v>
      </c>
      <c r="L47" s="535">
        <f t="shared" si="12"/>
        <v>6162.9691373628784</v>
      </c>
      <c r="M47" s="536">
        <f t="shared" si="12"/>
        <v>4595.5345036945846</v>
      </c>
      <c r="N47" s="537">
        <f t="shared" si="12"/>
        <v>44480.012555169655</v>
      </c>
      <c r="O47" s="78"/>
      <c r="P47" s="78"/>
      <c r="Q47" s="78"/>
      <c r="R47" s="78"/>
      <c r="S47" s="78"/>
      <c r="T47" s="78"/>
    </row>
    <row r="48" spans="2:20" x14ac:dyDescent="0.2">
      <c r="B48" s="767"/>
      <c r="C48" s="808" t="s">
        <v>99</v>
      </c>
      <c r="D48" s="331" t="s">
        <v>0</v>
      </c>
      <c r="E48" s="485">
        <v>245.21784436946399</v>
      </c>
      <c r="F48" s="486">
        <v>553.70954519909594</v>
      </c>
      <c r="G48" s="486">
        <v>1249.4985976799999</v>
      </c>
      <c r="H48" s="486">
        <v>324.111009729795</v>
      </c>
      <c r="I48" s="486">
        <v>248.45353792140003</v>
      </c>
      <c r="J48" s="486">
        <v>421.63374858512702</v>
      </c>
      <c r="K48" s="486">
        <v>576.089518487742</v>
      </c>
      <c r="L48" s="486">
        <v>731.27891396225391</v>
      </c>
      <c r="M48" s="543">
        <v>218.02512983778098</v>
      </c>
      <c r="N48" s="487">
        <f>SUM(E48:M48)</f>
        <v>4568.0178457726579</v>
      </c>
      <c r="O48" s="78"/>
      <c r="P48" s="78"/>
      <c r="Q48" s="78"/>
      <c r="R48" s="78"/>
      <c r="S48" s="78"/>
      <c r="T48" s="78"/>
    </row>
    <row r="49" spans="2:20" x14ac:dyDescent="0.2">
      <c r="B49" s="767"/>
      <c r="C49" s="810"/>
      <c r="D49" s="331" t="s">
        <v>1</v>
      </c>
      <c r="E49" s="485">
        <v>7922.9165936217905</v>
      </c>
      <c r="F49" s="486">
        <v>869.89392603478109</v>
      </c>
      <c r="G49" s="486">
        <v>1161.2137376901501</v>
      </c>
      <c r="H49" s="486">
        <v>824.64895441907595</v>
      </c>
      <c r="I49" s="486">
        <v>506.59158438832299</v>
      </c>
      <c r="J49" s="486">
        <v>305.75116138216498</v>
      </c>
      <c r="K49" s="486">
        <v>422.41615331010297</v>
      </c>
      <c r="L49" s="486">
        <v>1601.00113852562</v>
      </c>
      <c r="M49" s="543">
        <v>385.071316054909</v>
      </c>
      <c r="N49" s="487">
        <f t="shared" ref="N49:N56" si="13">SUM(E49:M49)</f>
        <v>13999.504565426918</v>
      </c>
      <c r="O49" s="78"/>
      <c r="P49" s="78"/>
      <c r="Q49" s="78"/>
      <c r="R49" s="78"/>
      <c r="S49" s="78"/>
      <c r="T49" s="78"/>
    </row>
    <row r="50" spans="2:20" x14ac:dyDescent="0.2">
      <c r="B50" s="767"/>
      <c r="C50" s="810"/>
      <c r="D50" s="331" t="s">
        <v>2</v>
      </c>
      <c r="E50" s="485">
        <v>0</v>
      </c>
      <c r="F50" s="486">
        <v>898.92626536668104</v>
      </c>
      <c r="G50" s="486">
        <v>112.72386329508799</v>
      </c>
      <c r="H50" s="486">
        <v>46.135341792383294</v>
      </c>
      <c r="I50" s="486">
        <v>215.63842922256899</v>
      </c>
      <c r="J50" s="486">
        <v>86.38515095260739</v>
      </c>
      <c r="K50" s="486">
        <v>8.7603333144775295</v>
      </c>
      <c r="L50" s="486">
        <v>15.201391584243799</v>
      </c>
      <c r="M50" s="543">
        <v>113.94668627834299</v>
      </c>
      <c r="N50" s="487">
        <f t="shared" si="13"/>
        <v>1497.7174618063927</v>
      </c>
      <c r="O50" s="78"/>
      <c r="P50" s="78"/>
      <c r="Q50" s="78"/>
      <c r="R50" s="78"/>
      <c r="S50" s="78"/>
      <c r="T50" s="78"/>
    </row>
    <row r="51" spans="2:20" x14ac:dyDescent="0.2">
      <c r="B51" s="767"/>
      <c r="C51" s="810"/>
      <c r="D51" s="331" t="s">
        <v>3</v>
      </c>
      <c r="E51" s="485">
        <v>0</v>
      </c>
      <c r="F51" s="486">
        <v>2.0059999999999998</v>
      </c>
      <c r="G51" s="486">
        <v>114.014559715617</v>
      </c>
      <c r="H51" s="486">
        <v>38.065369931422104</v>
      </c>
      <c r="I51" s="486">
        <v>2.3078496021488197</v>
      </c>
      <c r="J51" s="486">
        <v>102.248023868028</v>
      </c>
      <c r="K51" s="486">
        <v>0</v>
      </c>
      <c r="L51" s="486">
        <v>37.938476598435003</v>
      </c>
      <c r="M51" s="543">
        <v>81.795526576996295</v>
      </c>
      <c r="N51" s="487">
        <f t="shared" si="13"/>
        <v>378.37580629264721</v>
      </c>
      <c r="O51" s="78"/>
      <c r="P51" s="78"/>
      <c r="Q51" s="78"/>
      <c r="R51" s="78"/>
      <c r="S51" s="78"/>
      <c r="T51" s="78"/>
    </row>
    <row r="52" spans="2:20" x14ac:dyDescent="0.2">
      <c r="B52" s="767"/>
      <c r="C52" s="810"/>
      <c r="D52" s="331" t="s">
        <v>4</v>
      </c>
      <c r="E52" s="485">
        <v>68.175920628905303</v>
      </c>
      <c r="F52" s="486">
        <v>164.26539653331099</v>
      </c>
      <c r="G52" s="486">
        <v>41.4651876468658</v>
      </c>
      <c r="H52" s="486">
        <v>135.34423181533799</v>
      </c>
      <c r="I52" s="486">
        <v>170.935044869661</v>
      </c>
      <c r="J52" s="486">
        <v>462.580071802303</v>
      </c>
      <c r="K52" s="486">
        <v>61.520149867057803</v>
      </c>
      <c r="L52" s="486">
        <v>366.84040153124204</v>
      </c>
      <c r="M52" s="543">
        <v>207.48236865291</v>
      </c>
      <c r="N52" s="487">
        <f t="shared" si="13"/>
        <v>1678.608773347594</v>
      </c>
      <c r="O52" s="78"/>
      <c r="P52" s="78"/>
      <c r="Q52" s="78"/>
      <c r="R52" s="78"/>
      <c r="S52" s="78"/>
      <c r="T52" s="78"/>
    </row>
    <row r="53" spans="2:20" x14ac:dyDescent="0.2">
      <c r="B53" s="767"/>
      <c r="C53" s="809"/>
      <c r="D53" s="331" t="s">
        <v>5</v>
      </c>
      <c r="E53" s="485">
        <v>6.3090000000000002</v>
      </c>
      <c r="F53" s="486">
        <v>615.82902351379391</v>
      </c>
      <c r="G53" s="486">
        <v>6.2658000907897904</v>
      </c>
      <c r="H53" s="486">
        <v>170.71026996994001</v>
      </c>
      <c r="I53" s="486">
        <v>235.50188850283598</v>
      </c>
      <c r="J53" s="486">
        <v>166.05720691728601</v>
      </c>
      <c r="K53" s="486">
        <v>0</v>
      </c>
      <c r="L53" s="486">
        <v>516.17206002415298</v>
      </c>
      <c r="M53" s="543">
        <v>735.985705535889</v>
      </c>
      <c r="N53" s="487">
        <f t="shared" si="13"/>
        <v>2452.8309545546877</v>
      </c>
      <c r="O53" s="78"/>
      <c r="P53" s="78"/>
      <c r="Q53" s="78"/>
      <c r="R53" s="78"/>
      <c r="S53" s="78"/>
      <c r="T53" s="78"/>
    </row>
    <row r="54" spans="2:20" x14ac:dyDescent="0.2">
      <c r="B54" s="767"/>
      <c r="C54" s="69" t="s">
        <v>6</v>
      </c>
      <c r="D54" s="332"/>
      <c r="E54" s="534">
        <f t="shared" ref="E54:N54" si="14">SUBTOTAL(9,E48:E53)</f>
        <v>8242.6193586201589</v>
      </c>
      <c r="F54" s="535">
        <f t="shared" si="14"/>
        <v>3104.6301566476627</v>
      </c>
      <c r="G54" s="535">
        <f t="shared" si="14"/>
        <v>2685.1817461185105</v>
      </c>
      <c r="H54" s="535">
        <f t="shared" si="14"/>
        <v>1539.0151776579544</v>
      </c>
      <c r="I54" s="535">
        <f t="shared" si="14"/>
        <v>1379.4283345069377</v>
      </c>
      <c r="J54" s="535">
        <f t="shared" si="14"/>
        <v>1544.6553635075165</v>
      </c>
      <c r="K54" s="535">
        <f t="shared" si="14"/>
        <v>1068.7861549793804</v>
      </c>
      <c r="L54" s="535">
        <f t="shared" si="14"/>
        <v>3268.432382225948</v>
      </c>
      <c r="M54" s="536">
        <f t="shared" si="14"/>
        <v>1742.3067329368282</v>
      </c>
      <c r="N54" s="537">
        <f t="shared" si="14"/>
        <v>24575.0554072009</v>
      </c>
      <c r="O54" s="78"/>
      <c r="P54" s="78"/>
      <c r="Q54" s="78"/>
      <c r="R54" s="78"/>
      <c r="S54" s="78"/>
      <c r="T54" s="78"/>
    </row>
    <row r="55" spans="2:20" x14ac:dyDescent="0.2">
      <c r="B55" s="767"/>
      <c r="C55" s="808" t="s">
        <v>100</v>
      </c>
      <c r="D55" s="331" t="s">
        <v>17</v>
      </c>
      <c r="E55" s="485">
        <v>28.302071995787301</v>
      </c>
      <c r="F55" s="486">
        <v>121.378683416607</v>
      </c>
      <c r="G55" s="486">
        <v>130.944109039925</v>
      </c>
      <c r="H55" s="486">
        <v>127.827845473588</v>
      </c>
      <c r="I55" s="486">
        <v>80.317772105902407</v>
      </c>
      <c r="J55" s="486">
        <v>163.139809671834</v>
      </c>
      <c r="K55" s="486">
        <v>58.551528439931502</v>
      </c>
      <c r="L55" s="486">
        <v>152.60016810245702</v>
      </c>
      <c r="M55" s="543">
        <v>100.263636645001</v>
      </c>
      <c r="N55" s="487">
        <f t="shared" si="13"/>
        <v>963.32562489103339</v>
      </c>
      <c r="O55" s="78"/>
      <c r="P55" s="78"/>
      <c r="Q55" s="78"/>
      <c r="R55" s="78"/>
      <c r="S55" s="78"/>
      <c r="T55" s="78"/>
    </row>
    <row r="56" spans="2:20" x14ac:dyDescent="0.2">
      <c r="B56" s="767"/>
      <c r="C56" s="809"/>
      <c r="D56" s="331" t="s">
        <v>101</v>
      </c>
      <c r="E56" s="485">
        <v>504.87642798598699</v>
      </c>
      <c r="F56" s="486">
        <v>1500.24704005386</v>
      </c>
      <c r="G56" s="486">
        <v>933.844214599628</v>
      </c>
      <c r="H56" s="486">
        <v>898.42446340080198</v>
      </c>
      <c r="I56" s="486">
        <v>2138.2660266437697</v>
      </c>
      <c r="J56" s="486">
        <v>1220.7097984740799</v>
      </c>
      <c r="K56" s="486">
        <v>866.69567200154097</v>
      </c>
      <c r="L56" s="486">
        <v>1169.5036586903</v>
      </c>
      <c r="M56" s="543">
        <v>974.49868036189503</v>
      </c>
      <c r="N56" s="487">
        <f t="shared" si="13"/>
        <v>10207.065982211863</v>
      </c>
      <c r="O56" s="78"/>
      <c r="P56" s="78"/>
      <c r="Q56" s="78"/>
      <c r="R56" s="78"/>
      <c r="S56" s="78"/>
      <c r="T56" s="78"/>
    </row>
    <row r="57" spans="2:20" x14ac:dyDescent="0.2">
      <c r="B57" s="768"/>
      <c r="C57" s="71" t="s">
        <v>102</v>
      </c>
      <c r="D57" s="334"/>
      <c r="E57" s="540">
        <f t="shared" ref="E57:N57" si="15">SUBTOTAL(9,E55:E56)</f>
        <v>533.17849998177428</v>
      </c>
      <c r="F57" s="540">
        <f t="shared" si="15"/>
        <v>1621.6257234704669</v>
      </c>
      <c r="G57" s="540">
        <f t="shared" si="15"/>
        <v>1064.788323639553</v>
      </c>
      <c r="H57" s="540">
        <f t="shared" si="15"/>
        <v>1026.2523088743899</v>
      </c>
      <c r="I57" s="540">
        <f t="shared" si="15"/>
        <v>2218.583798749672</v>
      </c>
      <c r="J57" s="540">
        <f t="shared" si="15"/>
        <v>1383.8496081459139</v>
      </c>
      <c r="K57" s="540">
        <f t="shared" si="15"/>
        <v>925.2472004414725</v>
      </c>
      <c r="L57" s="540">
        <f t="shared" si="15"/>
        <v>1322.103826792757</v>
      </c>
      <c r="M57" s="540">
        <f t="shared" si="15"/>
        <v>1074.762317006896</v>
      </c>
      <c r="N57" s="537">
        <f t="shared" si="15"/>
        <v>11170.391607102896</v>
      </c>
      <c r="O57" s="78"/>
      <c r="P57" s="78"/>
      <c r="Q57" s="78"/>
      <c r="R57" s="78"/>
      <c r="S57" s="78"/>
      <c r="T57" s="78"/>
    </row>
    <row r="58" spans="2:20" ht="19.5" customHeight="1" x14ac:dyDescent="0.2">
      <c r="B58" s="72" t="s">
        <v>108</v>
      </c>
      <c r="C58" s="73"/>
      <c r="D58" s="73"/>
      <c r="E58" s="518">
        <f t="shared" ref="E58:N58" si="16">SUBTOTAL(9,E45:E56)</f>
        <v>11425.1775135969</v>
      </c>
      <c r="F58" s="495">
        <f t="shared" si="16"/>
        <v>11573.779586199604</v>
      </c>
      <c r="G58" s="495">
        <f t="shared" si="16"/>
        <v>8253.0925446827787</v>
      </c>
      <c r="H58" s="495">
        <f t="shared" si="16"/>
        <v>5761.0938147027346</v>
      </c>
      <c r="I58" s="495">
        <f t="shared" si="16"/>
        <v>7955.5730693832147</v>
      </c>
      <c r="J58" s="495">
        <f t="shared" si="16"/>
        <v>7121.9513381854595</v>
      </c>
      <c r="K58" s="495">
        <f t="shared" si="16"/>
        <v>9968.6828027028587</v>
      </c>
      <c r="L58" s="495">
        <f t="shared" si="16"/>
        <v>10753.505346381584</v>
      </c>
      <c r="M58" s="495">
        <f t="shared" si="16"/>
        <v>7412.6035536383079</v>
      </c>
      <c r="N58" s="501">
        <f t="shared" si="16"/>
        <v>80225.45956947346</v>
      </c>
      <c r="O58" s="78"/>
      <c r="P58" s="78"/>
      <c r="Q58" s="78"/>
      <c r="R58" s="78"/>
      <c r="S58" s="78"/>
      <c r="T58" s="78"/>
    </row>
    <row r="59" spans="2:20" x14ac:dyDescent="0.2">
      <c r="B59" s="766">
        <v>2006</v>
      </c>
      <c r="C59" s="808" t="s">
        <v>97</v>
      </c>
      <c r="D59" s="331" t="s">
        <v>97</v>
      </c>
      <c r="E59" s="544">
        <v>2440.6066940310898</v>
      </c>
      <c r="F59" s="483">
        <v>6166.6475055604869</v>
      </c>
      <c r="G59" s="483">
        <v>3608.3742306914446</v>
      </c>
      <c r="H59" s="483">
        <v>2859.814667269221</v>
      </c>
      <c r="I59" s="483">
        <v>4072.6298257640979</v>
      </c>
      <c r="J59" s="483">
        <v>3544.7932777381011</v>
      </c>
      <c r="K59" s="483">
        <v>5928.8974634342158</v>
      </c>
      <c r="L59" s="483">
        <v>4333.0137959480671</v>
      </c>
      <c r="M59" s="545">
        <v>4484.0115766550316</v>
      </c>
      <c r="N59" s="487">
        <f>SUM(E59:M59)</f>
        <v>37438.789037091759</v>
      </c>
      <c r="O59" s="78"/>
      <c r="P59" s="78"/>
      <c r="Q59" s="78"/>
      <c r="R59" s="78"/>
      <c r="S59" s="78"/>
      <c r="T59" s="78"/>
    </row>
    <row r="60" spans="2:20" x14ac:dyDescent="0.2">
      <c r="B60" s="767"/>
      <c r="C60" s="809"/>
      <c r="D60" s="331" t="s">
        <v>98</v>
      </c>
      <c r="E60" s="546">
        <v>346.308101212412</v>
      </c>
      <c r="F60" s="486">
        <v>447.33362470812398</v>
      </c>
      <c r="G60" s="486">
        <v>601.15664626750618</v>
      </c>
      <c r="H60" s="486">
        <v>343.02937959254228</v>
      </c>
      <c r="I60" s="486">
        <v>723.57705728058795</v>
      </c>
      <c r="J60" s="486">
        <v>864.07993786124143</v>
      </c>
      <c r="K60" s="486">
        <v>1049.4435535749601</v>
      </c>
      <c r="L60" s="486">
        <v>1758.6726105470011</v>
      </c>
      <c r="M60" s="543">
        <v>1158.6152696016309</v>
      </c>
      <c r="N60" s="487">
        <f>SUM(E60:M60)</f>
        <v>7292.2161806460063</v>
      </c>
      <c r="O60" s="78"/>
      <c r="P60" s="78"/>
      <c r="Q60" s="78"/>
      <c r="R60" s="78"/>
      <c r="S60" s="78"/>
      <c r="T60" s="78"/>
    </row>
    <row r="61" spans="2:20" x14ac:dyDescent="0.2">
      <c r="B61" s="767"/>
      <c r="C61" s="69" t="s">
        <v>11</v>
      </c>
      <c r="D61" s="332"/>
      <c r="E61" s="534">
        <f t="shared" ref="E61:N61" si="17">SUBTOTAL(9,E59:E60)</f>
        <v>2786.9147952435019</v>
      </c>
      <c r="F61" s="535">
        <f t="shared" si="17"/>
        <v>6613.9811302686112</v>
      </c>
      <c r="G61" s="535">
        <f t="shared" si="17"/>
        <v>4209.530876958951</v>
      </c>
      <c r="H61" s="535">
        <f t="shared" si="17"/>
        <v>3202.8440468617632</v>
      </c>
      <c r="I61" s="535">
        <f t="shared" si="17"/>
        <v>4796.206883044686</v>
      </c>
      <c r="J61" s="535">
        <f t="shared" si="17"/>
        <v>4408.8732155993421</v>
      </c>
      <c r="K61" s="535">
        <f t="shared" si="17"/>
        <v>6978.3410170091756</v>
      </c>
      <c r="L61" s="535">
        <f t="shared" si="17"/>
        <v>6091.6864064950678</v>
      </c>
      <c r="M61" s="536">
        <f t="shared" si="17"/>
        <v>5642.6268462566622</v>
      </c>
      <c r="N61" s="537">
        <f t="shared" si="17"/>
        <v>44731.005217737766</v>
      </c>
      <c r="O61" s="78"/>
      <c r="P61" s="78"/>
      <c r="Q61" s="78"/>
      <c r="R61" s="78"/>
      <c r="S61" s="78"/>
      <c r="T61" s="78"/>
    </row>
    <row r="62" spans="2:20" x14ac:dyDescent="0.2">
      <c r="B62" s="767"/>
      <c r="C62" s="808" t="s">
        <v>99</v>
      </c>
      <c r="D62" s="335" t="s">
        <v>0</v>
      </c>
      <c r="E62" s="547">
        <v>1010.21092661086</v>
      </c>
      <c r="F62" s="486">
        <v>423.07939399891717</v>
      </c>
      <c r="G62" s="486">
        <v>1195.2054382866686</v>
      </c>
      <c r="H62" s="486">
        <v>462.60950573864204</v>
      </c>
      <c r="I62" s="486">
        <v>256.4471708119782</v>
      </c>
      <c r="J62" s="486">
        <v>397.40788236192441</v>
      </c>
      <c r="K62" s="486">
        <v>903.48744536068307</v>
      </c>
      <c r="L62" s="486">
        <v>853.04599196217578</v>
      </c>
      <c r="M62" s="543">
        <v>212.26314122665394</v>
      </c>
      <c r="N62" s="487">
        <f t="shared" ref="N62:N67" si="18">SUM(E62:M62)</f>
        <v>5713.7568963585027</v>
      </c>
      <c r="O62" s="78"/>
      <c r="P62" s="78"/>
      <c r="Q62" s="78"/>
      <c r="R62" s="78"/>
      <c r="S62" s="78"/>
      <c r="T62" s="78"/>
    </row>
    <row r="63" spans="2:20" x14ac:dyDescent="0.2">
      <c r="B63" s="767"/>
      <c r="C63" s="810"/>
      <c r="D63" s="336" t="s">
        <v>1</v>
      </c>
      <c r="E63" s="547">
        <v>6752.4290295087703</v>
      </c>
      <c r="F63" s="486">
        <v>891.75845782754971</v>
      </c>
      <c r="G63" s="486">
        <v>1562.8925165647304</v>
      </c>
      <c r="H63" s="486">
        <v>892.51346093428515</v>
      </c>
      <c r="I63" s="486">
        <v>541.66858018152925</v>
      </c>
      <c r="J63" s="486">
        <v>404.13493100372773</v>
      </c>
      <c r="K63" s="486">
        <v>742.18438855975864</v>
      </c>
      <c r="L63" s="486">
        <v>1899.1394608292205</v>
      </c>
      <c r="M63" s="543">
        <v>394.60800934883582</v>
      </c>
      <c r="N63" s="487">
        <f t="shared" si="18"/>
        <v>14081.328834758409</v>
      </c>
      <c r="O63" s="78"/>
      <c r="P63" s="78"/>
      <c r="Q63" s="78"/>
      <c r="R63" s="78"/>
      <c r="S63" s="78"/>
      <c r="T63" s="78"/>
    </row>
    <row r="64" spans="2:20" x14ac:dyDescent="0.2">
      <c r="B64" s="767"/>
      <c r="C64" s="810"/>
      <c r="D64" s="336" t="s">
        <v>2</v>
      </c>
      <c r="E64" s="548">
        <v>0</v>
      </c>
      <c r="F64" s="486">
        <v>1224.3262771282198</v>
      </c>
      <c r="G64" s="486">
        <v>216.59870399214142</v>
      </c>
      <c r="H64" s="486">
        <v>48.874606398552189</v>
      </c>
      <c r="I64" s="486">
        <v>245.075276934968</v>
      </c>
      <c r="J64" s="486">
        <v>111.99319980199448</v>
      </c>
      <c r="K64" s="486">
        <v>8.183082800778136</v>
      </c>
      <c r="L64" s="486">
        <v>112.9903902789131</v>
      </c>
      <c r="M64" s="543">
        <v>83.283835296630855</v>
      </c>
      <c r="N64" s="487">
        <f t="shared" si="18"/>
        <v>2051.3253726321982</v>
      </c>
      <c r="O64" s="78"/>
      <c r="P64" s="78"/>
      <c r="Q64" s="78"/>
      <c r="R64" s="78"/>
      <c r="S64" s="78"/>
      <c r="T64" s="78"/>
    </row>
    <row r="65" spans="2:20" x14ac:dyDescent="0.2">
      <c r="B65" s="767"/>
      <c r="C65" s="810"/>
      <c r="D65" s="336" t="s">
        <v>3</v>
      </c>
      <c r="E65" s="548">
        <v>0</v>
      </c>
      <c r="F65" s="486">
        <v>1.1920910034179688</v>
      </c>
      <c r="G65" s="486">
        <v>109.07928065996681</v>
      </c>
      <c r="H65" s="486">
        <v>50.795514680142844</v>
      </c>
      <c r="I65" s="486">
        <v>10.690350870405201</v>
      </c>
      <c r="J65" s="486">
        <v>140.22361620203904</v>
      </c>
      <c r="K65" s="486">
        <v>0</v>
      </c>
      <c r="L65" s="486">
        <v>2.672100502766932</v>
      </c>
      <c r="M65" s="543">
        <v>20.009604338587582</v>
      </c>
      <c r="N65" s="487">
        <f t="shared" si="18"/>
        <v>334.66255825732634</v>
      </c>
      <c r="O65" s="78"/>
      <c r="P65" s="78"/>
      <c r="Q65" s="78"/>
      <c r="R65" s="78"/>
      <c r="S65" s="78"/>
      <c r="T65" s="78"/>
    </row>
    <row r="66" spans="2:20" x14ac:dyDescent="0.2">
      <c r="B66" s="767"/>
      <c r="C66" s="810"/>
      <c r="D66" s="336" t="s">
        <v>4</v>
      </c>
      <c r="E66" s="547">
        <v>133.722829556108</v>
      </c>
      <c r="F66" s="486">
        <v>186.74687144893409</v>
      </c>
      <c r="G66" s="486">
        <v>128.64555509185791</v>
      </c>
      <c r="H66" s="486">
        <v>222.09971475839615</v>
      </c>
      <c r="I66" s="486">
        <v>274.61202717006211</v>
      </c>
      <c r="J66" s="486">
        <v>571.21931407505269</v>
      </c>
      <c r="K66" s="486">
        <v>222.64938893628121</v>
      </c>
      <c r="L66" s="486">
        <v>375.32141561745112</v>
      </c>
      <c r="M66" s="543">
        <v>221.61634245309236</v>
      </c>
      <c r="N66" s="487">
        <f t="shared" si="18"/>
        <v>2336.6334591072355</v>
      </c>
      <c r="O66" s="78"/>
      <c r="P66" s="78"/>
      <c r="Q66" s="78"/>
      <c r="R66" s="78"/>
      <c r="S66" s="78"/>
      <c r="T66" s="78"/>
    </row>
    <row r="67" spans="2:20" x14ac:dyDescent="0.2">
      <c r="B67" s="767"/>
      <c r="C67" s="809"/>
      <c r="D67" s="336" t="s">
        <v>5</v>
      </c>
      <c r="E67" s="549">
        <v>10.115999755859299</v>
      </c>
      <c r="F67" s="486">
        <v>704.93309695655103</v>
      </c>
      <c r="G67" s="486">
        <v>41.494509988784792</v>
      </c>
      <c r="H67" s="486">
        <v>142.15250635671617</v>
      </c>
      <c r="I67" s="486">
        <v>183.88654604005799</v>
      </c>
      <c r="J67" s="486">
        <v>197.14884380593898</v>
      </c>
      <c r="K67" s="486">
        <v>0</v>
      </c>
      <c r="L67" s="486">
        <v>476.4694252155889</v>
      </c>
      <c r="M67" s="543">
        <v>714.85298664665231</v>
      </c>
      <c r="N67" s="487">
        <f t="shared" si="18"/>
        <v>2471.0539147661493</v>
      </c>
      <c r="O67" s="78"/>
      <c r="P67" s="78"/>
      <c r="Q67" s="78"/>
      <c r="R67" s="78"/>
      <c r="S67" s="78"/>
      <c r="T67" s="78"/>
    </row>
    <row r="68" spans="2:20" x14ac:dyDescent="0.2">
      <c r="B68" s="767"/>
      <c r="C68" s="69" t="s">
        <v>6</v>
      </c>
      <c r="D68" s="334"/>
      <c r="E68" s="550">
        <f t="shared" ref="E68:N68" si="19">SUBTOTAL(9,E62:E67)</f>
        <v>7906.4787854315973</v>
      </c>
      <c r="F68" s="535">
        <f t="shared" si="19"/>
        <v>3432.0361883635896</v>
      </c>
      <c r="G68" s="535">
        <f t="shared" si="19"/>
        <v>3253.9160045841504</v>
      </c>
      <c r="H68" s="535">
        <f t="shared" si="19"/>
        <v>1819.0453088667348</v>
      </c>
      <c r="I68" s="535">
        <f t="shared" si="19"/>
        <v>1512.3799520090006</v>
      </c>
      <c r="J68" s="535">
        <f t="shared" si="19"/>
        <v>1822.1277872506773</v>
      </c>
      <c r="K68" s="535">
        <f t="shared" si="19"/>
        <v>1876.5043056575009</v>
      </c>
      <c r="L68" s="535">
        <f t="shared" si="19"/>
        <v>3719.6387844061173</v>
      </c>
      <c r="M68" s="536">
        <f t="shared" si="19"/>
        <v>1646.6339193104527</v>
      </c>
      <c r="N68" s="537">
        <f t="shared" si="19"/>
        <v>26988.761035879819</v>
      </c>
      <c r="O68" s="78"/>
      <c r="P68" s="78"/>
      <c r="Q68" s="78"/>
      <c r="R68" s="78"/>
      <c r="S68" s="78"/>
      <c r="T68" s="78"/>
    </row>
    <row r="69" spans="2:20" x14ac:dyDescent="0.2">
      <c r="B69" s="767"/>
      <c r="C69" s="808" t="s">
        <v>100</v>
      </c>
      <c r="D69" s="336" t="s">
        <v>17</v>
      </c>
      <c r="E69" s="551">
        <v>40.487353934096603</v>
      </c>
      <c r="F69" s="486">
        <v>149.24414517205514</v>
      </c>
      <c r="G69" s="486">
        <v>79.303912758101717</v>
      </c>
      <c r="H69" s="486">
        <v>64.773544950500138</v>
      </c>
      <c r="I69" s="486">
        <v>64.087119309599387</v>
      </c>
      <c r="J69" s="486">
        <v>175.79636267510008</v>
      </c>
      <c r="K69" s="486">
        <v>35.34451545934472</v>
      </c>
      <c r="L69" s="486">
        <v>132.73306355002197</v>
      </c>
      <c r="M69" s="543">
        <v>116.60102026660066</v>
      </c>
      <c r="N69" s="487">
        <f>SUM(E69:M69)</f>
        <v>858.37103807542042</v>
      </c>
      <c r="O69" s="78"/>
      <c r="P69" s="78"/>
      <c r="Q69" s="78"/>
      <c r="R69" s="78"/>
      <c r="S69" s="78"/>
      <c r="T69" s="78"/>
    </row>
    <row r="70" spans="2:20" x14ac:dyDescent="0.2">
      <c r="B70" s="767"/>
      <c r="C70" s="809"/>
      <c r="D70" s="336" t="s">
        <v>101</v>
      </c>
      <c r="E70" s="547">
        <v>537.99618305848105</v>
      </c>
      <c r="F70" s="486">
        <v>1784.6911778518668</v>
      </c>
      <c r="G70" s="486">
        <v>1295.2022097928398</v>
      </c>
      <c r="H70" s="486">
        <v>1007.1962956507639</v>
      </c>
      <c r="I70" s="486">
        <v>1714.449108391243</v>
      </c>
      <c r="J70" s="486">
        <v>1322.2307003746789</v>
      </c>
      <c r="K70" s="486">
        <v>833.5546653479654</v>
      </c>
      <c r="L70" s="486">
        <v>977.89060838375292</v>
      </c>
      <c r="M70" s="543">
        <v>519.36232429380573</v>
      </c>
      <c r="N70" s="487">
        <f>SUM(E70:M70)</f>
        <v>9992.5732731453991</v>
      </c>
      <c r="O70" s="78"/>
      <c r="P70" s="78"/>
      <c r="Q70" s="78"/>
      <c r="R70" s="78"/>
      <c r="S70" s="78"/>
      <c r="T70" s="78"/>
    </row>
    <row r="71" spans="2:20" x14ac:dyDescent="0.2">
      <c r="B71" s="768"/>
      <c r="C71" s="71" t="s">
        <v>102</v>
      </c>
      <c r="D71" s="332"/>
      <c r="E71" s="534">
        <f t="shared" ref="E71:N71" si="20">SUBTOTAL(9,E69:E70)</f>
        <v>578.48353699257768</v>
      </c>
      <c r="F71" s="535">
        <f t="shared" si="20"/>
        <v>1933.9353230239219</v>
      </c>
      <c r="G71" s="535">
        <f t="shared" si="20"/>
        <v>1374.5061225509414</v>
      </c>
      <c r="H71" s="535">
        <f t="shared" si="20"/>
        <v>1071.969840601264</v>
      </c>
      <c r="I71" s="535">
        <f t="shared" si="20"/>
        <v>1778.5362277008423</v>
      </c>
      <c r="J71" s="535">
        <f t="shared" si="20"/>
        <v>1498.0270630497789</v>
      </c>
      <c r="K71" s="535">
        <f t="shared" si="20"/>
        <v>868.89918080731013</v>
      </c>
      <c r="L71" s="535">
        <f t="shared" si="20"/>
        <v>1110.6236719337749</v>
      </c>
      <c r="M71" s="536">
        <f t="shared" si="20"/>
        <v>635.96334456040643</v>
      </c>
      <c r="N71" s="536">
        <f t="shared" si="20"/>
        <v>10850.944311220819</v>
      </c>
      <c r="O71" s="78"/>
      <c r="P71" s="78"/>
      <c r="Q71" s="78"/>
      <c r="R71" s="78"/>
      <c r="S71" s="78"/>
      <c r="T71" s="78"/>
    </row>
    <row r="72" spans="2:20" ht="21.75" customHeight="1" x14ac:dyDescent="0.2">
      <c r="B72" s="72" t="s">
        <v>109</v>
      </c>
      <c r="C72" s="73"/>
      <c r="D72" s="73"/>
      <c r="E72" s="552">
        <f t="shared" ref="E72:N72" si="21">SUBTOTAL(9,E59:E70)</f>
        <v>11271.877117667676</v>
      </c>
      <c r="F72" s="552">
        <f t="shared" si="21"/>
        <v>11979.952641656122</v>
      </c>
      <c r="G72" s="552">
        <f t="shared" si="21"/>
        <v>8837.9530040940426</v>
      </c>
      <c r="H72" s="552">
        <f t="shared" si="21"/>
        <v>6093.8591963297613</v>
      </c>
      <c r="I72" s="552">
        <f t="shared" si="21"/>
        <v>8087.1230627545301</v>
      </c>
      <c r="J72" s="552">
        <f t="shared" si="21"/>
        <v>7729.0280658997981</v>
      </c>
      <c r="K72" s="552">
        <f t="shared" si="21"/>
        <v>9723.7445034739867</v>
      </c>
      <c r="L72" s="552">
        <f t="shared" si="21"/>
        <v>10921.948862834961</v>
      </c>
      <c r="M72" s="552">
        <f t="shared" si="21"/>
        <v>7925.2241101275204</v>
      </c>
      <c r="N72" s="501">
        <f t="shared" si="21"/>
        <v>82570.710564838417</v>
      </c>
      <c r="O72" s="78"/>
      <c r="P72" s="78"/>
      <c r="Q72" s="78"/>
      <c r="R72" s="78"/>
      <c r="S72" s="78"/>
      <c r="T72" s="78"/>
    </row>
    <row r="73" spans="2:20" x14ac:dyDescent="0.2">
      <c r="B73" s="766">
        <v>2007</v>
      </c>
      <c r="C73" s="808" t="s">
        <v>97</v>
      </c>
      <c r="D73" s="337" t="s">
        <v>97</v>
      </c>
      <c r="E73" s="553">
        <v>2618.153311130382</v>
      </c>
      <c r="F73" s="547">
        <v>7270.0704083881155</v>
      </c>
      <c r="G73" s="547">
        <v>4557.0761631430387</v>
      </c>
      <c r="H73" s="547">
        <v>3177.4853045267596</v>
      </c>
      <c r="I73" s="547">
        <v>4025.1565695641789</v>
      </c>
      <c r="J73" s="547">
        <f>3843.35486267617-112</f>
        <v>3731.3548626761699</v>
      </c>
      <c r="K73" s="547">
        <v>6661.7000781252827</v>
      </c>
      <c r="L73" s="547">
        <v>4773.2517500000004</v>
      </c>
      <c r="M73" s="547">
        <v>3248.4158629853964</v>
      </c>
      <c r="N73" s="487">
        <f t="shared" ref="N73:N84" si="22">SUM(E73:M73)</f>
        <v>40062.66431053933</v>
      </c>
      <c r="O73" s="78"/>
      <c r="P73" s="78"/>
      <c r="Q73" s="78"/>
      <c r="R73" s="78"/>
      <c r="S73" s="78"/>
      <c r="T73" s="78"/>
    </row>
    <row r="74" spans="2:20" x14ac:dyDescent="0.2">
      <c r="B74" s="767"/>
      <c r="C74" s="809"/>
      <c r="D74" s="338" t="s">
        <v>98</v>
      </c>
      <c r="E74" s="553">
        <v>344.96114866634355</v>
      </c>
      <c r="F74" s="547">
        <v>415.76175838829391</v>
      </c>
      <c r="G74" s="547">
        <v>575.89129297579177</v>
      </c>
      <c r="H74" s="547">
        <v>350.26184797513088</v>
      </c>
      <c r="I74" s="547">
        <v>450.0057596819334</v>
      </c>
      <c r="J74" s="547">
        <v>816.26475485256549</v>
      </c>
      <c r="K74" s="547">
        <v>1073.3894515926333</v>
      </c>
      <c r="L74" s="547">
        <v>1593.7078899999999</v>
      </c>
      <c r="M74" s="547">
        <v>1190.4071897245469</v>
      </c>
      <c r="N74" s="487">
        <f t="shared" si="22"/>
        <v>6810.6510938572392</v>
      </c>
      <c r="O74" s="78"/>
      <c r="P74" s="78"/>
      <c r="Q74" s="78"/>
      <c r="R74" s="78"/>
      <c r="S74" s="78"/>
      <c r="T74" s="78"/>
    </row>
    <row r="75" spans="2:20" x14ac:dyDescent="0.2">
      <c r="B75" s="767"/>
      <c r="C75" s="69" t="s">
        <v>11</v>
      </c>
      <c r="D75" s="332"/>
      <c r="E75" s="554">
        <f>SUM(E73:E74)</f>
        <v>2963.1144597967254</v>
      </c>
      <c r="F75" s="555">
        <f t="shared" ref="F75:N75" si="23">SUM(F73:F74)</f>
        <v>7685.8321667764094</v>
      </c>
      <c r="G75" s="555">
        <f t="shared" si="23"/>
        <v>5132.9674561188303</v>
      </c>
      <c r="H75" s="555">
        <f t="shared" si="23"/>
        <v>3527.7471525018905</v>
      </c>
      <c r="I75" s="555">
        <f t="shared" si="23"/>
        <v>4475.1623292461127</v>
      </c>
      <c r="J75" s="555">
        <f t="shared" si="23"/>
        <v>4547.619617528735</v>
      </c>
      <c r="K75" s="555">
        <f t="shared" si="23"/>
        <v>7735.0895297179159</v>
      </c>
      <c r="L75" s="555">
        <v>6366.95964</v>
      </c>
      <c r="M75" s="556">
        <f t="shared" si="23"/>
        <v>4438.8230527099431</v>
      </c>
      <c r="N75" s="556">
        <f t="shared" si="23"/>
        <v>46873.31540439657</v>
      </c>
      <c r="O75" s="78"/>
      <c r="P75" s="78"/>
      <c r="Q75" s="78"/>
      <c r="R75" s="78"/>
      <c r="S75" s="78"/>
      <c r="T75" s="78"/>
    </row>
    <row r="76" spans="2:20" x14ac:dyDescent="0.2">
      <c r="B76" s="767"/>
      <c r="C76" s="808" t="s">
        <v>99</v>
      </c>
      <c r="D76" s="335" t="s">
        <v>0</v>
      </c>
      <c r="E76" s="547">
        <v>681.53312703254824</v>
      </c>
      <c r="F76" s="547">
        <v>508.18409747200411</v>
      </c>
      <c r="G76" s="547">
        <v>959.88501620428951</v>
      </c>
      <c r="H76" s="547">
        <v>629.52313385263085</v>
      </c>
      <c r="I76" s="547">
        <v>220.08450947905135</v>
      </c>
      <c r="J76" s="547">
        <v>453.13863248192467</v>
      </c>
      <c r="K76" s="547">
        <v>1101.6638220732509</v>
      </c>
      <c r="L76" s="547">
        <v>1132.3298955151149</v>
      </c>
      <c r="M76" s="547">
        <v>320.60643226035705</v>
      </c>
      <c r="N76" s="487">
        <f t="shared" si="22"/>
        <v>6006.9486663711714</v>
      </c>
      <c r="O76" s="78"/>
      <c r="P76" s="78"/>
      <c r="Q76" s="78"/>
      <c r="R76" s="78"/>
      <c r="S76" s="78"/>
      <c r="T76" s="78"/>
    </row>
    <row r="77" spans="2:20" x14ac:dyDescent="0.2">
      <c r="B77" s="767"/>
      <c r="C77" s="810"/>
      <c r="D77" s="336" t="s">
        <v>1</v>
      </c>
      <c r="E77" s="547">
        <v>5937.0535755274595</v>
      </c>
      <c r="F77" s="547">
        <v>744.67583713246324</v>
      </c>
      <c r="G77" s="547">
        <v>1667.481423222461</v>
      </c>
      <c r="H77" s="547">
        <v>810.41408685841407</v>
      </c>
      <c r="I77" s="547">
        <v>502.15162973100388</v>
      </c>
      <c r="J77" s="547">
        <v>605.32553772345011</v>
      </c>
      <c r="K77" s="547">
        <v>1087.4229207659737</v>
      </c>
      <c r="L77" s="547">
        <v>1490.78907</v>
      </c>
      <c r="M77" s="547">
        <v>313.87513782485763</v>
      </c>
      <c r="N77" s="487">
        <f t="shared" si="22"/>
        <v>13159.189218786087</v>
      </c>
      <c r="O77" s="78"/>
      <c r="P77" s="78"/>
      <c r="Q77" s="78"/>
      <c r="R77" s="78"/>
      <c r="S77" s="78"/>
      <c r="T77" s="78"/>
    </row>
    <row r="78" spans="2:20" x14ac:dyDescent="0.2">
      <c r="B78" s="767"/>
      <c r="C78" s="810"/>
      <c r="D78" s="336" t="s">
        <v>2</v>
      </c>
      <c r="E78" s="547">
        <v>8.0119400352239616</v>
      </c>
      <c r="F78" s="547">
        <v>665.37227500586562</v>
      </c>
      <c r="G78" s="547">
        <v>290.01482772931143</v>
      </c>
      <c r="H78" s="547">
        <v>70.347747948796652</v>
      </c>
      <c r="I78" s="547">
        <v>193.50081660213124</v>
      </c>
      <c r="J78" s="547">
        <v>118.24700997707434</v>
      </c>
      <c r="K78" s="547">
        <v>10.521997846025766</v>
      </c>
      <c r="L78" s="547">
        <v>143.29042310611973</v>
      </c>
      <c r="M78" s="547">
        <v>70.401743988037111</v>
      </c>
      <c r="N78" s="487">
        <f t="shared" si="22"/>
        <v>1569.7087822385859</v>
      </c>
      <c r="O78" s="78"/>
      <c r="P78" s="78"/>
      <c r="Q78" s="78"/>
      <c r="R78" s="78"/>
      <c r="S78" s="78"/>
      <c r="T78" s="78"/>
    </row>
    <row r="79" spans="2:20" x14ac:dyDescent="0.2">
      <c r="B79" s="767"/>
      <c r="C79" s="810"/>
      <c r="D79" s="336" t="s">
        <v>3</v>
      </c>
      <c r="E79" s="547">
        <v>0</v>
      </c>
      <c r="F79" s="547">
        <v>2.1238799800872803</v>
      </c>
      <c r="G79" s="547">
        <v>133.46285440385395</v>
      </c>
      <c r="H79" s="547">
        <v>36.741456259300698</v>
      </c>
      <c r="I79" s="547">
        <v>24.637389687596791</v>
      </c>
      <c r="J79" s="547">
        <v>96.534430209569635</v>
      </c>
      <c r="K79" s="547">
        <v>0</v>
      </c>
      <c r="L79" s="547">
        <v>2.7536475879326461</v>
      </c>
      <c r="M79" s="547">
        <v>43.164910260811446</v>
      </c>
      <c r="N79" s="487">
        <f t="shared" si="22"/>
        <v>339.41856838915243</v>
      </c>
      <c r="O79" s="78"/>
      <c r="P79" s="78"/>
      <c r="Q79" s="78"/>
      <c r="R79" s="78"/>
      <c r="S79" s="78"/>
      <c r="T79" s="78"/>
    </row>
    <row r="80" spans="2:20" x14ac:dyDescent="0.2">
      <c r="B80" s="767"/>
      <c r="C80" s="810"/>
      <c r="D80" s="336" t="s">
        <v>4</v>
      </c>
      <c r="E80" s="547">
        <v>162.93443016135691</v>
      </c>
      <c r="F80" s="547">
        <v>262.94517732238768</v>
      </c>
      <c r="G80" s="547">
        <v>209.10629576838016</v>
      </c>
      <c r="H80" s="547">
        <v>324.76817890834809</v>
      </c>
      <c r="I80" s="547">
        <v>367.0884491559267</v>
      </c>
      <c r="J80" s="547">
        <v>581.18270650830868</v>
      </c>
      <c r="K80" s="547">
        <v>474.81346031938494</v>
      </c>
      <c r="L80" s="547">
        <v>515.27200000000005</v>
      </c>
      <c r="M80" s="547">
        <v>261.57698962712288</v>
      </c>
      <c r="N80" s="487">
        <f t="shared" si="22"/>
        <v>3159.6876877712157</v>
      </c>
      <c r="O80" s="78"/>
      <c r="P80" s="78"/>
      <c r="Q80" s="78"/>
      <c r="R80" s="78"/>
      <c r="S80" s="78"/>
      <c r="T80" s="78"/>
    </row>
    <row r="81" spans="2:20" x14ac:dyDescent="0.2">
      <c r="B81" s="767"/>
      <c r="C81" s="809"/>
      <c r="D81" s="336" t="s">
        <v>5</v>
      </c>
      <c r="E81" s="553">
        <v>11.73869970703125</v>
      </c>
      <c r="F81" s="547">
        <v>905.57829184246066</v>
      </c>
      <c r="G81" s="547">
        <v>64.662850101470951</v>
      </c>
      <c r="H81" s="547">
        <v>133.14369610631465</v>
      </c>
      <c r="I81" s="547">
        <v>153.29175536066293</v>
      </c>
      <c r="J81" s="547">
        <v>297.70307059022787</v>
      </c>
      <c r="K81" s="547">
        <v>0</v>
      </c>
      <c r="L81" s="547">
        <v>408.54652903857829</v>
      </c>
      <c r="M81" s="547">
        <v>840.96227001762395</v>
      </c>
      <c r="N81" s="487">
        <f t="shared" si="22"/>
        <v>2815.627162764371</v>
      </c>
      <c r="O81" s="78"/>
      <c r="P81" s="78"/>
      <c r="Q81" s="78"/>
      <c r="R81" s="78"/>
      <c r="S81" s="78"/>
      <c r="T81" s="78"/>
    </row>
    <row r="82" spans="2:20" x14ac:dyDescent="0.2">
      <c r="B82" s="767"/>
      <c r="C82" s="69" t="s">
        <v>6</v>
      </c>
      <c r="D82" s="332"/>
      <c r="E82" s="534">
        <f>SUM(E76:E81)</f>
        <v>6801.2717724636204</v>
      </c>
      <c r="F82" s="535">
        <f t="shared" ref="F82:M82" si="24">SUM(F76:F81)</f>
        <v>3088.8795587552686</v>
      </c>
      <c r="G82" s="535">
        <f t="shared" si="24"/>
        <v>3324.6132674297673</v>
      </c>
      <c r="H82" s="535">
        <f t="shared" si="24"/>
        <v>2004.9382999338052</v>
      </c>
      <c r="I82" s="535">
        <f t="shared" si="24"/>
        <v>1460.7545500163728</v>
      </c>
      <c r="J82" s="535">
        <f t="shared" si="24"/>
        <v>2152.1313874905554</v>
      </c>
      <c r="K82" s="535">
        <f t="shared" si="24"/>
        <v>2674.4222010046356</v>
      </c>
      <c r="L82" s="535">
        <f t="shared" si="24"/>
        <v>3692.9815652477455</v>
      </c>
      <c r="M82" s="536">
        <f t="shared" si="24"/>
        <v>1850.58748397881</v>
      </c>
      <c r="N82" s="537">
        <f>SUM(N76:N81)</f>
        <v>27050.580086320588</v>
      </c>
      <c r="O82" s="78"/>
      <c r="P82" s="78"/>
      <c r="Q82" s="78"/>
      <c r="R82" s="78"/>
      <c r="S82" s="78"/>
      <c r="T82" s="78"/>
    </row>
    <row r="83" spans="2:20" x14ac:dyDescent="0.2">
      <c r="B83" s="767"/>
      <c r="C83" s="808" t="s">
        <v>100</v>
      </c>
      <c r="D83" s="336" t="s">
        <v>17</v>
      </c>
      <c r="E83" s="547">
        <v>46.587207731867906</v>
      </c>
      <c r="F83" s="547">
        <v>107.11624023518711</v>
      </c>
      <c r="G83" s="547">
        <v>106.48566581635363</v>
      </c>
      <c r="H83" s="547">
        <v>59.44084772916883</v>
      </c>
      <c r="I83" s="547">
        <v>46.210961357804479</v>
      </c>
      <c r="J83" s="547">
        <v>103.52365800760313</v>
      </c>
      <c r="K83" s="547">
        <v>180.88352094757556</v>
      </c>
      <c r="L83" s="547">
        <f>34.78041+78.58058</f>
        <v>113.36099</v>
      </c>
      <c r="M83" s="547">
        <v>681.96318041276743</v>
      </c>
      <c r="N83" s="487">
        <f t="shared" si="22"/>
        <v>1445.572272238328</v>
      </c>
      <c r="O83" s="78"/>
      <c r="P83" s="78"/>
      <c r="Q83" s="78"/>
      <c r="R83" s="78"/>
      <c r="S83" s="78"/>
      <c r="T83" s="78"/>
    </row>
    <row r="84" spans="2:20" x14ac:dyDescent="0.2">
      <c r="B84" s="767"/>
      <c r="C84" s="809"/>
      <c r="D84" s="336" t="s">
        <v>101</v>
      </c>
      <c r="E84" s="547">
        <v>359.87467906679956</v>
      </c>
      <c r="F84" s="547">
        <v>1383.7786007095128</v>
      </c>
      <c r="G84" s="547">
        <v>880.6647997956378</v>
      </c>
      <c r="H84" s="547">
        <v>950.52802427280596</v>
      </c>
      <c r="I84" s="547">
        <v>1914.5863311452354</v>
      </c>
      <c r="J84" s="547">
        <v>1432.2638122330418</v>
      </c>
      <c r="K84" s="547">
        <v>334.37340455442666</v>
      </c>
      <c r="L84" s="547">
        <v>697.45935999999995</v>
      </c>
      <c r="M84" s="547">
        <v>774.76236589527775</v>
      </c>
      <c r="N84" s="487">
        <f t="shared" si="22"/>
        <v>8728.2913776727382</v>
      </c>
      <c r="O84" s="78"/>
      <c r="P84" s="78"/>
      <c r="Q84" s="78"/>
      <c r="R84" s="78"/>
      <c r="S84" s="78"/>
      <c r="T84" s="78"/>
    </row>
    <row r="85" spans="2:20" x14ac:dyDescent="0.2">
      <c r="B85" s="768"/>
      <c r="C85" s="71" t="s">
        <v>102</v>
      </c>
      <c r="D85" s="332"/>
      <c r="E85" s="534">
        <f>SUM(E83:E84)</f>
        <v>406.46188679866748</v>
      </c>
      <c r="F85" s="535">
        <f t="shared" ref="F85:N85" si="25">SUM(F83:F84)</f>
        <v>1490.8948409447</v>
      </c>
      <c r="G85" s="535">
        <f t="shared" si="25"/>
        <v>987.15046561199142</v>
      </c>
      <c r="H85" s="535">
        <f t="shared" si="25"/>
        <v>1009.9688720019748</v>
      </c>
      <c r="I85" s="535">
        <f t="shared" si="25"/>
        <v>1960.7972925030399</v>
      </c>
      <c r="J85" s="535">
        <f t="shared" si="25"/>
        <v>1535.787470240645</v>
      </c>
      <c r="K85" s="535">
        <f t="shared" si="25"/>
        <v>515.25692550200222</v>
      </c>
      <c r="L85" s="535">
        <f t="shared" si="25"/>
        <v>810.82034999999996</v>
      </c>
      <c r="M85" s="536">
        <f t="shared" si="25"/>
        <v>1456.7255463080451</v>
      </c>
      <c r="N85" s="536">
        <f t="shared" si="25"/>
        <v>10173.863649911065</v>
      </c>
      <c r="O85" s="78"/>
      <c r="P85" s="78"/>
      <c r="Q85" s="78"/>
      <c r="R85" s="78"/>
      <c r="S85" s="78"/>
      <c r="T85" s="78"/>
    </row>
    <row r="86" spans="2:20" ht="24" customHeight="1" x14ac:dyDescent="0.2">
      <c r="B86" s="72" t="s">
        <v>110</v>
      </c>
      <c r="C86" s="74"/>
      <c r="D86" s="73"/>
      <c r="E86" s="552">
        <f>+E85+E82+E75</f>
        <v>10170.848119059014</v>
      </c>
      <c r="F86" s="552">
        <f t="shared" ref="F86:N86" si="26">+F85+F82+F75</f>
        <v>12265.606566476377</v>
      </c>
      <c r="G86" s="552">
        <f t="shared" si="26"/>
        <v>9444.7311891605896</v>
      </c>
      <c r="H86" s="552">
        <f t="shared" si="26"/>
        <v>6542.6543244376699</v>
      </c>
      <c r="I86" s="552">
        <f t="shared" si="26"/>
        <v>7896.714171765525</v>
      </c>
      <c r="J86" s="552">
        <f t="shared" si="26"/>
        <v>8235.5384752599348</v>
      </c>
      <c r="K86" s="552">
        <f t="shared" si="26"/>
        <v>10924.768656224554</v>
      </c>
      <c r="L86" s="552">
        <f t="shared" si="26"/>
        <v>10870.761555247745</v>
      </c>
      <c r="M86" s="552">
        <f t="shared" si="26"/>
        <v>7746.136082996798</v>
      </c>
      <c r="N86" s="496">
        <f t="shared" si="26"/>
        <v>84097.759140628215</v>
      </c>
      <c r="O86" s="78"/>
      <c r="P86" s="78"/>
      <c r="Q86" s="78"/>
      <c r="R86" s="78"/>
      <c r="S86" s="78"/>
      <c r="T86" s="78"/>
    </row>
    <row r="87" spans="2:20" x14ac:dyDescent="0.2">
      <c r="B87" s="766">
        <v>2008</v>
      </c>
      <c r="C87" s="808" t="s">
        <v>97</v>
      </c>
      <c r="D87" s="337" t="s">
        <v>97</v>
      </c>
      <c r="E87" s="553">
        <v>2502.7705314212308</v>
      </c>
      <c r="F87" s="547">
        <v>6540.1886488540285</v>
      </c>
      <c r="G87" s="547">
        <v>4587.8093233686459</v>
      </c>
      <c r="H87" s="547">
        <v>2637.8238555516955</v>
      </c>
      <c r="I87" s="547">
        <v>3604.4268337838103</v>
      </c>
      <c r="J87" s="547">
        <v>3708.8620645240489</v>
      </c>
      <c r="K87" s="547">
        <v>6717.5943087167107</v>
      </c>
      <c r="L87" s="547">
        <v>4586.783012336934</v>
      </c>
      <c r="M87" s="547">
        <v>3727.4026551680668</v>
      </c>
      <c r="N87" s="487">
        <f>SUM(E87:M87)</f>
        <v>38613.661233725164</v>
      </c>
      <c r="O87" s="78"/>
      <c r="P87" s="78"/>
      <c r="Q87" s="78"/>
      <c r="R87" s="78"/>
      <c r="S87" s="78"/>
      <c r="T87" s="78"/>
    </row>
    <row r="88" spans="2:20" x14ac:dyDescent="0.2">
      <c r="B88" s="767"/>
      <c r="C88" s="809"/>
      <c r="D88" s="338" t="s">
        <v>98</v>
      </c>
      <c r="E88" s="553">
        <v>319.80719148224409</v>
      </c>
      <c r="F88" s="547">
        <v>496.29832291807685</v>
      </c>
      <c r="G88" s="547">
        <v>417.27514451550678</v>
      </c>
      <c r="H88" s="547">
        <v>329.33716767108251</v>
      </c>
      <c r="I88" s="547">
        <v>344.99289919211299</v>
      </c>
      <c r="J88" s="547">
        <v>674.00593195642341</v>
      </c>
      <c r="K88" s="547">
        <v>1004.2601431029859</v>
      </c>
      <c r="L88" s="547">
        <v>1358.8202077297224</v>
      </c>
      <c r="M88" s="547">
        <v>915.66111443674561</v>
      </c>
      <c r="N88" s="487">
        <f>SUM(E88:M88)</f>
        <v>5860.4581230049007</v>
      </c>
      <c r="O88" s="78"/>
      <c r="P88" s="78"/>
      <c r="Q88" s="78"/>
      <c r="R88" s="78"/>
      <c r="S88" s="78"/>
      <c r="T88" s="78"/>
    </row>
    <row r="89" spans="2:20" x14ac:dyDescent="0.2">
      <c r="B89" s="767"/>
      <c r="C89" s="69" t="s">
        <v>11</v>
      </c>
      <c r="D89" s="332"/>
      <c r="E89" s="554">
        <f t="shared" ref="E89:L89" si="27">SUM(E87:E88)</f>
        <v>2822.5777229034748</v>
      </c>
      <c r="F89" s="555">
        <f t="shared" si="27"/>
        <v>7036.4869717721058</v>
      </c>
      <c r="G89" s="555">
        <f t="shared" si="27"/>
        <v>5005.0844678841531</v>
      </c>
      <c r="H89" s="555">
        <f t="shared" si="27"/>
        <v>2967.1610232227781</v>
      </c>
      <c r="I89" s="555">
        <f t="shared" si="27"/>
        <v>3949.4197329759231</v>
      </c>
      <c r="J89" s="555">
        <f t="shared" si="27"/>
        <v>4382.8679964804724</v>
      </c>
      <c r="K89" s="555">
        <f t="shared" si="27"/>
        <v>7721.8544518196968</v>
      </c>
      <c r="L89" s="555">
        <f t="shared" si="27"/>
        <v>5945.6032200666559</v>
      </c>
      <c r="M89" s="556">
        <f>SUM(M87:M88)</f>
        <v>4643.0637696048125</v>
      </c>
      <c r="N89" s="556">
        <f>SUM(N87:N88)</f>
        <v>44474.119356730065</v>
      </c>
      <c r="O89" s="78"/>
      <c r="P89" s="78"/>
      <c r="Q89" s="78"/>
      <c r="R89" s="78"/>
      <c r="S89" s="78"/>
      <c r="T89" s="78"/>
    </row>
    <row r="90" spans="2:20" x14ac:dyDescent="0.2">
      <c r="B90" s="767"/>
      <c r="C90" s="808" t="s">
        <v>99</v>
      </c>
      <c r="D90" s="335" t="s">
        <v>0</v>
      </c>
      <c r="E90" s="547">
        <v>420.59340376984329</v>
      </c>
      <c r="F90" s="547">
        <v>626.60832176008159</v>
      </c>
      <c r="G90" s="547">
        <v>1003.8723247244216</v>
      </c>
      <c r="H90" s="547">
        <v>607.03104513978951</v>
      </c>
      <c r="I90" s="547">
        <v>152.39006899534021</v>
      </c>
      <c r="J90" s="547">
        <v>465.29301460766959</v>
      </c>
      <c r="K90" s="547">
        <v>1442.5145128622362</v>
      </c>
      <c r="L90" s="547">
        <v>1330.0880677432899</v>
      </c>
      <c r="M90" s="547">
        <v>325.62962840178022</v>
      </c>
      <c r="N90" s="487">
        <f t="shared" ref="N90:N95" si="28">SUM(E90:M90)</f>
        <v>6374.0203880044519</v>
      </c>
      <c r="O90" s="78"/>
      <c r="P90" s="78"/>
      <c r="Q90" s="78"/>
      <c r="R90" s="78"/>
      <c r="S90" s="78"/>
      <c r="T90" s="78"/>
    </row>
    <row r="91" spans="2:20" x14ac:dyDescent="0.2">
      <c r="B91" s="767"/>
      <c r="C91" s="810"/>
      <c r="D91" s="336" t="s">
        <v>1</v>
      </c>
      <c r="E91" s="547">
        <v>196.17258924067437</v>
      </c>
      <c r="F91" s="547">
        <v>759.50327452548117</v>
      </c>
      <c r="G91" s="547">
        <v>2187.701638057431</v>
      </c>
      <c r="H91" s="547">
        <v>751.35211127166713</v>
      </c>
      <c r="I91" s="547">
        <v>444.60581284133133</v>
      </c>
      <c r="J91" s="547">
        <v>748.11616536688655</v>
      </c>
      <c r="K91" s="547">
        <v>1035.7583372303741</v>
      </c>
      <c r="L91" s="547">
        <v>1573.9967612749701</v>
      </c>
      <c r="M91" s="547">
        <v>204.75187083462339</v>
      </c>
      <c r="N91" s="487">
        <f t="shared" si="28"/>
        <v>7901.9585606434393</v>
      </c>
      <c r="O91" s="78"/>
      <c r="P91" s="78"/>
      <c r="Q91" s="78"/>
      <c r="R91" s="78"/>
      <c r="S91" s="78"/>
      <c r="T91" s="78"/>
    </row>
    <row r="92" spans="2:20" x14ac:dyDescent="0.2">
      <c r="B92" s="767"/>
      <c r="C92" s="810"/>
      <c r="D92" s="336" t="s">
        <v>2</v>
      </c>
      <c r="E92" s="547">
        <v>17.956797873869537</v>
      </c>
      <c r="F92" s="547">
        <v>257.35139704354896</v>
      </c>
      <c r="G92" s="547">
        <v>310.25954127760673</v>
      </c>
      <c r="H92" s="547">
        <v>157.89502442783106</v>
      </c>
      <c r="I92" s="547">
        <v>254.07452636388652</v>
      </c>
      <c r="J92" s="547">
        <v>80.708747322162438</v>
      </c>
      <c r="K92" s="547">
        <v>2.4103690109252929</v>
      </c>
      <c r="L92" s="547">
        <v>309.91664555776259</v>
      </c>
      <c r="M92" s="547">
        <v>138.70850957055401</v>
      </c>
      <c r="N92" s="487">
        <f t="shared" si="28"/>
        <v>1529.2815584481471</v>
      </c>
      <c r="O92" s="78"/>
      <c r="P92" s="78"/>
      <c r="Q92" s="78"/>
      <c r="R92" s="78"/>
      <c r="S92" s="78"/>
      <c r="T92" s="78"/>
    </row>
    <row r="93" spans="2:20" x14ac:dyDescent="0.2">
      <c r="B93" s="767"/>
      <c r="C93" s="810"/>
      <c r="D93" s="336" t="s">
        <v>3</v>
      </c>
      <c r="E93" s="547">
        <v>0</v>
      </c>
      <c r="F93" s="547">
        <v>0</v>
      </c>
      <c r="G93" s="547">
        <v>294.14926203528779</v>
      </c>
      <c r="H93" s="547">
        <v>40.009820562818554</v>
      </c>
      <c r="I93" s="547">
        <v>16.61214604184287</v>
      </c>
      <c r="J93" s="547">
        <v>110.46432286692132</v>
      </c>
      <c r="K93" s="547">
        <v>2.0224499929845332</v>
      </c>
      <c r="L93" s="547">
        <v>5.2382244555354118</v>
      </c>
      <c r="M93" s="547">
        <v>64.016679812965918</v>
      </c>
      <c r="N93" s="487">
        <f t="shared" si="28"/>
        <v>532.51290576835652</v>
      </c>
      <c r="O93" s="78"/>
      <c r="P93" s="78"/>
      <c r="Q93" s="78"/>
      <c r="R93" s="78"/>
      <c r="S93" s="78"/>
      <c r="T93" s="78"/>
    </row>
    <row r="94" spans="2:20" x14ac:dyDescent="0.2">
      <c r="B94" s="767"/>
      <c r="C94" s="810"/>
      <c r="D94" s="336" t="s">
        <v>4</v>
      </c>
      <c r="E94" s="547">
        <v>162.80528247493504</v>
      </c>
      <c r="F94" s="547">
        <v>294.45718379783625</v>
      </c>
      <c r="G94" s="547">
        <v>260.39498489426074</v>
      </c>
      <c r="H94" s="547">
        <v>340.01638315677644</v>
      </c>
      <c r="I94" s="547">
        <v>434.09814407674963</v>
      </c>
      <c r="J94" s="547">
        <v>626.49120493826263</v>
      </c>
      <c r="K94" s="547">
        <v>438.36809888517854</v>
      </c>
      <c r="L94" s="547">
        <v>595.38824421867719</v>
      </c>
      <c r="M94" s="547">
        <v>311.43991967497772</v>
      </c>
      <c r="N94" s="487">
        <f t="shared" si="28"/>
        <v>3463.4594461176539</v>
      </c>
      <c r="O94" s="78"/>
      <c r="P94" s="78"/>
      <c r="Q94" s="78"/>
      <c r="R94" s="78"/>
      <c r="S94" s="78"/>
      <c r="T94" s="78"/>
    </row>
    <row r="95" spans="2:20" x14ac:dyDescent="0.2">
      <c r="B95" s="767"/>
      <c r="C95" s="809"/>
      <c r="D95" s="336" t="s">
        <v>5</v>
      </c>
      <c r="E95" s="553">
        <v>3099.3535100650784</v>
      </c>
      <c r="F95" s="547">
        <v>1305.4881839852335</v>
      </c>
      <c r="G95" s="547">
        <v>87.655835574209689</v>
      </c>
      <c r="H95" s="547">
        <v>156.62973165273667</v>
      </c>
      <c r="I95" s="547">
        <v>280.70333317375184</v>
      </c>
      <c r="J95" s="547">
        <v>250.97654491054269</v>
      </c>
      <c r="K95" s="547">
        <v>0</v>
      </c>
      <c r="L95" s="547">
        <v>474.84910675111502</v>
      </c>
      <c r="M95" s="547">
        <v>1006.7867585450001</v>
      </c>
      <c r="N95" s="487">
        <f t="shared" si="28"/>
        <v>6662.443004657669</v>
      </c>
      <c r="O95" s="78"/>
      <c r="P95" s="78"/>
      <c r="Q95" s="78"/>
      <c r="R95" s="78"/>
      <c r="S95" s="78"/>
      <c r="T95" s="78"/>
    </row>
    <row r="96" spans="2:20" x14ac:dyDescent="0.2">
      <c r="B96" s="767"/>
      <c r="C96" s="69" t="s">
        <v>6</v>
      </c>
      <c r="D96" s="332"/>
      <c r="E96" s="534">
        <f t="shared" ref="E96:N96" si="29">SUM(E90:E95)</f>
        <v>3896.8815834244006</v>
      </c>
      <c r="F96" s="535">
        <f t="shared" si="29"/>
        <v>3243.4083611121814</v>
      </c>
      <c r="G96" s="535">
        <f t="shared" si="29"/>
        <v>4144.0335865632178</v>
      </c>
      <c r="H96" s="535">
        <f t="shared" si="29"/>
        <v>2052.9341162116193</v>
      </c>
      <c r="I96" s="535">
        <f t="shared" si="29"/>
        <v>1582.4840314929024</v>
      </c>
      <c r="J96" s="535">
        <f t="shared" si="29"/>
        <v>2282.0500000124453</v>
      </c>
      <c r="K96" s="535">
        <f t="shared" si="29"/>
        <v>2921.0737679816989</v>
      </c>
      <c r="L96" s="535">
        <f t="shared" si="29"/>
        <v>4289.477050001351</v>
      </c>
      <c r="M96" s="536">
        <f t="shared" si="29"/>
        <v>2051.3333668399014</v>
      </c>
      <c r="N96" s="537">
        <f t="shared" si="29"/>
        <v>26463.675863639721</v>
      </c>
      <c r="O96" s="78"/>
      <c r="P96" s="78"/>
      <c r="Q96" s="78"/>
      <c r="R96" s="78"/>
      <c r="S96" s="78"/>
      <c r="T96" s="78"/>
    </row>
    <row r="97" spans="2:20" x14ac:dyDescent="0.2">
      <c r="B97" s="767"/>
      <c r="C97" s="808" t="s">
        <v>100</v>
      </c>
      <c r="D97" s="336" t="s">
        <v>17</v>
      </c>
      <c r="E97" s="547">
        <v>31.484315401885603</v>
      </c>
      <c r="F97" s="547">
        <v>82.654559405579391</v>
      </c>
      <c r="G97" s="547">
        <v>101.0847549825273</v>
      </c>
      <c r="H97" s="547">
        <v>89.839986346587494</v>
      </c>
      <c r="I97" s="547">
        <v>136.47247260839819</v>
      </c>
      <c r="J97" s="547">
        <v>124.4160109998565</v>
      </c>
      <c r="K97" s="547">
        <v>116.53893204081106</v>
      </c>
      <c r="L97" s="547">
        <v>235.23427179392939</v>
      </c>
      <c r="M97" s="547">
        <v>255.65828555707793</v>
      </c>
      <c r="N97" s="487">
        <f>SUM(E97:M97)</f>
        <v>1173.3835891366527</v>
      </c>
      <c r="O97" s="78"/>
      <c r="P97" s="78"/>
      <c r="Q97" s="78"/>
      <c r="R97" s="78"/>
      <c r="S97" s="78"/>
      <c r="T97" s="78"/>
    </row>
    <row r="98" spans="2:20" x14ac:dyDescent="0.2">
      <c r="B98" s="767"/>
      <c r="C98" s="809"/>
      <c r="D98" s="336" t="s">
        <v>101</v>
      </c>
      <c r="E98" s="547">
        <v>429.51806774395499</v>
      </c>
      <c r="F98" s="547">
        <v>2001.2834398985899</v>
      </c>
      <c r="G98" s="547">
        <v>1099.76292553032</v>
      </c>
      <c r="H98" s="547">
        <v>921.56668302179901</v>
      </c>
      <c r="I98" s="547">
        <v>1933.0237827595899</v>
      </c>
      <c r="J98" s="547">
        <v>1897.4993271170599</v>
      </c>
      <c r="K98" s="547">
        <v>937.83041529388095</v>
      </c>
      <c r="L98" s="547">
        <v>1113.46760860825</v>
      </c>
      <c r="M98" s="547">
        <v>886.61979044191196</v>
      </c>
      <c r="N98" s="487">
        <f>SUM(E98:M98)</f>
        <v>11220.572040415356</v>
      </c>
      <c r="O98" s="78"/>
      <c r="P98" s="78"/>
      <c r="Q98" s="78"/>
      <c r="R98" s="78"/>
      <c r="S98" s="78"/>
      <c r="T98" s="78"/>
    </row>
    <row r="99" spans="2:20" x14ac:dyDescent="0.2">
      <c r="B99" s="768"/>
      <c r="C99" s="71" t="s">
        <v>102</v>
      </c>
      <c r="D99" s="332"/>
      <c r="E99" s="534">
        <f t="shared" ref="E99:N99" si="30">SUM(E97:E98)</f>
        <v>461.00238314584061</v>
      </c>
      <c r="F99" s="535">
        <f t="shared" si="30"/>
        <v>2083.9379993041694</v>
      </c>
      <c r="G99" s="535">
        <f t="shared" si="30"/>
        <v>1200.8476805128473</v>
      </c>
      <c r="H99" s="535">
        <f t="shared" si="30"/>
        <v>1011.4066693683865</v>
      </c>
      <c r="I99" s="535">
        <f t="shared" si="30"/>
        <v>2069.4962553679879</v>
      </c>
      <c r="J99" s="535">
        <f t="shared" si="30"/>
        <v>2021.9153381169165</v>
      </c>
      <c r="K99" s="535">
        <f t="shared" si="30"/>
        <v>1054.3693473346921</v>
      </c>
      <c r="L99" s="535">
        <f t="shared" si="30"/>
        <v>1348.7018804021793</v>
      </c>
      <c r="M99" s="536">
        <f t="shared" si="30"/>
        <v>1142.2780759989898</v>
      </c>
      <c r="N99" s="536">
        <f t="shared" si="30"/>
        <v>12393.955629552009</v>
      </c>
      <c r="O99" s="78"/>
      <c r="P99" s="78"/>
      <c r="Q99" s="78"/>
      <c r="R99" s="78"/>
      <c r="S99" s="78"/>
      <c r="T99" s="78"/>
    </row>
    <row r="100" spans="2:20" ht="18.75" customHeight="1" x14ac:dyDescent="0.2">
      <c r="B100" s="72" t="s">
        <v>111</v>
      </c>
      <c r="C100" s="74"/>
      <c r="D100" s="73"/>
      <c r="E100" s="552">
        <f t="shared" ref="E100:N100" si="31">+E99+E96+E89</f>
        <v>7180.4616894737155</v>
      </c>
      <c r="F100" s="552">
        <f t="shared" si="31"/>
        <v>12363.833332188457</v>
      </c>
      <c r="G100" s="552">
        <f t="shared" si="31"/>
        <v>10349.965734960218</v>
      </c>
      <c r="H100" s="552">
        <f t="shared" si="31"/>
        <v>6031.5018088027846</v>
      </c>
      <c r="I100" s="552">
        <f t="shared" si="31"/>
        <v>7601.400019836814</v>
      </c>
      <c r="J100" s="552">
        <f t="shared" si="31"/>
        <v>8686.8333346098334</v>
      </c>
      <c r="K100" s="552">
        <f t="shared" si="31"/>
        <v>11697.297567136087</v>
      </c>
      <c r="L100" s="552">
        <f t="shared" si="31"/>
        <v>11583.782150470186</v>
      </c>
      <c r="M100" s="552">
        <f t="shared" si="31"/>
        <v>7836.6752124437035</v>
      </c>
      <c r="N100" s="496">
        <f t="shared" si="31"/>
        <v>83331.750849921795</v>
      </c>
      <c r="O100" s="78"/>
      <c r="P100" s="78"/>
      <c r="Q100" s="78"/>
      <c r="R100" s="78"/>
      <c r="S100" s="78"/>
      <c r="T100" s="78"/>
    </row>
    <row r="101" spans="2:20" x14ac:dyDescent="0.2">
      <c r="B101" s="766">
        <v>2009</v>
      </c>
      <c r="C101" s="808" t="s">
        <v>97</v>
      </c>
      <c r="D101" s="337" t="s">
        <v>97</v>
      </c>
      <c r="E101" s="553">
        <v>2245.8313999999978</v>
      </c>
      <c r="F101" s="547">
        <v>5406.1816500000041</v>
      </c>
      <c r="G101" s="547">
        <v>4196.4709499999954</v>
      </c>
      <c r="H101" s="547">
        <v>2388.837009999997</v>
      </c>
      <c r="I101" s="547">
        <v>2994.0938500000034</v>
      </c>
      <c r="J101" s="547">
        <v>3294.0881200000013</v>
      </c>
      <c r="K101" s="547">
        <v>6035.763600000002</v>
      </c>
      <c r="L101" s="547">
        <v>3558.8335599999969</v>
      </c>
      <c r="M101" s="547">
        <v>2770.812390000001</v>
      </c>
      <c r="N101" s="487">
        <f t="shared" ref="N101:N112" si="32">SUM(E101:M101)</f>
        <v>32890.912529999994</v>
      </c>
      <c r="O101" s="78"/>
      <c r="P101" s="78"/>
      <c r="Q101" s="78"/>
      <c r="R101" s="78"/>
      <c r="S101" s="78"/>
      <c r="T101" s="78"/>
    </row>
    <row r="102" spans="2:20" x14ac:dyDescent="0.2">
      <c r="B102" s="767"/>
      <c r="C102" s="809"/>
      <c r="D102" s="338" t="s">
        <v>98</v>
      </c>
      <c r="E102" s="553">
        <v>477.26164000000023</v>
      </c>
      <c r="F102" s="547">
        <v>687.23083999999983</v>
      </c>
      <c r="G102" s="547">
        <v>584.60585999999978</v>
      </c>
      <c r="H102" s="547">
        <v>338.28766000000024</v>
      </c>
      <c r="I102" s="547">
        <v>528.89670999999964</v>
      </c>
      <c r="J102" s="547">
        <v>810.16209000000072</v>
      </c>
      <c r="K102" s="547">
        <v>869.57952999999952</v>
      </c>
      <c r="L102" s="547">
        <v>1715.4561900000003</v>
      </c>
      <c r="M102" s="547">
        <v>1092.4737799999982</v>
      </c>
      <c r="N102" s="487">
        <f t="shared" si="32"/>
        <v>7103.9542999999994</v>
      </c>
      <c r="O102" s="78"/>
      <c r="P102" s="78"/>
      <c r="Q102" s="78"/>
      <c r="R102" s="78"/>
      <c r="S102" s="78"/>
      <c r="T102" s="78"/>
    </row>
    <row r="103" spans="2:20" x14ac:dyDescent="0.2">
      <c r="B103" s="767"/>
      <c r="C103" s="69" t="s">
        <v>11</v>
      </c>
      <c r="D103" s="332"/>
      <c r="E103" s="554">
        <f t="shared" ref="E103:N103" si="33">SUM(E101:E102)</f>
        <v>2723.0930399999979</v>
      </c>
      <c r="F103" s="555">
        <f t="shared" si="33"/>
        <v>6093.4124900000043</v>
      </c>
      <c r="G103" s="555">
        <f t="shared" si="33"/>
        <v>4781.076809999995</v>
      </c>
      <c r="H103" s="555">
        <f t="shared" si="33"/>
        <v>2727.1246699999974</v>
      </c>
      <c r="I103" s="555">
        <f t="shared" si="33"/>
        <v>3522.9905600000029</v>
      </c>
      <c r="J103" s="555">
        <f t="shared" si="33"/>
        <v>4104.250210000002</v>
      </c>
      <c r="K103" s="555">
        <f t="shared" si="33"/>
        <v>6905.3431300000011</v>
      </c>
      <c r="L103" s="555">
        <f t="shared" si="33"/>
        <v>5274.2897499999972</v>
      </c>
      <c r="M103" s="556">
        <f t="shared" si="33"/>
        <v>3863.2861699999994</v>
      </c>
      <c r="N103" s="556">
        <f t="shared" si="33"/>
        <v>39994.866829999992</v>
      </c>
      <c r="O103" s="78"/>
      <c r="P103" s="78"/>
      <c r="Q103" s="78"/>
      <c r="R103" s="78"/>
      <c r="S103" s="78"/>
      <c r="T103" s="78"/>
    </row>
    <row r="104" spans="2:20" x14ac:dyDescent="0.2">
      <c r="B104" s="767"/>
      <c r="C104" s="808" t="s">
        <v>99</v>
      </c>
      <c r="D104" s="335" t="s">
        <v>0</v>
      </c>
      <c r="E104" s="547">
        <v>457.90108000000021</v>
      </c>
      <c r="F104" s="547">
        <v>702.7582600000004</v>
      </c>
      <c r="G104" s="547">
        <v>908.5919299999988</v>
      </c>
      <c r="H104" s="547">
        <v>640.92900999999961</v>
      </c>
      <c r="I104" s="547">
        <v>297.8169400000001</v>
      </c>
      <c r="J104" s="547">
        <v>384.25504999999993</v>
      </c>
      <c r="K104" s="547">
        <v>1426.0643799999991</v>
      </c>
      <c r="L104" s="547">
        <v>1262.3472300000003</v>
      </c>
      <c r="M104" s="547">
        <v>332.50537999999989</v>
      </c>
      <c r="N104" s="487">
        <f t="shared" si="32"/>
        <v>6413.1692599999978</v>
      </c>
      <c r="O104" s="78"/>
      <c r="P104" s="78"/>
      <c r="Q104" s="78"/>
      <c r="R104" s="78"/>
      <c r="S104" s="78"/>
      <c r="T104" s="78"/>
    </row>
    <row r="105" spans="2:20" x14ac:dyDescent="0.2">
      <c r="B105" s="767"/>
      <c r="C105" s="810"/>
      <c r="D105" s="336" t="s">
        <v>1</v>
      </c>
      <c r="E105" s="547">
        <v>327.55442999999929</v>
      </c>
      <c r="F105" s="547">
        <v>864.73178999999845</v>
      </c>
      <c r="G105" s="547">
        <v>1553.4078199999972</v>
      </c>
      <c r="H105" s="547">
        <v>902.72923000000048</v>
      </c>
      <c r="I105" s="547">
        <v>564.45355999999992</v>
      </c>
      <c r="J105" s="547">
        <v>736.07081000000062</v>
      </c>
      <c r="K105" s="547">
        <v>532.46836000000019</v>
      </c>
      <c r="L105" s="547">
        <v>1864.1397799999979</v>
      </c>
      <c r="M105" s="547">
        <v>198.44997999999995</v>
      </c>
      <c r="N105" s="487">
        <f t="shared" si="32"/>
        <v>7544.0057599999946</v>
      </c>
      <c r="O105" s="78"/>
      <c r="P105" s="78"/>
      <c r="Q105" s="78"/>
      <c r="R105" s="78"/>
      <c r="S105" s="78"/>
      <c r="T105" s="78"/>
    </row>
    <row r="106" spans="2:20" x14ac:dyDescent="0.2">
      <c r="B106" s="767"/>
      <c r="C106" s="810"/>
      <c r="D106" s="336" t="s">
        <v>2</v>
      </c>
      <c r="E106" s="547">
        <v>80.868699999999976</v>
      </c>
      <c r="F106" s="547">
        <v>353.9546399999997</v>
      </c>
      <c r="G106" s="547">
        <v>418.85002999999983</v>
      </c>
      <c r="H106" s="547">
        <v>409.06136999999984</v>
      </c>
      <c r="I106" s="547">
        <v>347.30361000000062</v>
      </c>
      <c r="J106" s="547">
        <v>129.45729999999998</v>
      </c>
      <c r="K106" s="547">
        <v>88.684609999999992</v>
      </c>
      <c r="L106" s="547">
        <v>446.91748000000035</v>
      </c>
      <c r="M106" s="547">
        <v>323.13046999999995</v>
      </c>
      <c r="N106" s="487">
        <f t="shared" si="32"/>
        <v>2598.2282100000007</v>
      </c>
      <c r="O106" s="78"/>
      <c r="P106" s="78"/>
      <c r="Q106" s="78"/>
      <c r="R106" s="78"/>
      <c r="S106" s="78"/>
      <c r="T106" s="78"/>
    </row>
    <row r="107" spans="2:20" x14ac:dyDescent="0.2">
      <c r="B107" s="767"/>
      <c r="C107" s="810"/>
      <c r="D107" s="336" t="s">
        <v>3</v>
      </c>
      <c r="E107" s="547">
        <v>20.885630000000003</v>
      </c>
      <c r="F107" s="547">
        <v>2.3948499999999999</v>
      </c>
      <c r="G107" s="547">
        <v>229.57548000000003</v>
      </c>
      <c r="H107" s="547">
        <v>33.858769999999986</v>
      </c>
      <c r="I107" s="547">
        <v>6.1976200000000015</v>
      </c>
      <c r="J107" s="547">
        <v>90.744130000000396</v>
      </c>
      <c r="K107" s="547">
        <v>4.03925</v>
      </c>
      <c r="L107" s="547">
        <v>8.1256700000000013</v>
      </c>
      <c r="M107" s="547">
        <v>48.544759999999982</v>
      </c>
      <c r="N107" s="487">
        <f t="shared" si="32"/>
        <v>444.36616000000043</v>
      </c>
      <c r="O107" s="78"/>
      <c r="P107" s="78"/>
      <c r="Q107" s="78"/>
      <c r="R107" s="78"/>
      <c r="S107" s="78"/>
      <c r="T107" s="78"/>
    </row>
    <row r="108" spans="2:20" x14ac:dyDescent="0.2">
      <c r="B108" s="767"/>
      <c r="C108" s="810"/>
      <c r="D108" s="336" t="s">
        <v>4</v>
      </c>
      <c r="E108" s="547">
        <v>145.13493000000003</v>
      </c>
      <c r="F108" s="547">
        <v>297.28294000000005</v>
      </c>
      <c r="G108" s="547">
        <v>280.03582999999992</v>
      </c>
      <c r="H108" s="547">
        <v>438.0175999999999</v>
      </c>
      <c r="I108" s="547">
        <v>365.03560999999996</v>
      </c>
      <c r="J108" s="547">
        <v>711.6669399999995</v>
      </c>
      <c r="K108" s="547">
        <v>401.26166999999998</v>
      </c>
      <c r="L108" s="547">
        <v>584.32486999999992</v>
      </c>
      <c r="M108" s="547">
        <v>577.77022999999997</v>
      </c>
      <c r="N108" s="487">
        <f t="shared" si="32"/>
        <v>3800.5306199999991</v>
      </c>
      <c r="O108" s="78"/>
      <c r="P108" s="78"/>
      <c r="Q108" s="78"/>
      <c r="R108" s="78"/>
      <c r="S108" s="78"/>
      <c r="T108" s="78"/>
    </row>
    <row r="109" spans="2:20" x14ac:dyDescent="0.2">
      <c r="B109" s="767"/>
      <c r="C109" s="809"/>
      <c r="D109" s="336" t="s">
        <v>5</v>
      </c>
      <c r="E109" s="553">
        <v>1520.4137399999997</v>
      </c>
      <c r="F109" s="547">
        <v>1478.8667999999998</v>
      </c>
      <c r="G109" s="547">
        <v>162.15219999999999</v>
      </c>
      <c r="H109" s="547">
        <v>258.32739999999995</v>
      </c>
      <c r="I109" s="547">
        <v>252.81265999999991</v>
      </c>
      <c r="J109" s="547">
        <v>380.96622999999988</v>
      </c>
      <c r="K109" s="547">
        <v>39.83867</v>
      </c>
      <c r="L109" s="547">
        <v>563.10136999999872</v>
      </c>
      <c r="M109" s="547">
        <v>822.34825000000012</v>
      </c>
      <c r="N109" s="487">
        <f t="shared" si="32"/>
        <v>5478.8273199999985</v>
      </c>
      <c r="O109" s="78"/>
      <c r="P109" s="78"/>
      <c r="Q109" s="78"/>
      <c r="R109" s="78"/>
      <c r="S109" s="78"/>
      <c r="T109" s="78"/>
    </row>
    <row r="110" spans="2:20" x14ac:dyDescent="0.2">
      <c r="B110" s="767"/>
      <c r="C110" s="69" t="s">
        <v>6</v>
      </c>
      <c r="D110" s="332"/>
      <c r="E110" s="534">
        <f t="shared" ref="E110:N110" si="34">SUM(E104:E109)</f>
        <v>2552.7585099999992</v>
      </c>
      <c r="F110" s="535">
        <f t="shared" si="34"/>
        <v>3699.9892799999984</v>
      </c>
      <c r="G110" s="535">
        <f t="shared" si="34"/>
        <v>3552.6132899999957</v>
      </c>
      <c r="H110" s="535">
        <f t="shared" si="34"/>
        <v>2682.9233800000002</v>
      </c>
      <c r="I110" s="535">
        <f t="shared" si="34"/>
        <v>1833.6200000000003</v>
      </c>
      <c r="J110" s="535">
        <f t="shared" si="34"/>
        <v>2433.1604600000005</v>
      </c>
      <c r="K110" s="535">
        <f t="shared" si="34"/>
        <v>2492.3569399999992</v>
      </c>
      <c r="L110" s="535">
        <f t="shared" si="34"/>
        <v>4728.9563999999973</v>
      </c>
      <c r="M110" s="536">
        <f t="shared" si="34"/>
        <v>2302.7490699999998</v>
      </c>
      <c r="N110" s="537">
        <f t="shared" si="34"/>
        <v>26279.127329999988</v>
      </c>
      <c r="O110" s="78"/>
      <c r="P110" s="78"/>
      <c r="Q110" s="78"/>
      <c r="R110" s="78"/>
      <c r="S110" s="78"/>
      <c r="T110" s="78"/>
    </row>
    <row r="111" spans="2:20" x14ac:dyDescent="0.2">
      <c r="B111" s="767"/>
      <c r="C111" s="808" t="s">
        <v>100</v>
      </c>
      <c r="D111" s="336" t="s">
        <v>17</v>
      </c>
      <c r="E111" s="547">
        <v>55.144149999999996</v>
      </c>
      <c r="F111" s="547">
        <v>115.60212999999999</v>
      </c>
      <c r="G111" s="547">
        <v>87.741080000000039</v>
      </c>
      <c r="H111" s="547">
        <v>97.762090000000001</v>
      </c>
      <c r="I111" s="547">
        <v>165.84793999999999</v>
      </c>
      <c r="J111" s="547">
        <v>276.27256999999997</v>
      </c>
      <c r="K111" s="547">
        <v>133.35869</v>
      </c>
      <c r="L111" s="547">
        <v>174.73507000000001</v>
      </c>
      <c r="M111" s="547">
        <v>233.07260000000002</v>
      </c>
      <c r="N111" s="487">
        <f t="shared" si="32"/>
        <v>1339.5363199999999</v>
      </c>
      <c r="O111" s="78"/>
      <c r="P111" s="78"/>
      <c r="Q111" s="78"/>
      <c r="R111" s="78"/>
      <c r="S111" s="78"/>
      <c r="T111" s="78"/>
    </row>
    <row r="112" spans="2:20" x14ac:dyDescent="0.2">
      <c r="B112" s="767"/>
      <c r="C112" s="809"/>
      <c r="D112" s="336" t="s">
        <v>101</v>
      </c>
      <c r="E112" s="547">
        <v>525.74739</v>
      </c>
      <c r="F112" s="547">
        <v>2450.3068899999994</v>
      </c>
      <c r="G112" s="547">
        <v>1164.468700000001</v>
      </c>
      <c r="H112" s="547">
        <v>938.95833000000073</v>
      </c>
      <c r="I112" s="547">
        <v>1634.5515899999998</v>
      </c>
      <c r="J112" s="547">
        <v>1782.8960999999999</v>
      </c>
      <c r="K112" s="547">
        <v>975.80180999999982</v>
      </c>
      <c r="L112" s="547">
        <v>1123.785529999999</v>
      </c>
      <c r="M112" s="547">
        <v>783.53435999999988</v>
      </c>
      <c r="N112" s="487">
        <f t="shared" si="32"/>
        <v>11380.050699999998</v>
      </c>
      <c r="O112" s="78"/>
      <c r="P112" s="78"/>
      <c r="Q112" s="78"/>
      <c r="R112" s="78"/>
      <c r="S112" s="78"/>
      <c r="T112" s="78"/>
    </row>
    <row r="113" spans="2:20" x14ac:dyDescent="0.2">
      <c r="B113" s="768"/>
      <c r="C113" s="71" t="s">
        <v>102</v>
      </c>
      <c r="D113" s="332"/>
      <c r="E113" s="534">
        <f t="shared" ref="E113:N113" si="35">SUM(E111:E112)</f>
        <v>580.89153999999996</v>
      </c>
      <c r="F113" s="535">
        <f t="shared" si="35"/>
        <v>2565.9090199999991</v>
      </c>
      <c r="G113" s="535">
        <f t="shared" si="35"/>
        <v>1252.209780000001</v>
      </c>
      <c r="H113" s="535">
        <f t="shared" si="35"/>
        <v>1036.7204200000008</v>
      </c>
      <c r="I113" s="535">
        <f t="shared" si="35"/>
        <v>1800.3995299999997</v>
      </c>
      <c r="J113" s="535">
        <f t="shared" si="35"/>
        <v>2059.16867</v>
      </c>
      <c r="K113" s="535">
        <f t="shared" si="35"/>
        <v>1109.1604999999997</v>
      </c>
      <c r="L113" s="535">
        <f t="shared" si="35"/>
        <v>1298.5205999999989</v>
      </c>
      <c r="M113" s="536">
        <f t="shared" si="35"/>
        <v>1016.6069599999998</v>
      </c>
      <c r="N113" s="536">
        <f t="shared" si="35"/>
        <v>12719.587019999997</v>
      </c>
      <c r="O113" s="78"/>
      <c r="P113" s="78"/>
      <c r="Q113" s="78"/>
      <c r="R113" s="78"/>
      <c r="S113" s="78"/>
      <c r="T113" s="78"/>
    </row>
    <row r="114" spans="2:20" ht="21.75" customHeight="1" x14ac:dyDescent="0.2">
      <c r="B114" s="72" t="s">
        <v>112</v>
      </c>
      <c r="C114" s="74"/>
      <c r="D114" s="73"/>
      <c r="E114" s="552">
        <f t="shared" ref="E114:N114" si="36">+E113+E110+E103</f>
        <v>5856.7430899999972</v>
      </c>
      <c r="F114" s="552">
        <f t="shared" si="36"/>
        <v>12359.310790000001</v>
      </c>
      <c r="G114" s="552">
        <f t="shared" si="36"/>
        <v>9585.8998799999918</v>
      </c>
      <c r="H114" s="552">
        <f t="shared" si="36"/>
        <v>6446.7684699999982</v>
      </c>
      <c r="I114" s="552">
        <f t="shared" si="36"/>
        <v>7157.0100900000034</v>
      </c>
      <c r="J114" s="552">
        <f t="shared" si="36"/>
        <v>8596.579340000002</v>
      </c>
      <c r="K114" s="552">
        <f t="shared" si="36"/>
        <v>10506.860570000001</v>
      </c>
      <c r="L114" s="552">
        <f t="shared" si="36"/>
        <v>11301.766749999993</v>
      </c>
      <c r="M114" s="552">
        <f t="shared" si="36"/>
        <v>7182.6421999999993</v>
      </c>
      <c r="N114" s="496">
        <f t="shared" si="36"/>
        <v>78993.581179999979</v>
      </c>
      <c r="O114" s="78"/>
      <c r="P114" s="78"/>
      <c r="Q114" s="78"/>
      <c r="R114" s="78"/>
      <c r="S114" s="78"/>
      <c r="T114" s="78"/>
    </row>
    <row r="115" spans="2:20" x14ac:dyDescent="0.2">
      <c r="B115" s="766">
        <v>2010</v>
      </c>
      <c r="C115" s="808" t="s">
        <v>97</v>
      </c>
      <c r="D115" s="337" t="s">
        <v>97</v>
      </c>
      <c r="E115" s="288">
        <v>2017.5779999999963</v>
      </c>
      <c r="F115" s="288">
        <v>5096.6939999999922</v>
      </c>
      <c r="G115" s="288">
        <v>3880.3979999999983</v>
      </c>
      <c r="H115" s="288">
        <v>2547.4250000000002</v>
      </c>
      <c r="I115" s="288">
        <v>3117.7439999999974</v>
      </c>
      <c r="J115" s="288">
        <v>3905.4079999999931</v>
      </c>
      <c r="K115" s="288">
        <v>6489.9590000000017</v>
      </c>
      <c r="L115" s="288">
        <v>3884.3200000000052</v>
      </c>
      <c r="M115" s="288">
        <v>2785.105999999997</v>
      </c>
      <c r="N115" s="487">
        <f>SUM(E115:M115)</f>
        <v>33724.631999999983</v>
      </c>
      <c r="O115" s="78"/>
      <c r="P115" s="78"/>
      <c r="Q115" s="78"/>
      <c r="R115" s="78"/>
      <c r="S115" s="78"/>
      <c r="T115" s="78"/>
    </row>
    <row r="116" spans="2:20" x14ac:dyDescent="0.2">
      <c r="B116" s="767"/>
      <c r="C116" s="809"/>
      <c r="D116" s="338" t="s">
        <v>98</v>
      </c>
      <c r="E116" s="288">
        <v>349.85799999999938</v>
      </c>
      <c r="F116" s="288">
        <v>723.19399999999837</v>
      </c>
      <c r="G116" s="288">
        <v>490.95499999999817</v>
      </c>
      <c r="H116" s="288">
        <v>317.21199999999902</v>
      </c>
      <c r="I116" s="288">
        <v>383.00099999999946</v>
      </c>
      <c r="J116" s="288">
        <v>519.87099999999475</v>
      </c>
      <c r="K116" s="288">
        <v>587.36999999999898</v>
      </c>
      <c r="L116" s="288">
        <v>1531.4819999999997</v>
      </c>
      <c r="M116" s="288">
        <v>948.63399999999649</v>
      </c>
      <c r="N116" s="487">
        <f>SUM(E116:M116)</f>
        <v>5851.5769999999839</v>
      </c>
      <c r="O116" s="78"/>
      <c r="P116" s="78"/>
      <c r="Q116" s="78"/>
      <c r="R116" s="78"/>
      <c r="S116" s="78"/>
      <c r="T116" s="78"/>
    </row>
    <row r="117" spans="2:20" x14ac:dyDescent="0.2">
      <c r="B117" s="767"/>
      <c r="C117" s="69" t="s">
        <v>11</v>
      </c>
      <c r="D117" s="332"/>
      <c r="E117" s="554">
        <f t="shared" ref="E117:N117" si="37">SUM(E115:E116)</f>
        <v>2367.4359999999956</v>
      </c>
      <c r="F117" s="555">
        <f t="shared" si="37"/>
        <v>5819.8879999999908</v>
      </c>
      <c r="G117" s="555">
        <f t="shared" si="37"/>
        <v>4371.3529999999964</v>
      </c>
      <c r="H117" s="555">
        <f t="shared" si="37"/>
        <v>2864.6369999999993</v>
      </c>
      <c r="I117" s="555">
        <f t="shared" si="37"/>
        <v>3500.7449999999967</v>
      </c>
      <c r="J117" s="555">
        <f t="shared" si="37"/>
        <v>4425.2789999999877</v>
      </c>
      <c r="K117" s="555">
        <f t="shared" si="37"/>
        <v>7077.3290000000006</v>
      </c>
      <c r="L117" s="555">
        <f t="shared" si="37"/>
        <v>5415.8020000000051</v>
      </c>
      <c r="M117" s="556">
        <f t="shared" si="37"/>
        <v>3733.7399999999934</v>
      </c>
      <c r="N117" s="556">
        <f t="shared" si="37"/>
        <v>39576.208999999966</v>
      </c>
      <c r="O117" s="78"/>
      <c r="P117" s="78"/>
      <c r="Q117" s="78"/>
      <c r="R117" s="78"/>
      <c r="S117" s="78"/>
      <c r="T117" s="78"/>
    </row>
    <row r="118" spans="2:20" x14ac:dyDescent="0.2">
      <c r="B118" s="767"/>
      <c r="C118" s="808" t="s">
        <v>99</v>
      </c>
      <c r="D118" s="335" t="s">
        <v>0</v>
      </c>
      <c r="E118" s="547">
        <v>478.25052400000004</v>
      </c>
      <c r="F118" s="547">
        <v>915.76821699999982</v>
      </c>
      <c r="G118" s="547">
        <v>837.21750699999973</v>
      </c>
      <c r="H118" s="547">
        <v>420.84058400000004</v>
      </c>
      <c r="I118" s="547">
        <v>273.21452399999993</v>
      </c>
      <c r="J118" s="547">
        <v>331.34961399999997</v>
      </c>
      <c r="K118" s="547">
        <v>1312.0581459999994</v>
      </c>
      <c r="L118" s="547">
        <v>1269.6239719999999</v>
      </c>
      <c r="M118" s="547">
        <v>229.23621699999987</v>
      </c>
      <c r="N118" s="487">
        <f t="shared" ref="N118:N123" si="38">SUM(E118:M118)</f>
        <v>6067.5593049999989</v>
      </c>
      <c r="O118" s="78"/>
      <c r="P118" s="78"/>
      <c r="Q118" s="78"/>
      <c r="R118" s="78"/>
      <c r="S118" s="78"/>
      <c r="T118" s="78"/>
    </row>
    <row r="119" spans="2:20" x14ac:dyDescent="0.2">
      <c r="B119" s="767"/>
      <c r="C119" s="810"/>
      <c r="D119" s="336" t="s">
        <v>1</v>
      </c>
      <c r="E119" s="547">
        <v>536.01637299999959</v>
      </c>
      <c r="F119" s="547">
        <v>1204.280367999999</v>
      </c>
      <c r="G119" s="547">
        <v>1817.7658029999996</v>
      </c>
      <c r="H119" s="547">
        <v>1338.957097</v>
      </c>
      <c r="I119" s="547">
        <v>588.89438300000006</v>
      </c>
      <c r="J119" s="547">
        <v>1445.0873390000006</v>
      </c>
      <c r="K119" s="547">
        <v>632.52054399999986</v>
      </c>
      <c r="L119" s="547">
        <v>2485.6872819999971</v>
      </c>
      <c r="M119" s="547">
        <v>350.32375499999995</v>
      </c>
      <c r="N119" s="487">
        <f t="shared" si="38"/>
        <v>10399.532943999997</v>
      </c>
      <c r="O119" s="78"/>
      <c r="P119" s="78"/>
      <c r="Q119" s="78"/>
      <c r="R119" s="78"/>
      <c r="S119" s="78"/>
      <c r="T119" s="78"/>
    </row>
    <row r="120" spans="2:20" x14ac:dyDescent="0.2">
      <c r="B120" s="767"/>
      <c r="C120" s="810"/>
      <c r="D120" s="336" t="s">
        <v>2</v>
      </c>
      <c r="E120" s="547">
        <v>133.91847000000001</v>
      </c>
      <c r="F120" s="547">
        <v>284.43529300000017</v>
      </c>
      <c r="G120" s="547">
        <v>621.55764099999999</v>
      </c>
      <c r="H120" s="547">
        <v>597.44778200000042</v>
      </c>
      <c r="I120" s="547">
        <v>295.37904300000025</v>
      </c>
      <c r="J120" s="547">
        <v>107.54792800000003</v>
      </c>
      <c r="K120" s="547">
        <v>117.981613</v>
      </c>
      <c r="L120" s="547">
        <v>391.80085099999991</v>
      </c>
      <c r="M120" s="547">
        <v>421.42855000000003</v>
      </c>
      <c r="N120" s="487">
        <f t="shared" si="38"/>
        <v>2971.4971710000009</v>
      </c>
      <c r="O120" s="78"/>
      <c r="P120" s="78"/>
      <c r="Q120" s="78"/>
      <c r="R120" s="78"/>
      <c r="S120" s="78"/>
      <c r="T120" s="78"/>
    </row>
    <row r="121" spans="2:20" x14ac:dyDescent="0.2">
      <c r="B121" s="767"/>
      <c r="C121" s="810"/>
      <c r="D121" s="336" t="s">
        <v>3</v>
      </c>
      <c r="E121" s="547">
        <v>31.703999000000003</v>
      </c>
      <c r="F121" s="547">
        <v>1.6387099999999999</v>
      </c>
      <c r="G121" s="547">
        <v>233.392764</v>
      </c>
      <c r="H121" s="547">
        <v>27.184062999999995</v>
      </c>
      <c r="I121" s="547">
        <v>4.5645830000000007</v>
      </c>
      <c r="J121" s="547">
        <v>112.51669599999997</v>
      </c>
      <c r="K121" s="547">
        <v>3.4664639999999993</v>
      </c>
      <c r="L121" s="547">
        <v>3.9442589999999997</v>
      </c>
      <c r="M121" s="547">
        <v>59.130235999999961</v>
      </c>
      <c r="N121" s="487">
        <f t="shared" si="38"/>
        <v>477.54177399999992</v>
      </c>
      <c r="O121" s="78"/>
      <c r="P121" s="78"/>
      <c r="Q121" s="78"/>
      <c r="R121" s="78"/>
      <c r="S121" s="78"/>
      <c r="T121" s="78"/>
    </row>
    <row r="122" spans="2:20" x14ac:dyDescent="0.2">
      <c r="B122" s="767"/>
      <c r="C122" s="810"/>
      <c r="D122" s="336" t="s">
        <v>4</v>
      </c>
      <c r="E122" s="547">
        <v>155.69618</v>
      </c>
      <c r="F122" s="547">
        <v>307.71912199999997</v>
      </c>
      <c r="G122" s="547">
        <v>294.32798600000001</v>
      </c>
      <c r="H122" s="547">
        <v>460.740387</v>
      </c>
      <c r="I122" s="547">
        <v>340.79200199999997</v>
      </c>
      <c r="J122" s="547">
        <v>706.5599890000002</v>
      </c>
      <c r="K122" s="547">
        <v>525.26937000000009</v>
      </c>
      <c r="L122" s="547">
        <v>567.37404000000015</v>
      </c>
      <c r="M122" s="547">
        <v>508.31846099999979</v>
      </c>
      <c r="N122" s="487">
        <f t="shared" si="38"/>
        <v>3866.7975369999999</v>
      </c>
      <c r="O122" s="78"/>
      <c r="P122" s="78"/>
      <c r="Q122" s="78"/>
      <c r="R122" s="78"/>
      <c r="S122" s="78"/>
      <c r="T122" s="78"/>
    </row>
    <row r="123" spans="2:20" x14ac:dyDescent="0.2">
      <c r="B123" s="767"/>
      <c r="C123" s="809"/>
      <c r="D123" s="336" t="s">
        <v>5</v>
      </c>
      <c r="E123" s="553">
        <v>1397.6346700000001</v>
      </c>
      <c r="F123" s="547">
        <v>2508.8848819999989</v>
      </c>
      <c r="G123" s="547">
        <v>206.28066699999999</v>
      </c>
      <c r="H123" s="547">
        <v>436.90891699999986</v>
      </c>
      <c r="I123" s="547">
        <v>398.16221699999977</v>
      </c>
      <c r="J123" s="547">
        <v>453.12805800000001</v>
      </c>
      <c r="K123" s="547">
        <v>0</v>
      </c>
      <c r="L123" s="547">
        <v>531.10490799999968</v>
      </c>
      <c r="M123" s="547">
        <v>1192.0053309999998</v>
      </c>
      <c r="N123" s="487">
        <f t="shared" si="38"/>
        <v>7124.1096499999985</v>
      </c>
      <c r="O123" s="78"/>
      <c r="P123" s="78"/>
      <c r="Q123" s="78"/>
      <c r="R123" s="78"/>
      <c r="S123" s="78"/>
      <c r="T123" s="78"/>
    </row>
    <row r="124" spans="2:20" x14ac:dyDescent="0.2">
      <c r="B124" s="767"/>
      <c r="C124" s="69" t="s">
        <v>6</v>
      </c>
      <c r="D124" s="332"/>
      <c r="E124" s="534">
        <f t="shared" ref="E124:N124" si="39">SUM(E118:E123)</f>
        <v>2733.2202159999997</v>
      </c>
      <c r="F124" s="535">
        <f t="shared" si="39"/>
        <v>5222.7265919999973</v>
      </c>
      <c r="G124" s="535">
        <f t="shared" si="39"/>
        <v>4010.5423679999994</v>
      </c>
      <c r="H124" s="535">
        <f t="shared" si="39"/>
        <v>3282.0788299999999</v>
      </c>
      <c r="I124" s="535">
        <f t="shared" si="39"/>
        <v>1901.006752</v>
      </c>
      <c r="J124" s="535">
        <f t="shared" si="39"/>
        <v>3156.1896240000005</v>
      </c>
      <c r="K124" s="535">
        <f t="shared" si="39"/>
        <v>2591.2961369999994</v>
      </c>
      <c r="L124" s="535">
        <f t="shared" si="39"/>
        <v>5249.5353119999963</v>
      </c>
      <c r="M124" s="536">
        <f t="shared" si="39"/>
        <v>2760.4425499999998</v>
      </c>
      <c r="N124" s="537">
        <f t="shared" si="39"/>
        <v>30907.038380999995</v>
      </c>
      <c r="O124" s="78"/>
      <c r="P124" s="78"/>
      <c r="Q124" s="78"/>
      <c r="R124" s="78"/>
      <c r="S124" s="78"/>
      <c r="T124" s="78"/>
    </row>
    <row r="125" spans="2:20" x14ac:dyDescent="0.2">
      <c r="B125" s="767"/>
      <c r="C125" s="808" t="s">
        <v>100</v>
      </c>
      <c r="D125" s="336" t="s">
        <v>77</v>
      </c>
      <c r="E125" s="547">
        <v>27.936129999999988</v>
      </c>
      <c r="F125" s="547">
        <v>727.26248799999996</v>
      </c>
      <c r="G125" s="547">
        <v>114.67788999999999</v>
      </c>
      <c r="H125" s="547">
        <v>91.394612999999993</v>
      </c>
      <c r="I125" s="547">
        <v>279.19815100000005</v>
      </c>
      <c r="J125" s="547">
        <v>344.47163299999977</v>
      </c>
      <c r="K125" s="547">
        <v>181.40390200000002</v>
      </c>
      <c r="L125" s="547">
        <v>191.63179600000009</v>
      </c>
      <c r="M125" s="547">
        <v>248.43732999999992</v>
      </c>
      <c r="N125" s="487">
        <f>SUM(E125:M125)</f>
        <v>2206.4139329999994</v>
      </c>
      <c r="O125" s="78"/>
      <c r="P125" s="78"/>
      <c r="Q125" s="78"/>
      <c r="R125" s="78"/>
      <c r="S125" s="78"/>
      <c r="T125" s="78"/>
    </row>
    <row r="126" spans="2:20" x14ac:dyDescent="0.2">
      <c r="B126" s="767"/>
      <c r="C126" s="809"/>
      <c r="D126" s="336" t="s">
        <v>101</v>
      </c>
      <c r="E126" s="547">
        <v>640.78593200000023</v>
      </c>
      <c r="F126" s="547">
        <v>2070.4562849999993</v>
      </c>
      <c r="G126" s="547">
        <v>1039.849786999999</v>
      </c>
      <c r="H126" s="547">
        <v>1060.5568380000002</v>
      </c>
      <c r="I126" s="547">
        <v>2020.9967450000008</v>
      </c>
      <c r="J126" s="547">
        <v>1762.9215420000005</v>
      </c>
      <c r="K126" s="547">
        <v>1058.4531509999999</v>
      </c>
      <c r="L126" s="547">
        <v>1495.1017439999994</v>
      </c>
      <c r="M126" s="547">
        <v>767.0826899999995</v>
      </c>
      <c r="N126" s="487">
        <f>SUM(E126:M126)</f>
        <v>11916.204713999998</v>
      </c>
      <c r="O126" s="78"/>
      <c r="P126" s="78"/>
      <c r="Q126" s="78"/>
      <c r="R126" s="78"/>
      <c r="S126" s="78"/>
      <c r="T126" s="78"/>
    </row>
    <row r="127" spans="2:20" x14ac:dyDescent="0.2">
      <c r="B127" s="768"/>
      <c r="C127" s="71" t="s">
        <v>102</v>
      </c>
      <c r="D127" s="332"/>
      <c r="E127" s="534">
        <f t="shared" ref="E127:N127" si="40">SUM(E125:E126)</f>
        <v>668.72206200000016</v>
      </c>
      <c r="F127" s="535">
        <f t="shared" si="40"/>
        <v>2797.7187729999991</v>
      </c>
      <c r="G127" s="535">
        <f t="shared" si="40"/>
        <v>1154.5276769999989</v>
      </c>
      <c r="H127" s="535">
        <f t="shared" si="40"/>
        <v>1151.9514510000001</v>
      </c>
      <c r="I127" s="535">
        <f t="shared" si="40"/>
        <v>2300.1948960000009</v>
      </c>
      <c r="J127" s="535">
        <f t="shared" si="40"/>
        <v>2107.3931750000002</v>
      </c>
      <c r="K127" s="535">
        <f t="shared" si="40"/>
        <v>1239.857053</v>
      </c>
      <c r="L127" s="535">
        <f t="shared" si="40"/>
        <v>1686.7335399999995</v>
      </c>
      <c r="M127" s="536">
        <f t="shared" si="40"/>
        <v>1015.5200199999995</v>
      </c>
      <c r="N127" s="536">
        <f t="shared" si="40"/>
        <v>14122.618646999998</v>
      </c>
      <c r="O127" s="78"/>
      <c r="P127" s="78"/>
      <c r="Q127" s="78"/>
      <c r="R127" s="78"/>
      <c r="S127" s="78"/>
      <c r="T127" s="78"/>
    </row>
    <row r="128" spans="2:20" ht="22.5" customHeight="1" x14ac:dyDescent="0.2">
      <c r="B128" s="72" t="s">
        <v>113</v>
      </c>
      <c r="C128" s="74"/>
      <c r="D128" s="73"/>
      <c r="E128" s="552">
        <f t="shared" ref="E128:N128" si="41">+E127+E124+E117</f>
        <v>5769.3782779999956</v>
      </c>
      <c r="F128" s="552">
        <f t="shared" si="41"/>
        <v>13840.333364999988</v>
      </c>
      <c r="G128" s="552">
        <f t="shared" si="41"/>
        <v>9536.4230449999959</v>
      </c>
      <c r="H128" s="552">
        <f t="shared" si="41"/>
        <v>7298.667281</v>
      </c>
      <c r="I128" s="552">
        <f t="shared" si="41"/>
        <v>7701.9466479999974</v>
      </c>
      <c r="J128" s="552">
        <f t="shared" si="41"/>
        <v>9688.8617989999875</v>
      </c>
      <c r="K128" s="552">
        <f t="shared" si="41"/>
        <v>10908.482189999999</v>
      </c>
      <c r="L128" s="552">
        <f t="shared" si="41"/>
        <v>12352.070852000001</v>
      </c>
      <c r="M128" s="552">
        <f t="shared" si="41"/>
        <v>7509.7025699999922</v>
      </c>
      <c r="N128" s="496">
        <f t="shared" si="41"/>
        <v>84605.86602799996</v>
      </c>
      <c r="O128" s="78"/>
      <c r="P128" s="78"/>
      <c r="Q128" s="78"/>
      <c r="R128" s="78"/>
      <c r="S128" s="78"/>
      <c r="T128" s="78"/>
    </row>
    <row r="129" spans="2:20" x14ac:dyDescent="0.2">
      <c r="B129" s="766">
        <v>2011</v>
      </c>
      <c r="C129" s="808" t="s">
        <v>97</v>
      </c>
      <c r="D129" s="337" t="s">
        <v>97</v>
      </c>
      <c r="E129" s="163">
        <v>2342.6237649999998</v>
      </c>
      <c r="F129" s="288">
        <v>4624.1833369999995</v>
      </c>
      <c r="G129" s="288">
        <v>4271.3144919999986</v>
      </c>
      <c r="H129" s="288">
        <v>2834.792045000002</v>
      </c>
      <c r="I129" s="288">
        <v>3298.6576670000009</v>
      </c>
      <c r="J129" s="288">
        <v>3874.4987039999987</v>
      </c>
      <c r="K129" s="288">
        <v>6169.1999889999988</v>
      </c>
      <c r="L129" s="288">
        <v>3919.6207469999995</v>
      </c>
      <c r="M129" s="288">
        <v>2604.8283839999976</v>
      </c>
      <c r="N129" s="487">
        <f>SUM(E129:M129)</f>
        <v>33939.719129999998</v>
      </c>
      <c r="O129" s="78"/>
      <c r="P129" s="78"/>
      <c r="Q129" s="78"/>
      <c r="R129" s="78"/>
      <c r="S129" s="78"/>
      <c r="T129" s="78"/>
    </row>
    <row r="130" spans="2:20" x14ac:dyDescent="0.2">
      <c r="B130" s="767"/>
      <c r="C130" s="809"/>
      <c r="D130" s="338" t="s">
        <v>98</v>
      </c>
      <c r="E130" s="452">
        <v>252.3060760000001</v>
      </c>
      <c r="F130" s="288">
        <v>824.76728199999729</v>
      </c>
      <c r="G130" s="288">
        <v>511.95622400000013</v>
      </c>
      <c r="H130" s="288">
        <v>309.68546699999916</v>
      </c>
      <c r="I130" s="288">
        <v>436.96615299999974</v>
      </c>
      <c r="J130" s="288">
        <v>539.64432000000158</v>
      </c>
      <c r="K130" s="288">
        <v>593.01856400000145</v>
      </c>
      <c r="L130" s="288">
        <v>1521.6019440000009</v>
      </c>
      <c r="M130" s="288">
        <v>845.54823599999861</v>
      </c>
      <c r="N130" s="487">
        <f>SUM(E130:M130)</f>
        <v>5835.4942659999988</v>
      </c>
      <c r="O130" s="78"/>
      <c r="P130" s="78"/>
      <c r="Q130" s="78"/>
      <c r="R130" s="78"/>
      <c r="S130" s="78"/>
      <c r="T130" s="78"/>
    </row>
    <row r="131" spans="2:20" x14ac:dyDescent="0.2">
      <c r="B131" s="767"/>
      <c r="C131" s="69" t="s">
        <v>11</v>
      </c>
      <c r="D131" s="332"/>
      <c r="E131" s="554">
        <f t="shared" ref="E131:N131" si="42">SUM(E129:E130)</f>
        <v>2594.9298410000001</v>
      </c>
      <c r="F131" s="555">
        <f t="shared" si="42"/>
        <v>5448.9506189999965</v>
      </c>
      <c r="G131" s="555">
        <f t="shared" si="42"/>
        <v>4783.2707159999991</v>
      </c>
      <c r="H131" s="555">
        <f t="shared" si="42"/>
        <v>3144.4775120000013</v>
      </c>
      <c r="I131" s="555">
        <f t="shared" si="42"/>
        <v>3735.6238200000007</v>
      </c>
      <c r="J131" s="555">
        <f t="shared" si="42"/>
        <v>4414.143024</v>
      </c>
      <c r="K131" s="555">
        <f t="shared" si="42"/>
        <v>6762.2185530000006</v>
      </c>
      <c r="L131" s="555">
        <f t="shared" si="42"/>
        <v>5441.2226910000009</v>
      </c>
      <c r="M131" s="556">
        <f t="shared" si="42"/>
        <v>3450.3766199999964</v>
      </c>
      <c r="N131" s="556">
        <f t="shared" si="42"/>
        <v>39775.213395999999</v>
      </c>
      <c r="O131" s="78"/>
      <c r="P131" s="78"/>
      <c r="Q131" s="78"/>
      <c r="R131" s="78"/>
      <c r="S131" s="78"/>
      <c r="T131" s="78"/>
    </row>
    <row r="132" spans="2:20" x14ac:dyDescent="0.2">
      <c r="B132" s="767"/>
      <c r="C132" s="808" t="s">
        <v>99</v>
      </c>
      <c r="D132" s="335" t="s">
        <v>0</v>
      </c>
      <c r="E132" s="547">
        <v>516.9150629999998</v>
      </c>
      <c r="F132" s="547">
        <v>1029.8572479999993</v>
      </c>
      <c r="G132" s="547">
        <v>809.93914699999948</v>
      </c>
      <c r="H132" s="547">
        <v>442.78358200000019</v>
      </c>
      <c r="I132" s="547">
        <v>483.65397999999982</v>
      </c>
      <c r="J132" s="547">
        <v>310.02758200000011</v>
      </c>
      <c r="K132" s="547">
        <v>1427.3559409999993</v>
      </c>
      <c r="L132" s="547">
        <v>1338.327396999998</v>
      </c>
      <c r="M132" s="547">
        <v>248.48171099999996</v>
      </c>
      <c r="N132" s="487">
        <f t="shared" ref="N132:N137" si="43">SUM(E132:M132)</f>
        <v>6607.341650999997</v>
      </c>
      <c r="O132" s="78"/>
      <c r="P132" s="78"/>
      <c r="Q132" s="78"/>
      <c r="R132" s="78"/>
      <c r="S132" s="78"/>
      <c r="T132" s="78"/>
    </row>
    <row r="133" spans="2:20" x14ac:dyDescent="0.2">
      <c r="B133" s="767"/>
      <c r="C133" s="810"/>
      <c r="D133" s="336" t="s">
        <v>1</v>
      </c>
      <c r="E133" s="547">
        <v>808.04679900000087</v>
      </c>
      <c r="F133" s="547">
        <v>1648.829935000002</v>
      </c>
      <c r="G133" s="547">
        <v>1879.8334600000001</v>
      </c>
      <c r="H133" s="547">
        <v>1417.6884860000005</v>
      </c>
      <c r="I133" s="547">
        <v>761.5517270000006</v>
      </c>
      <c r="J133" s="547">
        <v>4522.6743000000024</v>
      </c>
      <c r="K133" s="547">
        <v>976.04065600000069</v>
      </c>
      <c r="L133" s="547">
        <v>2601.8051470000014</v>
      </c>
      <c r="M133" s="547">
        <v>475.54278700000009</v>
      </c>
      <c r="N133" s="487">
        <f t="shared" si="43"/>
        <v>15092.013297000009</v>
      </c>
      <c r="O133" s="78"/>
      <c r="P133" s="78"/>
      <c r="Q133" s="78"/>
      <c r="R133" s="78"/>
      <c r="S133" s="78"/>
      <c r="T133" s="78"/>
    </row>
    <row r="134" spans="2:20" x14ac:dyDescent="0.2">
      <c r="B134" s="767"/>
      <c r="C134" s="810"/>
      <c r="D134" s="336" t="s">
        <v>2</v>
      </c>
      <c r="E134" s="547">
        <v>191.9449690000003</v>
      </c>
      <c r="F134" s="547">
        <v>681.70984100000032</v>
      </c>
      <c r="G134" s="547">
        <v>474.14971700000007</v>
      </c>
      <c r="H134" s="547">
        <v>490.27677999999929</v>
      </c>
      <c r="I134" s="547">
        <v>354.75591799999984</v>
      </c>
      <c r="J134" s="547">
        <v>262.69673099999994</v>
      </c>
      <c r="K134" s="547">
        <v>188.22678699999997</v>
      </c>
      <c r="L134" s="547">
        <v>464.22755499999988</v>
      </c>
      <c r="M134" s="547">
        <v>452.00682199999972</v>
      </c>
      <c r="N134" s="487">
        <f t="shared" si="43"/>
        <v>3559.9951199999996</v>
      </c>
      <c r="O134" s="78"/>
      <c r="P134" s="78"/>
      <c r="Q134" s="78"/>
      <c r="R134" s="78"/>
      <c r="S134" s="78"/>
      <c r="T134" s="78"/>
    </row>
    <row r="135" spans="2:20" x14ac:dyDescent="0.2">
      <c r="B135" s="767"/>
      <c r="C135" s="810"/>
      <c r="D135" s="336" t="s">
        <v>3</v>
      </c>
      <c r="E135" s="547">
        <v>4.6793999999999976</v>
      </c>
      <c r="F135" s="547">
        <v>2.5100730000000011</v>
      </c>
      <c r="G135" s="547">
        <v>214.84213999999989</v>
      </c>
      <c r="H135" s="547">
        <v>30.764506000000001</v>
      </c>
      <c r="I135" s="547">
        <v>10.952077999999991</v>
      </c>
      <c r="J135" s="547">
        <v>123.02916500000012</v>
      </c>
      <c r="K135" s="547">
        <v>0.60402999999999996</v>
      </c>
      <c r="L135" s="547">
        <v>3.1321829999999999</v>
      </c>
      <c r="M135" s="547">
        <v>47.19379799999998</v>
      </c>
      <c r="N135" s="487">
        <f t="shared" si="43"/>
        <v>437.70737300000002</v>
      </c>
      <c r="O135" s="78"/>
      <c r="P135" s="78"/>
      <c r="Q135" s="78"/>
      <c r="R135" s="78"/>
      <c r="S135" s="78"/>
      <c r="T135" s="78"/>
    </row>
    <row r="136" spans="2:20" x14ac:dyDescent="0.2">
      <c r="B136" s="767"/>
      <c r="C136" s="810"/>
      <c r="D136" s="336" t="s">
        <v>4</v>
      </c>
      <c r="E136" s="547">
        <v>161.56905600000005</v>
      </c>
      <c r="F136" s="547">
        <v>344.5561239999999</v>
      </c>
      <c r="G136" s="547">
        <v>407.04823199999993</v>
      </c>
      <c r="H136" s="547">
        <v>520.3528530000001</v>
      </c>
      <c r="I136" s="547">
        <v>365.99267500000013</v>
      </c>
      <c r="J136" s="547">
        <v>675.38258100000019</v>
      </c>
      <c r="K136" s="547">
        <v>223.53166500000009</v>
      </c>
      <c r="L136" s="547">
        <v>735.02731600000004</v>
      </c>
      <c r="M136" s="547">
        <v>497.77521999999999</v>
      </c>
      <c r="N136" s="487">
        <f t="shared" si="43"/>
        <v>3931.2357220000004</v>
      </c>
      <c r="O136" s="78"/>
      <c r="P136" s="78"/>
      <c r="Q136" s="78"/>
      <c r="R136" s="78"/>
      <c r="S136" s="78"/>
      <c r="T136" s="78"/>
    </row>
    <row r="137" spans="2:20" x14ac:dyDescent="0.2">
      <c r="B137" s="767"/>
      <c r="C137" s="809"/>
      <c r="D137" s="336" t="s">
        <v>5</v>
      </c>
      <c r="E137" s="553">
        <v>2835.8369339999999</v>
      </c>
      <c r="F137" s="547">
        <v>2014.7376790000003</v>
      </c>
      <c r="G137" s="547">
        <v>422.94517199999996</v>
      </c>
      <c r="H137" s="547">
        <v>485.50199499999991</v>
      </c>
      <c r="I137" s="547">
        <v>503.98668499999997</v>
      </c>
      <c r="J137" s="547">
        <v>1025.8444649999997</v>
      </c>
      <c r="K137" s="547">
        <v>355.30543299999999</v>
      </c>
      <c r="L137" s="547">
        <v>861.18943400000012</v>
      </c>
      <c r="M137" s="547">
        <v>1551.2703909999996</v>
      </c>
      <c r="N137" s="487">
        <f t="shared" si="43"/>
        <v>10056.618187999999</v>
      </c>
      <c r="O137" s="78"/>
      <c r="P137" s="78"/>
      <c r="Q137" s="78"/>
      <c r="R137" s="78"/>
      <c r="S137" s="78"/>
      <c r="T137" s="78"/>
    </row>
    <row r="138" spans="2:20" x14ac:dyDescent="0.2">
      <c r="B138" s="767"/>
      <c r="C138" s="69" t="s">
        <v>6</v>
      </c>
      <c r="D138" s="332"/>
      <c r="E138" s="534">
        <f t="shared" ref="E138:N138" si="44">SUM(E132:E137)</f>
        <v>4518.9922210000004</v>
      </c>
      <c r="F138" s="535">
        <f t="shared" si="44"/>
        <v>5722.2009000000016</v>
      </c>
      <c r="G138" s="535">
        <f t="shared" si="44"/>
        <v>4208.7578679999997</v>
      </c>
      <c r="H138" s="535">
        <f t="shared" si="44"/>
        <v>3387.3682020000001</v>
      </c>
      <c r="I138" s="535">
        <f t="shared" si="44"/>
        <v>2480.8930630000004</v>
      </c>
      <c r="J138" s="535">
        <f t="shared" si="44"/>
        <v>6919.6548240000011</v>
      </c>
      <c r="K138" s="535">
        <f t="shared" si="44"/>
        <v>3171.0645119999999</v>
      </c>
      <c r="L138" s="535">
        <f t="shared" si="44"/>
        <v>6003.7090319999979</v>
      </c>
      <c r="M138" s="536">
        <f t="shared" si="44"/>
        <v>3272.2707289999989</v>
      </c>
      <c r="N138" s="537">
        <f t="shared" si="44"/>
        <v>39684.91135100001</v>
      </c>
      <c r="O138" s="78"/>
      <c r="P138" s="78"/>
      <c r="Q138" s="78"/>
      <c r="R138" s="78"/>
      <c r="S138" s="78"/>
      <c r="T138" s="78"/>
    </row>
    <row r="139" spans="2:20" x14ac:dyDescent="0.2">
      <c r="B139" s="767"/>
      <c r="C139" s="808" t="s">
        <v>100</v>
      </c>
      <c r="D139" s="336" t="s">
        <v>77</v>
      </c>
      <c r="E139" s="547">
        <v>43.34643999999998</v>
      </c>
      <c r="F139" s="547">
        <v>182.06356500000001</v>
      </c>
      <c r="G139" s="547">
        <v>157.05903199999997</v>
      </c>
      <c r="H139" s="547">
        <v>46.880611999999978</v>
      </c>
      <c r="I139" s="547">
        <v>192.40918600000006</v>
      </c>
      <c r="J139" s="547">
        <v>247.12965799999992</v>
      </c>
      <c r="K139" s="547">
        <v>180.55032100000014</v>
      </c>
      <c r="L139" s="547">
        <v>210.26463300000003</v>
      </c>
      <c r="M139" s="547">
        <v>185.67592899999994</v>
      </c>
      <c r="N139" s="487">
        <f>SUM(E139:M139)</f>
        <v>1445.3793760000001</v>
      </c>
      <c r="O139" s="78"/>
      <c r="P139" s="78"/>
      <c r="Q139" s="78"/>
      <c r="R139" s="78"/>
      <c r="S139" s="78"/>
      <c r="T139" s="78"/>
    </row>
    <row r="140" spans="2:20" x14ac:dyDescent="0.2">
      <c r="B140" s="767"/>
      <c r="C140" s="809"/>
      <c r="D140" s="336" t="s">
        <v>101</v>
      </c>
      <c r="E140" s="547">
        <v>795.56355199999985</v>
      </c>
      <c r="F140" s="547">
        <v>2618.3162740000025</v>
      </c>
      <c r="G140" s="547">
        <v>1427.8977570000006</v>
      </c>
      <c r="H140" s="547">
        <v>1053.6368540000005</v>
      </c>
      <c r="I140" s="547">
        <v>2202.4035089999993</v>
      </c>
      <c r="J140" s="547">
        <v>2168.2945610000015</v>
      </c>
      <c r="K140" s="547">
        <v>1048.4072699999999</v>
      </c>
      <c r="L140" s="547">
        <v>1962.9176049999983</v>
      </c>
      <c r="M140" s="547">
        <v>932.48626300000001</v>
      </c>
      <c r="N140" s="487">
        <f>SUM(E140:M140)</f>
        <v>14209.923645000004</v>
      </c>
      <c r="O140" s="78"/>
      <c r="P140" s="78"/>
      <c r="Q140" s="78"/>
      <c r="R140" s="78"/>
      <c r="S140" s="78"/>
      <c r="T140" s="78"/>
    </row>
    <row r="141" spans="2:20" x14ac:dyDescent="0.2">
      <c r="B141" s="768"/>
      <c r="C141" s="71" t="s">
        <v>102</v>
      </c>
      <c r="D141" s="332"/>
      <c r="E141" s="534">
        <f t="shared" ref="E141:N141" si="45">SUM(E139:E140)</f>
        <v>838.90999199999987</v>
      </c>
      <c r="F141" s="535">
        <f t="shared" si="45"/>
        <v>2800.3798390000024</v>
      </c>
      <c r="G141" s="535">
        <f t="shared" si="45"/>
        <v>1584.9567890000005</v>
      </c>
      <c r="H141" s="535">
        <f t="shared" si="45"/>
        <v>1100.5174660000005</v>
      </c>
      <c r="I141" s="535">
        <f t="shared" si="45"/>
        <v>2394.8126949999992</v>
      </c>
      <c r="J141" s="535">
        <f t="shared" si="45"/>
        <v>2415.4242190000014</v>
      </c>
      <c r="K141" s="535">
        <f t="shared" si="45"/>
        <v>1228.9575910000001</v>
      </c>
      <c r="L141" s="535">
        <f t="shared" si="45"/>
        <v>2173.1822379999985</v>
      </c>
      <c r="M141" s="536">
        <f t="shared" si="45"/>
        <v>1118.162192</v>
      </c>
      <c r="N141" s="536">
        <f t="shared" si="45"/>
        <v>15655.303021000005</v>
      </c>
      <c r="O141" s="78"/>
      <c r="P141" s="78"/>
      <c r="Q141" s="78"/>
      <c r="R141" s="78"/>
      <c r="S141" s="78"/>
      <c r="T141" s="78"/>
    </row>
    <row r="142" spans="2:20" ht="23.25" customHeight="1" x14ac:dyDescent="0.2">
      <c r="B142" s="72" t="s">
        <v>114</v>
      </c>
      <c r="C142" s="74"/>
      <c r="D142" s="73"/>
      <c r="E142" s="552">
        <f t="shared" ref="E142:N142" si="46">+E141+E138+E131</f>
        <v>7952.8320540000004</v>
      </c>
      <c r="F142" s="552">
        <f t="shared" si="46"/>
        <v>13971.531358</v>
      </c>
      <c r="G142" s="552">
        <f t="shared" si="46"/>
        <v>10576.985373</v>
      </c>
      <c r="H142" s="552">
        <f t="shared" si="46"/>
        <v>7632.3631800000021</v>
      </c>
      <c r="I142" s="552">
        <f t="shared" si="46"/>
        <v>8611.3295780000008</v>
      </c>
      <c r="J142" s="552">
        <f t="shared" si="46"/>
        <v>13749.222067000002</v>
      </c>
      <c r="K142" s="552">
        <f t="shared" si="46"/>
        <v>11162.240656000002</v>
      </c>
      <c r="L142" s="552">
        <f t="shared" si="46"/>
        <v>13618.113960999997</v>
      </c>
      <c r="M142" s="552">
        <f t="shared" si="46"/>
        <v>7840.8095409999951</v>
      </c>
      <c r="N142" s="496">
        <f t="shared" si="46"/>
        <v>95115.427768000023</v>
      </c>
      <c r="O142" s="78"/>
      <c r="P142" s="78"/>
      <c r="Q142" s="78"/>
      <c r="R142" s="78"/>
      <c r="S142" s="78"/>
      <c r="T142" s="78"/>
    </row>
    <row r="143" spans="2:20" x14ac:dyDescent="0.2">
      <c r="B143" s="766">
        <v>2012</v>
      </c>
      <c r="C143" s="808" t="s">
        <v>97</v>
      </c>
      <c r="D143" s="337" t="s">
        <v>97</v>
      </c>
      <c r="E143" s="557">
        <v>2566.1499439999984</v>
      </c>
      <c r="F143" s="558">
        <v>4502.7815249999967</v>
      </c>
      <c r="G143" s="558">
        <v>4175.5631580000054</v>
      </c>
      <c r="H143" s="558">
        <v>2775.7945299999951</v>
      </c>
      <c r="I143" s="558">
        <v>3456.3424660000032</v>
      </c>
      <c r="J143" s="558">
        <v>3696.6972120000055</v>
      </c>
      <c r="K143" s="558">
        <v>5681.338536000002</v>
      </c>
      <c r="L143" s="558">
        <v>4104.9618369999989</v>
      </c>
      <c r="M143" s="558">
        <v>2475.7929889999982</v>
      </c>
      <c r="N143" s="487">
        <f>SUM(E143:M143)</f>
        <v>33435.422197000007</v>
      </c>
      <c r="O143" s="78"/>
      <c r="P143" s="78"/>
      <c r="Q143" s="78"/>
      <c r="R143" s="78"/>
      <c r="S143" s="78"/>
      <c r="T143" s="78"/>
    </row>
    <row r="144" spans="2:20" x14ac:dyDescent="0.2">
      <c r="B144" s="767"/>
      <c r="C144" s="809"/>
      <c r="D144" s="338" t="s">
        <v>98</v>
      </c>
      <c r="E144" s="452">
        <v>262.36039199999988</v>
      </c>
      <c r="F144" s="288">
        <v>803.31926800000099</v>
      </c>
      <c r="G144" s="288">
        <v>465.59494699999988</v>
      </c>
      <c r="H144" s="288">
        <v>299.65156399999984</v>
      </c>
      <c r="I144" s="288">
        <v>400.29959500000001</v>
      </c>
      <c r="J144" s="288">
        <v>526.34501999999998</v>
      </c>
      <c r="K144" s="288">
        <v>706.62409100000025</v>
      </c>
      <c r="L144" s="288">
        <v>1536.1866099999997</v>
      </c>
      <c r="M144" s="288">
        <v>795.15898999999899</v>
      </c>
      <c r="N144" s="487">
        <f>SUM(E144:M144)</f>
        <v>5795.5404769999996</v>
      </c>
      <c r="O144" s="78"/>
      <c r="P144" s="78"/>
      <c r="Q144" s="78"/>
      <c r="R144" s="78"/>
      <c r="S144" s="78"/>
      <c r="T144" s="78"/>
    </row>
    <row r="145" spans="2:20" x14ac:dyDescent="0.2">
      <c r="B145" s="767"/>
      <c r="C145" s="69" t="s">
        <v>11</v>
      </c>
      <c r="D145" s="332"/>
      <c r="E145" s="554">
        <f t="shared" ref="E145:N145" si="47">SUM(E143:E144)</f>
        <v>2828.5103359999985</v>
      </c>
      <c r="F145" s="555">
        <f t="shared" si="47"/>
        <v>5306.1007929999978</v>
      </c>
      <c r="G145" s="555">
        <f t="shared" si="47"/>
        <v>4641.158105000005</v>
      </c>
      <c r="H145" s="555">
        <f t="shared" si="47"/>
        <v>3075.4460939999949</v>
      </c>
      <c r="I145" s="555">
        <f t="shared" si="47"/>
        <v>3856.6420610000032</v>
      </c>
      <c r="J145" s="555">
        <f t="shared" si="47"/>
        <v>4223.0422320000052</v>
      </c>
      <c r="K145" s="555">
        <f t="shared" si="47"/>
        <v>6387.9626270000026</v>
      </c>
      <c r="L145" s="555">
        <f t="shared" si="47"/>
        <v>5641.1484469999987</v>
      </c>
      <c r="M145" s="556">
        <f t="shared" si="47"/>
        <v>3270.9519789999972</v>
      </c>
      <c r="N145" s="556">
        <f t="shared" si="47"/>
        <v>39230.962674000009</v>
      </c>
      <c r="O145" s="78"/>
      <c r="P145" s="78"/>
      <c r="Q145" s="78"/>
      <c r="R145" s="78"/>
      <c r="S145" s="78"/>
      <c r="T145" s="78"/>
    </row>
    <row r="146" spans="2:20" x14ac:dyDescent="0.2">
      <c r="B146" s="767"/>
      <c r="C146" s="808" t="s">
        <v>99</v>
      </c>
      <c r="D146" s="335" t="s">
        <v>0</v>
      </c>
      <c r="E146" s="559">
        <v>589.41613499999937</v>
      </c>
      <c r="F146" s="324">
        <v>1126.93226</v>
      </c>
      <c r="G146" s="324">
        <v>1008.2799670000004</v>
      </c>
      <c r="H146" s="324">
        <v>557.217444</v>
      </c>
      <c r="I146" s="324">
        <v>575.89691999999991</v>
      </c>
      <c r="J146" s="324">
        <v>453.62310899999989</v>
      </c>
      <c r="K146" s="324">
        <v>1613.7434489999996</v>
      </c>
      <c r="L146" s="324">
        <v>1449.5066229999995</v>
      </c>
      <c r="M146" s="324">
        <v>317.95049099999994</v>
      </c>
      <c r="N146" s="487">
        <f t="shared" ref="N146:N151" si="48">SUM(E146:M146)</f>
        <v>7692.5663979999981</v>
      </c>
      <c r="O146" s="78"/>
      <c r="P146" s="78"/>
      <c r="Q146" s="78"/>
      <c r="R146" s="78"/>
      <c r="S146" s="78"/>
      <c r="T146" s="78"/>
    </row>
    <row r="147" spans="2:20" x14ac:dyDescent="0.2">
      <c r="B147" s="767"/>
      <c r="C147" s="810"/>
      <c r="D147" s="336" t="s">
        <v>1</v>
      </c>
      <c r="E147" s="560">
        <v>860.20877499999995</v>
      </c>
      <c r="F147" s="288">
        <v>2198.2093519999994</v>
      </c>
      <c r="G147" s="288">
        <v>2657.6119800000024</v>
      </c>
      <c r="H147" s="288">
        <v>1916.2671259999995</v>
      </c>
      <c r="I147" s="288">
        <v>1275.4212139999997</v>
      </c>
      <c r="J147" s="288">
        <v>1436.0503230000006</v>
      </c>
      <c r="K147" s="288">
        <v>1862.5750120000005</v>
      </c>
      <c r="L147" s="288">
        <v>3183.2883510000001</v>
      </c>
      <c r="M147" s="288">
        <v>1101.9749300000012</v>
      </c>
      <c r="N147" s="487">
        <f t="shared" si="48"/>
        <v>16491.607063000003</v>
      </c>
      <c r="O147" s="78"/>
      <c r="P147" s="78"/>
      <c r="Q147" s="78"/>
      <c r="R147" s="78"/>
      <c r="S147" s="78"/>
      <c r="T147" s="78"/>
    </row>
    <row r="148" spans="2:20" x14ac:dyDescent="0.2">
      <c r="B148" s="767"/>
      <c r="C148" s="810"/>
      <c r="D148" s="336" t="s">
        <v>2</v>
      </c>
      <c r="E148" s="560">
        <v>169.88916799999996</v>
      </c>
      <c r="F148" s="288">
        <v>791.77927200000056</v>
      </c>
      <c r="G148" s="288">
        <v>521.3509039999999</v>
      </c>
      <c r="H148" s="288">
        <v>462.98731800000007</v>
      </c>
      <c r="I148" s="288">
        <v>392.16747999999995</v>
      </c>
      <c r="J148" s="288">
        <v>269.28491099999991</v>
      </c>
      <c r="K148" s="288">
        <v>184.31998100000001</v>
      </c>
      <c r="L148" s="288">
        <v>245.23022900000012</v>
      </c>
      <c r="M148" s="288">
        <v>536.18503899999996</v>
      </c>
      <c r="N148" s="487">
        <f t="shared" si="48"/>
        <v>3573.1943020000003</v>
      </c>
      <c r="O148" s="78"/>
      <c r="P148" s="78"/>
      <c r="Q148" s="78"/>
      <c r="R148" s="78"/>
      <c r="S148" s="78"/>
      <c r="T148" s="78"/>
    </row>
    <row r="149" spans="2:20" x14ac:dyDescent="0.2">
      <c r="B149" s="767"/>
      <c r="C149" s="810"/>
      <c r="D149" s="336" t="s">
        <v>3</v>
      </c>
      <c r="E149" s="560">
        <v>4.0120390000000006</v>
      </c>
      <c r="F149" s="288">
        <v>2.5786599999999997</v>
      </c>
      <c r="G149" s="288">
        <v>273.84816400000011</v>
      </c>
      <c r="H149" s="288">
        <v>31.528802000000002</v>
      </c>
      <c r="I149" s="288">
        <v>8.5990130000000047</v>
      </c>
      <c r="J149" s="288">
        <v>101.53291700000003</v>
      </c>
      <c r="K149" s="288">
        <v>0.16219999999999998</v>
      </c>
      <c r="L149" s="288">
        <v>3.4671789999999998</v>
      </c>
      <c r="M149" s="288">
        <v>40.319437999999991</v>
      </c>
      <c r="N149" s="487">
        <f t="shared" si="48"/>
        <v>466.0484120000001</v>
      </c>
      <c r="O149" s="78"/>
      <c r="P149" s="78"/>
      <c r="Q149" s="78"/>
      <c r="R149" s="78"/>
      <c r="S149" s="78"/>
      <c r="T149" s="78"/>
    </row>
    <row r="150" spans="2:20" x14ac:dyDescent="0.2">
      <c r="B150" s="767"/>
      <c r="C150" s="810"/>
      <c r="D150" s="336" t="s">
        <v>4</v>
      </c>
      <c r="E150" s="560">
        <v>178.73471199999997</v>
      </c>
      <c r="F150" s="288">
        <v>396.44363499999997</v>
      </c>
      <c r="G150" s="288">
        <v>512.20591000000002</v>
      </c>
      <c r="H150" s="288">
        <v>495.86647199999987</v>
      </c>
      <c r="I150" s="288">
        <v>446.76069999999999</v>
      </c>
      <c r="J150" s="288">
        <v>711.01622099999997</v>
      </c>
      <c r="K150" s="288">
        <v>248.185382</v>
      </c>
      <c r="L150" s="288">
        <v>745.51699600000006</v>
      </c>
      <c r="M150" s="288">
        <v>568.80573499999991</v>
      </c>
      <c r="N150" s="487">
        <f t="shared" si="48"/>
        <v>4303.5357629999999</v>
      </c>
      <c r="O150" s="78"/>
      <c r="P150" s="78"/>
      <c r="Q150" s="78"/>
      <c r="R150" s="78"/>
      <c r="S150" s="78"/>
      <c r="T150" s="78"/>
    </row>
    <row r="151" spans="2:20" x14ac:dyDescent="0.2">
      <c r="B151" s="767"/>
      <c r="C151" s="809"/>
      <c r="D151" s="336" t="s">
        <v>5</v>
      </c>
      <c r="E151" s="560">
        <v>2594.5586940000021</v>
      </c>
      <c r="F151" s="288">
        <v>2547.214825</v>
      </c>
      <c r="G151" s="288">
        <v>384.52467599999994</v>
      </c>
      <c r="H151" s="288">
        <v>528.16027499999996</v>
      </c>
      <c r="I151" s="288">
        <v>677.86825799999986</v>
      </c>
      <c r="J151" s="288">
        <v>1033.4422319999999</v>
      </c>
      <c r="K151" s="288">
        <v>283.47125199999999</v>
      </c>
      <c r="L151" s="288">
        <v>982.06464899999935</v>
      </c>
      <c r="M151" s="288">
        <v>2278.3355649999994</v>
      </c>
      <c r="N151" s="487">
        <f t="shared" si="48"/>
        <v>11309.640426</v>
      </c>
      <c r="O151" s="78"/>
      <c r="P151" s="78"/>
      <c r="Q151" s="78"/>
      <c r="R151" s="78"/>
      <c r="S151" s="78"/>
      <c r="T151" s="78"/>
    </row>
    <row r="152" spans="2:20" x14ac:dyDescent="0.2">
      <c r="B152" s="767"/>
      <c r="C152" s="69" t="s">
        <v>6</v>
      </c>
      <c r="D152" s="332"/>
      <c r="E152" s="534">
        <f t="shared" ref="E152:N152" si="49">SUM(E146:E151)</f>
        <v>4396.819523000001</v>
      </c>
      <c r="F152" s="535">
        <f t="shared" si="49"/>
        <v>7063.1580039999999</v>
      </c>
      <c r="G152" s="535">
        <f t="shared" si="49"/>
        <v>5357.8216010000024</v>
      </c>
      <c r="H152" s="535">
        <f t="shared" si="49"/>
        <v>3992.0274369999988</v>
      </c>
      <c r="I152" s="535">
        <f t="shared" si="49"/>
        <v>3376.7135849999995</v>
      </c>
      <c r="J152" s="535">
        <f t="shared" si="49"/>
        <v>4004.949713</v>
      </c>
      <c r="K152" s="535">
        <f t="shared" si="49"/>
        <v>4192.4572760000001</v>
      </c>
      <c r="L152" s="535">
        <f t="shared" si="49"/>
        <v>6609.0740269999988</v>
      </c>
      <c r="M152" s="536">
        <f t="shared" si="49"/>
        <v>4843.5711980000005</v>
      </c>
      <c r="N152" s="537">
        <f t="shared" si="49"/>
        <v>43836.592364000004</v>
      </c>
      <c r="O152" s="78"/>
      <c r="P152" s="78"/>
      <c r="Q152" s="78"/>
      <c r="R152" s="78"/>
      <c r="S152" s="78"/>
      <c r="T152" s="78"/>
    </row>
    <row r="153" spans="2:20" x14ac:dyDescent="0.2">
      <c r="B153" s="767"/>
      <c r="C153" s="808" t="s">
        <v>100</v>
      </c>
      <c r="D153" s="336" t="s">
        <v>77</v>
      </c>
      <c r="E153" s="559">
        <v>66.359208999999993</v>
      </c>
      <c r="F153" s="324">
        <v>109.47661400000004</v>
      </c>
      <c r="G153" s="324">
        <v>190.479251</v>
      </c>
      <c r="H153" s="324">
        <v>53.361691999999998</v>
      </c>
      <c r="I153" s="324">
        <v>222.5821269999999</v>
      </c>
      <c r="J153" s="324">
        <v>202.88239200000004</v>
      </c>
      <c r="K153" s="324">
        <v>221.4469719999999</v>
      </c>
      <c r="L153" s="324">
        <v>274.218346</v>
      </c>
      <c r="M153" s="324">
        <v>284.01594299999988</v>
      </c>
      <c r="N153" s="487">
        <f>SUM(E153:M153)</f>
        <v>1624.8225459999999</v>
      </c>
      <c r="O153" s="78"/>
      <c r="P153" s="78"/>
      <c r="Q153" s="78"/>
      <c r="R153" s="78"/>
      <c r="S153" s="78"/>
      <c r="T153" s="78"/>
    </row>
    <row r="154" spans="2:20" x14ac:dyDescent="0.2">
      <c r="B154" s="767"/>
      <c r="C154" s="809"/>
      <c r="D154" s="336" t="s">
        <v>101</v>
      </c>
      <c r="E154" s="560">
        <v>720.54186799999945</v>
      </c>
      <c r="F154" s="288">
        <v>2382.4060699999991</v>
      </c>
      <c r="G154" s="288">
        <v>1499.1334419999998</v>
      </c>
      <c r="H154" s="288">
        <v>1007.7474809999986</v>
      </c>
      <c r="I154" s="288">
        <v>1972.0698619999996</v>
      </c>
      <c r="J154" s="288">
        <v>2216.7155540000008</v>
      </c>
      <c r="K154" s="288">
        <v>835.17465799999979</v>
      </c>
      <c r="L154" s="288">
        <v>1319.7437709999992</v>
      </c>
      <c r="M154" s="288">
        <v>907.82276399999955</v>
      </c>
      <c r="N154" s="487">
        <f>SUM(E154:M154)</f>
        <v>12861.355469999995</v>
      </c>
      <c r="O154" s="78"/>
      <c r="P154" s="78"/>
      <c r="Q154" s="78"/>
      <c r="R154" s="78"/>
      <c r="S154" s="78"/>
      <c r="T154" s="78"/>
    </row>
    <row r="155" spans="2:20" x14ac:dyDescent="0.2">
      <c r="B155" s="768"/>
      <c r="C155" s="71" t="s">
        <v>102</v>
      </c>
      <c r="D155" s="332"/>
      <c r="E155" s="534">
        <f t="shared" ref="E155:N155" si="50">SUM(E153:E154)</f>
        <v>786.90107699999942</v>
      </c>
      <c r="F155" s="535">
        <f t="shared" si="50"/>
        <v>2491.8826839999992</v>
      </c>
      <c r="G155" s="535">
        <f t="shared" si="50"/>
        <v>1689.6126929999998</v>
      </c>
      <c r="H155" s="535">
        <f t="shared" si="50"/>
        <v>1061.1091729999987</v>
      </c>
      <c r="I155" s="535">
        <f t="shared" si="50"/>
        <v>2194.6519889999995</v>
      </c>
      <c r="J155" s="535">
        <f t="shared" si="50"/>
        <v>2419.5979460000008</v>
      </c>
      <c r="K155" s="535">
        <f t="shared" si="50"/>
        <v>1056.6216299999996</v>
      </c>
      <c r="L155" s="535">
        <f t="shared" si="50"/>
        <v>1593.9621169999991</v>
      </c>
      <c r="M155" s="536">
        <f t="shared" si="50"/>
        <v>1191.8387069999994</v>
      </c>
      <c r="N155" s="536">
        <f t="shared" si="50"/>
        <v>14486.178015999994</v>
      </c>
      <c r="O155" s="78"/>
      <c r="P155" s="78"/>
      <c r="Q155" s="78"/>
      <c r="R155" s="78"/>
      <c r="S155" s="78"/>
      <c r="T155" s="78"/>
    </row>
    <row r="156" spans="2:20" ht="20.25" customHeight="1" x14ac:dyDescent="0.2">
      <c r="B156" s="72" t="s">
        <v>115</v>
      </c>
      <c r="C156" s="74"/>
      <c r="D156" s="73"/>
      <c r="E156" s="552">
        <f t="shared" ref="E156:N156" si="51">+E155+E152+E145</f>
        <v>8012.230935999999</v>
      </c>
      <c r="F156" s="552">
        <f t="shared" si="51"/>
        <v>14861.141480999997</v>
      </c>
      <c r="G156" s="552">
        <f t="shared" si="51"/>
        <v>11688.592399000008</v>
      </c>
      <c r="H156" s="552">
        <f t="shared" si="51"/>
        <v>8128.5827039999931</v>
      </c>
      <c r="I156" s="552">
        <f t="shared" si="51"/>
        <v>9428.0076350000018</v>
      </c>
      <c r="J156" s="552">
        <f t="shared" si="51"/>
        <v>10647.589891000007</v>
      </c>
      <c r="K156" s="552">
        <f t="shared" si="51"/>
        <v>11637.041533000003</v>
      </c>
      <c r="L156" s="552">
        <f t="shared" si="51"/>
        <v>13844.184590999997</v>
      </c>
      <c r="M156" s="552">
        <f t="shared" si="51"/>
        <v>9306.3618839999981</v>
      </c>
      <c r="N156" s="496">
        <f t="shared" si="51"/>
        <v>97553.733054000011</v>
      </c>
      <c r="O156" s="78"/>
      <c r="P156" s="78"/>
      <c r="Q156" s="78"/>
      <c r="R156" s="78"/>
      <c r="S156" s="78"/>
      <c r="T156" s="78"/>
    </row>
    <row r="157" spans="2:20" x14ac:dyDescent="0.2">
      <c r="B157" s="766">
        <v>2013</v>
      </c>
      <c r="C157" s="808" t="s">
        <v>97</v>
      </c>
      <c r="D157" s="337" t="s">
        <v>97</v>
      </c>
      <c r="E157" s="557">
        <v>2436.0433309999989</v>
      </c>
      <c r="F157" s="558">
        <v>4668.6858260000026</v>
      </c>
      <c r="G157" s="558">
        <v>4344.9563699999962</v>
      </c>
      <c r="H157" s="558">
        <v>2985.857632999996</v>
      </c>
      <c r="I157" s="558">
        <v>3591.0323299999959</v>
      </c>
      <c r="J157" s="558">
        <v>4032.1279229999986</v>
      </c>
      <c r="K157" s="558">
        <v>6671.5958329999939</v>
      </c>
      <c r="L157" s="558">
        <v>5305.8291839999983</v>
      </c>
      <c r="M157" s="558">
        <v>2556.946802999998</v>
      </c>
      <c r="N157" s="487">
        <f>SUM(E157:M157)</f>
        <v>36593.075232999981</v>
      </c>
      <c r="O157" s="78"/>
      <c r="P157" s="78"/>
      <c r="Q157" s="78"/>
      <c r="R157" s="78"/>
      <c r="S157" s="78"/>
      <c r="T157" s="78"/>
    </row>
    <row r="158" spans="2:20" x14ac:dyDescent="0.2">
      <c r="B158" s="767"/>
      <c r="C158" s="809"/>
      <c r="D158" s="338" t="s">
        <v>98</v>
      </c>
      <c r="E158" s="450">
        <v>232.87951799999999</v>
      </c>
      <c r="F158" s="261">
        <v>795.54777400000023</v>
      </c>
      <c r="G158" s="261">
        <v>492.68192200000016</v>
      </c>
      <c r="H158" s="261">
        <v>299.37467899999979</v>
      </c>
      <c r="I158" s="261">
        <v>401.5595610000002</v>
      </c>
      <c r="J158" s="261">
        <v>530.74359100000027</v>
      </c>
      <c r="K158" s="261">
        <v>654.31069200000002</v>
      </c>
      <c r="L158" s="261">
        <v>1498.1284319999988</v>
      </c>
      <c r="M158" s="261">
        <v>748.65403900000024</v>
      </c>
      <c r="N158" s="487">
        <f>SUM(E158:M158)</f>
        <v>5653.8802079999996</v>
      </c>
      <c r="O158" s="78"/>
      <c r="P158" s="78"/>
      <c r="Q158" s="78"/>
      <c r="R158" s="78"/>
      <c r="S158" s="78"/>
      <c r="T158" s="78"/>
    </row>
    <row r="159" spans="2:20" x14ac:dyDescent="0.2">
      <c r="B159" s="767"/>
      <c r="C159" s="69" t="s">
        <v>11</v>
      </c>
      <c r="D159" s="332"/>
      <c r="E159" s="554">
        <f t="shared" ref="E159:N159" si="52">SUM(E157:E158)</f>
        <v>2668.9228489999991</v>
      </c>
      <c r="F159" s="555">
        <f t="shared" si="52"/>
        <v>5464.2336000000032</v>
      </c>
      <c r="G159" s="555">
        <f t="shared" si="52"/>
        <v>4837.638291999996</v>
      </c>
      <c r="H159" s="555">
        <f t="shared" si="52"/>
        <v>3285.2323119999955</v>
      </c>
      <c r="I159" s="555">
        <f t="shared" si="52"/>
        <v>3992.5918909999959</v>
      </c>
      <c r="J159" s="555">
        <f t="shared" si="52"/>
        <v>4562.8715139999986</v>
      </c>
      <c r="K159" s="555">
        <f t="shared" si="52"/>
        <v>7325.906524999994</v>
      </c>
      <c r="L159" s="555">
        <f t="shared" si="52"/>
        <v>6803.957615999997</v>
      </c>
      <c r="M159" s="556">
        <f t="shared" si="52"/>
        <v>3305.600841999998</v>
      </c>
      <c r="N159" s="556">
        <f t="shared" si="52"/>
        <v>42246.955440999984</v>
      </c>
      <c r="O159" s="78"/>
      <c r="P159" s="78"/>
      <c r="Q159" s="78"/>
      <c r="R159" s="78"/>
      <c r="S159" s="78"/>
      <c r="T159" s="78"/>
    </row>
    <row r="160" spans="2:20" x14ac:dyDescent="0.2">
      <c r="B160" s="767"/>
      <c r="C160" s="808" t="s">
        <v>99</v>
      </c>
      <c r="D160" s="335" t="s">
        <v>0</v>
      </c>
      <c r="E160" s="261">
        <v>482.74226200000027</v>
      </c>
      <c r="F160" s="261">
        <v>1071.1863539999995</v>
      </c>
      <c r="G160" s="261">
        <v>1114.5192969999994</v>
      </c>
      <c r="H160" s="261">
        <v>578.22509000000002</v>
      </c>
      <c r="I160" s="261">
        <v>588.9782749999996</v>
      </c>
      <c r="J160" s="261">
        <v>639.87147199999993</v>
      </c>
      <c r="K160" s="261">
        <v>1829.4769350000013</v>
      </c>
      <c r="L160" s="261">
        <v>1330.7809470000013</v>
      </c>
      <c r="M160" s="261">
        <v>388.54788199999984</v>
      </c>
      <c r="N160" s="487">
        <f t="shared" ref="N160:N165" si="53">SUM(E160:M160)</f>
        <v>8024.3285140000007</v>
      </c>
      <c r="O160" s="78"/>
      <c r="P160" s="78"/>
      <c r="Q160" s="78"/>
      <c r="R160" s="78"/>
      <c r="S160" s="78"/>
      <c r="T160" s="78"/>
    </row>
    <row r="161" spans="2:20" x14ac:dyDescent="0.2">
      <c r="B161" s="767"/>
      <c r="C161" s="810"/>
      <c r="D161" s="336" t="s">
        <v>1</v>
      </c>
      <c r="E161" s="261">
        <v>1031.5538630000001</v>
      </c>
      <c r="F161" s="261">
        <v>2968.7504340000028</v>
      </c>
      <c r="G161" s="261">
        <v>2919.2666770000042</v>
      </c>
      <c r="H161" s="261">
        <v>2386.9251319999998</v>
      </c>
      <c r="I161" s="261">
        <v>1526.537242000001</v>
      </c>
      <c r="J161" s="261">
        <v>2079.606960000001</v>
      </c>
      <c r="K161" s="261">
        <v>2054.3076780000006</v>
      </c>
      <c r="L161" s="261">
        <v>4128.0534079999916</v>
      </c>
      <c r="M161" s="261">
        <v>1861.4508240000009</v>
      </c>
      <c r="N161" s="487">
        <f t="shared" si="53"/>
        <v>20956.452218000002</v>
      </c>
      <c r="O161" s="78"/>
      <c r="P161" s="78"/>
      <c r="Q161" s="78"/>
      <c r="R161" s="78"/>
      <c r="S161" s="78"/>
      <c r="T161" s="78"/>
    </row>
    <row r="162" spans="2:20" x14ac:dyDescent="0.2">
      <c r="B162" s="767"/>
      <c r="C162" s="810"/>
      <c r="D162" s="336" t="s">
        <v>2</v>
      </c>
      <c r="E162" s="261">
        <v>222.48760300000001</v>
      </c>
      <c r="F162" s="261">
        <v>864.32925799999919</v>
      </c>
      <c r="G162" s="261">
        <v>545.55016400000022</v>
      </c>
      <c r="H162" s="261">
        <v>484.41215099999999</v>
      </c>
      <c r="I162" s="261">
        <v>392.20712599999945</v>
      </c>
      <c r="J162" s="261">
        <v>273.18755999999991</v>
      </c>
      <c r="K162" s="261">
        <v>147.64044600000008</v>
      </c>
      <c r="L162" s="261">
        <v>243.63361799999984</v>
      </c>
      <c r="M162" s="261">
        <v>627.51492899999982</v>
      </c>
      <c r="N162" s="487">
        <f t="shared" si="53"/>
        <v>3800.9628549999979</v>
      </c>
      <c r="O162" s="78"/>
      <c r="P162" s="78"/>
      <c r="Q162" s="78"/>
      <c r="R162" s="78"/>
      <c r="S162" s="78"/>
      <c r="T162" s="78"/>
    </row>
    <row r="163" spans="2:20" x14ac:dyDescent="0.2">
      <c r="B163" s="767"/>
      <c r="C163" s="810"/>
      <c r="D163" s="336" t="s">
        <v>3</v>
      </c>
      <c r="E163" s="261">
        <v>0</v>
      </c>
      <c r="F163" s="261">
        <v>2.484224999999999</v>
      </c>
      <c r="G163" s="261">
        <v>327.41236600000076</v>
      </c>
      <c r="H163" s="261">
        <v>36.62458199999999</v>
      </c>
      <c r="I163" s="261">
        <v>3.5446289999999965</v>
      </c>
      <c r="J163" s="261">
        <v>112.07369900000022</v>
      </c>
      <c r="K163" s="261">
        <v>0</v>
      </c>
      <c r="L163" s="261">
        <v>3.208682</v>
      </c>
      <c r="M163" s="261">
        <v>40.630397999999985</v>
      </c>
      <c r="N163" s="487">
        <f t="shared" si="53"/>
        <v>525.97858100000087</v>
      </c>
      <c r="O163" s="78"/>
      <c r="P163" s="78"/>
      <c r="Q163" s="78"/>
      <c r="R163" s="78"/>
      <c r="S163" s="78"/>
      <c r="T163" s="78"/>
    </row>
    <row r="164" spans="2:20" x14ac:dyDescent="0.2">
      <c r="B164" s="767"/>
      <c r="C164" s="810"/>
      <c r="D164" s="336" t="s">
        <v>4</v>
      </c>
      <c r="E164" s="261">
        <v>198.25310900000002</v>
      </c>
      <c r="F164" s="261">
        <v>454.70082300000001</v>
      </c>
      <c r="G164" s="261">
        <v>569.56385100000034</v>
      </c>
      <c r="H164" s="261">
        <v>489.43105700000001</v>
      </c>
      <c r="I164" s="261">
        <v>434.3196640000001</v>
      </c>
      <c r="J164" s="261">
        <v>761.99638599999957</v>
      </c>
      <c r="K164" s="261">
        <v>254.52785200000005</v>
      </c>
      <c r="L164" s="261">
        <v>755.70907399999976</v>
      </c>
      <c r="M164" s="261">
        <v>544.1295020000008</v>
      </c>
      <c r="N164" s="487">
        <f t="shared" si="53"/>
        <v>4462.6313180000016</v>
      </c>
      <c r="O164" s="78"/>
      <c r="P164" s="78"/>
      <c r="Q164" s="78"/>
      <c r="R164" s="78"/>
      <c r="S164" s="78"/>
      <c r="T164" s="78"/>
    </row>
    <row r="165" spans="2:20" x14ac:dyDescent="0.2">
      <c r="B165" s="767"/>
      <c r="C165" s="809"/>
      <c r="D165" s="336" t="s">
        <v>5</v>
      </c>
      <c r="E165" s="261">
        <v>2511.3000020000031</v>
      </c>
      <c r="F165" s="261">
        <v>2141.4216080000015</v>
      </c>
      <c r="G165" s="261">
        <v>402.29629900000009</v>
      </c>
      <c r="H165" s="261">
        <v>661.78907900000024</v>
      </c>
      <c r="I165" s="261">
        <v>892.34745700000076</v>
      </c>
      <c r="J165" s="261">
        <v>1270.2445599999996</v>
      </c>
      <c r="K165" s="261">
        <v>497.29658900000004</v>
      </c>
      <c r="L165" s="261">
        <v>1044.1063309999997</v>
      </c>
      <c r="M165" s="261">
        <v>2094.6993909999978</v>
      </c>
      <c r="N165" s="487">
        <f t="shared" si="53"/>
        <v>11515.501316000002</v>
      </c>
      <c r="O165" s="78"/>
      <c r="P165" s="78"/>
      <c r="Q165" s="78"/>
      <c r="R165" s="78"/>
      <c r="S165" s="78"/>
      <c r="T165" s="78"/>
    </row>
    <row r="166" spans="2:20" x14ac:dyDescent="0.2">
      <c r="B166" s="767"/>
      <c r="C166" s="69" t="s">
        <v>6</v>
      </c>
      <c r="D166" s="332"/>
      <c r="E166" s="534">
        <f t="shared" ref="E166:N166" si="54">SUM(E160:E165)</f>
        <v>4446.3368390000032</v>
      </c>
      <c r="F166" s="535">
        <f t="shared" si="54"/>
        <v>7502.8727020000033</v>
      </c>
      <c r="G166" s="535">
        <f t="shared" si="54"/>
        <v>5878.6086540000051</v>
      </c>
      <c r="H166" s="535">
        <f t="shared" si="54"/>
        <v>4637.407091</v>
      </c>
      <c r="I166" s="535">
        <f t="shared" si="54"/>
        <v>3837.9343930000009</v>
      </c>
      <c r="J166" s="535">
        <f t="shared" si="54"/>
        <v>5136.9806370000006</v>
      </c>
      <c r="K166" s="535">
        <f t="shared" si="54"/>
        <v>4783.2495000000017</v>
      </c>
      <c r="L166" s="535">
        <f t="shared" si="54"/>
        <v>7505.4920599999923</v>
      </c>
      <c r="M166" s="536">
        <f t="shared" si="54"/>
        <v>5556.9729259999986</v>
      </c>
      <c r="N166" s="537">
        <f t="shared" si="54"/>
        <v>49285.854802000009</v>
      </c>
      <c r="O166" s="78"/>
      <c r="P166" s="78"/>
      <c r="Q166" s="78"/>
      <c r="R166" s="78"/>
      <c r="S166" s="78"/>
      <c r="T166" s="78"/>
    </row>
    <row r="167" spans="2:20" x14ac:dyDescent="0.2">
      <c r="B167" s="767"/>
      <c r="C167" s="808" t="s">
        <v>100</v>
      </c>
      <c r="D167" s="336" t="s">
        <v>77</v>
      </c>
      <c r="E167" s="261">
        <v>77.831861000000018</v>
      </c>
      <c r="F167" s="261">
        <v>158.32690300000004</v>
      </c>
      <c r="G167" s="261">
        <v>179.20949899999994</v>
      </c>
      <c r="H167" s="261">
        <v>75.079681999999977</v>
      </c>
      <c r="I167" s="261">
        <v>205.46360899999999</v>
      </c>
      <c r="J167" s="261">
        <v>236.07370699999996</v>
      </c>
      <c r="K167" s="261">
        <v>277.84414599999997</v>
      </c>
      <c r="L167" s="261">
        <v>277.14760000000001</v>
      </c>
      <c r="M167" s="261">
        <v>273.87778699999996</v>
      </c>
      <c r="N167" s="487">
        <f>SUM(E167:M167)</f>
        <v>1760.8547939999999</v>
      </c>
      <c r="O167" s="78"/>
      <c r="P167" s="78"/>
      <c r="Q167" s="78"/>
      <c r="R167" s="78"/>
      <c r="S167" s="78"/>
      <c r="T167" s="78"/>
    </row>
    <row r="168" spans="2:20" x14ac:dyDescent="0.2">
      <c r="B168" s="767"/>
      <c r="C168" s="809"/>
      <c r="D168" s="336" t="s">
        <v>101</v>
      </c>
      <c r="E168" s="261">
        <v>665.74788000000012</v>
      </c>
      <c r="F168" s="261">
        <v>2023.9056390000003</v>
      </c>
      <c r="G168" s="261">
        <v>1354.7820070000012</v>
      </c>
      <c r="H168" s="261">
        <v>1043.0701149999991</v>
      </c>
      <c r="I168" s="261">
        <v>1380.1601789999997</v>
      </c>
      <c r="J168" s="261">
        <v>1939.9979769999993</v>
      </c>
      <c r="K168" s="261">
        <v>824.93740100000002</v>
      </c>
      <c r="L168" s="261">
        <v>1671.6110300000003</v>
      </c>
      <c r="M168" s="261">
        <v>915.83129099999996</v>
      </c>
      <c r="N168" s="487">
        <f>SUM(E168:M168)</f>
        <v>11820.043518999999</v>
      </c>
      <c r="O168" s="78"/>
      <c r="P168" s="78"/>
      <c r="Q168" s="78"/>
      <c r="R168" s="78"/>
      <c r="S168" s="78"/>
      <c r="T168" s="78"/>
    </row>
    <row r="169" spans="2:20" x14ac:dyDescent="0.2">
      <c r="B169" s="768"/>
      <c r="C169" s="71" t="s">
        <v>102</v>
      </c>
      <c r="D169" s="332"/>
      <c r="E169" s="534">
        <f t="shared" ref="E169:N169" si="55">SUM(E167:E168)</f>
        <v>743.57974100000013</v>
      </c>
      <c r="F169" s="535">
        <f t="shared" si="55"/>
        <v>2182.2325420000002</v>
      </c>
      <c r="G169" s="535">
        <f t="shared" si="55"/>
        <v>1533.9915060000012</v>
      </c>
      <c r="H169" s="535">
        <f t="shared" si="55"/>
        <v>1118.1497969999991</v>
      </c>
      <c r="I169" s="535">
        <f t="shared" si="55"/>
        <v>1585.6237879999996</v>
      </c>
      <c r="J169" s="535">
        <f t="shared" si="55"/>
        <v>2176.0716839999991</v>
      </c>
      <c r="K169" s="535">
        <f t="shared" si="55"/>
        <v>1102.781547</v>
      </c>
      <c r="L169" s="535">
        <f t="shared" si="55"/>
        <v>1948.7586300000003</v>
      </c>
      <c r="M169" s="536">
        <f t="shared" si="55"/>
        <v>1189.7090779999999</v>
      </c>
      <c r="N169" s="536">
        <f t="shared" si="55"/>
        <v>13580.898312999998</v>
      </c>
      <c r="O169" s="78"/>
      <c r="P169" s="78"/>
      <c r="Q169" s="78"/>
      <c r="R169" s="78"/>
      <c r="S169" s="78"/>
      <c r="T169" s="78"/>
    </row>
    <row r="170" spans="2:20" ht="21.75" customHeight="1" x14ac:dyDescent="0.2">
      <c r="B170" s="72" t="s">
        <v>116</v>
      </c>
      <c r="C170" s="74"/>
      <c r="D170" s="73"/>
      <c r="E170" s="552">
        <f t="shared" ref="E170:N170" si="56">+E169+E166+E159</f>
        <v>7858.8394290000033</v>
      </c>
      <c r="F170" s="552">
        <f t="shared" si="56"/>
        <v>15149.338844000007</v>
      </c>
      <c r="G170" s="552">
        <f t="shared" si="56"/>
        <v>12250.238452000001</v>
      </c>
      <c r="H170" s="552">
        <f t="shared" si="56"/>
        <v>9040.7891999999956</v>
      </c>
      <c r="I170" s="552">
        <f t="shared" si="56"/>
        <v>9416.1500719999967</v>
      </c>
      <c r="J170" s="552">
        <f t="shared" si="56"/>
        <v>11875.923834999998</v>
      </c>
      <c r="K170" s="552">
        <f t="shared" si="56"/>
        <v>13211.937571999995</v>
      </c>
      <c r="L170" s="552">
        <f t="shared" si="56"/>
        <v>16258.20830599999</v>
      </c>
      <c r="M170" s="552">
        <f t="shared" si="56"/>
        <v>10052.282845999996</v>
      </c>
      <c r="N170" s="496">
        <f t="shared" si="56"/>
        <v>105113.708556</v>
      </c>
      <c r="O170" s="78"/>
      <c r="P170" s="78"/>
      <c r="Q170" s="78"/>
      <c r="R170" s="78"/>
      <c r="S170" s="78"/>
      <c r="T170" s="78"/>
    </row>
    <row r="171" spans="2:20" x14ac:dyDescent="0.2">
      <c r="B171" s="766">
        <v>2014</v>
      </c>
      <c r="C171" s="808" t="s">
        <v>97</v>
      </c>
      <c r="D171" s="337" t="s">
        <v>97</v>
      </c>
      <c r="E171" s="557">
        <v>2628.7509719999985</v>
      </c>
      <c r="F171" s="558">
        <v>5106.4217809999955</v>
      </c>
      <c r="G171" s="558">
        <v>4417.2825829999956</v>
      </c>
      <c r="H171" s="558">
        <v>3154.3614569999995</v>
      </c>
      <c r="I171" s="558">
        <v>3947.1128820000049</v>
      </c>
      <c r="J171" s="558">
        <v>4589.0215039999975</v>
      </c>
      <c r="K171" s="558">
        <v>7725.9622320000071</v>
      </c>
      <c r="L171" s="558">
        <v>6200.7358330000006</v>
      </c>
      <c r="M171" s="558">
        <v>2712.2697909999988</v>
      </c>
      <c r="N171" s="487">
        <f>SUM(E171:M171)</f>
        <v>40481.919034999992</v>
      </c>
      <c r="O171" s="78"/>
      <c r="P171" s="78"/>
      <c r="Q171" s="78"/>
      <c r="R171" s="78"/>
      <c r="S171" s="78"/>
      <c r="T171" s="78"/>
    </row>
    <row r="172" spans="2:20" x14ac:dyDescent="0.2">
      <c r="B172" s="767"/>
      <c r="C172" s="809"/>
      <c r="D172" s="338" t="s">
        <v>98</v>
      </c>
      <c r="E172" s="526">
        <v>282.95563699999991</v>
      </c>
      <c r="F172" s="476">
        <v>1000.9081310000005</v>
      </c>
      <c r="G172" s="476">
        <v>497.71533600000095</v>
      </c>
      <c r="H172" s="476">
        <v>387.15450399999997</v>
      </c>
      <c r="I172" s="476">
        <v>437.35815600000024</v>
      </c>
      <c r="J172" s="476">
        <v>626.97280300000136</v>
      </c>
      <c r="K172" s="476">
        <v>553.40444000000002</v>
      </c>
      <c r="L172" s="476">
        <v>1632.3379290000009</v>
      </c>
      <c r="M172" s="476">
        <v>816.47712599999909</v>
      </c>
      <c r="N172" s="487">
        <f>SUM(E172:M172)</f>
        <v>6235.2840620000034</v>
      </c>
      <c r="O172" s="78"/>
      <c r="P172" s="78"/>
      <c r="Q172" s="78"/>
      <c r="R172" s="78"/>
      <c r="S172" s="78"/>
      <c r="T172" s="78"/>
    </row>
    <row r="173" spans="2:20" x14ac:dyDescent="0.2">
      <c r="B173" s="767"/>
      <c r="C173" s="69" t="s">
        <v>11</v>
      </c>
      <c r="D173" s="332"/>
      <c r="E173" s="554">
        <f t="shared" ref="E173:N173" si="57">SUM(E171:E172)</f>
        <v>2911.7066089999985</v>
      </c>
      <c r="F173" s="555">
        <f t="shared" si="57"/>
        <v>6107.3299119999956</v>
      </c>
      <c r="G173" s="555">
        <f t="shared" si="57"/>
        <v>4914.9979189999967</v>
      </c>
      <c r="H173" s="555">
        <f t="shared" si="57"/>
        <v>3541.5159609999996</v>
      </c>
      <c r="I173" s="555">
        <f t="shared" si="57"/>
        <v>4384.4710380000051</v>
      </c>
      <c r="J173" s="555">
        <f t="shared" si="57"/>
        <v>5215.994306999999</v>
      </c>
      <c r="K173" s="555">
        <f t="shared" si="57"/>
        <v>8279.3666720000074</v>
      </c>
      <c r="L173" s="555">
        <f t="shared" si="57"/>
        <v>7833.0737620000018</v>
      </c>
      <c r="M173" s="556">
        <f t="shared" si="57"/>
        <v>3528.7469169999977</v>
      </c>
      <c r="N173" s="556">
        <f t="shared" si="57"/>
        <v>46717.203096999998</v>
      </c>
      <c r="O173" s="78"/>
      <c r="P173" s="78"/>
      <c r="Q173" s="78"/>
      <c r="R173" s="78"/>
      <c r="S173" s="78"/>
      <c r="T173" s="78"/>
    </row>
    <row r="174" spans="2:20" x14ac:dyDescent="0.2">
      <c r="B174" s="767"/>
      <c r="C174" s="808" t="s">
        <v>99</v>
      </c>
      <c r="D174" s="335" t="s">
        <v>0</v>
      </c>
      <c r="E174" s="524">
        <v>599.25207899999998</v>
      </c>
      <c r="F174" s="476">
        <v>1347.6631430000002</v>
      </c>
      <c r="G174" s="476">
        <v>1227.095137</v>
      </c>
      <c r="H174" s="476">
        <v>627.05811700000004</v>
      </c>
      <c r="I174" s="476">
        <v>891.21923399999946</v>
      </c>
      <c r="J174" s="476">
        <v>617.64580899999999</v>
      </c>
      <c r="K174" s="476">
        <v>2008.3934690000001</v>
      </c>
      <c r="L174" s="476">
        <v>1593.723268</v>
      </c>
      <c r="M174" s="476">
        <v>477.49616299999985</v>
      </c>
      <c r="N174" s="487">
        <f t="shared" ref="N174:N179" si="58">SUM(E174:M174)</f>
        <v>9389.5464189999984</v>
      </c>
      <c r="O174" s="78"/>
      <c r="P174" s="78"/>
      <c r="Q174" s="78"/>
      <c r="R174" s="78"/>
      <c r="S174" s="78"/>
      <c r="T174" s="78"/>
    </row>
    <row r="175" spans="2:20" x14ac:dyDescent="0.2">
      <c r="B175" s="767"/>
      <c r="C175" s="810"/>
      <c r="D175" s="336" t="s">
        <v>1</v>
      </c>
      <c r="E175" s="526">
        <v>1146.1183599999993</v>
      </c>
      <c r="F175" s="476">
        <v>3591.9260750000026</v>
      </c>
      <c r="G175" s="476">
        <v>3167.7610170000044</v>
      </c>
      <c r="H175" s="476">
        <v>2937.3824400000003</v>
      </c>
      <c r="I175" s="476">
        <v>1844.3594940000005</v>
      </c>
      <c r="J175" s="476">
        <v>2548.0383600000014</v>
      </c>
      <c r="K175" s="476">
        <v>2732.7450580000004</v>
      </c>
      <c r="L175" s="476">
        <v>4997.7657370000006</v>
      </c>
      <c r="M175" s="476">
        <v>2423.5720599999986</v>
      </c>
      <c r="N175" s="487">
        <f t="shared" si="58"/>
        <v>25389.668601000008</v>
      </c>
      <c r="O175" s="78"/>
      <c r="P175" s="78"/>
      <c r="Q175" s="78"/>
      <c r="R175" s="78"/>
      <c r="S175" s="78"/>
      <c r="T175" s="78"/>
    </row>
    <row r="176" spans="2:20" x14ac:dyDescent="0.2">
      <c r="B176" s="767"/>
      <c r="C176" s="810"/>
      <c r="D176" s="336" t="s">
        <v>2</v>
      </c>
      <c r="E176" s="526">
        <v>255.59679700000004</v>
      </c>
      <c r="F176" s="476">
        <v>836.70596999999862</v>
      </c>
      <c r="G176" s="476">
        <v>607.11553700000013</v>
      </c>
      <c r="H176" s="476">
        <v>625.93132600000058</v>
      </c>
      <c r="I176" s="476">
        <v>426.3639819999994</v>
      </c>
      <c r="J176" s="476">
        <v>391.63046299999974</v>
      </c>
      <c r="K176" s="476">
        <v>159.93923900000001</v>
      </c>
      <c r="L176" s="476">
        <v>257.46154400000017</v>
      </c>
      <c r="M176" s="476">
        <v>615.71271599999966</v>
      </c>
      <c r="N176" s="487">
        <f t="shared" si="58"/>
        <v>4176.4575739999991</v>
      </c>
      <c r="O176" s="78"/>
      <c r="P176" s="78"/>
      <c r="Q176" s="78"/>
      <c r="R176" s="78"/>
      <c r="S176" s="78"/>
      <c r="T176" s="78"/>
    </row>
    <row r="177" spans="2:20" x14ac:dyDescent="0.2">
      <c r="B177" s="767"/>
      <c r="C177" s="810"/>
      <c r="D177" s="336" t="s">
        <v>3</v>
      </c>
      <c r="E177" s="526">
        <v>0</v>
      </c>
      <c r="F177" s="476">
        <v>9.4108780000000003</v>
      </c>
      <c r="G177" s="476">
        <v>358.60238500000008</v>
      </c>
      <c r="H177" s="476">
        <v>31.700511999999993</v>
      </c>
      <c r="I177" s="476">
        <v>2.932961999999999</v>
      </c>
      <c r="J177" s="476">
        <v>95.170052999999953</v>
      </c>
      <c r="K177" s="561">
        <v>0</v>
      </c>
      <c r="L177" s="476">
        <v>1.4367639999999999</v>
      </c>
      <c r="M177" s="476">
        <v>36.538905</v>
      </c>
      <c r="N177" s="487">
        <f t="shared" si="58"/>
        <v>535.79245900000001</v>
      </c>
      <c r="O177" s="78"/>
      <c r="P177" s="78"/>
      <c r="Q177" s="78"/>
      <c r="R177" s="78"/>
      <c r="S177" s="78"/>
      <c r="T177" s="78"/>
    </row>
    <row r="178" spans="2:20" x14ac:dyDescent="0.2">
      <c r="B178" s="767"/>
      <c r="C178" s="810"/>
      <c r="D178" s="336" t="s">
        <v>4</v>
      </c>
      <c r="E178" s="526">
        <v>293.56480800000003</v>
      </c>
      <c r="F178" s="476">
        <v>573.06411900000001</v>
      </c>
      <c r="G178" s="476">
        <v>591.65934700000003</v>
      </c>
      <c r="H178" s="476">
        <v>505.45166899999987</v>
      </c>
      <c r="I178" s="476">
        <v>565.51601299999993</v>
      </c>
      <c r="J178" s="476">
        <v>878.43314599999962</v>
      </c>
      <c r="K178" s="476">
        <v>248.87030300000001</v>
      </c>
      <c r="L178" s="476">
        <v>868.99271900000008</v>
      </c>
      <c r="M178" s="476">
        <v>609.34088200000008</v>
      </c>
      <c r="N178" s="487">
        <f t="shared" si="58"/>
        <v>5134.8930060000002</v>
      </c>
      <c r="O178" s="78"/>
      <c r="P178" s="78"/>
      <c r="Q178" s="78"/>
      <c r="R178" s="78"/>
      <c r="S178" s="78"/>
      <c r="T178" s="78"/>
    </row>
    <row r="179" spans="2:20" x14ac:dyDescent="0.2">
      <c r="B179" s="767"/>
      <c r="C179" s="809"/>
      <c r="D179" s="336" t="s">
        <v>5</v>
      </c>
      <c r="E179" s="527">
        <v>1631.8980009999993</v>
      </c>
      <c r="F179" s="476">
        <v>3019.1408670000001</v>
      </c>
      <c r="G179" s="476">
        <v>500.9544800000001</v>
      </c>
      <c r="H179" s="476">
        <v>863.69530799999995</v>
      </c>
      <c r="I179" s="476">
        <v>1106.884755</v>
      </c>
      <c r="J179" s="476">
        <v>1492.8713579999999</v>
      </c>
      <c r="K179" s="476">
        <v>463.26827100000003</v>
      </c>
      <c r="L179" s="476">
        <v>1249.1727240000007</v>
      </c>
      <c r="M179" s="476">
        <v>2438.2271029999984</v>
      </c>
      <c r="N179" s="487">
        <f t="shared" si="58"/>
        <v>12766.112867</v>
      </c>
      <c r="O179" s="78"/>
      <c r="P179" s="78"/>
      <c r="Q179" s="78"/>
      <c r="R179" s="78"/>
      <c r="S179" s="78"/>
      <c r="T179" s="78"/>
    </row>
    <row r="180" spans="2:20" x14ac:dyDescent="0.2">
      <c r="B180" s="767"/>
      <c r="C180" s="69" t="s">
        <v>6</v>
      </c>
      <c r="D180" s="332"/>
      <c r="E180" s="534">
        <f t="shared" ref="E180:N180" si="59">SUM(E174:E179)</f>
        <v>3926.4300449999992</v>
      </c>
      <c r="F180" s="535">
        <f t="shared" si="59"/>
        <v>9377.9110520000013</v>
      </c>
      <c r="G180" s="535">
        <f t="shared" si="59"/>
        <v>6453.1879030000046</v>
      </c>
      <c r="H180" s="535">
        <f t="shared" si="59"/>
        <v>5591.2193720000014</v>
      </c>
      <c r="I180" s="535">
        <f t="shared" si="59"/>
        <v>4837.2764399999996</v>
      </c>
      <c r="J180" s="535">
        <f t="shared" si="59"/>
        <v>6023.789189000001</v>
      </c>
      <c r="K180" s="535">
        <f t="shared" si="59"/>
        <v>5613.2163400000009</v>
      </c>
      <c r="L180" s="535">
        <f t="shared" si="59"/>
        <v>8968.552756000001</v>
      </c>
      <c r="M180" s="536">
        <f t="shared" si="59"/>
        <v>6600.8878289999966</v>
      </c>
      <c r="N180" s="537">
        <f t="shared" si="59"/>
        <v>57392.470925999995</v>
      </c>
      <c r="O180" s="78"/>
      <c r="P180" s="78"/>
      <c r="Q180" s="78"/>
      <c r="R180" s="78"/>
      <c r="S180" s="78"/>
      <c r="T180" s="78"/>
    </row>
    <row r="181" spans="2:20" x14ac:dyDescent="0.2">
      <c r="B181" s="767"/>
      <c r="C181" s="808" t="s">
        <v>100</v>
      </c>
      <c r="D181" s="336" t="s">
        <v>77</v>
      </c>
      <c r="E181" s="526">
        <v>76.40724299999998</v>
      </c>
      <c r="F181" s="476">
        <v>176.67098000000004</v>
      </c>
      <c r="G181" s="476">
        <v>224.80342400000004</v>
      </c>
      <c r="H181" s="476">
        <v>85.266086999999985</v>
      </c>
      <c r="I181" s="476">
        <v>219.96087800000012</v>
      </c>
      <c r="J181" s="476">
        <v>260.89916399999993</v>
      </c>
      <c r="K181" s="476">
        <v>220.26186499999994</v>
      </c>
      <c r="L181" s="476">
        <v>298.8014510000001</v>
      </c>
      <c r="M181" s="476">
        <v>282.56620199999969</v>
      </c>
      <c r="N181" s="487">
        <f>SUM(E181:M181)</f>
        <v>1845.6372939999997</v>
      </c>
      <c r="O181" s="78"/>
      <c r="P181" s="78"/>
      <c r="Q181" s="78"/>
      <c r="R181" s="78"/>
      <c r="S181" s="78"/>
      <c r="T181" s="78"/>
    </row>
    <row r="182" spans="2:20" x14ac:dyDescent="0.2">
      <c r="B182" s="767"/>
      <c r="C182" s="809"/>
      <c r="D182" s="336" t="s">
        <v>101</v>
      </c>
      <c r="E182" s="527">
        <v>651.53266900000006</v>
      </c>
      <c r="F182" s="476">
        <v>2208.9329769999999</v>
      </c>
      <c r="G182" s="476">
        <v>1463.0701399999998</v>
      </c>
      <c r="H182" s="476">
        <v>1151.2028700000008</v>
      </c>
      <c r="I182" s="476">
        <v>1561.1974550000009</v>
      </c>
      <c r="J182" s="476">
        <v>1908.6908500000009</v>
      </c>
      <c r="K182" s="476">
        <v>885.96870700000011</v>
      </c>
      <c r="L182" s="476">
        <v>903.81818000000078</v>
      </c>
      <c r="M182" s="476">
        <v>1029.1242439999996</v>
      </c>
      <c r="N182" s="487">
        <f>SUM(E182:M182)</f>
        <v>11763.538092000003</v>
      </c>
      <c r="O182" s="78"/>
      <c r="P182" s="78"/>
      <c r="Q182" s="78"/>
      <c r="R182" s="78"/>
      <c r="S182" s="78"/>
      <c r="T182" s="78"/>
    </row>
    <row r="183" spans="2:20" x14ac:dyDescent="0.2">
      <c r="B183" s="768"/>
      <c r="C183" s="71" t="s">
        <v>102</v>
      </c>
      <c r="D183" s="332"/>
      <c r="E183" s="534">
        <f t="shared" ref="E183:N183" si="60">SUM(E181:E182)</f>
        <v>727.93991200000005</v>
      </c>
      <c r="F183" s="535">
        <f t="shared" si="60"/>
        <v>2385.6039569999998</v>
      </c>
      <c r="G183" s="535">
        <f t="shared" si="60"/>
        <v>1687.8735639999998</v>
      </c>
      <c r="H183" s="535">
        <f t="shared" si="60"/>
        <v>1236.4689570000007</v>
      </c>
      <c r="I183" s="535">
        <f t="shared" si="60"/>
        <v>1781.158333000001</v>
      </c>
      <c r="J183" s="535">
        <f t="shared" si="60"/>
        <v>2169.5900140000008</v>
      </c>
      <c r="K183" s="535">
        <f t="shared" si="60"/>
        <v>1106.2305719999999</v>
      </c>
      <c r="L183" s="535">
        <f t="shared" si="60"/>
        <v>1202.6196310000009</v>
      </c>
      <c r="M183" s="536">
        <f t="shared" si="60"/>
        <v>1311.6904459999994</v>
      </c>
      <c r="N183" s="536">
        <f t="shared" si="60"/>
        <v>13609.175386000003</v>
      </c>
      <c r="O183" s="78"/>
      <c r="P183" s="78"/>
      <c r="Q183" s="78"/>
      <c r="R183" s="78"/>
      <c r="S183" s="78"/>
      <c r="T183" s="78"/>
    </row>
    <row r="184" spans="2:20" ht="20.25" customHeight="1" x14ac:dyDescent="0.2">
      <c r="B184" s="72" t="s">
        <v>648</v>
      </c>
      <c r="C184" s="74"/>
      <c r="D184" s="73"/>
      <c r="E184" s="552">
        <f t="shared" ref="E184:N184" si="61">+E183+E180+E173</f>
        <v>7566.0765659999979</v>
      </c>
      <c r="F184" s="552">
        <f t="shared" si="61"/>
        <v>17870.844920999996</v>
      </c>
      <c r="G184" s="552">
        <f t="shared" si="61"/>
        <v>13056.059386000001</v>
      </c>
      <c r="H184" s="552">
        <f t="shared" si="61"/>
        <v>10369.204290000001</v>
      </c>
      <c r="I184" s="552">
        <f t="shared" si="61"/>
        <v>11002.905811000006</v>
      </c>
      <c r="J184" s="552">
        <f t="shared" si="61"/>
        <v>13409.373510000001</v>
      </c>
      <c r="K184" s="552">
        <f t="shared" si="61"/>
        <v>14998.813584000009</v>
      </c>
      <c r="L184" s="552">
        <f t="shared" si="61"/>
        <v>18004.246149000006</v>
      </c>
      <c r="M184" s="552">
        <f t="shared" si="61"/>
        <v>11441.325191999993</v>
      </c>
      <c r="N184" s="496">
        <f t="shared" si="61"/>
        <v>117718.84940899999</v>
      </c>
      <c r="O184" s="78"/>
      <c r="P184" s="78"/>
      <c r="Q184" s="78"/>
      <c r="R184" s="78"/>
      <c r="S184" s="78"/>
      <c r="T184" s="78"/>
    </row>
    <row r="185" spans="2:20" x14ac:dyDescent="0.2">
      <c r="B185" s="766">
        <v>2015</v>
      </c>
      <c r="C185" s="808" t="s">
        <v>97</v>
      </c>
      <c r="D185" s="337" t="s">
        <v>97</v>
      </c>
      <c r="E185" s="557">
        <v>2624.1442209999982</v>
      </c>
      <c r="F185" s="558">
        <v>4841.9047430000091</v>
      </c>
      <c r="G185" s="558">
        <v>4321.8372110000064</v>
      </c>
      <c r="H185" s="558">
        <v>3436.9525250000033</v>
      </c>
      <c r="I185" s="558">
        <v>3866.1527859999997</v>
      </c>
      <c r="J185" s="558">
        <v>4574.1193620000058</v>
      </c>
      <c r="K185" s="558">
        <v>7340.4430849999953</v>
      </c>
      <c r="L185" s="558">
        <v>5244.9731759999959</v>
      </c>
      <c r="M185" s="558">
        <v>2805.3770629999976</v>
      </c>
      <c r="N185" s="487">
        <f>SUM(E185:M185)</f>
        <v>39055.904172000017</v>
      </c>
      <c r="O185" s="78"/>
      <c r="P185" s="78"/>
      <c r="Q185" s="78"/>
      <c r="R185" s="78"/>
      <c r="S185" s="78"/>
      <c r="T185" s="78"/>
    </row>
    <row r="186" spans="2:20" x14ac:dyDescent="0.2">
      <c r="B186" s="767"/>
      <c r="C186" s="809"/>
      <c r="D186" s="338" t="s">
        <v>98</v>
      </c>
      <c r="E186" s="526">
        <v>247.11182399999996</v>
      </c>
      <c r="F186" s="476">
        <v>807.73571200000072</v>
      </c>
      <c r="G186" s="476">
        <v>529.43850900000018</v>
      </c>
      <c r="H186" s="476">
        <v>390.83674799999989</v>
      </c>
      <c r="I186" s="476">
        <v>533.99691200000075</v>
      </c>
      <c r="J186" s="476">
        <v>550.06160000000068</v>
      </c>
      <c r="K186" s="476">
        <v>504.08733899999964</v>
      </c>
      <c r="L186" s="476">
        <v>1479.5568699999994</v>
      </c>
      <c r="M186" s="476">
        <v>847.45644299999935</v>
      </c>
      <c r="N186" s="487">
        <f>SUM(E186:M186)</f>
        <v>5890.2819570000001</v>
      </c>
      <c r="O186" s="78"/>
      <c r="P186" s="78"/>
      <c r="Q186" s="78"/>
      <c r="R186" s="78"/>
      <c r="S186" s="78"/>
      <c r="T186" s="78"/>
    </row>
    <row r="187" spans="2:20" x14ac:dyDescent="0.2">
      <c r="B187" s="767"/>
      <c r="C187" s="69" t="s">
        <v>11</v>
      </c>
      <c r="D187" s="332"/>
      <c r="E187" s="554">
        <f t="shared" ref="E187:N187" si="62">SUM(E185:E186)</f>
        <v>2871.2560449999983</v>
      </c>
      <c r="F187" s="555">
        <f t="shared" si="62"/>
        <v>5649.6404550000098</v>
      </c>
      <c r="G187" s="555">
        <f t="shared" si="62"/>
        <v>4851.2757200000069</v>
      </c>
      <c r="H187" s="555">
        <f t="shared" si="62"/>
        <v>3827.789273000003</v>
      </c>
      <c r="I187" s="555">
        <f t="shared" si="62"/>
        <v>4400.1496980000002</v>
      </c>
      <c r="J187" s="555">
        <f t="shared" si="62"/>
        <v>5124.1809620000067</v>
      </c>
      <c r="K187" s="555">
        <f t="shared" si="62"/>
        <v>7844.530423999995</v>
      </c>
      <c r="L187" s="555">
        <f t="shared" si="62"/>
        <v>6724.5300459999953</v>
      </c>
      <c r="M187" s="556">
        <f t="shared" si="62"/>
        <v>3652.8335059999972</v>
      </c>
      <c r="N187" s="556">
        <f t="shared" si="62"/>
        <v>44946.186129000016</v>
      </c>
      <c r="O187" s="78"/>
      <c r="P187" s="78"/>
      <c r="Q187" s="78"/>
      <c r="R187" s="78"/>
      <c r="S187" s="78"/>
      <c r="T187" s="78"/>
    </row>
    <row r="188" spans="2:20" x14ac:dyDescent="0.2">
      <c r="B188" s="767"/>
      <c r="C188" s="808" t="s">
        <v>99</v>
      </c>
      <c r="D188" s="335" t="s">
        <v>0</v>
      </c>
      <c r="E188" s="524">
        <v>672.72091300000068</v>
      </c>
      <c r="F188" s="476">
        <v>1607.4274520000004</v>
      </c>
      <c r="G188" s="476">
        <v>1484.9249870000006</v>
      </c>
      <c r="H188" s="476">
        <v>585.26770899999985</v>
      </c>
      <c r="I188" s="476">
        <v>1016.8219790000002</v>
      </c>
      <c r="J188" s="476">
        <v>705.04082799999981</v>
      </c>
      <c r="K188" s="476">
        <v>1812.4961619999995</v>
      </c>
      <c r="L188" s="476">
        <v>1936.6831979999999</v>
      </c>
      <c r="M188" s="476">
        <v>418.56888400000003</v>
      </c>
      <c r="N188" s="487">
        <f t="shared" ref="N188:N193" si="63">SUM(E188:M188)</f>
        <v>10239.952112000001</v>
      </c>
      <c r="O188" s="78"/>
      <c r="P188" s="78"/>
      <c r="Q188" s="78"/>
      <c r="R188" s="78"/>
      <c r="S188" s="78"/>
      <c r="T188" s="78"/>
    </row>
    <row r="189" spans="2:20" x14ac:dyDescent="0.2">
      <c r="B189" s="767"/>
      <c r="C189" s="810"/>
      <c r="D189" s="336" t="s">
        <v>1</v>
      </c>
      <c r="E189" s="526">
        <v>1483.196664999999</v>
      </c>
      <c r="F189" s="528">
        <v>3801.857126000004</v>
      </c>
      <c r="G189" s="476">
        <v>3855.930126999996</v>
      </c>
      <c r="H189" s="476">
        <v>3008.4774659999989</v>
      </c>
      <c r="I189" s="476">
        <v>2007.6804690000004</v>
      </c>
      <c r="J189" s="476">
        <v>3191.308958000001</v>
      </c>
      <c r="K189" s="476">
        <v>3220.5287470000003</v>
      </c>
      <c r="L189" s="529">
        <v>4811.428600000002</v>
      </c>
      <c r="M189" s="476">
        <v>2367.8129680000011</v>
      </c>
      <c r="N189" s="487">
        <f t="shared" si="63"/>
        <v>27748.221126000004</v>
      </c>
      <c r="O189" s="78"/>
      <c r="P189" s="78"/>
      <c r="Q189" s="78"/>
      <c r="R189" s="78"/>
      <c r="S189" s="78"/>
      <c r="T189" s="78"/>
    </row>
    <row r="190" spans="2:20" x14ac:dyDescent="0.2">
      <c r="B190" s="767"/>
      <c r="C190" s="810"/>
      <c r="D190" s="336" t="s">
        <v>2</v>
      </c>
      <c r="E190" s="526">
        <v>127.99122800000001</v>
      </c>
      <c r="F190" s="476">
        <v>526.97715700000015</v>
      </c>
      <c r="G190" s="476">
        <v>564.94419500000015</v>
      </c>
      <c r="H190" s="476">
        <v>604.94377899999949</v>
      </c>
      <c r="I190" s="476">
        <v>455.25588300000021</v>
      </c>
      <c r="J190" s="476">
        <v>1021.5260710000001</v>
      </c>
      <c r="K190" s="476">
        <v>157.31274499999998</v>
      </c>
      <c r="L190" s="476">
        <v>292.91529400000002</v>
      </c>
      <c r="M190" s="476">
        <v>598.00429200000042</v>
      </c>
      <c r="N190" s="487">
        <f t="shared" si="63"/>
        <v>4349.8706440000005</v>
      </c>
      <c r="O190" s="78"/>
      <c r="P190" s="78"/>
      <c r="Q190" s="78"/>
      <c r="R190" s="78"/>
      <c r="S190" s="78"/>
      <c r="T190" s="78"/>
    </row>
    <row r="191" spans="2:20" x14ac:dyDescent="0.2">
      <c r="B191" s="767"/>
      <c r="C191" s="810"/>
      <c r="D191" s="336" t="s">
        <v>3</v>
      </c>
      <c r="E191" s="562" t="s">
        <v>260</v>
      </c>
      <c r="F191" s="476">
        <v>12.615984000000001</v>
      </c>
      <c r="G191" s="476">
        <v>308.94082800000012</v>
      </c>
      <c r="H191" s="476">
        <v>43.641362999999991</v>
      </c>
      <c r="I191" s="476">
        <v>3.9951960000000017</v>
      </c>
      <c r="J191" s="476">
        <v>65.280411000000015</v>
      </c>
      <c r="K191" s="563" t="s">
        <v>260</v>
      </c>
      <c r="L191" s="476">
        <v>5.2553260000000002</v>
      </c>
      <c r="M191" s="476">
        <v>39.67409199999998</v>
      </c>
      <c r="N191" s="487">
        <f t="shared" si="63"/>
        <v>479.4032000000002</v>
      </c>
      <c r="O191" s="78"/>
      <c r="P191" s="78"/>
      <c r="Q191" s="78"/>
      <c r="R191" s="78"/>
      <c r="S191" s="78"/>
      <c r="T191" s="78"/>
    </row>
    <row r="192" spans="2:20" x14ac:dyDescent="0.2">
      <c r="B192" s="767"/>
      <c r="C192" s="810"/>
      <c r="D192" s="336" t="s">
        <v>4</v>
      </c>
      <c r="E192" s="526">
        <v>175.87676299999998</v>
      </c>
      <c r="F192" s="476">
        <v>594.66801400000031</v>
      </c>
      <c r="G192" s="476">
        <v>461.35447499999992</v>
      </c>
      <c r="H192" s="476">
        <v>636.69996500000036</v>
      </c>
      <c r="I192" s="476">
        <v>686.27418000000034</v>
      </c>
      <c r="J192" s="476">
        <v>926.84965799999986</v>
      </c>
      <c r="K192" s="476">
        <v>143.12216900000001</v>
      </c>
      <c r="L192" s="476">
        <v>829.17177599999991</v>
      </c>
      <c r="M192" s="476">
        <v>740.05730700000004</v>
      </c>
      <c r="N192" s="487">
        <f t="shared" si="63"/>
        <v>5194.0743070000008</v>
      </c>
      <c r="O192" s="78"/>
      <c r="P192" s="78"/>
      <c r="Q192" s="78"/>
      <c r="R192" s="78"/>
      <c r="S192" s="78"/>
      <c r="T192" s="78"/>
    </row>
    <row r="193" spans="2:20" x14ac:dyDescent="0.2">
      <c r="B193" s="767"/>
      <c r="C193" s="809"/>
      <c r="D193" s="336" t="s">
        <v>5</v>
      </c>
      <c r="E193" s="527">
        <v>994.66851199999996</v>
      </c>
      <c r="F193" s="476">
        <v>5666.1314340000026</v>
      </c>
      <c r="G193" s="476">
        <v>867.9828660000004</v>
      </c>
      <c r="H193" s="476">
        <v>1071.8701909999993</v>
      </c>
      <c r="I193" s="476">
        <v>1250.953297</v>
      </c>
      <c r="J193" s="476">
        <v>1887.8498489999999</v>
      </c>
      <c r="K193" s="476">
        <v>500.74676599999998</v>
      </c>
      <c r="L193" s="476">
        <v>1600.8271929999983</v>
      </c>
      <c r="M193" s="476">
        <v>2303.6105099999977</v>
      </c>
      <c r="N193" s="487">
        <f t="shared" si="63"/>
        <v>16144.640618000001</v>
      </c>
      <c r="O193" s="78"/>
      <c r="P193" s="78"/>
      <c r="Q193" s="78"/>
      <c r="R193" s="78"/>
      <c r="S193" s="78"/>
      <c r="T193" s="78"/>
    </row>
    <row r="194" spans="2:20" x14ac:dyDescent="0.2">
      <c r="B194" s="767"/>
      <c r="C194" s="69" t="s">
        <v>6</v>
      </c>
      <c r="D194" s="332"/>
      <c r="E194" s="534">
        <f t="shared" ref="E194:N194" si="64">SUM(E188:E193)</f>
        <v>3454.4540809999999</v>
      </c>
      <c r="F194" s="535">
        <f t="shared" si="64"/>
        <v>12209.677167000007</v>
      </c>
      <c r="G194" s="535">
        <f t="shared" si="64"/>
        <v>7544.0774779999965</v>
      </c>
      <c r="H194" s="535">
        <f t="shared" si="64"/>
        <v>5950.9004729999979</v>
      </c>
      <c r="I194" s="535">
        <f t="shared" si="64"/>
        <v>5420.9810040000011</v>
      </c>
      <c r="J194" s="535">
        <f t="shared" si="64"/>
        <v>7797.8557750000009</v>
      </c>
      <c r="K194" s="535">
        <f t="shared" si="64"/>
        <v>5834.2065890000003</v>
      </c>
      <c r="L194" s="535">
        <f t="shared" si="64"/>
        <v>9476.2813870000009</v>
      </c>
      <c r="M194" s="536">
        <f t="shared" si="64"/>
        <v>6467.7280529999998</v>
      </c>
      <c r="N194" s="537">
        <f t="shared" si="64"/>
        <v>64156.162007000006</v>
      </c>
      <c r="O194" s="78"/>
      <c r="P194" s="78"/>
      <c r="Q194" s="78"/>
      <c r="R194" s="78"/>
      <c r="S194" s="78"/>
      <c r="T194" s="78"/>
    </row>
    <row r="195" spans="2:20" x14ac:dyDescent="0.2">
      <c r="B195" s="767"/>
      <c r="C195" s="808" t="s">
        <v>100</v>
      </c>
      <c r="D195" s="336" t="s">
        <v>77</v>
      </c>
      <c r="E195" s="526">
        <v>62.528874999999992</v>
      </c>
      <c r="F195" s="476">
        <v>181.55430999999999</v>
      </c>
      <c r="G195" s="476">
        <v>199.50532799999996</v>
      </c>
      <c r="H195" s="476">
        <v>84.607572000000047</v>
      </c>
      <c r="I195" s="476">
        <v>245.13651100000001</v>
      </c>
      <c r="J195" s="476">
        <v>276.65639499999963</v>
      </c>
      <c r="K195" s="476">
        <v>224.66779300000005</v>
      </c>
      <c r="L195" s="476">
        <v>319.68562699999978</v>
      </c>
      <c r="M195" s="476">
        <v>282.64765600000004</v>
      </c>
      <c r="N195" s="487">
        <f>SUM(E195:M195)</f>
        <v>1876.9900669999997</v>
      </c>
      <c r="O195" s="78"/>
      <c r="P195" s="78"/>
      <c r="Q195" s="78"/>
      <c r="R195" s="78"/>
      <c r="S195" s="78"/>
      <c r="T195" s="78"/>
    </row>
    <row r="196" spans="2:20" x14ac:dyDescent="0.2">
      <c r="B196" s="767"/>
      <c r="C196" s="809"/>
      <c r="D196" s="336" t="s">
        <v>101</v>
      </c>
      <c r="E196" s="527">
        <v>545.87701800000036</v>
      </c>
      <c r="F196" s="476">
        <v>1965.4888229999995</v>
      </c>
      <c r="G196" s="476">
        <v>1439.3972120000012</v>
      </c>
      <c r="H196" s="476">
        <v>820.78540999999973</v>
      </c>
      <c r="I196" s="476">
        <v>1556.7942740000005</v>
      </c>
      <c r="J196" s="476">
        <v>1927.1481059999992</v>
      </c>
      <c r="K196" s="476">
        <v>1054.3581439999996</v>
      </c>
      <c r="L196" s="476">
        <v>951.36278600000048</v>
      </c>
      <c r="M196" s="476">
        <v>1043.9940069999996</v>
      </c>
      <c r="N196" s="487">
        <f>SUM(E196:M196)</f>
        <v>11305.20578</v>
      </c>
      <c r="O196" s="78"/>
      <c r="P196" s="78"/>
      <c r="Q196" s="78"/>
      <c r="R196" s="78"/>
      <c r="S196" s="78"/>
      <c r="T196" s="78"/>
    </row>
    <row r="197" spans="2:20" x14ac:dyDescent="0.2">
      <c r="B197" s="768"/>
      <c r="C197" s="71" t="s">
        <v>102</v>
      </c>
      <c r="D197" s="332"/>
      <c r="E197" s="534">
        <f t="shared" ref="E197:N197" si="65">SUM(E195:E196)</f>
        <v>608.40589300000033</v>
      </c>
      <c r="F197" s="535">
        <f t="shared" si="65"/>
        <v>2147.0431329999992</v>
      </c>
      <c r="G197" s="535">
        <f t="shared" si="65"/>
        <v>1638.9025400000012</v>
      </c>
      <c r="H197" s="535">
        <f t="shared" si="65"/>
        <v>905.39298199999973</v>
      </c>
      <c r="I197" s="535">
        <f t="shared" si="65"/>
        <v>1801.9307850000005</v>
      </c>
      <c r="J197" s="535">
        <f t="shared" si="65"/>
        <v>2203.8045009999987</v>
      </c>
      <c r="K197" s="535">
        <f t="shared" si="65"/>
        <v>1279.0259369999997</v>
      </c>
      <c r="L197" s="535">
        <f t="shared" si="65"/>
        <v>1271.0484130000002</v>
      </c>
      <c r="M197" s="536">
        <f t="shared" si="65"/>
        <v>1326.6416629999997</v>
      </c>
      <c r="N197" s="536">
        <f t="shared" si="65"/>
        <v>13182.195846999999</v>
      </c>
      <c r="O197" s="78"/>
      <c r="P197" s="78"/>
      <c r="Q197" s="78"/>
      <c r="R197" s="78"/>
      <c r="S197" s="78"/>
      <c r="T197" s="78"/>
    </row>
    <row r="198" spans="2:20" ht="20.25" customHeight="1" x14ac:dyDescent="0.2">
      <c r="B198" s="72" t="s">
        <v>728</v>
      </c>
      <c r="C198" s="74"/>
      <c r="D198" s="73"/>
      <c r="E198" s="552">
        <f t="shared" ref="E198:N198" si="66">+E197+E194+E187</f>
        <v>6934.1160189999982</v>
      </c>
      <c r="F198" s="552">
        <f t="shared" si="66"/>
        <v>20006.360755000016</v>
      </c>
      <c r="G198" s="552">
        <f t="shared" si="66"/>
        <v>14034.255738000005</v>
      </c>
      <c r="H198" s="552">
        <f t="shared" si="66"/>
        <v>10684.082728000001</v>
      </c>
      <c r="I198" s="552">
        <f t="shared" si="66"/>
        <v>11623.061487000003</v>
      </c>
      <c r="J198" s="552">
        <f t="shared" si="66"/>
        <v>15125.841238000005</v>
      </c>
      <c r="K198" s="552">
        <f t="shared" si="66"/>
        <v>14957.762949999995</v>
      </c>
      <c r="L198" s="552">
        <f t="shared" si="66"/>
        <v>17471.859845999996</v>
      </c>
      <c r="M198" s="552">
        <f t="shared" si="66"/>
        <v>11447.203221999996</v>
      </c>
      <c r="N198" s="496">
        <f t="shared" si="66"/>
        <v>122284.54398300001</v>
      </c>
      <c r="O198" s="78"/>
      <c r="P198" s="78"/>
      <c r="Q198" s="78"/>
      <c r="R198" s="78"/>
      <c r="S198" s="78"/>
      <c r="T198" s="78"/>
    </row>
    <row r="199" spans="2:20" x14ac:dyDescent="0.2">
      <c r="B199" s="766">
        <v>2016</v>
      </c>
      <c r="C199" s="808" t="s">
        <v>97</v>
      </c>
      <c r="D199" s="337" t="s">
        <v>97</v>
      </c>
      <c r="E199" s="557">
        <v>2646.150580999999</v>
      </c>
      <c r="F199" s="558">
        <v>5190.4470879999799</v>
      </c>
      <c r="G199" s="558">
        <v>4306.0863339999969</v>
      </c>
      <c r="H199" s="558">
        <v>3594.2159069999962</v>
      </c>
      <c r="I199" s="558">
        <v>4022.7070219999873</v>
      </c>
      <c r="J199" s="558">
        <v>4506.8906599999973</v>
      </c>
      <c r="K199" s="558">
        <v>7955.6801619999997</v>
      </c>
      <c r="L199" s="558">
        <v>5525.5582059999988</v>
      </c>
      <c r="M199" s="558">
        <v>2842.9355870000004</v>
      </c>
      <c r="N199" s="487">
        <f>SUM(E199:M199)</f>
        <v>40590.671546999954</v>
      </c>
      <c r="O199" s="78"/>
      <c r="P199" s="78"/>
      <c r="Q199" s="78"/>
      <c r="R199" s="78"/>
      <c r="S199" s="78"/>
      <c r="T199" s="78"/>
    </row>
    <row r="200" spans="2:20" x14ac:dyDescent="0.2">
      <c r="B200" s="767"/>
      <c r="C200" s="809"/>
      <c r="D200" s="338" t="s">
        <v>98</v>
      </c>
      <c r="E200" s="526">
        <v>277.37108500000005</v>
      </c>
      <c r="F200" s="476">
        <v>846.19886199999894</v>
      </c>
      <c r="G200" s="476">
        <v>571.45176600000025</v>
      </c>
      <c r="H200" s="476">
        <v>432.64746000000025</v>
      </c>
      <c r="I200" s="476">
        <v>524.75735699999984</v>
      </c>
      <c r="J200" s="476">
        <v>576.40850900000123</v>
      </c>
      <c r="K200" s="476">
        <v>512.97216200000014</v>
      </c>
      <c r="L200" s="476">
        <v>1496.9103449999998</v>
      </c>
      <c r="M200" s="476">
        <v>854.66412899999955</v>
      </c>
      <c r="N200" s="487">
        <f>SUM(E200:M200)</f>
        <v>6093.3816749999996</v>
      </c>
      <c r="O200" s="78"/>
      <c r="P200" s="78"/>
      <c r="Q200" s="78"/>
      <c r="R200" s="78"/>
      <c r="S200" s="78"/>
      <c r="T200" s="78"/>
    </row>
    <row r="201" spans="2:20" x14ac:dyDescent="0.2">
      <c r="B201" s="767"/>
      <c r="C201" s="69" t="s">
        <v>11</v>
      </c>
      <c r="D201" s="332"/>
      <c r="E201" s="554">
        <f t="shared" ref="E201:N201" si="67">SUM(E199:E200)</f>
        <v>2923.5216659999992</v>
      </c>
      <c r="F201" s="555">
        <f t="shared" si="67"/>
        <v>6036.6459499999792</v>
      </c>
      <c r="G201" s="555">
        <f t="shared" si="67"/>
        <v>4877.538099999997</v>
      </c>
      <c r="H201" s="555">
        <f t="shared" si="67"/>
        <v>4026.8633669999963</v>
      </c>
      <c r="I201" s="555">
        <f t="shared" si="67"/>
        <v>4547.4643789999873</v>
      </c>
      <c r="J201" s="555">
        <f t="shared" si="67"/>
        <v>5083.2991689999981</v>
      </c>
      <c r="K201" s="555">
        <f t="shared" si="67"/>
        <v>8468.6523240000006</v>
      </c>
      <c r="L201" s="555">
        <f t="shared" si="67"/>
        <v>7022.4685509999981</v>
      </c>
      <c r="M201" s="556">
        <f t="shared" si="67"/>
        <v>3697.5997159999997</v>
      </c>
      <c r="N201" s="556">
        <f t="shared" si="67"/>
        <v>46684.053221999951</v>
      </c>
      <c r="O201" s="78"/>
      <c r="P201" s="78"/>
      <c r="Q201" s="78"/>
      <c r="R201" s="78"/>
      <c r="S201" s="78"/>
      <c r="T201" s="78"/>
    </row>
    <row r="202" spans="2:20" x14ac:dyDescent="0.2">
      <c r="B202" s="767"/>
      <c r="C202" s="808" t="s">
        <v>99</v>
      </c>
      <c r="D202" s="335" t="s">
        <v>0</v>
      </c>
      <c r="E202" s="524">
        <v>651.41048600000101</v>
      </c>
      <c r="F202" s="476">
        <v>1870.9099470000006</v>
      </c>
      <c r="G202" s="476">
        <v>1582.8603559999985</v>
      </c>
      <c r="H202" s="476">
        <v>611.38678699999969</v>
      </c>
      <c r="I202" s="476">
        <v>901.25889799999936</v>
      </c>
      <c r="J202" s="476">
        <v>1167.2784249999995</v>
      </c>
      <c r="K202" s="476">
        <v>1698.239865</v>
      </c>
      <c r="L202" s="476">
        <v>1563.5594919999999</v>
      </c>
      <c r="M202" s="476">
        <v>441.46000499999985</v>
      </c>
      <c r="N202" s="487">
        <f t="shared" ref="N202:N207" si="68">SUM(E202:M202)</f>
        <v>10488.364260999997</v>
      </c>
      <c r="O202" s="78"/>
      <c r="P202" s="78"/>
      <c r="Q202" s="78"/>
      <c r="R202" s="78"/>
      <c r="S202" s="78"/>
      <c r="T202" s="78"/>
    </row>
    <row r="203" spans="2:20" x14ac:dyDescent="0.2">
      <c r="B203" s="767"/>
      <c r="C203" s="810"/>
      <c r="D203" s="336" t="s">
        <v>1</v>
      </c>
      <c r="E203" s="526">
        <v>1509.2555820000014</v>
      </c>
      <c r="F203" s="528">
        <v>4618.4870010000404</v>
      </c>
      <c r="G203" s="476">
        <v>4511.8950780000041</v>
      </c>
      <c r="H203" s="476">
        <v>2737.6096939999989</v>
      </c>
      <c r="I203" s="476">
        <v>2230.0377520000134</v>
      </c>
      <c r="J203" s="476">
        <v>3784.1054030000128</v>
      </c>
      <c r="K203" s="476">
        <v>3295.5865990000011</v>
      </c>
      <c r="L203" s="529">
        <v>5657.3316040000127</v>
      </c>
      <c r="M203" s="476">
        <v>2693.9719590000009</v>
      </c>
      <c r="N203" s="487">
        <f t="shared" si="68"/>
        <v>31038.280672000088</v>
      </c>
      <c r="O203" s="78"/>
      <c r="P203" s="78"/>
      <c r="Q203" s="78"/>
      <c r="R203" s="78"/>
      <c r="S203" s="78"/>
      <c r="T203" s="78"/>
    </row>
    <row r="204" spans="2:20" x14ac:dyDescent="0.2">
      <c r="B204" s="767"/>
      <c r="C204" s="810"/>
      <c r="D204" s="336" t="s">
        <v>2</v>
      </c>
      <c r="E204" s="526">
        <v>94.063127999999921</v>
      </c>
      <c r="F204" s="476">
        <v>1077.0362989999917</v>
      </c>
      <c r="G204" s="476">
        <v>482.95464599999985</v>
      </c>
      <c r="H204" s="476">
        <v>666.28053500000146</v>
      </c>
      <c r="I204" s="476">
        <v>367.10139599999633</v>
      </c>
      <c r="J204" s="476">
        <v>1222.2335090000004</v>
      </c>
      <c r="K204" s="476">
        <v>515.07778799999994</v>
      </c>
      <c r="L204" s="476">
        <v>303.2945149999984</v>
      </c>
      <c r="M204" s="476">
        <v>700.83527099999765</v>
      </c>
      <c r="N204" s="487">
        <f t="shared" si="68"/>
        <v>5428.8770869999862</v>
      </c>
      <c r="O204" s="78"/>
      <c r="P204" s="78"/>
      <c r="Q204" s="78"/>
      <c r="R204" s="78"/>
      <c r="S204" s="78"/>
      <c r="T204" s="78"/>
    </row>
    <row r="205" spans="2:20" x14ac:dyDescent="0.2">
      <c r="B205" s="767"/>
      <c r="C205" s="810"/>
      <c r="D205" s="336" t="s">
        <v>3</v>
      </c>
      <c r="E205" s="563" t="s">
        <v>260</v>
      </c>
      <c r="F205" s="476">
        <v>27.426950999999999</v>
      </c>
      <c r="G205" s="476">
        <v>357.85627399999828</v>
      </c>
      <c r="H205" s="476">
        <v>38.461987000000022</v>
      </c>
      <c r="I205" s="476">
        <v>5.0583490000000024</v>
      </c>
      <c r="J205" s="476">
        <v>15.519721999999994</v>
      </c>
      <c r="K205" s="563" t="s">
        <v>260</v>
      </c>
      <c r="L205" s="476">
        <v>3.1419999999999999</v>
      </c>
      <c r="M205" s="476">
        <v>34.586941000000024</v>
      </c>
      <c r="N205" s="487">
        <f t="shared" si="68"/>
        <v>482.05222399999832</v>
      </c>
      <c r="O205" s="78"/>
      <c r="P205" s="78"/>
      <c r="Q205" s="78"/>
      <c r="R205" s="78"/>
      <c r="S205" s="78"/>
      <c r="T205" s="78"/>
    </row>
    <row r="206" spans="2:20" x14ac:dyDescent="0.2">
      <c r="B206" s="767"/>
      <c r="C206" s="810"/>
      <c r="D206" s="336" t="s">
        <v>4</v>
      </c>
      <c r="E206" s="526">
        <v>139.708574</v>
      </c>
      <c r="F206" s="476">
        <v>693.33839800000032</v>
      </c>
      <c r="G206" s="476">
        <v>506.97500500000018</v>
      </c>
      <c r="H206" s="476">
        <v>657.23041000000012</v>
      </c>
      <c r="I206" s="476">
        <v>532.10630699999979</v>
      </c>
      <c r="J206" s="476">
        <v>947.23924099999988</v>
      </c>
      <c r="K206" s="476">
        <v>134.85827</v>
      </c>
      <c r="L206" s="476">
        <v>986.58393499999977</v>
      </c>
      <c r="M206" s="476">
        <v>677.60436899999934</v>
      </c>
      <c r="N206" s="487">
        <f t="shared" si="68"/>
        <v>5275.6445089999997</v>
      </c>
      <c r="O206" s="78"/>
      <c r="P206" s="78"/>
      <c r="Q206" s="78"/>
      <c r="R206" s="78"/>
      <c r="S206" s="78"/>
      <c r="T206" s="78"/>
    </row>
    <row r="207" spans="2:20" x14ac:dyDescent="0.2">
      <c r="B207" s="767"/>
      <c r="C207" s="809"/>
      <c r="D207" s="336" t="s">
        <v>5</v>
      </c>
      <c r="E207" s="527">
        <v>917.2343239999966</v>
      </c>
      <c r="F207" s="476">
        <v>7495.3487980000018</v>
      </c>
      <c r="G207" s="476">
        <v>1008.7205739999989</v>
      </c>
      <c r="H207" s="476">
        <v>1305.9074590000005</v>
      </c>
      <c r="I207" s="476">
        <v>1740.9348180000006</v>
      </c>
      <c r="J207" s="476">
        <v>2054.6147690000012</v>
      </c>
      <c r="K207" s="476">
        <v>683.00092799999982</v>
      </c>
      <c r="L207" s="476">
        <v>1839.2156279999977</v>
      </c>
      <c r="M207" s="476">
        <v>2660.4554979999998</v>
      </c>
      <c r="N207" s="487">
        <f t="shared" si="68"/>
        <v>19705.432795999997</v>
      </c>
      <c r="O207" s="78"/>
      <c r="P207" s="78"/>
      <c r="Q207" s="78"/>
      <c r="R207" s="78"/>
      <c r="S207" s="78"/>
      <c r="T207" s="78"/>
    </row>
    <row r="208" spans="2:20" x14ac:dyDescent="0.2">
      <c r="B208" s="767"/>
      <c r="C208" s="69" t="s">
        <v>6</v>
      </c>
      <c r="D208" s="332"/>
      <c r="E208" s="534">
        <f t="shared" ref="E208:N208" si="69">SUM(E202:E207)</f>
        <v>3311.6720939999987</v>
      </c>
      <c r="F208" s="535">
        <f t="shared" si="69"/>
        <v>15782.547394000037</v>
      </c>
      <c r="G208" s="535">
        <f t="shared" si="69"/>
        <v>8451.2619329999998</v>
      </c>
      <c r="H208" s="535">
        <f t="shared" si="69"/>
        <v>6016.8768720000007</v>
      </c>
      <c r="I208" s="535">
        <f t="shared" si="69"/>
        <v>5776.4975200000099</v>
      </c>
      <c r="J208" s="535">
        <f t="shared" si="69"/>
        <v>9190.9910690000142</v>
      </c>
      <c r="K208" s="535">
        <f t="shared" si="69"/>
        <v>6326.7634500000004</v>
      </c>
      <c r="L208" s="535">
        <f t="shared" si="69"/>
        <v>10353.127174000008</v>
      </c>
      <c r="M208" s="536">
        <f t="shared" si="69"/>
        <v>7208.914042999997</v>
      </c>
      <c r="N208" s="537">
        <f t="shared" si="69"/>
        <v>72418.65154900006</v>
      </c>
      <c r="O208" s="78"/>
      <c r="P208" s="78"/>
      <c r="Q208" s="78"/>
      <c r="R208" s="78"/>
      <c r="S208" s="78"/>
      <c r="T208" s="78"/>
    </row>
    <row r="209" spans="2:20" x14ac:dyDescent="0.2">
      <c r="B209" s="767"/>
      <c r="C209" s="808" t="s">
        <v>100</v>
      </c>
      <c r="D209" s="336" t="s">
        <v>77</v>
      </c>
      <c r="E209" s="526">
        <v>80.002648000000022</v>
      </c>
      <c r="F209" s="476">
        <v>232.09231400000004</v>
      </c>
      <c r="G209" s="476">
        <v>230.51369100000011</v>
      </c>
      <c r="H209" s="476">
        <v>58.517379999999953</v>
      </c>
      <c r="I209" s="476">
        <v>224.13548899999964</v>
      </c>
      <c r="J209" s="476">
        <v>235.99846399999981</v>
      </c>
      <c r="K209" s="476">
        <v>237.64967200000001</v>
      </c>
      <c r="L209" s="476">
        <v>322.15027000000038</v>
      </c>
      <c r="M209" s="476">
        <v>358.66462099999978</v>
      </c>
      <c r="N209" s="487">
        <f>SUM(E209:M209)</f>
        <v>1979.724549</v>
      </c>
      <c r="O209" s="78"/>
      <c r="P209" s="78"/>
      <c r="Q209" s="78"/>
      <c r="R209" s="78"/>
      <c r="S209" s="78"/>
      <c r="T209" s="78"/>
    </row>
    <row r="210" spans="2:20" x14ac:dyDescent="0.2">
      <c r="B210" s="767"/>
      <c r="C210" s="809"/>
      <c r="D210" s="336" t="s">
        <v>101</v>
      </c>
      <c r="E210" s="527">
        <v>571.57147200000009</v>
      </c>
      <c r="F210" s="476">
        <v>2136.1779549999992</v>
      </c>
      <c r="G210" s="476">
        <v>1734.5548730000007</v>
      </c>
      <c r="H210" s="476">
        <v>905.24629399999992</v>
      </c>
      <c r="I210" s="476">
        <v>1461.6409489999946</v>
      </c>
      <c r="J210" s="476">
        <v>2051.9570070000022</v>
      </c>
      <c r="K210" s="476">
        <v>800.17709300000013</v>
      </c>
      <c r="L210" s="476">
        <v>948.90104199999951</v>
      </c>
      <c r="M210" s="476">
        <v>1177.1660740000004</v>
      </c>
      <c r="N210" s="487">
        <f>SUM(E210:M210)</f>
        <v>11787.392758999997</v>
      </c>
      <c r="O210" s="78"/>
      <c r="P210" s="78"/>
      <c r="Q210" s="78"/>
      <c r="R210" s="78"/>
      <c r="S210" s="78"/>
      <c r="T210" s="78"/>
    </row>
    <row r="211" spans="2:20" x14ac:dyDescent="0.2">
      <c r="B211" s="768"/>
      <c r="C211" s="71" t="s">
        <v>102</v>
      </c>
      <c r="D211" s="332"/>
      <c r="E211" s="534">
        <f t="shared" ref="E211:N211" si="70">SUM(E209:E210)</f>
        <v>651.57412000000011</v>
      </c>
      <c r="F211" s="535">
        <f t="shared" si="70"/>
        <v>2368.2702689999992</v>
      </c>
      <c r="G211" s="535">
        <f t="shared" si="70"/>
        <v>1965.0685640000008</v>
      </c>
      <c r="H211" s="535">
        <f t="shared" si="70"/>
        <v>963.76367399999992</v>
      </c>
      <c r="I211" s="535">
        <f t="shared" si="70"/>
        <v>1685.7764379999942</v>
      </c>
      <c r="J211" s="535">
        <f t="shared" si="70"/>
        <v>2287.955471000002</v>
      </c>
      <c r="K211" s="535">
        <f t="shared" si="70"/>
        <v>1037.8267650000003</v>
      </c>
      <c r="L211" s="535">
        <f t="shared" si="70"/>
        <v>1271.0513119999998</v>
      </c>
      <c r="M211" s="536">
        <f t="shared" si="70"/>
        <v>1535.8306950000001</v>
      </c>
      <c r="N211" s="536">
        <f t="shared" si="70"/>
        <v>13767.117307999997</v>
      </c>
      <c r="O211" s="78"/>
      <c r="P211" s="78"/>
      <c r="Q211" s="78"/>
      <c r="R211" s="78"/>
      <c r="S211" s="78"/>
      <c r="T211" s="78"/>
    </row>
    <row r="212" spans="2:20" ht="20.25" customHeight="1" x14ac:dyDescent="0.2">
      <c r="B212" s="72" t="s">
        <v>797</v>
      </c>
      <c r="C212" s="74"/>
      <c r="D212" s="73"/>
      <c r="E212" s="552">
        <f t="shared" ref="E212:N212" si="71">+E211+E208+E201</f>
        <v>6886.7678799999976</v>
      </c>
      <c r="F212" s="552">
        <f t="shared" si="71"/>
        <v>24187.463613000018</v>
      </c>
      <c r="G212" s="552">
        <f t="shared" si="71"/>
        <v>15293.868596999997</v>
      </c>
      <c r="H212" s="552">
        <f t="shared" si="71"/>
        <v>11007.503912999997</v>
      </c>
      <c r="I212" s="552">
        <f t="shared" si="71"/>
        <v>12009.738336999992</v>
      </c>
      <c r="J212" s="552">
        <f t="shared" si="71"/>
        <v>16562.245709000013</v>
      </c>
      <c r="K212" s="552">
        <f t="shared" si="71"/>
        <v>15833.242539000001</v>
      </c>
      <c r="L212" s="552">
        <f t="shared" si="71"/>
        <v>18646.647037000006</v>
      </c>
      <c r="M212" s="552">
        <f t="shared" si="71"/>
        <v>12442.344453999998</v>
      </c>
      <c r="N212" s="496">
        <f t="shared" si="71"/>
        <v>132869.82207900001</v>
      </c>
      <c r="O212" s="78"/>
      <c r="P212" s="78"/>
      <c r="Q212" s="78"/>
      <c r="R212" s="78"/>
      <c r="S212" s="78"/>
      <c r="T212" s="78"/>
    </row>
    <row r="213" spans="2:20" x14ac:dyDescent="0.2">
      <c r="B213" s="78"/>
      <c r="C213" s="78"/>
      <c r="D213" s="78"/>
      <c r="E213" s="78"/>
      <c r="F213" s="78"/>
      <c r="G213" s="78"/>
      <c r="H213" s="78"/>
      <c r="I213" s="78"/>
      <c r="J213" s="78"/>
      <c r="K213" s="78"/>
      <c r="L213" s="78"/>
      <c r="M213" s="78"/>
      <c r="N213" s="78"/>
      <c r="O213" s="78"/>
      <c r="P213" s="78"/>
      <c r="Q213" s="78"/>
      <c r="R213" s="78"/>
      <c r="S213" s="78"/>
      <c r="T213" s="78"/>
    </row>
    <row r="214" spans="2:20" x14ac:dyDescent="0.2">
      <c r="B214" s="78"/>
      <c r="C214" s="78"/>
      <c r="D214" s="78"/>
      <c r="E214" s="78"/>
      <c r="F214" s="78"/>
      <c r="G214" s="78"/>
      <c r="H214" s="78"/>
      <c r="I214" s="78"/>
      <c r="J214" s="78"/>
      <c r="K214" s="78"/>
      <c r="L214" s="78"/>
      <c r="M214" s="78"/>
      <c r="N214" s="78"/>
      <c r="O214" s="78"/>
      <c r="P214" s="78"/>
      <c r="Q214" s="78"/>
      <c r="R214" s="78"/>
      <c r="S214" s="78"/>
      <c r="T214" s="78"/>
    </row>
    <row r="215" spans="2:20" x14ac:dyDescent="0.2">
      <c r="B215" s="78"/>
      <c r="C215" s="78"/>
      <c r="D215" s="78"/>
      <c r="E215" s="78"/>
      <c r="F215" s="78"/>
      <c r="G215" s="78"/>
      <c r="H215" s="78"/>
      <c r="I215" s="78"/>
      <c r="J215" s="78"/>
      <c r="K215" s="78"/>
      <c r="L215" s="78"/>
      <c r="M215" s="78"/>
      <c r="N215" s="78"/>
      <c r="O215" s="78"/>
      <c r="P215" s="78"/>
      <c r="Q215" s="78"/>
      <c r="R215" s="78"/>
      <c r="S215" s="78"/>
      <c r="T215" s="78"/>
    </row>
    <row r="216" spans="2:20" x14ac:dyDescent="0.2">
      <c r="B216" s="78"/>
      <c r="C216" s="78"/>
      <c r="D216" s="78"/>
      <c r="E216" s="563"/>
      <c r="F216" s="78"/>
      <c r="G216" s="78"/>
      <c r="H216" s="78"/>
      <c r="I216" s="78"/>
      <c r="J216" s="78"/>
      <c r="K216" s="78"/>
      <c r="L216" s="78"/>
      <c r="M216" s="78"/>
      <c r="N216" s="78"/>
      <c r="O216" s="78"/>
      <c r="P216" s="78"/>
      <c r="Q216" s="78"/>
      <c r="R216" s="78"/>
      <c r="S216" s="78"/>
      <c r="T216" s="78"/>
    </row>
    <row r="217" spans="2:20" x14ac:dyDescent="0.2">
      <c r="B217" s="78"/>
      <c r="C217" s="78"/>
      <c r="D217" s="78"/>
      <c r="E217" s="78"/>
      <c r="F217" s="78"/>
      <c r="G217" s="78"/>
      <c r="H217" s="78"/>
      <c r="I217" s="78"/>
      <c r="J217" s="78"/>
      <c r="K217" s="78"/>
      <c r="L217" s="78"/>
      <c r="M217" s="78"/>
      <c r="N217" s="78"/>
      <c r="O217" s="78"/>
      <c r="P217" s="78"/>
      <c r="Q217" s="78"/>
      <c r="R217" s="78"/>
      <c r="S217" s="78"/>
      <c r="T217" s="78"/>
    </row>
  </sheetData>
  <mergeCells count="60">
    <mergeCell ref="E5:M5"/>
    <mergeCell ref="B31:B43"/>
    <mergeCell ref="C31:C32"/>
    <mergeCell ref="C34:C39"/>
    <mergeCell ref="C41:C42"/>
    <mergeCell ref="B7:B17"/>
    <mergeCell ref="C7:C8"/>
    <mergeCell ref="C10:C14"/>
    <mergeCell ref="B19:B29"/>
    <mergeCell ref="C19:C20"/>
    <mergeCell ref="C22:C26"/>
    <mergeCell ref="C28:D28"/>
    <mergeCell ref="B45:B57"/>
    <mergeCell ref="C45:C46"/>
    <mergeCell ref="C48:C53"/>
    <mergeCell ref="C55:C56"/>
    <mergeCell ref="B59:B71"/>
    <mergeCell ref="C59:C60"/>
    <mergeCell ref="C62:C67"/>
    <mergeCell ref="C69:C70"/>
    <mergeCell ref="B73:B85"/>
    <mergeCell ref="C73:C74"/>
    <mergeCell ref="C76:C81"/>
    <mergeCell ref="C83:C84"/>
    <mergeCell ref="B87:B99"/>
    <mergeCell ref="C87:C88"/>
    <mergeCell ref="C90:C95"/>
    <mergeCell ref="C97:C98"/>
    <mergeCell ref="B101:B113"/>
    <mergeCell ref="C101:C102"/>
    <mergeCell ref="C104:C109"/>
    <mergeCell ref="C111:C112"/>
    <mergeCell ref="B115:B127"/>
    <mergeCell ref="C115:C116"/>
    <mergeCell ref="C118:C123"/>
    <mergeCell ref="C125:C126"/>
    <mergeCell ref="B129:B141"/>
    <mergeCell ref="C129:C130"/>
    <mergeCell ref="C132:C137"/>
    <mergeCell ref="C139:C140"/>
    <mergeCell ref="B143:B155"/>
    <mergeCell ref="C143:C144"/>
    <mergeCell ref="C146:C151"/>
    <mergeCell ref="C153:C154"/>
    <mergeCell ref="B157:B169"/>
    <mergeCell ref="C157:C158"/>
    <mergeCell ref="C160:C165"/>
    <mergeCell ref="C167:C168"/>
    <mergeCell ref="B171:B183"/>
    <mergeCell ref="C171:C172"/>
    <mergeCell ref="C174:C179"/>
    <mergeCell ref="C181:C182"/>
    <mergeCell ref="B199:B211"/>
    <mergeCell ref="C199:C200"/>
    <mergeCell ref="C202:C207"/>
    <mergeCell ref="C209:C210"/>
    <mergeCell ref="B185:B197"/>
    <mergeCell ref="C185:C186"/>
    <mergeCell ref="C188:C193"/>
    <mergeCell ref="C195:C196"/>
  </mergeCells>
  <pageMargins left="0.70866141732283472" right="0.70866141732283472" top="0.74803149606299213" bottom="0.74803149606299213" header="0.31496062992125984" footer="0.31496062992125984"/>
  <pageSetup paperSize="9" scale="50" fitToHeight="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Summary</vt:lpstr>
      <vt:lpstr>Landfill Inputs</vt:lpstr>
      <vt:lpstr>Landfill Input Trends</vt:lpstr>
      <vt:lpstr>Landfill Capacity</vt:lpstr>
      <vt:lpstr>D1</vt:lpstr>
      <vt:lpstr>Landfill Capacity Trends</vt:lpstr>
      <vt:lpstr>Transfer Treatment &amp; MRS Inputs</vt:lpstr>
      <vt:lpstr>D2</vt:lpstr>
      <vt:lpstr>Transfer Treatment &amp; MRS Trends</vt:lpstr>
      <vt:lpstr>Incineration Input &amp; Capacity</vt:lpstr>
      <vt:lpstr>Operational Incinerators</vt:lpstr>
      <vt:lpstr>Non-Operational Incinerators</vt:lpstr>
      <vt:lpstr>Pre-Operational Incinerators</vt:lpstr>
      <vt:lpstr>Land Disposal</vt:lpstr>
      <vt:lpstr>Use of Waste</vt:lpstr>
      <vt:lpstr>D3</vt:lpstr>
      <vt:lpstr>Haz Waste Managed &amp; Deposits</vt:lpstr>
      <vt:lpstr>Haz Waste Deposits by Fate</vt:lpstr>
      <vt:lpstr>Haz Waste Trends</vt:lpstr>
      <vt:lpstr>Haz Waste Movements</vt:lpstr>
      <vt:lpstr>No. of operational sites</vt:lpstr>
      <vt:lpstr>'Landfill Capacity'!Print_Area</vt:lpstr>
      <vt:lpstr>'Landfill Inputs'!Print_Area</vt:lpstr>
      <vt:lpstr>'Operational Incinerators'!Print_Area</vt:lpstr>
      <vt:lpstr>'Pre-Operational Incinerators'!Print_Area</vt:lpstr>
      <vt:lpstr>'Operational Incinerators'!Print_Titles</vt:lpstr>
      <vt:lpstr>'Haz Waste Deposits by Fate'!qtmp_SASHER</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DPullen</dc:creator>
  <cp:lastModifiedBy>MCAPLE</cp:lastModifiedBy>
  <cp:lastPrinted>2016-10-10T11:28:05Z</cp:lastPrinted>
  <dcterms:created xsi:type="dcterms:W3CDTF">2006-10-24T13:52:52Z</dcterms:created>
  <dcterms:modified xsi:type="dcterms:W3CDTF">2018-01-22T12:34:10Z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