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32767" yWindow="32767" windowWidth="19200" windowHeight="8110" firstSheet="2" activeTab="2"/>
  </bookViews>
  <sheets>
    <sheet name="forimport" sheetId="1" state="hidden" r:id="rId1"/>
    <sheet name="RIGS SERVICE FOR DD to FOLLOW" sheetId="2" r:id="rId2"/>
    <sheet name="Rabies form" sheetId="3" r:id="rId3"/>
    <sheet name="Countries" sheetId="4" state="hidden" r:id="rId4"/>
    <sheet name=" Letter - 1" sheetId="5" r:id="rId5"/>
    <sheet name="Letter 2" sheetId="6" r:id="rId6"/>
    <sheet name="Letter - Oth" sheetId="7" r:id="rId7"/>
    <sheet name="Calendar" sheetId="8" r:id="rId8"/>
    <sheet name="Vaccines" sheetId="9" state="hidden" r:id="rId9"/>
    <sheet name="Sheet1" sheetId="10" state="hidden" r:id="rId10"/>
    <sheet name="Sheet3" sheetId="11" state="hidden" r:id="rId11"/>
    <sheet name="Sheet4" sheetId="12" state="hidden" r:id="rId12"/>
    <sheet name="Sheet5" sheetId="13" state="hidden" r:id="rId13"/>
    <sheet name="Weight converter" sheetId="14" r:id="rId14"/>
    <sheet name="FOR ADMIN TEAM Movianto 1" sheetId="15" r:id="rId15"/>
    <sheet name="ADMIN" sheetId="16" state="hidden" r:id="rId16"/>
    <sheet name="FOR ADMIN TEAM Movianto 2" sheetId="17" r:id="rId17"/>
  </sheets>
  <definedNames>
    <definedName name="_xlnm._FilterDatabase" localSheetId="3" hidden="1">'Countries'!$A$1:$IV$271</definedName>
    <definedName name="_xlfn.SINGLE" hidden="1">#NAME?</definedName>
    <definedName name="B" localSheetId="3">'Countries'!$A$19</definedName>
    <definedName name="Bat">'Countries'!$C$1:$C$271</definedName>
    <definedName name="Check3" localSheetId="2">'Rabies form'!#REF!</definedName>
    <definedName name="Check5" localSheetId="2">'Rabies form'!#REF!</definedName>
    <definedName name="Check7" localSheetId="2">'Rabies form'!#REF!</definedName>
    <definedName name="D" localSheetId="3">'Countries'!$A$68</definedName>
    <definedName name="E" localSheetId="3">'Countries'!$A$74</definedName>
    <definedName name="F" localSheetId="3">'Countries'!#REF!</definedName>
    <definedName name="Fox">'Countries'!$E$1:$E$271</definedName>
    <definedName name="G" localSheetId="3">'Countries'!#REF!</definedName>
    <definedName name="H" localSheetId="3">'Countries'!#REF!</definedName>
    <definedName name="I" localSheetId="3">'Countries'!#REF!</definedName>
    <definedName name="J" localSheetId="3">'Countries'!#REF!</definedName>
    <definedName name="K" localSheetId="3">'Countries'!#REF!</definedName>
    <definedName name="L" localSheetId="3">'Countries'!#REF!</definedName>
    <definedName name="M" localSheetId="3">'Countries'!$A$144</definedName>
    <definedName name="N" localSheetId="3">'Countries'!#REF!</definedName>
    <definedName name="O" localSheetId="3">'Countries'!#REF!</definedName>
    <definedName name="Other">'Countries'!$B$1:$B$271</definedName>
    <definedName name="Primate">'Countries'!$D$1:$D$271</definedName>
    <definedName name="_xlnm.Print_Area" localSheetId="4">' Letter - 1'!$A$1:$I$44</definedName>
    <definedName name="_xlnm.Print_Area" localSheetId="7">'Calendar'!$B$1:$T$36</definedName>
    <definedName name="_xlnm.Print_Area" localSheetId="6">'Letter - Oth'!$A$1:$I$47</definedName>
    <definedName name="_xlnm.Print_Area" localSheetId="5">'Letter 2'!$A$1:$I$46</definedName>
    <definedName name="_xlnm.Print_Area" localSheetId="2">'Rabies form'!$B$273:$O$371</definedName>
    <definedName name="Q" localSheetId="3">'Countries'!#REF!</definedName>
    <definedName name="S" localSheetId="3">'Countries'!#REF!</definedName>
    <definedName name="T" localSheetId="3">'Countries'!#REF!</definedName>
    <definedName name="U" localSheetId="3">'Countries'!#REF!</definedName>
    <definedName name="V" localSheetId="3">'Countries'!$A$260</definedName>
    <definedName name="W" localSheetId="3">'Countries'!#REF!</definedName>
    <definedName name="Y" localSheetId="3">'Countries'!#REF!</definedName>
  </definedNames>
  <calcPr fullCalcOnLoad="1"/>
</workbook>
</file>

<file path=xl/sharedStrings.xml><?xml version="1.0" encoding="utf-8"?>
<sst xmlns="http://schemas.openxmlformats.org/spreadsheetml/2006/main" count="3240" uniqueCount="810">
  <si>
    <t>PatCountry</t>
  </si>
  <si>
    <t>DelivCountry</t>
  </si>
  <si>
    <t xml:space="preserve">Patient details </t>
  </si>
  <si>
    <t>Batch no:</t>
  </si>
  <si>
    <t>61 Colindale Avenue</t>
  </si>
  <si>
    <t>Time of call (hh:mm):</t>
  </si>
  <si>
    <t>Other</t>
  </si>
  <si>
    <t>Caller organisation:</t>
  </si>
  <si>
    <t>Date of exposure:</t>
  </si>
  <si>
    <t>Type of exposure:</t>
  </si>
  <si>
    <t xml:space="preserve">  Choose an item.</t>
  </si>
  <si>
    <t>Site of exposure (body part):</t>
  </si>
  <si>
    <t>Species risk:</t>
  </si>
  <si>
    <t>Choose an item.</t>
  </si>
  <si>
    <t>Country risk:</t>
  </si>
  <si>
    <t>Vaccination status:</t>
  </si>
  <si>
    <t>Exposure:</t>
  </si>
  <si>
    <t>No of vials required:</t>
  </si>
  <si>
    <t>How soon should treatment be started:</t>
  </si>
  <si>
    <t>NO</t>
  </si>
  <si>
    <t xml:space="preserve"> vials of        immunoglobulin </t>
  </si>
  <si>
    <t xml:space="preserve">Caller details </t>
  </si>
  <si>
    <t>GP</t>
  </si>
  <si>
    <t>Treatment recommended:</t>
  </si>
  <si>
    <t>YES</t>
  </si>
  <si>
    <t>Column1</t>
  </si>
  <si>
    <t>Bat</t>
  </si>
  <si>
    <t>Category I</t>
  </si>
  <si>
    <t>No risk</t>
  </si>
  <si>
    <t>Fully immunised</t>
  </si>
  <si>
    <t>5 vaccine + RIG</t>
  </si>
  <si>
    <t>Rodent or primate</t>
  </si>
  <si>
    <t>Category II</t>
  </si>
  <si>
    <t>Low risk</t>
  </si>
  <si>
    <t>Non immune</t>
  </si>
  <si>
    <t>Category III</t>
  </si>
  <si>
    <t>High risk</t>
  </si>
  <si>
    <t>2 vaccine</t>
  </si>
  <si>
    <t>No treatment</t>
  </si>
  <si>
    <t xml:space="preserve"> vials of vaccine</t>
  </si>
  <si>
    <t>Cat</t>
  </si>
  <si>
    <t>Dog</t>
  </si>
  <si>
    <t>Rodent</t>
  </si>
  <si>
    <t>Office Use ONLY</t>
  </si>
  <si>
    <t>A&amp;E</t>
  </si>
  <si>
    <t xml:space="preserve">Species of animal </t>
  </si>
  <si>
    <t>Weight of patient (kg):</t>
  </si>
  <si>
    <t>kg</t>
  </si>
  <si>
    <t>IU</t>
  </si>
  <si>
    <t>mL</t>
  </si>
  <si>
    <t>Caller name:</t>
  </si>
  <si>
    <t>Phone number:</t>
  </si>
  <si>
    <t>Alt number:</t>
  </si>
  <si>
    <t>Treatment already given?</t>
  </si>
  <si>
    <t xml:space="preserve">HRIG  </t>
  </si>
  <si>
    <t>N/A</t>
  </si>
  <si>
    <t>Patient name:</t>
  </si>
  <si>
    <t>Details of previous treatment</t>
  </si>
  <si>
    <t>No of doses</t>
  </si>
  <si>
    <t>vaccine start</t>
  </si>
  <si>
    <t>d0</t>
  </si>
  <si>
    <t>d3</t>
  </si>
  <si>
    <t>d7</t>
  </si>
  <si>
    <t>d14</t>
  </si>
  <si>
    <t>d30</t>
  </si>
  <si>
    <t>Signature:</t>
  </si>
  <si>
    <t>Date:</t>
  </si>
  <si>
    <t>Source of call:</t>
  </si>
  <si>
    <t>OTHER</t>
  </si>
  <si>
    <t>Issuing centres</t>
  </si>
  <si>
    <t>Birmingham</t>
  </si>
  <si>
    <t>Cambridge</t>
  </si>
  <si>
    <t>Afghanistan</t>
  </si>
  <si>
    <t>Albania</t>
  </si>
  <si>
    <t>Algeria</t>
  </si>
  <si>
    <t>American Samoa</t>
  </si>
  <si>
    <t>Andaman and Nicobar Islands</t>
  </si>
  <si>
    <t>Andorra</t>
  </si>
  <si>
    <t>Angola</t>
  </si>
  <si>
    <t>Anguilla</t>
  </si>
  <si>
    <t>Antarctica</t>
  </si>
  <si>
    <t>Antigua and Barbuda</t>
  </si>
  <si>
    <t xml:space="preserve">Argentina </t>
  </si>
  <si>
    <t>Armenia</t>
  </si>
  <si>
    <t>Aruba</t>
  </si>
  <si>
    <t>Ascension Island</t>
  </si>
  <si>
    <t>Australia</t>
  </si>
  <si>
    <t>Austria</t>
  </si>
  <si>
    <t>Azerbaijan</t>
  </si>
  <si>
    <t>Azores</t>
  </si>
  <si>
    <t>Bahrain</t>
  </si>
  <si>
    <t>Balearic islands</t>
  </si>
  <si>
    <t>Bali</t>
  </si>
  <si>
    <t>Bangladesh</t>
  </si>
  <si>
    <t>Barbados</t>
  </si>
  <si>
    <t>Belarus</t>
  </si>
  <si>
    <t>Belgium</t>
  </si>
  <si>
    <t>Belize</t>
  </si>
  <si>
    <t>Benin</t>
  </si>
  <si>
    <t>Bermuda</t>
  </si>
  <si>
    <t>Bhutan</t>
  </si>
  <si>
    <t>Bolivia</t>
  </si>
  <si>
    <t>Borneo</t>
  </si>
  <si>
    <t>Bosnia and Herzegovina</t>
  </si>
  <si>
    <t>Botswana</t>
  </si>
  <si>
    <t>Brazil</t>
  </si>
  <si>
    <t>British Virgin Islands</t>
  </si>
  <si>
    <t>Brunei Darussalam</t>
  </si>
  <si>
    <t>Bulgaria</t>
  </si>
  <si>
    <t>Burkina Faso</t>
  </si>
  <si>
    <t>Burma</t>
  </si>
  <si>
    <t>Burundi</t>
  </si>
  <si>
    <t>Cabrera</t>
  </si>
  <si>
    <t>Cambodia</t>
  </si>
  <si>
    <t>Canada</t>
  </si>
  <si>
    <t>Canary Islands</t>
  </si>
  <si>
    <t>Cape Verde</t>
  </si>
  <si>
    <t>Cayman Islands</t>
  </si>
  <si>
    <t>Central African Republic</t>
  </si>
  <si>
    <t>Chad</t>
  </si>
  <si>
    <t xml:space="preserve">Chile </t>
  </si>
  <si>
    <t>China</t>
  </si>
  <si>
    <t>Christmas Island</t>
  </si>
  <si>
    <t>Cocos (Keeling) Islands</t>
  </si>
  <si>
    <t>Colombia</t>
  </si>
  <si>
    <t>Comoros</t>
  </si>
  <si>
    <t>Congo (Republic)</t>
  </si>
  <si>
    <t>Congo (Democratic Republic of)</t>
  </si>
  <si>
    <t>Cook Islands</t>
  </si>
  <si>
    <t>Corsica</t>
  </si>
  <si>
    <t>Costa Rica</t>
  </si>
  <si>
    <t>Côte d’Ivoire</t>
  </si>
  <si>
    <t>Croatia</t>
  </si>
  <si>
    <t>Cuba</t>
  </si>
  <si>
    <t>Cyprus</t>
  </si>
  <si>
    <t>Czech Republic</t>
  </si>
  <si>
    <t>Democratic Republic of the Congo</t>
  </si>
  <si>
    <t>Denmark</t>
  </si>
  <si>
    <t>Djibouti</t>
  </si>
  <si>
    <t>Dominica</t>
  </si>
  <si>
    <t>Dominican Republic</t>
  </si>
  <si>
    <t>East Timor</t>
  </si>
  <si>
    <t>Easter Island</t>
  </si>
  <si>
    <t>Ecuador</t>
  </si>
  <si>
    <t>Egypt</t>
  </si>
  <si>
    <t>El Salvador</t>
  </si>
  <si>
    <t>Equatorial Guinea</t>
  </si>
  <si>
    <t>Eritrea</t>
  </si>
  <si>
    <t>Estonia</t>
  </si>
  <si>
    <t>Ethiopia</t>
  </si>
  <si>
    <t>Faeroe Islands</t>
  </si>
  <si>
    <t>Falkland Islands</t>
  </si>
  <si>
    <t>Fiji</t>
  </si>
  <si>
    <t>Finland</t>
  </si>
  <si>
    <t>Formentera</t>
  </si>
  <si>
    <t>France</t>
  </si>
  <si>
    <t>French Guiana</t>
  </si>
  <si>
    <t>French Polynesia</t>
  </si>
  <si>
    <t>Gabon</t>
  </si>
  <si>
    <t>Galapagos Islands</t>
  </si>
  <si>
    <t>Gambia, The</t>
  </si>
  <si>
    <t>Georgia</t>
  </si>
  <si>
    <t>Germany</t>
  </si>
  <si>
    <t>Ghana</t>
  </si>
  <si>
    <t>Gibraltar</t>
  </si>
  <si>
    <t>Greenland</t>
  </si>
  <si>
    <t>Grenada</t>
  </si>
  <si>
    <t>Guadeloupe</t>
  </si>
  <si>
    <t>Guam</t>
  </si>
  <si>
    <t>Guatemala</t>
  </si>
  <si>
    <t>Guinea</t>
  </si>
  <si>
    <t>Guinea-Bissau</t>
  </si>
  <si>
    <t>Guyana</t>
  </si>
  <si>
    <t>Haiti</t>
  </si>
  <si>
    <t>Hawaii</t>
  </si>
  <si>
    <t>Honduras</t>
  </si>
  <si>
    <t>Hong Kong</t>
  </si>
  <si>
    <t>Hungary</t>
  </si>
  <si>
    <t>Ibiza</t>
  </si>
  <si>
    <t>Iceland</t>
  </si>
  <si>
    <t>India</t>
  </si>
  <si>
    <t>Indonesia</t>
  </si>
  <si>
    <t>Iran</t>
  </si>
  <si>
    <t>Iraq</t>
  </si>
  <si>
    <t>Ireland</t>
  </si>
  <si>
    <t>Israel</t>
  </si>
  <si>
    <t>Jamaica</t>
  </si>
  <si>
    <t>Jan Mayen &amp; Svalbard (Norway)</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</si>
  <si>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</si>
  <si>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</si>
  <si>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</si>
  <si>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</si>
  <si>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</si>
  <si>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</si>
  <si>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</si>
  <si>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</si>
  <si>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</si>
  <si>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</si>
  <si>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</si>
  <si>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</si>
  <si>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</si>
  <si>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</si>
  <si>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</si>
  <si>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</si>
  <si>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</si>
  <si>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</si>
  <si>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</si>
  <si>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 SAR</t>
  </si>
  <si>
    <t>Macedonia</t>
  </si>
  <si>
    <t>Madagascar</t>
  </si>
  <si>
    <t>Madeira Islands</t>
  </si>
  <si>
    <t>Majorca</t>
  </si>
  <si>
    <t>Malawi</t>
  </si>
  <si>
    <t>Malaysia</t>
  </si>
  <si>
    <t>Maldives</t>
  </si>
  <si>
    <t>Mali</t>
  </si>
  <si>
    <t>Malta</t>
  </si>
  <si>
    <t>Margarita Island</t>
  </si>
  <si>
    <t>Marshall Islands</t>
  </si>
  <si>
    <t>Martinique</t>
  </si>
  <si>
    <t>Mauritania</t>
  </si>
  <si>
    <t>Mauritius</t>
  </si>
  <si>
    <t>Mayotte</t>
  </si>
  <si>
    <t>Menorca</t>
  </si>
  <si>
    <t>Mexico</t>
  </si>
  <si>
    <t>Micronesia</t>
  </si>
  <si>
    <t>Moldova</t>
  </si>
  <si>
    <t>Monaco</t>
  </si>
  <si>
    <t>Mongolia</t>
  </si>
  <si>
    <t>Montenegro</t>
  </si>
  <si>
    <t>Montserrat</t>
  </si>
  <si>
    <t>Morocco</t>
  </si>
  <si>
    <t>Mozambique</t>
  </si>
  <si>
    <t>Myanmar (Burma)</t>
  </si>
  <si>
    <t>Namibia</t>
  </si>
  <si>
    <t>Nauru</t>
  </si>
  <si>
    <t>Nepal</t>
  </si>
  <si>
    <t>Netherlands</t>
  </si>
  <si>
    <t>Netherlands Antilles</t>
  </si>
  <si>
    <t>New Caledonia</t>
  </si>
  <si>
    <t>New Zealand</t>
  </si>
  <si>
    <t>Nicaragua</t>
  </si>
  <si>
    <t>Niger</t>
  </si>
  <si>
    <t>Nigeria</t>
  </si>
  <si>
    <t>Niue</t>
  </si>
  <si>
    <t>Norfolk Island</t>
  </si>
  <si>
    <t>Northern Mariana Islands</t>
  </si>
  <si>
    <t>Oman</t>
  </si>
  <si>
    <t>Pakistan</t>
  </si>
  <si>
    <t>Palau</t>
  </si>
  <si>
    <t>Palestine</t>
  </si>
  <si>
    <t>Panama</t>
  </si>
  <si>
    <t>Papua New Guinea</t>
  </si>
  <si>
    <t>Paraguay</t>
  </si>
  <si>
    <t>Peru</t>
  </si>
  <si>
    <t>Philippines</t>
  </si>
  <si>
    <t>Pitcairn Islands</t>
  </si>
  <si>
    <t>Poland</t>
  </si>
  <si>
    <t>Portugal</t>
  </si>
  <si>
    <t>Puerto Rico</t>
  </si>
  <si>
    <t>Qatar</t>
  </si>
  <si>
    <t>Republic of Korea (S. Korea)</t>
  </si>
  <si>
    <t>Reunion</t>
  </si>
  <si>
    <t>Romania</t>
  </si>
  <si>
    <t>Russian Federation</t>
  </si>
  <si>
    <t>Rwanda</t>
  </si>
  <si>
    <t>Saint Helena</t>
  </si>
  <si>
    <t>Saint Kitts and Nevis</t>
  </si>
  <si>
    <t>Saint Lucia</t>
  </si>
  <si>
    <t>Saint Pierre and Miquelon</t>
  </si>
  <si>
    <t>Saint Vincent and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</si>
  <si>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</si>
  <si>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</si>
  <si>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</si>
  <si>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</si>
  <si>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</si>
  <si>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</si>
  <si>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</si>
  <si>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</si>
  <si>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</si>
  <si>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</si>
  <si>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</si>
  <si>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</si>
  <si>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</si>
  <si>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</si>
  <si>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Georgia and the South Sandwich Islands</t>
  </si>
  <si>
    <t>Spain - north African territories of Ceuta and Melila</t>
  </si>
  <si>
    <t>Sri Lanka</t>
  </si>
  <si>
    <t>Suriname</t>
  </si>
  <si>
    <t>Swaziland</t>
  </si>
  <si>
    <t>Sweden</t>
  </si>
  <si>
    <t>Switzerland</t>
  </si>
  <si>
    <t xml:space="preserve">Syria </t>
  </si>
  <si>
    <t>Tahiti</t>
  </si>
  <si>
    <t>Taiwan</t>
  </si>
  <si>
    <t>Tajikistan</t>
  </si>
  <si>
    <t>Tanzania</t>
  </si>
  <si>
    <t>Thailand</t>
  </si>
  <si>
    <t>Tibet</t>
  </si>
  <si>
    <t>Togo</t>
  </si>
  <si>
    <t>Tokelau</t>
  </si>
  <si>
    <t>Tonga</t>
  </si>
  <si>
    <t>Trinidad and Tobago</t>
  </si>
  <si>
    <t>Tunisia</t>
  </si>
  <si>
    <t>Turkmenistan</t>
  </si>
  <si>
    <t>Turks and Caicos Islands</t>
  </si>
  <si>
    <t>Tuvalu</t>
  </si>
  <si>
    <t>Uganda</t>
  </si>
  <si>
    <t>Ukraine</t>
  </si>
  <si>
    <t>United Arab Emirates</t>
  </si>
  <si>
    <t>United Kingdom</t>
  </si>
  <si>
    <t>United States of America</t>
  </si>
  <si>
    <t>Uruguay</t>
  </si>
  <si>
    <t>Uzbekistan</t>
  </si>
  <si>
    <t>Vanuatu</t>
  </si>
  <si>
    <t>Venezuela</t>
  </si>
  <si>
    <t>Vietnam</t>
  </si>
  <si>
    <t>Virgin Islands</t>
  </si>
  <si>
    <t>Wake Island and the US Pacific Islands</t>
  </si>
  <si>
    <t>Wallis and Futuna Islands</t>
  </si>
  <si>
    <t>Western Sahara</t>
  </si>
  <si>
    <t>Yemen</t>
  </si>
  <si>
    <t>Zambia</t>
  </si>
  <si>
    <t>Zanzibar</t>
  </si>
  <si>
    <t>Zimbabwe</t>
  </si>
  <si>
    <t>Kevin Brown</t>
  </si>
  <si>
    <t>Mark Zuckerman</t>
  </si>
  <si>
    <t>GMC number</t>
  </si>
  <si>
    <t>Insert name</t>
  </si>
  <si>
    <t>Department</t>
  </si>
  <si>
    <t>Country:</t>
  </si>
  <si>
    <t>Choose from list</t>
  </si>
  <si>
    <t>Exposure risk :</t>
  </si>
  <si>
    <t xml:space="preserve">Treatment based on risk assessment: </t>
  </si>
  <si>
    <t>NHS no:</t>
  </si>
  <si>
    <t>HPZone no</t>
  </si>
  <si>
    <t>Comment</t>
  </si>
  <si>
    <t xml:space="preserve">Name: </t>
  </si>
  <si>
    <t>dob</t>
  </si>
  <si>
    <t>Today</t>
  </si>
  <si>
    <t>Day</t>
  </si>
  <si>
    <t>Month</t>
  </si>
  <si>
    <t>Year</t>
  </si>
  <si>
    <t>Weight convertor</t>
  </si>
  <si>
    <t>Day 0</t>
  </si>
  <si>
    <t>Day 3</t>
  </si>
  <si>
    <t>Day 7</t>
  </si>
  <si>
    <t>Stones</t>
  </si>
  <si>
    <t>Pounds</t>
  </si>
  <si>
    <t>Sun</t>
  </si>
  <si>
    <t>Mon</t>
  </si>
  <si>
    <t>Tue</t>
  </si>
  <si>
    <t>Wed</t>
  </si>
  <si>
    <t>Thu</t>
  </si>
  <si>
    <t>Fri</t>
  </si>
  <si>
    <t>Sat</t>
  </si>
  <si>
    <t>Weight</t>
  </si>
  <si>
    <t>Concentration (IU/mL)</t>
  </si>
  <si>
    <t>Iu</t>
  </si>
  <si>
    <t>Vials</t>
  </si>
  <si>
    <t>Total Volume</t>
  </si>
  <si>
    <t>Non-bat/primate</t>
  </si>
  <si>
    <t>Primate</t>
  </si>
  <si>
    <t>Column2</t>
  </si>
  <si>
    <t>Column3</t>
  </si>
  <si>
    <t>Column4</t>
  </si>
  <si>
    <t>HRIG</t>
  </si>
  <si>
    <t>Company</t>
  </si>
  <si>
    <t>Expiry date</t>
  </si>
  <si>
    <t>RIG</t>
  </si>
  <si>
    <t>Other terrestial mammal</t>
  </si>
  <si>
    <t>Enter site</t>
  </si>
  <si>
    <t>Enter name</t>
  </si>
  <si>
    <t>Too late</t>
  </si>
  <si>
    <t>Observe animal</t>
  </si>
  <si>
    <t>Norway (mainland only)</t>
  </si>
  <si>
    <t>Svalbard</t>
  </si>
  <si>
    <t>Vaccines</t>
  </si>
  <si>
    <t>Rabipur</t>
  </si>
  <si>
    <t>Verorab</t>
  </si>
  <si>
    <t>Rabies vaccine</t>
  </si>
  <si>
    <t>Abhayrab</t>
  </si>
  <si>
    <t>SII Rabivax</t>
  </si>
  <si>
    <t>Speeda (CELBIO)</t>
  </si>
  <si>
    <t>Suckling mouse brain</t>
  </si>
  <si>
    <t>Not known</t>
  </si>
  <si>
    <t>Type of vaccine?</t>
  </si>
  <si>
    <t>ISSUING CENTRE</t>
  </si>
  <si>
    <t>Post code:</t>
  </si>
  <si>
    <t xml:space="preserve">Post code: </t>
  </si>
  <si>
    <t xml:space="preserve">Country </t>
  </si>
  <si>
    <t>Region</t>
  </si>
  <si>
    <t>South Asia</t>
  </si>
  <si>
    <t>Central Europe</t>
  </si>
  <si>
    <t>North Africa</t>
  </si>
  <si>
    <t>Oceania</t>
  </si>
  <si>
    <t>Western Europe</t>
  </si>
  <si>
    <t>Sub Saharan Africa</t>
  </si>
  <si>
    <t>Central America and the Caribbean</t>
  </si>
  <si>
    <t>Antartica</t>
  </si>
  <si>
    <t>South America</t>
  </si>
  <si>
    <t>Eastern Europe</t>
  </si>
  <si>
    <t>Atlantic Islands</t>
  </si>
  <si>
    <t>Middle East</t>
  </si>
  <si>
    <t>South East Asia</t>
  </si>
  <si>
    <t>North America</t>
  </si>
  <si>
    <t>Eastern Asia</t>
  </si>
  <si>
    <t>Exposure</t>
  </si>
  <si>
    <t>Hpzone</t>
  </si>
  <si>
    <t>Date</t>
  </si>
  <si>
    <t>Time of call</t>
  </si>
  <si>
    <t xml:space="preserve">Source of Call </t>
  </si>
  <si>
    <t>Caller Organisation</t>
  </si>
  <si>
    <t>Caller Phone No</t>
  </si>
  <si>
    <t>Caller Alt Number</t>
  </si>
  <si>
    <t>CallerPostcode</t>
  </si>
  <si>
    <t>Patient Surname</t>
  </si>
  <si>
    <t>Patient Firstname</t>
  </si>
  <si>
    <t>Patient DOB</t>
  </si>
  <si>
    <t>Patient NHS no</t>
  </si>
  <si>
    <t>Patient Phone No</t>
  </si>
  <si>
    <t>Patient Alt Phone No</t>
  </si>
  <si>
    <t>Previous vaccination history</t>
  </si>
  <si>
    <t>Date of exposure</t>
  </si>
  <si>
    <t>Vaccination Status</t>
  </si>
  <si>
    <t>Country</t>
  </si>
  <si>
    <t>Country risk</t>
  </si>
  <si>
    <t>Species of animal</t>
  </si>
  <si>
    <t>Species risk</t>
  </si>
  <si>
    <t xml:space="preserve">Site of exposure </t>
  </si>
  <si>
    <t>Exposure risk</t>
  </si>
  <si>
    <t>Additional Information</t>
  </si>
  <si>
    <t>Treatment based on risk assessment</t>
  </si>
  <si>
    <t>Treatment already given HRIG</t>
  </si>
  <si>
    <t>No vaccine doses</t>
  </si>
  <si>
    <t>Vaccine required</t>
  </si>
  <si>
    <t>No doses</t>
  </si>
  <si>
    <t>If not d0 start UK schedule at</t>
  </si>
  <si>
    <t>Immunoglobulin required</t>
  </si>
  <si>
    <t>Weight of patient (kg)</t>
  </si>
  <si>
    <t>Dose of immunoglobulin (IU)</t>
  </si>
  <si>
    <t>Volume of immunologlobulin</t>
  </si>
  <si>
    <t>No of vials required</t>
  </si>
  <si>
    <t>How soon should treatment be started</t>
  </si>
  <si>
    <t>Additional advice</t>
  </si>
  <si>
    <t>Duty doctor performing risk assessment</t>
  </si>
  <si>
    <t>VRD consultant name</t>
  </si>
  <si>
    <t>AuditDate</t>
  </si>
  <si>
    <t>PatientFirstname2</t>
  </si>
  <si>
    <t>PatientSurname2</t>
  </si>
  <si>
    <t>PatientPhoneNumber2</t>
  </si>
  <si>
    <t>PatientAltNumber2</t>
  </si>
  <si>
    <t>PatientDOB2</t>
  </si>
  <si>
    <t>PatientNHSnumber2</t>
  </si>
  <si>
    <t>PatientAddress2</t>
  </si>
  <si>
    <t>PatientZip</t>
  </si>
  <si>
    <t>Name of Recipient2</t>
  </si>
  <si>
    <t>Delivery Address</t>
  </si>
  <si>
    <t>Issue from another centre2</t>
  </si>
  <si>
    <t>Immunoglobulin Issue (vials)</t>
  </si>
  <si>
    <t>IgBatchno</t>
  </si>
  <si>
    <t>IgExpirydate</t>
  </si>
  <si>
    <t>VaccineissueVials</t>
  </si>
  <si>
    <t>VaccineManufacturer</t>
  </si>
  <si>
    <t>VaccienExpiryDate</t>
  </si>
  <si>
    <t>Methodsent</t>
  </si>
  <si>
    <t>DateSent</t>
  </si>
  <si>
    <t>PackedBy</t>
  </si>
  <si>
    <t>Notes</t>
  </si>
  <si>
    <t>FileName</t>
  </si>
  <si>
    <t>POST</t>
  </si>
  <si>
    <t>TypeofVaccine</t>
  </si>
  <si>
    <t>DeliveryPostcode</t>
  </si>
  <si>
    <t>Bahamas</t>
  </si>
  <si>
    <t>Dates and details of previous treatment:</t>
  </si>
  <si>
    <t>Conc</t>
  </si>
  <si>
    <t>Vol</t>
  </si>
  <si>
    <t>Conc text</t>
  </si>
  <si>
    <t xml:space="preserve">HRIG lot no: </t>
  </si>
  <si>
    <t>IU/mL</t>
  </si>
  <si>
    <t>(HRIG potency:</t>
  </si>
  <si>
    <t>)</t>
  </si>
  <si>
    <t>BPL</t>
  </si>
  <si>
    <t>ml</t>
  </si>
  <si>
    <t xml:space="preserve">HRIG batch issued: </t>
  </si>
  <si>
    <t>Additional advice/ information given:</t>
  </si>
  <si>
    <t>Telephone number:</t>
  </si>
  <si>
    <t>Ines Ushiro-Lumb</t>
  </si>
  <si>
    <t>Patient address:</t>
  </si>
  <si>
    <t>Is this a split issue?</t>
  </si>
  <si>
    <t>Vials of HRIG required</t>
  </si>
  <si>
    <t>Which centre?</t>
  </si>
  <si>
    <t xml:space="preserve">Customer verified:  </t>
  </si>
  <si>
    <t>Department (#1)</t>
  </si>
  <si>
    <t>Delivery address (#1):</t>
  </si>
  <si>
    <t>Immunoglobulin               Issue (#1)</t>
  </si>
  <si>
    <t>Vaccine Issue (#1)</t>
  </si>
  <si>
    <t>Department (#2)</t>
  </si>
  <si>
    <t>Delivery address (#2):</t>
  </si>
  <si>
    <t>Immunoglobulin               Issue (#2)</t>
  </si>
  <si>
    <t>Vaccine Issue (#2)</t>
  </si>
  <si>
    <t>If more than 2 - linked form #</t>
  </si>
  <si>
    <t xml:space="preserve"> How many issues?</t>
  </si>
  <si>
    <t>HRIG required</t>
  </si>
  <si>
    <t>Cameroon</t>
  </si>
  <si>
    <t>Czech Republic, within 50km border Poland/Slovakia</t>
  </si>
  <si>
    <t>VRD Ref No</t>
  </si>
  <si>
    <t>Caller Name</t>
  </si>
  <si>
    <t>HRIGlot_no</t>
  </si>
  <si>
    <t>HRIGvol1</t>
  </si>
  <si>
    <t>HRIGpotency</t>
  </si>
  <si>
    <t>HRIGvol2</t>
  </si>
  <si>
    <t>Doses_vacc_required</t>
  </si>
  <si>
    <t>How many issues?</t>
  </si>
  <si>
    <t>More_than_2linked_formNo</t>
  </si>
  <si>
    <t>MovNumber</t>
  </si>
  <si>
    <t>CustomerVerified</t>
  </si>
  <si>
    <t>Issue2fromOtherIssuingCentre(#2)</t>
  </si>
  <si>
    <t>MovNumber(#2)</t>
  </si>
  <si>
    <t>NameOfRecipient(#2)</t>
  </si>
  <si>
    <t>TelephoneNumber(#2)</t>
  </si>
  <si>
    <t>Department(#2)</t>
  </si>
  <si>
    <t>DeliveryAddress(#2)</t>
  </si>
  <si>
    <t>DeliveryPostCode(#2)</t>
  </si>
  <si>
    <t>CustomerVerified(#2)</t>
  </si>
  <si>
    <t>Immunoglobulin Issue (vials)(#2)</t>
  </si>
  <si>
    <t>IgBatchno(#2)</t>
  </si>
  <si>
    <t>IgManufacturer(#2)</t>
  </si>
  <si>
    <t>VaccineissueVials(#2)</t>
  </si>
  <si>
    <t>VaccineBatchNo(#2)</t>
  </si>
  <si>
    <t>VaccineManufacturer(#2)</t>
  </si>
  <si>
    <t>VaccienExpiryDate(#2)</t>
  </si>
  <si>
    <t>Methodsent(#2)</t>
  </si>
  <si>
    <t>VERSION</t>
  </si>
  <si>
    <t>Previous rabies vaccination history:</t>
  </si>
  <si>
    <t>Request form for Rabies Post Exposure Treatment</t>
  </si>
  <si>
    <t>Form version:</t>
  </si>
  <si>
    <t xml:space="preserve">Customer verified: </t>
  </si>
  <si>
    <t>United Kingdom - imported animal</t>
  </si>
  <si>
    <t>Provide more information below</t>
  </si>
  <si>
    <t>Exp:</t>
  </si>
  <si>
    <t>POST 21 JAN 2013ver3</t>
  </si>
  <si>
    <t>DelivAdd(#2)Country</t>
  </si>
  <si>
    <t>Spain - mainland, Balearic and Canary Islands</t>
  </si>
  <si>
    <t xml:space="preserve">Greece </t>
  </si>
  <si>
    <t>TRAVEL CENTRE</t>
  </si>
  <si>
    <t>IgG Calculator</t>
  </si>
  <si>
    <t>Enter GMC #</t>
  </si>
  <si>
    <t>Manchester</t>
  </si>
  <si>
    <t>Arm</t>
  </si>
  <si>
    <t>Hand</t>
  </si>
  <si>
    <t>Leg</t>
  </si>
  <si>
    <t>Foot</t>
  </si>
  <si>
    <t>Face</t>
  </si>
  <si>
    <t>Head</t>
  </si>
  <si>
    <t xml:space="preserve">Neck </t>
  </si>
  <si>
    <t>Trunk</t>
  </si>
  <si>
    <t>Back</t>
  </si>
  <si>
    <t>Channel Islands</t>
  </si>
  <si>
    <t>Isle of Man</t>
  </si>
  <si>
    <t>Saint Martin/Sint Maarten</t>
  </si>
  <si>
    <t>Timor-Leste</t>
  </si>
  <si>
    <t>La Reunion</t>
  </si>
  <si>
    <t>Partially immune</t>
  </si>
  <si>
    <t xml:space="preserve">RIgS No: </t>
  </si>
  <si>
    <t>Colin Brown</t>
  </si>
  <si>
    <t>6097248</t>
  </si>
  <si>
    <t>Day of dose</t>
  </si>
  <si>
    <r>
      <t xml:space="preserve">The HRIG calculator tells you the </t>
    </r>
    <r>
      <rPr>
        <b/>
        <sz val="9"/>
        <rFont val="Arial"/>
        <family val="2"/>
      </rPr>
      <t>volume</t>
    </r>
    <r>
      <rPr>
        <sz val="9"/>
        <rFont val="Arial"/>
        <family val="2"/>
      </rPr>
      <t xml:space="preserve"> of HRIG required for your patient. This is calculated based on the weight provided. It is important that you do </t>
    </r>
    <r>
      <rPr>
        <b/>
        <sz val="9"/>
        <rFont val="Arial"/>
        <family val="2"/>
      </rPr>
      <t>NOT</t>
    </r>
    <r>
      <rPr>
        <sz val="9"/>
        <rFont val="Arial"/>
        <family val="2"/>
      </rPr>
      <t xml:space="preserve"> give more than the calculated dose. Please dispose of the unused HRIG. 
</t>
    </r>
  </si>
  <si>
    <t>The dates when the HRIG can be given are shown in purple</t>
  </si>
  <si>
    <t xml:space="preserve"> The calendar above gives a graphical representation of the information. Today is shown with a green Tab, the injection days are shown in red. If needed the dates of later injections (d7 onwards) can be moved to take account of weekends or public holidays.</t>
  </si>
  <si>
    <t xml:space="preserve">Re: </t>
  </si>
  <si>
    <t>Rabies and Immunoglobulin Service</t>
  </si>
  <si>
    <t>Colindale, London, NW9 5EQ</t>
  </si>
  <si>
    <t>Dear Dr</t>
  </si>
  <si>
    <t xml:space="preserve">dob </t>
  </si>
  <si>
    <t>There is no need to do an antibody test at the end of the course.</t>
  </si>
  <si>
    <t>Further information can be found on the accompanying leaflet/letter</t>
  </si>
  <si>
    <t>Yours faithfully</t>
  </si>
  <si>
    <t>Please do antibody testing as requested at the end of the course</t>
  </si>
  <si>
    <t>Antibody test required?</t>
  </si>
  <si>
    <t>1st dose (d0)</t>
  </si>
  <si>
    <t>2nd dose (d3)</t>
  </si>
  <si>
    <t>The dates of administration of the vaccine should be:</t>
  </si>
  <si>
    <t>Lysssavac</t>
  </si>
  <si>
    <t>Issuing Centre</t>
  </si>
  <si>
    <t>City and Postcode</t>
  </si>
  <si>
    <t>Insert title etc</t>
  </si>
  <si>
    <t>Gayatri Amirthalingam</t>
  </si>
  <si>
    <t>Mary Ramsay</t>
  </si>
  <si>
    <t>Sema Mandel</t>
  </si>
  <si>
    <t>Shamez Ladhani</t>
  </si>
  <si>
    <t>Daniel Bradshaw</t>
  </si>
  <si>
    <t>Bat risk</t>
  </si>
  <si>
    <t>Primate/rodent risk</t>
  </si>
  <si>
    <t>Fox/skunk/racoon</t>
  </si>
  <si>
    <t>d21</t>
  </si>
  <si>
    <t>Fox</t>
  </si>
  <si>
    <t>Skunk</t>
  </si>
  <si>
    <t>Racoon</t>
  </si>
  <si>
    <t>Yes</t>
  </si>
  <si>
    <t>Other Risk</t>
  </si>
  <si>
    <t>Fox/skunk/raccoon</t>
  </si>
  <si>
    <t>4 vaccine</t>
  </si>
  <si>
    <t>4 vaccine + RIG</t>
  </si>
  <si>
    <t>Start UK schedule at d?:</t>
  </si>
  <si>
    <t>No</t>
  </si>
  <si>
    <r>
      <rPr>
        <b/>
        <sz val="12"/>
        <rFont val="Arial"/>
        <family val="2"/>
      </rPr>
      <t>Doses of vaccine required</t>
    </r>
    <r>
      <rPr>
        <b/>
        <sz val="12"/>
        <color indexed="12"/>
        <rFont val="Arial"/>
        <family val="2"/>
      </rPr>
      <t xml:space="preserve"> </t>
    </r>
  </si>
  <si>
    <t>5 vaccine</t>
  </si>
  <si>
    <t>HPT</t>
  </si>
  <si>
    <t>Immunosuppressed</t>
  </si>
  <si>
    <t>Any additional information:</t>
  </si>
  <si>
    <t>mucous membrane contamination with bat saliva- 3</t>
  </si>
  <si>
    <t>Animal</t>
  </si>
  <si>
    <t>touching/stroking/feeding - 1</t>
  </si>
  <si>
    <t>licks to broken skin- 2</t>
  </si>
  <si>
    <t>severe laceration - 3</t>
  </si>
  <si>
    <t>Significant medical history</t>
  </si>
  <si>
    <t>Details of previous courses</t>
  </si>
  <si>
    <t>Vaccination status :</t>
  </si>
  <si>
    <t>Further treatment required</t>
  </si>
  <si>
    <t xml:space="preserve">Other relevant Hx (allergies, coagulopathies) </t>
  </si>
  <si>
    <t xml:space="preserve">Is the patient severely immunosuppressed? (see chapter 6 in Green Book) </t>
  </si>
  <si>
    <t xml:space="preserve">E-mail addresses : </t>
  </si>
  <si>
    <t>Country / Animal risk :</t>
  </si>
  <si>
    <t>PatientSeverelyImmunosupp</t>
  </si>
  <si>
    <t>SignifMedicalHistDETAILS</t>
  </si>
  <si>
    <t>OtherReleHx</t>
  </si>
  <si>
    <t>RabiesRisk</t>
  </si>
  <si>
    <t>PrevTtreatmentD0</t>
  </si>
  <si>
    <t>PrevTtreatmentD3</t>
  </si>
  <si>
    <t>PrevTtreatmentD7</t>
  </si>
  <si>
    <t>PrevTtreatmentD14</t>
  </si>
  <si>
    <t>DateNextVaccine</t>
  </si>
  <si>
    <t>AntibodyTestRequired</t>
  </si>
  <si>
    <t>DateRiskAssessment</t>
  </si>
  <si>
    <t>PescribingClinician</t>
  </si>
  <si>
    <t>PescribingClinicianGMC</t>
  </si>
  <si>
    <t>Caller Title</t>
  </si>
  <si>
    <t>Movianto1RefNum</t>
  </si>
  <si>
    <t>Movianto2RefNum</t>
  </si>
  <si>
    <t>Emailaddress3</t>
  </si>
  <si>
    <t>Emailaddress1</t>
  </si>
  <si>
    <t xml:space="preserve">Movianto1Orderdate </t>
  </si>
  <si>
    <t xml:space="preserve">Movianto2Orderdate </t>
  </si>
  <si>
    <t>Country_Animal_risk</t>
  </si>
  <si>
    <t>Standard UK schedule is vaccine given into alternate arms by intramuscular inoculation on days 0, 3, 7, and 21</t>
  </si>
  <si>
    <t>Standard UK schedule for a fully immunised patients is 2 doses of vaccine on day 0 and between days 3 to 7</t>
  </si>
  <si>
    <t xml:space="preserve">As much as possible of the immunoglobulin to be infiltrated at the site of the bite/laceration. Maximum dose of 20 IU per kg of body weight, which must not be exceeded. </t>
  </si>
  <si>
    <t xml:space="preserve">Standard UK scheduled for an immunosuppressed patient is vaccine given into alternate arms by intramuscular inoculation on days 0, 3, 7, 14, and 30 </t>
  </si>
  <si>
    <t>Further information can be found on the accompanying leaflet</t>
  </si>
  <si>
    <t>mucous membrane contact with saliva - 3</t>
  </si>
  <si>
    <t>no saliva contact - 1</t>
  </si>
  <si>
    <t>uncertain contact (please specify below) - 2</t>
  </si>
  <si>
    <t>Maria Zambon</t>
  </si>
  <si>
    <t>Consultant name</t>
  </si>
  <si>
    <t>bite which breaks skin - 3</t>
  </si>
  <si>
    <t>Please note the advice given is based on the available information. It remains the responsibility of registered healthcare professionals prescribing, supplying or administering medicines to check the medicine is appropriate for the patient. 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t>
  </si>
  <si>
    <t>d3-7</t>
  </si>
  <si>
    <t>NMC 10H0564E</t>
  </si>
  <si>
    <t>NMC 82J029E</t>
  </si>
  <si>
    <t>bat bite - 3</t>
  </si>
  <si>
    <t>Johanna Bosowski</t>
  </si>
  <si>
    <t>Lorraine Muzalewski</t>
  </si>
  <si>
    <t>Next working day (routine)</t>
  </si>
  <si>
    <t>Within 24 hours</t>
  </si>
  <si>
    <t>Within 6 hrs  (eg  multiple head and neck bites/confirmed rabid animal)</t>
  </si>
  <si>
    <t>24 hour</t>
  </si>
  <si>
    <t>5 hour</t>
  </si>
  <si>
    <t>SKU</t>
  </si>
  <si>
    <t>DEPARTMENT</t>
  </si>
  <si>
    <t>FULL ADDRESS</t>
  </si>
  <si>
    <t>POST CODE</t>
  </si>
  <si>
    <t>RIgS Clerk</t>
  </si>
  <si>
    <t>Issue1Movianto</t>
  </si>
  <si>
    <t>Issue1IssuingCentre</t>
  </si>
  <si>
    <t>Immunoglobulin_SKU</t>
  </si>
  <si>
    <t>Vaccine_SKU</t>
  </si>
  <si>
    <t>Issue2fromMovianto</t>
  </si>
  <si>
    <t>Vaccine2_SKU</t>
  </si>
  <si>
    <t>Immunoglobulin2_SKU</t>
  </si>
  <si>
    <t>TelephoneNumber</t>
  </si>
  <si>
    <t>Checked (#1):</t>
  </si>
  <si>
    <t>Please tick</t>
  </si>
  <si>
    <t>No. of immunoglobulin</t>
  </si>
  <si>
    <t>Address correct</t>
  </si>
  <si>
    <t>No. of vaccine</t>
  </si>
  <si>
    <t>Refrigeration label attached</t>
  </si>
  <si>
    <t>Copy of form enclosed</t>
  </si>
  <si>
    <t>Return address label attached</t>
  </si>
  <si>
    <t>Italy</t>
  </si>
  <si>
    <t xml:space="preserve">Expiry date: </t>
  </si>
  <si>
    <t>multiple scatches/bites - 3</t>
  </si>
  <si>
    <r>
      <rPr>
        <b/>
        <sz val="10"/>
        <rFont val="Arial"/>
        <family val="2"/>
      </rPr>
      <t>Date (DD/MM/YYYY):</t>
    </r>
  </si>
  <si>
    <t>Issuing Centre 1</t>
  </si>
  <si>
    <t xml:space="preserve">London NW9 5HT                                                                                                                                       Tel: 033 0128 1020       </t>
  </si>
  <si>
    <t>*Please provide prescribing physician name, address and telephone number in this box</t>
  </si>
  <si>
    <t>Checked (#2):</t>
  </si>
  <si>
    <t>Issuing Centre 2</t>
  </si>
  <si>
    <t>Colindale/Movianto - 24 hr</t>
  </si>
  <si>
    <t>Colindale/Movianto - 5 hr</t>
  </si>
  <si>
    <t xml:space="preserve">Movianto No: </t>
  </si>
  <si>
    <t xml:space="preserve">Movianto no: </t>
  </si>
  <si>
    <t>The rabies immunoglobulin has been sent to the GP to adminisiter</t>
  </si>
  <si>
    <t>Please note the advice given is based on the available information. It remains the responsibility of registered healthcare professionals prescribing, supplying or administering medicines to check the medicine is appropriate for the patient.This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t>
  </si>
  <si>
    <t>Please note the advice given is based on the available information. It remains the responsibility of registered healthcare professionals prescribing, supplying or administering medicines to check the medicine is appropriate for the patient. 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t>
  </si>
  <si>
    <t>Movianto #1 order date</t>
  </si>
  <si>
    <t>Movianto #1 Reference Number</t>
  </si>
  <si>
    <t>Movianto #2 order date</t>
  </si>
  <si>
    <t>UKHSA Rabies and Immunoglobulin Service</t>
  </si>
  <si>
    <t xml:space="preserve">Any queries contact the UKHSA Rabies and Immunoglobulin Service, Colindale </t>
  </si>
  <si>
    <t xml:space="preserve">UKHSA </t>
  </si>
  <si>
    <t xml:space="preserve">Tel: 033 0128 1020       </t>
  </si>
  <si>
    <t>UK Health Security Agency</t>
  </si>
  <si>
    <t>Treatment recommendations (for UKHSA guidelines click here)</t>
  </si>
  <si>
    <t>UKHSA Audit</t>
  </si>
  <si>
    <t>NB standard issue of vaccine and RIG from Colindale is Monday-Thursday (before 3:30 pm) for next day delivery</t>
  </si>
  <si>
    <t>Beauty Mumsy Mahange</t>
  </si>
  <si>
    <t>UKHSA authorisation</t>
  </si>
  <si>
    <t>NMC 02Y0385O</t>
  </si>
  <si>
    <t>JRC22032</t>
  </si>
  <si>
    <t>262 IU/ml</t>
  </si>
  <si>
    <t>24RIG_JRC22032 Exp 31/12/2023</t>
  </si>
  <si>
    <t xml:space="preserve">If risk assessment required please e-mail completed form (secure e-mail only) to: RIGS@ukhsa.gov.uk </t>
  </si>
  <si>
    <t xml:space="preserve"> Rabies risk : </t>
  </si>
  <si>
    <t>Exposure details and risk assessment</t>
  </si>
  <si>
    <t>For all Issuing Centres</t>
  </si>
  <si>
    <t>Volume =</t>
  </si>
  <si>
    <t>Vaccine required?</t>
  </si>
  <si>
    <t>Immunoglobulin required?</t>
  </si>
  <si>
    <t>Dose of immunoglobulin</t>
  </si>
  <si>
    <t>Vol of immunoglobulin</t>
  </si>
  <si>
    <t>Doctor or nurse performing risk assessment:</t>
  </si>
  <si>
    <t>Date of Birth:</t>
  </si>
  <si>
    <t>South Sudan</t>
  </si>
  <si>
    <t>Sudan</t>
  </si>
  <si>
    <t>Stephen Winchester</t>
  </si>
  <si>
    <t>James Lopez Bernal</t>
  </si>
  <si>
    <t>Sowsan Atabani</t>
  </si>
  <si>
    <t>Rebecca Cordery</t>
  </si>
  <si>
    <t>a bite  which does not break skin- 2</t>
  </si>
  <si>
    <t>any scratch - 2</t>
  </si>
  <si>
    <t>uncertain bat scratch - 2</t>
  </si>
  <si>
    <t>bat bite or scratch - 3</t>
  </si>
  <si>
    <t>JRC22352</t>
  </si>
  <si>
    <t>211 IU/ml</t>
  </si>
  <si>
    <t>24RIG_JRC22352 Exp 30/09/202</t>
  </si>
  <si>
    <t>Ketayi Maruta</t>
  </si>
  <si>
    <t>NMC 04J0667O</t>
  </si>
  <si>
    <r>
      <rPr>
        <sz val="14"/>
        <color indexed="60"/>
        <rFont val="Calibri"/>
        <family val="2"/>
      </rPr>
      <t>Guidance on issuing of antitoxins, immunoglobulins &amp; rabies vaccine</t>
    </r>
    <r>
      <rPr>
        <sz val="10"/>
        <rFont val="Arial"/>
        <family val="0"/>
      </rPr>
      <t xml:space="preserve">
</t>
    </r>
    <r>
      <rPr>
        <sz val="14"/>
        <color indexed="8"/>
        <rFont val="Calibri"/>
        <family val="2"/>
      </rPr>
      <t xml:space="preserve">During office hours </t>
    </r>
    <r>
      <rPr>
        <sz val="10"/>
        <rFont val="Arial"/>
        <family val="0"/>
      </rPr>
      <t xml:space="preserve">
These times are 9am to 5pm Monday to Friday. 
• Collect all relevant information on the appropriate issue form (linked to in each section)
• The NHS Number of the patient in question is essential
• Inform Rabies and Immunoglobulin Service (RIgS) Team via the team e_x0002_mail, rigs@ukhsa.gov.uk
• Include the HPZone number in subject line of the email
Immunoglobulins, antitoxins and/or vaccines will not be issued without a written request (containing all required information) on either an issue form or via email. Verbal requests are not valid. 
</t>
    </r>
    <r>
      <rPr>
        <b/>
        <sz val="16"/>
        <color indexed="8"/>
        <rFont val="Calibri"/>
        <family val="2"/>
      </rPr>
      <t>Outside office hours</t>
    </r>
    <r>
      <rPr>
        <sz val="10"/>
        <rFont val="Arial"/>
        <family val="0"/>
      </rPr>
      <t xml:space="preserve">
These times are 5.30pm to 9am Monday to Thursday, and 5.30pm Friday to 9am Monday. Using the appropriate request form, collect all relevant information including the name and address of person the product is to be delivered to. In particular, the NHS Number of the patient is essential. 
</t>
    </r>
  </si>
  <si>
    <t>5hour@movianto.com</t>
  </si>
  <si>
    <t xml:space="preserve">FROM Account:  </t>
  </si>
  <si>
    <t>Movianto "in hours" Number.01234 224 871</t>
  </si>
  <si>
    <t>E_MAIL TO:</t>
  </si>
  <si>
    <t>0010981701</t>
  </si>
  <si>
    <t>ImmForm Account No:</t>
  </si>
  <si>
    <t>RECIPIENT NAME</t>
  </si>
  <si>
    <t>CONTACT TELEPHONE No:</t>
  </si>
  <si>
    <t>SKU/Article Code</t>
  </si>
  <si>
    <t>Qty
 required</t>
  </si>
  <si>
    <t>Storage
 Condition</t>
  </si>
  <si>
    <t>Human Rabies IG Exp:09-24 JRC22352</t>
  </si>
  <si>
    <t>Human Rabies Immunoglobulin (HRIg)</t>
  </si>
  <si>
    <t>24RABIPUR</t>
  </si>
  <si>
    <t>Rabies vaccine Rabipur®</t>
  </si>
  <si>
    <t>2°C- 8°C</t>
  </si>
  <si>
    <t>HRIGA5-V4</t>
  </si>
  <si>
    <t>Advisory Leaflet HRIG and Rabies Vaccine</t>
  </si>
  <si>
    <r>
      <t>2</t>
    </r>
    <r>
      <rPr>
        <sz val="12"/>
        <color indexed="8"/>
        <rFont val="Calibri"/>
        <family val="2"/>
      </rPr>
      <t>◦C</t>
    </r>
    <r>
      <rPr>
        <sz val="12"/>
        <color indexed="8"/>
        <rFont val="Calibri"/>
        <family val="2"/>
      </rPr>
      <t xml:space="preserve"> - 8</t>
    </r>
    <r>
      <rPr>
        <sz val="12"/>
        <color indexed="8"/>
        <rFont val="Calibri"/>
        <family val="2"/>
      </rPr>
      <t>◦C</t>
    </r>
  </si>
  <si>
    <t>HPZone Reference Number</t>
  </si>
  <si>
    <t>Debbie Cohen  07971 097 580 / 07981 706 183</t>
  </si>
  <si>
    <t>Teresa Gibbs    07813 003 392 / 07956 520 199</t>
  </si>
  <si>
    <t>Jayesh Shah      07885 455 528 / 07985 471 337</t>
  </si>
  <si>
    <t>Maria Bolea      07929 853 797 /07341 939 324</t>
  </si>
  <si>
    <t>Rajani Raghu     07914 274 193</t>
  </si>
  <si>
    <t xml:space="preserve">Rachel Lunt       07833 087 356 </t>
  </si>
  <si>
    <t>UKHSA Contact Telephone Number</t>
  </si>
  <si>
    <t>UKHSA Contact Name</t>
  </si>
  <si>
    <t>francine.stalham@ukhsa.gov.uk</t>
  </si>
  <si>
    <t>Movianto "out of hours" No. 01234 587 369</t>
  </si>
  <si>
    <t>Product Description</t>
  </si>
  <si>
    <r>
      <rPr>
        <b/>
        <sz val="18"/>
        <color indexed="8"/>
        <rFont val="Calibri"/>
        <family val="2"/>
      </rPr>
      <t xml:space="preserve">Emergency vaccine requests outside office hours </t>
    </r>
    <r>
      <rPr>
        <sz val="12"/>
        <color indexed="8"/>
        <rFont val="Calibri"/>
        <family val="2"/>
      </rPr>
      <t xml:space="preserve">
This is the procedure for urgent requests outside of office hours that cannot wait until the next working day:
1. Telephone the on-call person on the number provided on the weekly rota.
2. E-mail the completed request form to BMSoncall@ukhsa.gov.uk.
3. Upload the request form into HPZone.
4. If any follow-up is required, e-mail the form and message to RIGS@ukhsa.gov.uk.
5. On-call person will order the product via Movianto.
6. Movianto will deliver the product to the healthcare provider within 5 hours (or best endeavours).
7. Arrange for the patient to reattend at suitable time for delivery.
8. For weekend issuing, please also aim for issuing within daylight hou</t>
    </r>
    <r>
      <rPr>
        <sz val="12"/>
        <color indexed="8"/>
        <rFont val="Calibri"/>
        <family val="2"/>
      </rPr>
      <t>rs</t>
    </r>
  </si>
  <si>
    <t>Amanda Dennis</t>
  </si>
  <si>
    <t>NMC 81G0417E</t>
  </si>
  <si>
    <t>NMC 95I6936E</t>
  </si>
  <si>
    <t>Rose Danaher</t>
  </si>
  <si>
    <t>NMC 10D0015E</t>
  </si>
  <si>
    <t>NMC 96D1004E</t>
  </si>
  <si>
    <t>Lucy H Bond</t>
  </si>
  <si>
    <t>NMC 06G0009E</t>
  </si>
  <si>
    <t>Recipient clinician #2:</t>
  </si>
  <si>
    <t>Recipient clinician #1:</t>
  </si>
  <si>
    <t>No. vaccine doses</t>
  </si>
  <si>
    <t>Paul Jarman</t>
  </si>
  <si>
    <t>Heidi Brodribb</t>
  </si>
  <si>
    <t>GMC/NMC No:</t>
  </si>
  <si>
    <t>Turkey (Türkiye)</t>
  </si>
  <si>
    <t>Do not use this version of the calculator after 30 September 2024</t>
  </si>
  <si>
    <t>or PHE.ig.clerks@nhs.net</t>
  </si>
  <si>
    <t>Dr Katherine Russell MBBS BSc MSc MPH FFPH</t>
  </si>
  <si>
    <t>GMC 6103526</t>
  </si>
  <si>
    <t>Consultant Epidemiologist, Head of Emerging Infections and Zoonoses</t>
  </si>
  <si>
    <t>Katherine Russell</t>
  </si>
  <si>
    <t>Title</t>
  </si>
  <si>
    <t>First name</t>
  </si>
  <si>
    <t>Surname</t>
  </si>
  <si>
    <t>Name</t>
  </si>
  <si>
    <t>Version: 40         April 2024</t>
  </si>
  <si>
    <t>Postcode</t>
  </si>
  <si>
    <t>Sema Mandal</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</si>
</sst>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400]h:mm:ss\ AM/PM"/>
    <numFmt numFmtId="173" formatCode="mmmm\ yyyy"/>
    <numFmt numFmtId="174" formatCode="d"/>
    <numFmt numFmtId="175" formatCode="d;d;;"/>
    <numFmt numFmtId="176" formatCode="m/d/yy"/>
    <numFmt numFmtId="177" formatCode="dd/mm/yy"/>
    <numFmt numFmtId="178" formatCode="0.00000000"/>
    <numFmt numFmtId="179" formatCode="0.00\K\g"/>
    <numFmt numFmtId="180" formatCode="dd/mm/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809]dd\ mmmm\ yyyy"/>
    <numFmt numFmtId="187" formatCode="d/m/yy;@"/>
    <numFmt numFmtId="188" formatCode="dd/mm/yy;@"/>
  </numFmts>
  <fonts count="128">
    <font>
      <sz val="10"/>
      <name val="Arial"/>
      <family val="0"/>
    </font>
    <font>
      <sz val="11"/>
      <color indexed="8"/>
      <name val="Calibri"/>
      <family val="2"/>
    </font>
    <font>
      <sz val="11"/>
      <color indexed="23"/>
      <name val="Arial"/>
      <family val="2"/>
    </font>
    <font>
      <sz val="8"/>
      <name val="Arial"/>
      <family val="2"/>
    </font>
    <font>
      <b/>
      <sz val="12"/>
      <color indexed="10"/>
      <name val="Arial"/>
      <family val="2"/>
    </font>
    <font>
      <b/>
      <sz val="12"/>
      <color indexed="12"/>
      <name val="Arial"/>
      <family val="2"/>
    </font>
    <font>
      <b/>
      <sz val="12"/>
      <name val="Arial"/>
      <family val="2"/>
    </font>
    <font>
      <sz val="12"/>
      <name val="Arial"/>
      <family val="2"/>
    </font>
    <font>
      <sz val="12"/>
      <name val="Segoe UI"/>
      <family val="2"/>
    </font>
    <font>
      <b/>
      <sz val="12"/>
      <name val="Segoe UI"/>
      <family val="2"/>
    </font>
    <font>
      <b/>
      <i/>
      <sz val="12"/>
      <name val="Arial"/>
      <family val="2"/>
    </font>
    <font>
      <b/>
      <sz val="14"/>
      <name val="Arial"/>
      <family val="2"/>
    </font>
    <font>
      <b/>
      <i/>
      <sz val="10"/>
      <name val="Arial"/>
      <family val="2"/>
    </font>
    <font>
      <b/>
      <sz val="10"/>
      <name val="Arial"/>
      <family val="2"/>
    </font>
    <font>
      <b/>
      <sz val="18"/>
      <name val="Arial"/>
      <family val="2"/>
    </font>
    <font>
      <sz val="18"/>
      <name val="Arial"/>
      <family val="2"/>
    </font>
    <font>
      <u val="single"/>
      <sz val="10"/>
      <color indexed="12"/>
      <name val="Arial"/>
      <family val="2"/>
    </font>
    <font>
      <sz val="9"/>
      <name val="Arial"/>
      <family val="2"/>
    </font>
    <font>
      <sz val="9"/>
      <color indexed="57"/>
      <name val="Comic Sans MS"/>
      <family val="4"/>
    </font>
    <font>
      <b/>
      <sz val="9"/>
      <name val="Arial"/>
      <family val="2"/>
    </font>
    <font>
      <b/>
      <sz val="9"/>
      <color indexed="51"/>
      <name val="Arial"/>
      <family val="2"/>
    </font>
    <font>
      <sz val="16"/>
      <name val="Arial"/>
      <family val="2"/>
    </font>
    <font>
      <sz val="10"/>
      <color indexed="12"/>
      <name val="Arial"/>
      <family val="2"/>
    </font>
    <font>
      <sz val="11"/>
      <name val="Arial"/>
      <family val="2"/>
    </font>
    <font>
      <b/>
      <sz val="11"/>
      <name val="Arial"/>
      <family val="2"/>
    </font>
    <font>
      <sz val="14"/>
      <name val="Arial"/>
      <family val="2"/>
    </font>
    <font>
      <sz val="14"/>
      <color indexed="12"/>
      <name val="Arial"/>
      <family val="2"/>
    </font>
    <font>
      <b/>
      <sz val="14"/>
      <color indexed="10"/>
      <name val="Arial"/>
      <family val="2"/>
    </font>
    <font>
      <sz val="12"/>
      <color indexed="10"/>
      <name val="Arial"/>
      <family val="2"/>
    </font>
    <font>
      <sz val="10"/>
      <color indexed="10"/>
      <name val="Arial"/>
      <family val="2"/>
    </font>
    <font>
      <sz val="11"/>
      <color indexed="10"/>
      <name val="Arial"/>
      <family val="2"/>
    </font>
    <font>
      <sz val="12"/>
      <color indexed="8"/>
      <name val="Arial"/>
      <family val="2"/>
    </font>
    <font>
      <sz val="11"/>
      <name val="Calibri"/>
      <family val="2"/>
    </font>
    <font>
      <b/>
      <i/>
      <sz val="11"/>
      <name val="Arial"/>
      <family val="2"/>
    </font>
    <font>
      <i/>
      <sz val="11"/>
      <name val="Arial"/>
      <family val="2"/>
    </font>
    <font>
      <b/>
      <sz val="8"/>
      <name val="Arial"/>
      <family val="2"/>
    </font>
    <font>
      <sz val="11"/>
      <color indexed="12"/>
      <name val="Arial"/>
      <family val="2"/>
    </font>
    <font>
      <b/>
      <sz val="12"/>
      <color indexed="9"/>
      <name val="Arial"/>
      <family val="2"/>
    </font>
    <font>
      <sz val="12"/>
      <color indexed="9"/>
      <name val="Arial"/>
      <family val="2"/>
    </font>
    <font>
      <sz val="14"/>
      <color indexed="60"/>
      <name val="Calibri"/>
      <family val="2"/>
    </font>
    <font>
      <sz val="14"/>
      <color indexed="8"/>
      <name val="Calibri"/>
      <family val="2"/>
    </font>
    <font>
      <b/>
      <sz val="16"/>
      <color indexed="8"/>
      <name val="Calibri"/>
      <family val="2"/>
    </font>
    <font>
      <sz val="12"/>
      <color indexed="8"/>
      <name val="Calibri"/>
      <family val="2"/>
    </font>
    <font>
      <b/>
      <sz val="18"/>
      <color indexed="8"/>
      <name val="Calibri"/>
      <family val="2"/>
    </font>
    <font>
      <u val="single"/>
      <sz val="12"/>
      <color indexed="12"/>
      <name val="Arial"/>
      <family val="2"/>
    </font>
    <font>
      <sz val="12"/>
      <color indexed="48"/>
      <name val="Arial"/>
      <family val="2"/>
    </font>
    <font>
      <b/>
      <sz val="12"/>
      <color indexed="48"/>
      <name val="Arial"/>
      <family val="2"/>
    </font>
    <font>
      <sz val="12"/>
      <color indexed="57"/>
      <name val="Arial"/>
      <family val="2"/>
    </font>
    <font>
      <b/>
      <sz val="12"/>
      <color indexed="57"/>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9"/>
      <color indexed="10"/>
      <name val="Arial"/>
      <family val="2"/>
    </font>
    <font>
      <b/>
      <sz val="16"/>
      <color indexed="8"/>
      <name val="Arial"/>
      <family val="2"/>
    </font>
    <font>
      <b/>
      <sz val="12"/>
      <color indexed="10"/>
      <name val="Calibri"/>
      <family val="2"/>
    </font>
    <font>
      <b/>
      <sz val="12"/>
      <color indexed="8"/>
      <name val="Calibri"/>
      <family val="2"/>
    </font>
    <font>
      <sz val="10"/>
      <color indexed="8"/>
      <name val="Arial"/>
      <family val="2"/>
    </font>
    <font>
      <b/>
      <sz val="10"/>
      <color indexed="8"/>
      <name val="Arial"/>
      <family val="2"/>
    </font>
    <font>
      <b/>
      <sz val="10"/>
      <name val="Calibri"/>
      <family val="2"/>
    </font>
    <font>
      <u val="single"/>
      <sz val="12"/>
      <color indexed="56"/>
      <name val="Arial"/>
      <family val="2"/>
    </font>
    <font>
      <sz val="12"/>
      <color indexed="56"/>
      <name val="Arial"/>
      <family val="2"/>
    </font>
    <font>
      <b/>
      <sz val="10"/>
      <color indexed="10"/>
      <name val="Arial"/>
      <family val="2"/>
    </font>
    <font>
      <b/>
      <u val="single"/>
      <sz val="12"/>
      <color indexed="12"/>
      <name val="Arial"/>
      <family val="2"/>
    </font>
    <font>
      <b/>
      <sz val="18"/>
      <color indexed="10"/>
      <name val="Arial"/>
      <family val="2"/>
    </font>
    <font>
      <sz val="8"/>
      <name val="Segoe UI"/>
      <family val="2"/>
    </font>
    <font>
      <b/>
      <sz val="18"/>
      <color indexed="10"/>
      <name val="Calibri"/>
      <family val="0"/>
    </font>
    <font>
      <b/>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9"/>
      <color rgb="FFFF0000"/>
      <name val="Arial"/>
      <family val="2"/>
    </font>
    <font>
      <b/>
      <sz val="12"/>
      <color rgb="FFFF3300"/>
      <name val="Arial"/>
      <family val="2"/>
    </font>
    <font>
      <sz val="12"/>
      <color rgb="FF000000"/>
      <name val="Arial"/>
      <family val="2"/>
    </font>
    <font>
      <sz val="12"/>
      <color rgb="FFFF0000"/>
      <name val="Arial"/>
      <family val="2"/>
    </font>
    <font>
      <b/>
      <sz val="12"/>
      <color rgb="FFFF0000"/>
      <name val="Arial"/>
      <family val="2"/>
    </font>
    <font>
      <sz val="10"/>
      <color rgb="FFFF0000"/>
      <name val="Arial"/>
      <family val="2"/>
    </font>
    <font>
      <sz val="12"/>
      <color theme="1"/>
      <name val="Calibri"/>
      <family val="2"/>
    </font>
    <font>
      <sz val="12"/>
      <color theme="1"/>
      <name val="Arial"/>
      <family val="2"/>
    </font>
    <font>
      <b/>
      <sz val="16"/>
      <color theme="1"/>
      <name val="Arial"/>
      <family val="2"/>
    </font>
    <font>
      <b/>
      <sz val="12"/>
      <color rgb="FFFF0000"/>
      <name val="Calibri"/>
      <family val="2"/>
    </font>
    <font>
      <b/>
      <sz val="12"/>
      <color theme="1"/>
      <name val="Calibri"/>
      <family val="2"/>
    </font>
    <font>
      <sz val="10"/>
      <color theme="1"/>
      <name val="Arial"/>
      <family val="2"/>
    </font>
    <font>
      <b/>
      <sz val="10"/>
      <color rgb="FF000000"/>
      <name val="Arial"/>
      <family val="2"/>
    </font>
    <font>
      <u val="single"/>
      <sz val="12"/>
      <color theme="3"/>
      <name val="Arial"/>
      <family val="2"/>
    </font>
    <font>
      <sz val="12"/>
      <color theme="3"/>
      <name val="Arial"/>
      <family val="2"/>
    </font>
    <font>
      <sz val="12"/>
      <color theme="0"/>
      <name val="Arial"/>
      <family val="2"/>
    </font>
    <font>
      <b/>
      <sz val="12"/>
      <color theme="0"/>
      <name val="Arial"/>
      <family val="2"/>
    </font>
    <font>
      <b/>
      <sz val="11"/>
      <color rgb="FFFF0000"/>
      <name val="Arial"/>
      <family val="2"/>
    </font>
    <font>
      <sz val="11"/>
      <color rgb="FFFF0000"/>
      <name val="Arial"/>
      <family val="2"/>
    </font>
    <font>
      <b/>
      <sz val="18"/>
      <color rgb="FFFF0000"/>
      <name val="Arial"/>
      <family val="2"/>
    </font>
    <font>
      <u val="single"/>
      <sz val="12"/>
      <color theme="10"/>
      <name val="Arial"/>
      <family val="2"/>
    </font>
    <font>
      <b/>
      <sz val="12"/>
      <color rgb="FF0F01BF"/>
      <name val="Arial"/>
      <family val="2"/>
    </font>
    <font>
      <sz val="10"/>
      <color rgb="FF0F01BF"/>
      <name val="Arial"/>
      <family val="2"/>
    </font>
    <font>
      <b/>
      <u val="single"/>
      <sz val="12"/>
      <color theme="10"/>
      <name val="Arial"/>
      <family val="2"/>
    </font>
    <font>
      <b/>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rgb="FFFFC1C1"/>
        <bgColor indexed="64"/>
      </patternFill>
    </fill>
    <fill>
      <patternFill patternType="solid">
        <fgColor indexed="26"/>
        <bgColor indexed="64"/>
      </patternFill>
    </fill>
    <fill>
      <patternFill patternType="solid">
        <fgColor rgb="FF800080"/>
        <bgColor indexed="64"/>
      </patternFill>
    </fill>
    <fill>
      <patternFill patternType="solid">
        <fgColor indexed="4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thin"/>
      <right style="thin"/>
      <top style="thin"/>
      <bottom style="thin"/>
    </border>
    <border>
      <left style="medium"/>
      <right/>
      <top/>
      <bottom/>
    </border>
    <border>
      <left style="medium"/>
      <right/>
      <top style="medium"/>
      <bottom/>
    </border>
    <border>
      <left/>
      <right/>
      <top style="medium"/>
      <bottom style="medium"/>
    </border>
    <border>
      <left style="medium"/>
      <right/>
      <top style="medium"/>
      <bottom style="medium"/>
    </border>
    <border>
      <left style="thin">
        <color indexed="9"/>
      </left>
      <right style="thin">
        <color indexed="26"/>
      </right>
      <top style="thin">
        <color indexed="9"/>
      </top>
      <bottom style="thin">
        <color indexed="26"/>
      </bottom>
    </border>
    <border>
      <left style="thin">
        <color indexed="26"/>
      </left>
      <right style="thin">
        <color indexed="9"/>
      </right>
      <top style="thin">
        <color indexed="9"/>
      </top>
      <bottom style="thin">
        <color indexed="26"/>
      </bottom>
    </border>
    <border>
      <left style="thin">
        <color indexed="9"/>
      </left>
      <right style="thin">
        <color indexed="26"/>
      </right>
      <top style="thin">
        <color indexed="26"/>
      </top>
      <bottom style="thin">
        <color indexed="26"/>
      </bottom>
    </border>
    <border>
      <left style="thin">
        <color indexed="26"/>
      </left>
      <right style="thin">
        <color indexed="9"/>
      </right>
      <top style="thin">
        <color indexed="26"/>
      </top>
      <bottom style="thin">
        <color indexed="26"/>
      </bottom>
    </border>
    <border>
      <left style="thin">
        <color indexed="9"/>
      </left>
      <right style="thin">
        <color indexed="26"/>
      </right>
      <top style="thin">
        <color indexed="26"/>
      </top>
      <bottom style="thin">
        <color indexed="9"/>
      </bottom>
    </border>
    <border>
      <left style="thin">
        <color indexed="26"/>
      </left>
      <right style="thin">
        <color indexed="9"/>
      </right>
      <top style="thin">
        <color indexed="26"/>
      </top>
      <bottom style="thin">
        <color indexed="9"/>
      </bottom>
    </border>
    <border>
      <left style="thin">
        <color indexed="9"/>
      </left>
      <right style="thin">
        <color indexed="9"/>
      </right>
      <top style="thin">
        <color indexed="9"/>
      </top>
      <bottom style="thin">
        <color indexed="9"/>
      </bottom>
    </border>
    <border>
      <left style="double"/>
      <right style="double"/>
      <top/>
      <bottom style="double"/>
    </border>
    <border>
      <left style="thick">
        <color indexed="57"/>
      </left>
      <right/>
      <top/>
      <bottom/>
    </border>
    <border>
      <left style="thin">
        <color indexed="9"/>
      </left>
      <right style="thin">
        <color indexed="26"/>
      </right>
      <top>
        <color indexed="63"/>
      </top>
      <bottom>
        <color indexed="63"/>
      </bottom>
    </border>
    <border>
      <left/>
      <right/>
      <top/>
      <bottom style="medium"/>
    </border>
    <border>
      <left/>
      <right style="medium"/>
      <top/>
      <bottom style="medium"/>
    </border>
    <border>
      <left style="medium"/>
      <right style="medium"/>
      <top style="medium"/>
      <bottom style="medium"/>
    </border>
    <border>
      <left/>
      <right style="medium"/>
      <top style="medium"/>
      <bottom style="medium"/>
    </border>
    <border>
      <left/>
      <right style="medium"/>
      <top/>
      <bottom/>
    </border>
    <border>
      <left style="medium"/>
      <right/>
      <top/>
      <bottom style="medium"/>
    </border>
    <border>
      <left>
        <color indexed="63"/>
      </left>
      <right>
        <color indexed="63"/>
      </right>
      <top/>
      <bottom style="thick"/>
    </border>
    <border>
      <left>
        <color indexed="63"/>
      </left>
      <right style="double"/>
      <top/>
      <bottom style="thick"/>
    </border>
    <border>
      <left style="double"/>
      <right style="double"/>
      <top style="double"/>
      <bottom style="double"/>
    </border>
    <border>
      <left/>
      <right style="medium"/>
      <top style="medium"/>
      <bottom/>
    </border>
    <border>
      <left style="double"/>
      <right style="double"/>
      <top style="double"/>
      <bottom/>
    </border>
    <border>
      <left style="double"/>
      <right style="double"/>
      <top style="medium"/>
      <bottom style="double"/>
    </border>
    <border>
      <left style="double"/>
      <right style="double"/>
      <top>
        <color indexed="63"/>
      </top>
      <bottom style="medium"/>
    </border>
    <border>
      <left style="medium"/>
      <right style="double"/>
      <top style="double"/>
      <bottom style="double"/>
    </border>
    <border>
      <left style="double"/>
      <right style="double"/>
      <top style="medium"/>
      <bottom style="medium"/>
    </border>
    <border>
      <left>
        <color indexed="63"/>
      </left>
      <right style="medium"/>
      <top style="double"/>
      <bottom style="medium"/>
    </border>
    <border>
      <left style="medium"/>
      <right style="medium"/>
      <top style="medium"/>
      <bottom/>
    </border>
    <border>
      <left style="medium"/>
      <right style="medium"/>
      <top/>
      <bottom style="medium"/>
    </border>
    <border>
      <left/>
      <right/>
      <top style="thin"/>
      <bottom style="thin"/>
    </border>
    <border>
      <left/>
      <right style="thin"/>
      <top style="thin"/>
      <bottom style="thin"/>
    </border>
    <border>
      <left style="thin"/>
      <right/>
      <top/>
      <bottom/>
    </border>
    <border>
      <left/>
      <right style="thin"/>
      <top/>
      <bottom/>
    </border>
    <border>
      <left style="thin"/>
      <right>
        <color indexed="63"/>
      </right>
      <top style="thin"/>
      <bottom style="thin"/>
    </border>
    <border>
      <left>
        <color indexed="63"/>
      </left>
      <right>
        <color indexed="63"/>
      </right>
      <top>
        <color indexed="63"/>
      </top>
      <bottom style="thin"/>
    </border>
    <border>
      <left/>
      <right style="thin"/>
      <top/>
      <bottom style="thin"/>
    </border>
    <border>
      <left style="thin"/>
      <right style="thin"/>
      <top style="thin"/>
      <bottom/>
    </border>
    <border>
      <left style="thin"/>
      <right style="thin"/>
      <top/>
      <bottom/>
    </border>
    <border>
      <left style="thin"/>
      <right/>
      <top/>
      <bottom style="thin"/>
    </border>
    <border>
      <left style="thin"/>
      <right/>
      <top style="thin"/>
      <bottom/>
    </border>
    <border>
      <left/>
      <right style="thin"/>
      <top style="thin"/>
      <bottom/>
    </border>
    <border>
      <left style="thin"/>
      <right style="thin"/>
      <top/>
      <bottom style="thin"/>
    </border>
    <border>
      <left style="double"/>
      <right/>
      <top/>
      <bottom/>
    </border>
    <border>
      <left style="thin">
        <color indexed="9"/>
      </left>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right style="double"/>
      <top/>
      <bottom/>
    </border>
    <border>
      <left style="medium"/>
      <right/>
      <top style="thick"/>
      <bottom/>
    </border>
    <border>
      <left>
        <color indexed="63"/>
      </left>
      <right>
        <color indexed="63"/>
      </right>
      <top style="thick"/>
      <bottom>
        <color indexed="63"/>
      </bottom>
    </border>
    <border>
      <left/>
      <right style="double"/>
      <top style="medium"/>
      <bottom/>
    </border>
    <border>
      <left/>
      <right style="double"/>
      <top style="medium"/>
      <bottom style="medium"/>
    </border>
    <border>
      <left style="double"/>
      <right/>
      <top style="double"/>
      <bottom style="double"/>
    </border>
    <border>
      <left/>
      <right/>
      <top style="double"/>
      <bottom style="double"/>
    </border>
    <border>
      <left/>
      <right style="double"/>
      <top style="double"/>
      <bottom style="double"/>
    </border>
    <border>
      <left style="double"/>
      <right/>
      <top style="medium"/>
      <bottom style="medium"/>
    </border>
    <border>
      <left/>
      <right style="medium"/>
      <top style="double"/>
      <bottom style="double"/>
    </border>
    <border>
      <left>
        <color indexed="63"/>
      </left>
      <right>
        <color indexed="63"/>
      </right>
      <top style="thin"/>
      <bottom>
        <color indexed="63"/>
      </bottom>
    </border>
    <border>
      <left/>
      <right style="medium"/>
      <top style="thin"/>
      <bottom/>
    </border>
    <border>
      <left/>
      <right style="medium"/>
      <top/>
      <bottom style="thin"/>
    </border>
    <border>
      <left style="double"/>
      <right style="double"/>
      <top style="medium"/>
      <bottom/>
    </border>
    <border>
      <left style="double"/>
      <right style="double"/>
      <top/>
      <bottom/>
    </border>
    <border>
      <left style="double"/>
      <right/>
      <top>
        <color indexed="63"/>
      </top>
      <bottom style="double"/>
    </border>
    <border>
      <left style="double"/>
      <right>
        <color indexed="63"/>
      </right>
      <top/>
      <bottom style="medium"/>
    </border>
    <border>
      <left style="double"/>
      <right/>
      <top style="medium"/>
      <bottom/>
    </border>
    <border>
      <left/>
      <right>
        <color indexed="63"/>
      </right>
      <top style="double"/>
      <bottom/>
    </border>
    <border>
      <left>
        <color indexed="63"/>
      </left>
      <right style="medium"/>
      <top style="double"/>
      <bottom/>
    </border>
    <border>
      <left style="double"/>
      <right style="double"/>
      <top style="thick"/>
      <bottom/>
    </border>
    <border>
      <left style="double"/>
      <right/>
      <top style="double"/>
      <bottom>
        <color indexed="63"/>
      </bottom>
    </border>
    <border>
      <left/>
      <right style="double"/>
      <top style="double"/>
      <bottom>
        <color indexed="63"/>
      </bottom>
    </border>
    <border>
      <left style="thick">
        <color indexed="57"/>
      </left>
      <right/>
      <top style="thick">
        <color indexed="57"/>
      </top>
      <bottom/>
    </border>
    <border>
      <left/>
      <right/>
      <top style="thick">
        <color indexed="57"/>
      </top>
      <bottom/>
    </border>
    <border>
      <left style="thick">
        <color indexed="57"/>
      </left>
      <right/>
      <top/>
      <bottom style="thick">
        <color indexed="57"/>
      </bottom>
    </border>
    <border>
      <left/>
      <right/>
      <top/>
      <bottom style="thick">
        <color indexed="57"/>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16"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876">
    <xf numFmtId="0" fontId="0" fillId="0" borderId="0" xfId="0" applyAlignment="1">
      <alignment/>
    </xf>
    <xf numFmtId="0" fontId="6" fillId="0" borderId="10" xfId="0" applyFont="1" applyBorder="1" applyAlignment="1">
      <alignment/>
    </xf>
    <xf numFmtId="0" fontId="0" fillId="0" borderId="0" xfId="0" applyBorder="1" applyAlignment="1">
      <alignment/>
    </xf>
    <xf numFmtId="0" fontId="7" fillId="0" borderId="0" xfId="0" applyFont="1" applyAlignment="1">
      <alignment/>
    </xf>
    <xf numFmtId="0" fontId="8" fillId="0" borderId="0" xfId="0" applyFont="1" applyAlignment="1">
      <alignment wrapText="1"/>
    </xf>
    <xf numFmtId="0" fontId="8" fillId="33" borderId="11" xfId="0" applyFont="1" applyFill="1" applyBorder="1" applyAlignment="1">
      <alignment wrapText="1"/>
    </xf>
    <xf numFmtId="0" fontId="7" fillId="0" borderId="0" xfId="0" applyFont="1" applyBorder="1" applyAlignment="1">
      <alignment/>
    </xf>
    <xf numFmtId="0" fontId="7" fillId="0" borderId="10" xfId="0" applyFont="1" applyBorder="1" applyAlignment="1">
      <alignment/>
    </xf>
    <xf numFmtId="0" fontId="6" fillId="0" borderId="10" xfId="0" applyFont="1" applyBorder="1" applyAlignment="1">
      <alignment horizontal="right" vertical="center"/>
    </xf>
    <xf numFmtId="0" fontId="6" fillId="0" borderId="12" xfId="0" applyFont="1" applyBorder="1" applyAlignment="1">
      <alignment/>
    </xf>
    <xf numFmtId="0" fontId="6" fillId="0" borderId="0" xfId="0" applyFont="1" applyBorder="1" applyAlignment="1">
      <alignment/>
    </xf>
    <xf numFmtId="49" fontId="6" fillId="0" borderId="0" xfId="0" applyNumberFormat="1" applyFont="1" applyBorder="1" applyAlignment="1">
      <alignment/>
    </xf>
    <xf numFmtId="0" fontId="6" fillId="0" borderId="0" xfId="0" applyFont="1" applyBorder="1" applyAlignment="1">
      <alignment horizontal="left"/>
    </xf>
    <xf numFmtId="0" fontId="6" fillId="0" borderId="13" xfId="0" applyFont="1" applyBorder="1" applyAlignment="1">
      <alignment/>
    </xf>
    <xf numFmtId="0" fontId="6" fillId="0" borderId="10" xfId="0" applyFont="1" applyBorder="1" applyAlignment="1">
      <alignment/>
    </xf>
    <xf numFmtId="0" fontId="6" fillId="0" borderId="10" xfId="0" applyFont="1" applyBorder="1" applyAlignment="1">
      <alignment horizontal="center"/>
    </xf>
    <xf numFmtId="0" fontId="7" fillId="0" borderId="0" xfId="0" applyFont="1" applyBorder="1" applyAlignment="1">
      <alignment horizontal="left"/>
    </xf>
    <xf numFmtId="0" fontId="6" fillId="0" borderId="0" xfId="0" applyFont="1" applyBorder="1" applyAlignment="1">
      <alignment/>
    </xf>
    <xf numFmtId="0" fontId="7" fillId="0" borderId="0" xfId="0" applyFont="1" applyBorder="1" applyAlignment="1">
      <alignment/>
    </xf>
    <xf numFmtId="0" fontId="6" fillId="0" borderId="0" xfId="0" applyFont="1" applyBorder="1" applyAlignment="1">
      <alignment horizontal="right" vertical="center"/>
    </xf>
    <xf numFmtId="0" fontId="7" fillId="0" borderId="0" xfId="0" applyNumberFormat="1" applyFont="1" applyBorder="1" applyAlignment="1">
      <alignment horizontal="right"/>
    </xf>
    <xf numFmtId="0" fontId="7" fillId="0" borderId="0" xfId="0" applyFont="1" applyAlignment="1">
      <alignment vertical="center"/>
    </xf>
    <xf numFmtId="0" fontId="0" fillId="0" borderId="10" xfId="0" applyBorder="1" applyAlignment="1">
      <alignment/>
    </xf>
    <xf numFmtId="0" fontId="7" fillId="0" borderId="10" xfId="0" applyFont="1" applyBorder="1" applyAlignment="1">
      <alignment horizontal="left"/>
    </xf>
    <xf numFmtId="0" fontId="7" fillId="0" borderId="14" xfId="0" applyFont="1" applyBorder="1" applyAlignment="1">
      <alignment/>
    </xf>
    <xf numFmtId="0" fontId="7" fillId="0" borderId="15" xfId="0" applyFont="1" applyBorder="1" applyAlignment="1">
      <alignment horizontal="left"/>
    </xf>
    <xf numFmtId="0" fontId="6" fillId="0" borderId="12" xfId="0" applyFont="1" applyBorder="1" applyAlignment="1">
      <alignment/>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xf numFmtId="0" fontId="0" fillId="0" borderId="22" xfId="0" applyFont="1" applyBorder="1" applyAlignment="1">
      <alignment wrapText="1"/>
    </xf>
    <xf numFmtId="0" fontId="0" fillId="0" borderId="0" xfId="0" applyFont="1" applyAlignment="1">
      <alignment wrapText="1"/>
    </xf>
    <xf numFmtId="14" fontId="7" fillId="0" borderId="0" xfId="0" applyNumberFormat="1" applyFont="1" applyAlignment="1">
      <alignment/>
    </xf>
    <xf numFmtId="172" fontId="7" fillId="0" borderId="0" xfId="0" applyNumberFormat="1" applyFont="1" applyAlignment="1">
      <alignment/>
    </xf>
    <xf numFmtId="0" fontId="6" fillId="0" borderId="10" xfId="0" applyFont="1" applyBorder="1" applyAlignment="1">
      <alignment horizontal="left"/>
    </xf>
    <xf numFmtId="0" fontId="7" fillId="34" borderId="14" xfId="0" applyFont="1" applyFill="1" applyBorder="1" applyAlignment="1" applyProtection="1">
      <alignment horizontal="left"/>
      <protection/>
    </xf>
    <xf numFmtId="0" fontId="7" fillId="35" borderId="23" xfId="0" applyFont="1" applyFill="1" applyBorder="1" applyAlignment="1" applyProtection="1">
      <alignment/>
      <protection locked="0"/>
    </xf>
    <xf numFmtId="0" fontId="7" fillId="35" borderId="0" xfId="0" applyFont="1" applyFill="1" applyBorder="1" applyAlignment="1" applyProtection="1">
      <alignment horizontal="left" vertical="top"/>
      <protection locked="0"/>
    </xf>
    <xf numFmtId="0" fontId="0" fillId="0" borderId="0" xfId="58">
      <alignment/>
      <protection/>
    </xf>
    <xf numFmtId="0" fontId="17" fillId="0" borderId="0" xfId="58" applyNumberFormat="1" applyFont="1" applyFill="1" applyBorder="1" applyAlignment="1" applyProtection="1">
      <alignment horizontal="center"/>
      <protection/>
    </xf>
    <xf numFmtId="0" fontId="18" fillId="0" borderId="0" xfId="58" applyNumberFormat="1" applyFont="1" applyFill="1" applyBorder="1" applyAlignment="1" applyProtection="1">
      <alignment horizontal="left" vertical="top"/>
      <protection/>
    </xf>
    <xf numFmtId="0" fontId="21" fillId="0" borderId="0" xfId="58" applyFont="1" applyAlignment="1" applyProtection="1">
      <alignment/>
      <protection/>
    </xf>
    <xf numFmtId="176" fontId="17" fillId="0" borderId="0" xfId="58" applyNumberFormat="1" applyFont="1" applyAlignment="1" applyProtection="1">
      <alignment/>
      <protection/>
    </xf>
    <xf numFmtId="0" fontId="18" fillId="0" borderId="24" xfId="58" applyNumberFormat="1" applyFont="1" applyFill="1" applyBorder="1" applyAlignment="1" applyProtection="1">
      <alignment horizontal="left" vertical="top"/>
      <protection/>
    </xf>
    <xf numFmtId="179" fontId="17" fillId="0" borderId="0" xfId="58" applyNumberFormat="1" applyFont="1" applyBorder="1" applyAlignment="1" applyProtection="1">
      <alignment horizontal="center"/>
      <protection/>
    </xf>
    <xf numFmtId="0" fontId="17" fillId="0" borderId="0" xfId="58" applyFont="1" applyAlignment="1" applyProtection="1">
      <alignment/>
      <protection/>
    </xf>
    <xf numFmtId="14" fontId="0" fillId="0" borderId="0" xfId="0" applyNumberFormat="1" applyAlignment="1">
      <alignment/>
    </xf>
    <xf numFmtId="14" fontId="0" fillId="0" borderId="0" xfId="0" applyNumberFormat="1" applyAlignment="1" applyProtection="1">
      <alignment/>
      <protection locked="0"/>
    </xf>
    <xf numFmtId="49" fontId="0" fillId="0" borderId="0" xfId="0" applyNumberFormat="1" applyAlignment="1">
      <alignment/>
    </xf>
    <xf numFmtId="0" fontId="0" fillId="0" borderId="0" xfId="0" applyBorder="1" applyAlignment="1">
      <alignment/>
    </xf>
    <xf numFmtId="0" fontId="0" fillId="34" borderId="0" xfId="0" applyFill="1" applyBorder="1" applyAlignment="1">
      <alignment/>
    </xf>
    <xf numFmtId="0" fontId="87" fillId="34" borderId="0" xfId="41" applyFill="1" applyBorder="1" applyAlignment="1">
      <alignment/>
    </xf>
    <xf numFmtId="175" fontId="0" fillId="0" borderId="0" xfId="0" applyNumberFormat="1" applyBorder="1" applyAlignment="1">
      <alignment/>
    </xf>
    <xf numFmtId="49" fontId="7" fillId="0" borderId="0" xfId="0" applyNumberFormat="1" applyFont="1" applyAlignment="1">
      <alignment/>
    </xf>
    <xf numFmtId="0" fontId="7" fillId="0" borderId="0" xfId="0" applyFont="1" applyAlignment="1">
      <alignment shrinkToFit="1"/>
    </xf>
    <xf numFmtId="0" fontId="7" fillId="0" borderId="0" xfId="0" applyFont="1" applyAlignment="1">
      <alignment vertical="center" shrinkToFit="1"/>
    </xf>
    <xf numFmtId="0" fontId="8" fillId="0" borderId="0" xfId="0" applyFont="1" applyAlignment="1">
      <alignment shrinkToFit="1"/>
    </xf>
    <xf numFmtId="0" fontId="9" fillId="0" borderId="0" xfId="0" applyFont="1" applyAlignment="1" applyProtection="1">
      <alignment shrinkToFit="1"/>
      <protection locked="0"/>
    </xf>
    <xf numFmtId="0" fontId="8" fillId="0" borderId="0" xfId="0" applyFont="1" applyAlignment="1" applyProtection="1">
      <alignment shrinkToFit="1"/>
      <protection/>
    </xf>
    <xf numFmtId="0" fontId="0" fillId="0" borderId="0" xfId="0" applyFont="1" applyAlignment="1">
      <alignment/>
    </xf>
    <xf numFmtId="0" fontId="0" fillId="0" borderId="0" xfId="0" applyNumberFormat="1" applyAlignment="1">
      <alignment textRotation="90"/>
    </xf>
    <xf numFmtId="14" fontId="0" fillId="0" borderId="0" xfId="0" applyNumberFormat="1" applyAlignment="1">
      <alignment textRotation="90"/>
    </xf>
    <xf numFmtId="172" fontId="0" fillId="0" borderId="0" xfId="0" applyNumberFormat="1" applyAlignment="1">
      <alignment textRotation="90"/>
    </xf>
    <xf numFmtId="0" fontId="0" fillId="0" borderId="0" xfId="0" applyNumberFormat="1" applyAlignment="1">
      <alignment/>
    </xf>
    <xf numFmtId="172" fontId="0" fillId="0" borderId="0" xfId="0" applyNumberFormat="1" applyAlignment="1">
      <alignment/>
    </xf>
    <xf numFmtId="0" fontId="8" fillId="0" borderId="0" xfId="0" applyNumberFormat="1" applyFont="1" applyAlignment="1" applyProtection="1">
      <alignment shrinkToFit="1"/>
      <protection/>
    </xf>
    <xf numFmtId="0" fontId="0" fillId="0" borderId="0" xfId="0" applyFont="1" applyAlignment="1">
      <alignment shrinkToFit="1"/>
    </xf>
    <xf numFmtId="0" fontId="0" fillId="0" borderId="25" xfId="0" applyFont="1" applyBorder="1" applyAlignment="1">
      <alignment wrapText="1"/>
    </xf>
    <xf numFmtId="0" fontId="7" fillId="0" borderId="14" xfId="0" applyFont="1" applyBorder="1" applyAlignment="1">
      <alignment/>
    </xf>
    <xf numFmtId="0" fontId="23" fillId="0" borderId="26" xfId="0" applyFont="1" applyBorder="1" applyAlignment="1">
      <alignment/>
    </xf>
    <xf numFmtId="0" fontId="23" fillId="0" borderId="27" xfId="0" applyFont="1" applyBorder="1" applyAlignment="1">
      <alignment/>
    </xf>
    <xf numFmtId="0" fontId="6" fillId="0" borderId="12" xfId="0" applyFont="1" applyBorder="1" applyAlignment="1">
      <alignment vertical="top"/>
    </xf>
    <xf numFmtId="0" fontId="0" fillId="0" borderId="12" xfId="0" applyBorder="1" applyAlignment="1">
      <alignment/>
    </xf>
    <xf numFmtId="0" fontId="0" fillId="0" borderId="0" xfId="0" applyAlignment="1" applyProtection="1">
      <alignment/>
      <protection/>
    </xf>
    <xf numFmtId="0" fontId="22" fillId="0" borderId="10" xfId="0" applyFont="1" applyBorder="1" applyAlignment="1">
      <alignment horizontal="center"/>
    </xf>
    <xf numFmtId="0" fontId="22" fillId="0" borderId="0" xfId="0" applyFont="1" applyBorder="1" applyAlignment="1">
      <alignment horizontal="center"/>
    </xf>
    <xf numFmtId="0" fontId="6" fillId="0" borderId="14" xfId="0" applyFont="1" applyBorder="1" applyAlignment="1">
      <alignment horizontal="left"/>
    </xf>
    <xf numFmtId="0" fontId="7" fillId="0" borderId="0" xfId="0" applyFont="1" applyAlignment="1">
      <alignment horizontal="right"/>
    </xf>
    <xf numFmtId="0" fontId="7" fillId="0" borderId="0" xfId="0" applyFont="1" applyAlignment="1">
      <alignment horizontal="center"/>
    </xf>
    <xf numFmtId="0" fontId="27" fillId="0" borderId="28" xfId="0" applyFont="1" applyBorder="1" applyAlignment="1">
      <alignment horizontal="center" vertical="center"/>
    </xf>
    <xf numFmtId="0" fontId="26" fillId="0" borderId="14" xfId="0" applyFont="1" applyBorder="1" applyAlignment="1">
      <alignment horizontal="center" vertical="center"/>
    </xf>
    <xf numFmtId="0" fontId="25" fillId="0" borderId="0" xfId="0" applyFont="1" applyAlignment="1">
      <alignment/>
    </xf>
    <xf numFmtId="0" fontId="25" fillId="0" borderId="0" xfId="0" applyFont="1" applyBorder="1" applyAlignment="1">
      <alignment/>
    </xf>
    <xf numFmtId="0" fontId="25" fillId="0" borderId="0" xfId="0" applyFont="1" applyAlignment="1">
      <alignment shrinkToFit="1"/>
    </xf>
    <xf numFmtId="0" fontId="17" fillId="0" borderId="0" xfId="58" applyFont="1" applyAlignment="1" applyProtection="1">
      <alignment vertical="top" wrapText="1"/>
      <protection/>
    </xf>
    <xf numFmtId="0" fontId="7" fillId="0" borderId="0" xfId="0" applyFont="1" applyAlignment="1">
      <alignment horizontal="center" vertical="center"/>
    </xf>
    <xf numFmtId="181" fontId="17" fillId="0" borderId="11" xfId="58" applyNumberFormat="1" applyFont="1" applyFill="1" applyBorder="1" applyAlignment="1" applyProtection="1">
      <alignment horizontal="center"/>
      <protection/>
    </xf>
    <xf numFmtId="0" fontId="17" fillId="0" borderId="11" xfId="58" applyFont="1" applyBorder="1" applyAlignment="1" applyProtection="1">
      <alignment horizontal="center"/>
      <protection/>
    </xf>
    <xf numFmtId="0" fontId="7" fillId="0" borderId="26" xfId="0" applyFont="1" applyBorder="1" applyAlignment="1" applyProtection="1">
      <alignment horizontal="left"/>
      <protection/>
    </xf>
    <xf numFmtId="0" fontId="6" fillId="34" borderId="0" xfId="0" applyFont="1" applyFill="1" applyBorder="1" applyAlignment="1" applyProtection="1">
      <alignment horizontal="left" vertical="center"/>
      <protection/>
    </xf>
    <xf numFmtId="0" fontId="0" fillId="34" borderId="0" xfId="0" applyFill="1" applyBorder="1" applyAlignment="1" applyProtection="1">
      <alignment/>
      <protection/>
    </xf>
    <xf numFmtId="0" fontId="7" fillId="34" borderId="0" xfId="0" applyFont="1" applyFill="1" applyBorder="1" applyAlignment="1" applyProtection="1">
      <alignment horizontal="center" vertical="center"/>
      <protection/>
    </xf>
    <xf numFmtId="0" fontId="7" fillId="34" borderId="0" xfId="0" applyFont="1" applyFill="1" applyBorder="1" applyAlignment="1" applyProtection="1">
      <alignment horizontal="left" shrinkToFit="1"/>
      <protection/>
    </xf>
    <xf numFmtId="0" fontId="0" fillId="34" borderId="0" xfId="0" applyFill="1" applyBorder="1" applyAlignment="1" applyProtection="1">
      <alignment shrinkToFit="1"/>
      <protection/>
    </xf>
    <xf numFmtId="0" fontId="4" fillId="0" borderId="13" xfId="0" applyFont="1" applyBorder="1" applyAlignment="1">
      <alignment horizontal="center" vertical="center"/>
    </xf>
    <xf numFmtId="0" fontId="4" fillId="0" borderId="12" xfId="0" applyFont="1" applyBorder="1" applyAlignment="1">
      <alignment vertical="top"/>
    </xf>
    <xf numFmtId="0" fontId="29" fillId="0" borderId="12" xfId="0" applyFont="1" applyBorder="1" applyAlignment="1">
      <alignment/>
    </xf>
    <xf numFmtId="0" fontId="26" fillId="0" borderId="29" xfId="0" applyFont="1" applyBorder="1" applyAlignment="1">
      <alignment horizontal="center"/>
    </xf>
    <xf numFmtId="0" fontId="0" fillId="0" borderId="0" xfId="0" applyAlignment="1">
      <alignment textRotation="90"/>
    </xf>
    <xf numFmtId="0" fontId="0" fillId="0" borderId="0" xfId="0" applyNumberFormat="1" applyFill="1" applyBorder="1" applyAlignment="1">
      <alignment/>
    </xf>
    <xf numFmtId="14" fontId="0" fillId="0" borderId="0" xfId="0" applyNumberFormat="1" applyFill="1" applyBorder="1" applyAlignment="1">
      <alignment/>
    </xf>
    <xf numFmtId="172" fontId="0" fillId="0" borderId="0" xfId="0" applyNumberFormat="1" applyFill="1" applyBorder="1" applyAlignment="1">
      <alignment/>
    </xf>
    <xf numFmtId="49" fontId="0" fillId="0" borderId="0" xfId="0" applyNumberFormat="1" applyFill="1" applyBorder="1" applyAlignment="1">
      <alignment/>
    </xf>
    <xf numFmtId="1" fontId="0" fillId="0" borderId="0" xfId="0" applyNumberFormat="1" applyFill="1" applyBorder="1" applyAlignment="1">
      <alignment/>
    </xf>
    <xf numFmtId="0" fontId="11" fillId="0" borderId="12" xfId="0" applyFont="1" applyBorder="1" applyAlignment="1">
      <alignment horizontal="right" vertical="center" wrapText="1"/>
    </xf>
    <xf numFmtId="0" fontId="7" fillId="0" borderId="0" xfId="0" applyFont="1" applyBorder="1" applyAlignment="1">
      <alignment horizontal="right"/>
    </xf>
    <xf numFmtId="0" fontId="7" fillId="0" borderId="30" xfId="0" applyFont="1" applyBorder="1" applyAlignment="1">
      <alignment horizontal="right"/>
    </xf>
    <xf numFmtId="0" fontId="7" fillId="0" borderId="31" xfId="0" applyFont="1" applyBorder="1" applyAlignment="1">
      <alignment horizontal="right"/>
    </xf>
    <xf numFmtId="0" fontId="7" fillId="0" borderId="26" xfId="0" applyFont="1" applyBorder="1" applyAlignment="1">
      <alignment horizontal="right"/>
    </xf>
    <xf numFmtId="0" fontId="7" fillId="0" borderId="27" xfId="0" applyFont="1" applyBorder="1" applyAlignment="1">
      <alignment horizontal="right"/>
    </xf>
    <xf numFmtId="181" fontId="0" fillId="0" borderId="0" xfId="0" applyNumberFormat="1" applyFont="1" applyAlignment="1">
      <alignment/>
    </xf>
    <xf numFmtId="181" fontId="0" fillId="0" borderId="0" xfId="0" applyNumberFormat="1" applyAlignment="1">
      <alignment/>
    </xf>
    <xf numFmtId="0" fontId="0" fillId="0" borderId="32" xfId="0" applyBorder="1" applyAlignment="1">
      <alignment/>
    </xf>
    <xf numFmtId="0" fontId="0" fillId="0" borderId="33" xfId="0" applyBorder="1" applyAlignment="1">
      <alignment/>
    </xf>
    <xf numFmtId="0" fontId="23" fillId="0" borderId="32" xfId="0" applyFont="1" applyBorder="1" applyAlignment="1">
      <alignment/>
    </xf>
    <xf numFmtId="0" fontId="17" fillId="0" borderId="26" xfId="0" applyFont="1" applyBorder="1" applyAlignment="1">
      <alignment horizontal="right"/>
    </xf>
    <xf numFmtId="14" fontId="17" fillId="0" borderId="26" xfId="0" applyNumberFormat="1" applyFont="1" applyBorder="1" applyAlignment="1">
      <alignment horizontal="left"/>
    </xf>
    <xf numFmtId="0" fontId="17" fillId="0" borderId="26" xfId="0" applyFont="1" applyBorder="1" applyAlignment="1" quotePrefix="1">
      <alignment horizontal="left"/>
    </xf>
    <xf numFmtId="0" fontId="0" fillId="0" borderId="0" xfId="0" applyNumberFormat="1" applyFill="1" applyAlignment="1">
      <alignment textRotation="90"/>
    </xf>
    <xf numFmtId="0" fontId="23" fillId="0" borderId="11" xfId="0" applyFont="1" applyBorder="1" applyAlignment="1" applyProtection="1">
      <alignment horizontal="left" vertical="top" wrapText="1"/>
      <protection/>
    </xf>
    <xf numFmtId="0" fontId="6" fillId="34" borderId="28" xfId="0" applyFont="1" applyFill="1" applyBorder="1" applyAlignment="1" applyProtection="1">
      <alignment/>
      <protection/>
    </xf>
    <xf numFmtId="0" fontId="7" fillId="0" borderId="0" xfId="0" applyFont="1" applyAlignment="1" quotePrefix="1">
      <alignment/>
    </xf>
    <xf numFmtId="0" fontId="0" fillId="36" borderId="0" xfId="0" applyFont="1" applyFill="1" applyAlignment="1">
      <alignment/>
    </xf>
    <xf numFmtId="0" fontId="3" fillId="0" borderId="0" xfId="58" applyFont="1" applyFill="1" applyBorder="1" applyAlignment="1" applyProtection="1">
      <alignment horizontal="center"/>
      <protection/>
    </xf>
    <xf numFmtId="0" fontId="0" fillId="0" borderId="0" xfId="0" applyAlignment="1" applyProtection="1">
      <alignment/>
      <protection/>
    </xf>
    <xf numFmtId="0" fontId="0" fillId="0" borderId="0" xfId="58" applyFill="1" applyProtection="1">
      <alignment/>
      <protection/>
    </xf>
    <xf numFmtId="0" fontId="0" fillId="0" borderId="0" xfId="58" applyFont="1" applyFill="1" applyBorder="1" applyProtection="1">
      <alignment/>
      <protection/>
    </xf>
    <xf numFmtId="0" fontId="13" fillId="0" borderId="0" xfId="58" applyFont="1" applyBorder="1" applyProtection="1">
      <alignment/>
      <protection/>
    </xf>
    <xf numFmtId="178" fontId="13" fillId="0" borderId="0" xfId="58" applyNumberFormat="1" applyFont="1" applyBorder="1" applyProtection="1">
      <alignment/>
      <protection/>
    </xf>
    <xf numFmtId="0" fontId="0" fillId="0" borderId="0" xfId="58" applyProtection="1">
      <alignment/>
      <protection/>
    </xf>
    <xf numFmtId="0" fontId="0" fillId="0" borderId="0" xfId="58" applyFont="1" applyBorder="1" applyProtection="1">
      <alignment/>
      <protection/>
    </xf>
    <xf numFmtId="2" fontId="0" fillId="0" borderId="0" xfId="58" applyNumberFormat="1" applyFont="1" applyBorder="1" applyProtection="1">
      <alignment/>
      <protection/>
    </xf>
    <xf numFmtId="0" fontId="0" fillId="0" borderId="0" xfId="58" applyBorder="1" applyProtection="1">
      <alignment/>
      <protection/>
    </xf>
    <xf numFmtId="0" fontId="102" fillId="0" borderId="0" xfId="0" applyFont="1" applyBorder="1" applyAlignment="1" applyProtection="1">
      <alignment/>
      <protection/>
    </xf>
    <xf numFmtId="0" fontId="0" fillId="0" borderId="0" xfId="0" applyBorder="1" applyAlignment="1" applyProtection="1">
      <alignment/>
      <protection/>
    </xf>
    <xf numFmtId="0" fontId="13" fillId="0" borderId="11" xfId="0" applyFont="1" applyBorder="1" applyAlignment="1" applyProtection="1">
      <alignment/>
      <protection/>
    </xf>
    <xf numFmtId="0" fontId="0" fillId="0" borderId="0" xfId="0" applyAlignment="1" applyProtection="1">
      <alignment vertical="top"/>
      <protection/>
    </xf>
    <xf numFmtId="0" fontId="0" fillId="0" borderId="0" xfId="58" applyAlignment="1" applyProtection="1">
      <alignment vertical="top" wrapText="1"/>
      <protection/>
    </xf>
    <xf numFmtId="179" fontId="17" fillId="36" borderId="11" xfId="58" applyNumberFormat="1" applyFont="1" applyFill="1" applyBorder="1" applyAlignment="1" applyProtection="1">
      <alignment horizontal="center"/>
      <protection/>
    </xf>
    <xf numFmtId="2" fontId="103" fillId="0" borderId="11" xfId="58" applyNumberFormat="1" applyFont="1" applyBorder="1" applyAlignment="1" applyProtection="1">
      <alignment horizontal="center"/>
      <protection/>
    </xf>
    <xf numFmtId="0" fontId="0" fillId="0" borderId="0" xfId="58" applyAlignment="1">
      <alignment vertical="center"/>
      <protection/>
    </xf>
    <xf numFmtId="2" fontId="6" fillId="36" borderId="10" xfId="0" applyNumberFormat="1" applyFont="1" applyFill="1" applyBorder="1" applyAlignment="1" applyProtection="1">
      <alignment horizontal="center" vertical="center"/>
      <protection/>
    </xf>
    <xf numFmtId="188" fontId="23" fillId="35" borderId="34" xfId="0" applyNumberFormat="1" applyFont="1" applyFill="1" applyBorder="1" applyAlignment="1" applyProtection="1">
      <alignment horizontal="center" vertical="center" shrinkToFit="1"/>
      <protection locked="0"/>
    </xf>
    <xf numFmtId="180" fontId="7" fillId="0" borderId="0" xfId="0" applyNumberFormat="1" applyFont="1" applyAlignment="1">
      <alignment vertical="center"/>
    </xf>
    <xf numFmtId="0" fontId="0" fillId="32" borderId="34" xfId="0" applyFont="1" applyFill="1" applyBorder="1" applyAlignment="1" applyProtection="1">
      <alignment wrapText="1"/>
      <protection locked="0"/>
    </xf>
    <xf numFmtId="0" fontId="0" fillId="36" borderId="26" xfId="0" applyFont="1" applyFill="1" applyBorder="1" applyAlignment="1" applyProtection="1">
      <alignment wrapText="1"/>
      <protection/>
    </xf>
    <xf numFmtId="0" fontId="0" fillId="36" borderId="27" xfId="0" applyFont="1" applyFill="1" applyBorder="1" applyAlignment="1" applyProtection="1">
      <alignment wrapText="1"/>
      <protection/>
    </xf>
    <xf numFmtId="0" fontId="7" fillId="0" borderId="26" xfId="0" applyFont="1" applyBorder="1" applyAlignment="1" applyProtection="1">
      <alignment horizontal="right"/>
      <protection/>
    </xf>
    <xf numFmtId="0" fontId="0" fillId="36" borderId="0" xfId="58" applyFill="1" applyProtection="1">
      <alignment/>
      <protection/>
    </xf>
    <xf numFmtId="0" fontId="102" fillId="36" borderId="0" xfId="58" applyFont="1" applyFill="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right" vertical="center"/>
      <protection/>
    </xf>
    <xf numFmtId="14" fontId="24" fillId="0" borderId="0" xfId="0" applyNumberFormat="1" applyFont="1" applyAlignment="1" applyProtection="1">
      <alignment/>
      <protection/>
    </xf>
    <xf numFmtId="0" fontId="7" fillId="0" borderId="0" xfId="0" applyFont="1" applyAlignment="1" applyProtection="1">
      <alignment/>
      <protection/>
    </xf>
    <xf numFmtId="0" fontId="23" fillId="0" borderId="0" xfId="0" applyFont="1" applyAlignment="1" applyProtection="1">
      <alignment wrapText="1"/>
      <protection/>
    </xf>
    <xf numFmtId="14" fontId="23" fillId="0" borderId="0" xfId="0" applyNumberFormat="1" applyFont="1" applyAlignment="1" applyProtection="1">
      <alignment/>
      <protection/>
    </xf>
    <xf numFmtId="14" fontId="0" fillId="0" borderId="0" xfId="0" applyNumberFormat="1" applyAlignment="1" applyProtection="1">
      <alignment/>
      <protection/>
    </xf>
    <xf numFmtId="14" fontId="23" fillId="0" borderId="0" xfId="0" applyNumberFormat="1" applyFont="1" applyAlignment="1" applyProtection="1">
      <alignment vertical="center"/>
      <protection/>
    </xf>
    <xf numFmtId="0" fontId="23" fillId="0" borderId="0" xfId="0" applyFont="1" applyAlignment="1" applyProtection="1">
      <alignment vertical="top"/>
      <protection/>
    </xf>
    <xf numFmtId="0" fontId="0" fillId="0" borderId="0" xfId="0" applyFont="1" applyAlignment="1" applyProtection="1">
      <alignment vertical="top"/>
      <protection/>
    </xf>
    <xf numFmtId="14" fontId="0" fillId="0" borderId="0" xfId="0" applyNumberFormat="1" applyAlignment="1" applyProtection="1">
      <alignment horizontal="left" vertical="center"/>
      <protection/>
    </xf>
    <xf numFmtId="0" fontId="29" fillId="0" borderId="0" xfId="0" applyFont="1" applyBorder="1" applyAlignment="1">
      <alignment/>
    </xf>
    <xf numFmtId="0" fontId="23"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31" fillId="0" borderId="0" xfId="0" applyFont="1" applyAlignment="1">
      <alignment shrinkToFit="1"/>
    </xf>
    <xf numFmtId="0" fontId="22" fillId="0" borderId="35" xfId="0" applyFont="1" applyBorder="1" applyAlignment="1">
      <alignment horizontal="center"/>
    </xf>
    <xf numFmtId="0" fontId="28" fillId="0" borderId="0" xfId="0" applyFont="1" applyFill="1" applyBorder="1" applyAlignment="1" applyProtection="1">
      <alignment horizontal="right" vertical="top"/>
      <protection/>
    </xf>
    <xf numFmtId="0" fontId="30" fillId="0" borderId="0" xfId="0" applyFont="1" applyFill="1" applyBorder="1" applyAlignment="1" applyProtection="1">
      <alignment vertical="center"/>
      <protection/>
    </xf>
    <xf numFmtId="0" fontId="29" fillId="0" borderId="0" xfId="0" applyFont="1" applyFill="1" applyBorder="1" applyAlignment="1" applyProtection="1">
      <alignment/>
      <protection/>
    </xf>
    <xf numFmtId="0" fontId="0" fillId="0" borderId="0" xfId="0" applyFont="1" applyBorder="1" applyAlignment="1">
      <alignment wrapText="1"/>
    </xf>
    <xf numFmtId="0" fontId="23" fillId="0" borderId="0" xfId="0" applyFont="1" applyBorder="1" applyAlignment="1">
      <alignment/>
    </xf>
    <xf numFmtId="0" fontId="23" fillId="35" borderId="0" xfId="0" applyFont="1" applyFill="1" applyBorder="1" applyAlignment="1" applyProtection="1">
      <alignment/>
      <protection locked="0"/>
    </xf>
    <xf numFmtId="0" fontId="26" fillId="0" borderId="14" xfId="0" applyFont="1" applyBorder="1" applyAlignment="1">
      <alignment horizontal="left" vertical="center"/>
    </xf>
    <xf numFmtId="181" fontId="104" fillId="0" borderId="0" xfId="0" applyNumberFormat="1" applyFont="1" applyBorder="1" applyAlignment="1">
      <alignment horizontal="right"/>
    </xf>
    <xf numFmtId="188" fontId="24" fillId="36" borderId="26" xfId="0" applyNumberFormat="1" applyFont="1" applyFill="1" applyBorder="1" applyAlignment="1" applyProtection="1">
      <alignment horizontal="center" vertical="center" shrinkToFit="1"/>
      <protection/>
    </xf>
    <xf numFmtId="0" fontId="0" fillId="37" borderId="0" xfId="0" applyNumberFormat="1" applyFill="1" applyAlignment="1">
      <alignment textRotation="90"/>
    </xf>
    <xf numFmtId="0" fontId="0" fillId="37" borderId="0" xfId="0" applyNumberFormat="1" applyFont="1" applyFill="1" applyAlignment="1">
      <alignment textRotation="90"/>
    </xf>
    <xf numFmtId="0" fontId="0" fillId="38" borderId="0" xfId="0" applyNumberFormat="1" applyFill="1" applyAlignment="1">
      <alignment textRotation="90"/>
    </xf>
    <xf numFmtId="0" fontId="0" fillId="38" borderId="0" xfId="0" applyNumberFormat="1" applyFont="1" applyFill="1" applyAlignment="1">
      <alignment textRotation="90"/>
    </xf>
    <xf numFmtId="0" fontId="0" fillId="0" borderId="0" xfId="0" applyNumberFormat="1" applyFont="1" applyAlignment="1">
      <alignment textRotation="90"/>
    </xf>
    <xf numFmtId="0" fontId="0" fillId="36" borderId="0" xfId="0" applyFont="1" applyFill="1" applyBorder="1" applyAlignment="1">
      <alignment/>
    </xf>
    <xf numFmtId="0" fontId="0" fillId="36" borderId="0" xfId="0" applyFont="1" applyFill="1" applyBorder="1" applyAlignment="1">
      <alignment vertical="top" wrapText="1"/>
    </xf>
    <xf numFmtId="0" fontId="32" fillId="0" borderId="0" xfId="0" applyFont="1" applyAlignment="1">
      <alignment/>
    </xf>
    <xf numFmtId="49" fontId="23" fillId="3" borderId="36" xfId="0" applyNumberFormat="1" applyFont="1" applyFill="1" applyBorder="1" applyAlignment="1" applyProtection="1">
      <alignment horizontal="center" vertical="center"/>
      <protection locked="0"/>
    </xf>
    <xf numFmtId="0" fontId="7" fillId="3" borderId="36" xfId="0" applyFont="1" applyFill="1" applyBorder="1" applyAlignment="1" applyProtection="1">
      <alignment/>
      <protection locked="0"/>
    </xf>
    <xf numFmtId="0" fontId="7" fillId="3" borderId="37" xfId="0" applyFont="1" applyFill="1" applyBorder="1" applyAlignment="1" applyProtection="1">
      <alignment shrinkToFit="1"/>
      <protection locked="0"/>
    </xf>
    <xf numFmtId="49" fontId="7" fillId="32" borderId="34" xfId="0" applyNumberFormat="1" applyFont="1" applyFill="1" applyBorder="1" applyAlignment="1" applyProtection="1">
      <alignment horizontal="right"/>
      <protection locked="0"/>
    </xf>
    <xf numFmtId="1" fontId="6" fillId="35" borderId="38" xfId="0" applyNumberFormat="1" applyFont="1" applyFill="1" applyBorder="1" applyAlignment="1" applyProtection="1">
      <alignment horizontal="center" vertical="center"/>
      <protection locked="0"/>
    </xf>
    <xf numFmtId="0" fontId="7" fillId="0" borderId="0" xfId="0" applyFont="1" applyAlignment="1" applyProtection="1">
      <alignment wrapText="1"/>
      <protection/>
    </xf>
    <xf numFmtId="0" fontId="7" fillId="3" borderId="34" xfId="0" applyFont="1" applyFill="1" applyBorder="1" applyAlignment="1" applyProtection="1">
      <alignment/>
      <protection locked="0"/>
    </xf>
    <xf numFmtId="0" fontId="105" fillId="0" borderId="0" xfId="0" applyFont="1" applyAlignment="1" quotePrefix="1">
      <alignment shrinkToFit="1"/>
    </xf>
    <xf numFmtId="0" fontId="7" fillId="0" borderId="0" xfId="0" applyFont="1" applyAlignment="1" quotePrefix="1">
      <alignment vertical="center" shrinkToFit="1"/>
    </xf>
    <xf numFmtId="0" fontId="7" fillId="0" borderId="0" xfId="0" applyFont="1" applyAlignment="1" quotePrefix="1">
      <alignment shrinkToFit="1"/>
    </xf>
    <xf numFmtId="0" fontId="101" fillId="0" borderId="0" xfId="0" applyFont="1" applyAlignment="1">
      <alignment wrapText="1"/>
    </xf>
    <xf numFmtId="0" fontId="0" fillId="35" borderId="36" xfId="0" applyNumberFormat="1" applyFill="1" applyBorder="1" applyAlignment="1" applyProtection="1">
      <alignment/>
      <protection locked="0"/>
    </xf>
    <xf numFmtId="0" fontId="28" fillId="35" borderId="36" xfId="0" applyNumberFormat="1" applyFont="1" applyFill="1" applyBorder="1" applyAlignment="1" applyProtection="1">
      <alignment horizontal="right" vertical="top"/>
      <protection locked="0"/>
    </xf>
    <xf numFmtId="0" fontId="7" fillId="0" borderId="0" xfId="0" applyFont="1" applyAlignment="1">
      <alignment/>
    </xf>
    <xf numFmtId="0" fontId="0" fillId="0" borderId="0" xfId="0" applyNumberFormat="1" applyFill="1" applyAlignment="1">
      <alignment/>
    </xf>
    <xf numFmtId="0" fontId="0" fillId="0" borderId="0" xfId="0" applyFont="1" applyAlignment="1">
      <alignment textRotation="90"/>
    </xf>
    <xf numFmtId="0" fontId="7" fillId="0" borderId="35" xfId="0" applyFont="1" applyBorder="1" applyAlignment="1">
      <alignment horizontal="left"/>
    </xf>
    <xf numFmtId="0" fontId="7" fillId="0" borderId="39" xfId="0" applyFont="1" applyFill="1" applyBorder="1" applyAlignment="1">
      <alignment/>
    </xf>
    <xf numFmtId="0" fontId="7" fillId="0" borderId="34" xfId="0" applyFont="1" applyFill="1" applyBorder="1" applyAlignment="1">
      <alignment horizontal="center"/>
    </xf>
    <xf numFmtId="0" fontId="7" fillId="0" borderId="34" xfId="0" applyFont="1" applyFill="1" applyBorder="1" applyAlignment="1">
      <alignment/>
    </xf>
    <xf numFmtId="0" fontId="7" fillId="0" borderId="0" xfId="0" applyFont="1" applyFill="1" applyBorder="1" applyAlignment="1" applyProtection="1">
      <alignment wrapText="1"/>
      <protection/>
    </xf>
    <xf numFmtId="0" fontId="0" fillId="0" borderId="0" xfId="0" applyFill="1" applyBorder="1" applyAlignment="1" applyProtection="1">
      <alignment/>
      <protection/>
    </xf>
    <xf numFmtId="0" fontId="106" fillId="0" borderId="31" xfId="0" applyFont="1" applyBorder="1" applyAlignment="1">
      <alignment/>
    </xf>
    <xf numFmtId="0" fontId="106" fillId="0" borderId="26" xfId="0" applyFont="1" applyBorder="1" applyAlignment="1">
      <alignment/>
    </xf>
    <xf numFmtId="0" fontId="0" fillId="36" borderId="0" xfId="0" applyFill="1" applyBorder="1" applyAlignment="1" applyProtection="1">
      <alignment/>
      <protection/>
    </xf>
    <xf numFmtId="0" fontId="107" fillId="0" borderId="13" xfId="0" applyFont="1" applyBorder="1" applyAlignment="1">
      <alignment/>
    </xf>
    <xf numFmtId="0" fontId="106" fillId="0" borderId="10" xfId="0" applyFont="1" applyBorder="1" applyAlignment="1">
      <alignment horizontal="left"/>
    </xf>
    <xf numFmtId="0" fontId="107" fillId="0" borderId="10" xfId="0" applyFont="1" applyBorder="1" applyAlignment="1">
      <alignment horizontal="left"/>
    </xf>
    <xf numFmtId="0" fontId="106" fillId="0" borderId="35" xfId="0" applyFont="1" applyBorder="1" applyAlignment="1">
      <alignment horizontal="left"/>
    </xf>
    <xf numFmtId="0" fontId="106" fillId="0" borderId="39" xfId="0" applyFont="1" applyFill="1" applyBorder="1" applyAlignment="1">
      <alignment/>
    </xf>
    <xf numFmtId="0" fontId="106" fillId="0" borderId="34" xfId="0" applyFont="1" applyFill="1" applyBorder="1" applyAlignment="1">
      <alignment horizontal="center"/>
    </xf>
    <xf numFmtId="0" fontId="106" fillId="0" borderId="0" xfId="0" applyFont="1" applyBorder="1" applyAlignment="1">
      <alignment horizontal="left"/>
    </xf>
    <xf numFmtId="0" fontId="106" fillId="0" borderId="34" xfId="0" applyFont="1" applyFill="1" applyBorder="1" applyAlignment="1">
      <alignment/>
    </xf>
    <xf numFmtId="0" fontId="106" fillId="0" borderId="0" xfId="0" applyFont="1" applyFill="1" applyBorder="1" applyAlignment="1" applyProtection="1">
      <alignment wrapText="1"/>
      <protection/>
    </xf>
    <xf numFmtId="0" fontId="108" fillId="0" borderId="0" xfId="0" applyFont="1" applyFill="1" applyBorder="1" applyAlignment="1" applyProtection="1">
      <alignment/>
      <protection/>
    </xf>
    <xf numFmtId="0" fontId="106" fillId="0" borderId="27" xfId="0" applyFont="1" applyBorder="1" applyAlignment="1">
      <alignment/>
    </xf>
    <xf numFmtId="0" fontId="7" fillId="0" borderId="12" xfId="0" applyFont="1" applyFill="1" applyBorder="1" applyAlignment="1">
      <alignment/>
    </xf>
    <xf numFmtId="0" fontId="7" fillId="0" borderId="0" xfId="0" applyFont="1" applyFill="1" applyBorder="1" applyAlignment="1">
      <alignment/>
    </xf>
    <xf numFmtId="14" fontId="23" fillId="0" borderId="0" xfId="0" applyNumberFormat="1" applyFont="1" applyAlignment="1" applyProtection="1">
      <alignment/>
      <protection/>
    </xf>
    <xf numFmtId="14" fontId="0" fillId="0" borderId="0" xfId="0" applyNumberFormat="1" applyAlignment="1" applyProtection="1">
      <alignment horizontal="left"/>
      <protection/>
    </xf>
    <xf numFmtId="0" fontId="107" fillId="0" borderId="31" xfId="0" applyFont="1" applyFill="1" applyBorder="1" applyAlignment="1" applyProtection="1">
      <alignment horizontal="left" vertical="center"/>
      <protection/>
    </xf>
    <xf numFmtId="0" fontId="108" fillId="0" borderId="26" xfId="0" applyFont="1" applyBorder="1" applyAlignment="1" applyProtection="1">
      <alignment horizontal="left" vertical="center"/>
      <protection/>
    </xf>
    <xf numFmtId="0" fontId="107" fillId="36" borderId="26" xfId="0" applyFont="1" applyFill="1" applyBorder="1" applyAlignment="1" applyProtection="1">
      <alignment horizontal="right" vertical="center"/>
      <protection/>
    </xf>
    <xf numFmtId="0" fontId="36" fillId="35" borderId="40" xfId="0" applyFont="1" applyFill="1" applyBorder="1" applyAlignment="1" applyProtection="1">
      <alignment horizontal="left" vertical="center"/>
      <protection locked="0"/>
    </xf>
    <xf numFmtId="0" fontId="26" fillId="35" borderId="34" xfId="0" applyFont="1" applyFill="1" applyBorder="1" applyAlignment="1" applyProtection="1">
      <alignment horizontal="center" vertical="center"/>
      <protection locked="0"/>
    </xf>
    <xf numFmtId="0" fontId="108" fillId="36" borderId="26" xfId="0" applyFont="1" applyFill="1" applyBorder="1" applyAlignment="1" applyProtection="1">
      <alignment horizontal="left" vertical="center"/>
      <protection/>
    </xf>
    <xf numFmtId="0" fontId="0" fillId="36" borderId="0" xfId="0" applyFill="1" applyBorder="1" applyAlignment="1" applyProtection="1">
      <alignment horizontal="center" vertical="center"/>
      <protection/>
    </xf>
    <xf numFmtId="0" fontId="0" fillId="36" borderId="0" xfId="0" applyFill="1" applyBorder="1" applyAlignment="1" applyProtection="1">
      <alignment horizontal="center"/>
      <protection/>
    </xf>
    <xf numFmtId="0" fontId="0" fillId="36" borderId="41" xfId="0" applyFill="1" applyBorder="1" applyAlignment="1" applyProtection="1">
      <alignment/>
      <protection/>
    </xf>
    <xf numFmtId="1" fontId="7" fillId="36" borderId="13" xfId="0" applyNumberFormat="1" applyFont="1" applyFill="1" applyBorder="1" applyAlignment="1" applyProtection="1">
      <alignment horizontal="center" vertical="center" shrinkToFit="1"/>
      <protection locked="0"/>
    </xf>
    <xf numFmtId="0" fontId="23" fillId="0" borderId="0" xfId="0" applyFont="1" applyBorder="1" applyAlignment="1">
      <alignment wrapText="1"/>
    </xf>
    <xf numFmtId="0" fontId="3" fillId="0" borderId="0" xfId="0" applyFont="1" applyAlignment="1">
      <alignment/>
    </xf>
    <xf numFmtId="0" fontId="6" fillId="0" borderId="0" xfId="0" applyFont="1" applyBorder="1" applyAlignment="1">
      <alignment vertical="center"/>
    </xf>
    <xf numFmtId="0" fontId="6" fillId="0" borderId="30" xfId="0" applyFont="1" applyBorder="1" applyAlignment="1">
      <alignment vertical="center"/>
    </xf>
    <xf numFmtId="0" fontId="6" fillId="0" borderId="42" xfId="58" applyFont="1" applyFill="1" applyBorder="1" applyAlignment="1" applyProtection="1">
      <alignment horizontal="center"/>
      <protection/>
    </xf>
    <xf numFmtId="0" fontId="37" fillId="0" borderId="43" xfId="58" applyFont="1" applyBorder="1" applyProtection="1">
      <alignment/>
      <protection/>
    </xf>
    <xf numFmtId="178" fontId="37" fillId="0" borderId="43" xfId="58" applyNumberFormat="1" applyFont="1" applyBorder="1" applyProtection="1">
      <alignment/>
      <protection/>
    </xf>
    <xf numFmtId="0" fontId="7" fillId="39" borderId="43" xfId="58" applyFont="1" applyFill="1" applyBorder="1" applyAlignment="1" applyProtection="1">
      <alignment horizontal="center"/>
      <protection locked="0"/>
    </xf>
    <xf numFmtId="0" fontId="7" fillId="39" borderId="27" xfId="58" applyFont="1" applyFill="1" applyBorder="1" applyAlignment="1" applyProtection="1">
      <alignment horizontal="center"/>
      <protection locked="0"/>
    </xf>
    <xf numFmtId="2" fontId="38" fillId="0" borderId="0" xfId="58" applyNumberFormat="1" applyFont="1" applyProtection="1">
      <alignment/>
      <protection/>
    </xf>
    <xf numFmtId="0" fontId="6" fillId="0" borderId="42" xfId="58" applyFont="1" applyFill="1" applyBorder="1" applyAlignment="1" applyProtection="1">
      <alignment horizontal="center" vertical="center"/>
      <protection/>
    </xf>
    <xf numFmtId="0" fontId="0" fillId="0" borderId="0" xfId="0" applyAlignment="1">
      <alignment vertical="top" wrapText="1"/>
    </xf>
    <xf numFmtId="0" fontId="109" fillId="0" borderId="0" xfId="0" applyFont="1" applyAlignment="1">
      <alignment vertical="center" wrapText="1"/>
    </xf>
    <xf numFmtId="0" fontId="110" fillId="0" borderId="0" xfId="0" applyFont="1" applyAlignment="1">
      <alignment vertical="center" wrapText="1"/>
    </xf>
    <xf numFmtId="0" fontId="111" fillId="0" borderId="0" xfId="0" applyFont="1" applyAlignment="1">
      <alignment vertical="center"/>
    </xf>
    <xf numFmtId="0" fontId="110" fillId="0" borderId="0" xfId="0" applyFont="1" applyAlignment="1">
      <alignment vertical="center"/>
    </xf>
    <xf numFmtId="0" fontId="0" fillId="0" borderId="0" xfId="0" applyAlignment="1">
      <alignment vertical="center"/>
    </xf>
    <xf numFmtId="0" fontId="112" fillId="0" borderId="11" xfId="0" applyFont="1" applyBorder="1" applyAlignment="1">
      <alignment horizontal="left"/>
    </xf>
    <xf numFmtId="0" fontId="113" fillId="0" borderId="11" xfId="0" applyFont="1" applyBorder="1" applyAlignment="1">
      <alignment horizontal="left"/>
    </xf>
    <xf numFmtId="0" fontId="109" fillId="0" borderId="11" xfId="0" applyFont="1" applyBorder="1" applyAlignment="1">
      <alignment/>
    </xf>
    <xf numFmtId="0" fontId="0" fillId="0" borderId="0" xfId="0" applyAlignment="1">
      <alignment horizontal="right"/>
    </xf>
    <xf numFmtId="0" fontId="109" fillId="0" borderId="44" xfId="0" applyFont="1" applyBorder="1" applyAlignment="1">
      <alignment/>
    </xf>
    <xf numFmtId="0" fontId="109" fillId="0" borderId="45" xfId="0" applyFont="1" applyBorder="1" applyAlignment="1">
      <alignment/>
    </xf>
    <xf numFmtId="0" fontId="13" fillId="37" borderId="46" xfId="0" applyFont="1" applyFill="1" applyBorder="1" applyAlignment="1">
      <alignment horizontal="left"/>
    </xf>
    <xf numFmtId="0" fontId="0" fillId="0" borderId="47" xfId="0" applyBorder="1" applyAlignment="1">
      <alignment/>
    </xf>
    <xf numFmtId="0" fontId="100" fillId="0" borderId="48" xfId="0" applyFont="1" applyBorder="1" applyAlignment="1">
      <alignment/>
    </xf>
    <xf numFmtId="0" fontId="0" fillId="0" borderId="46" xfId="0" applyBorder="1" applyAlignment="1">
      <alignment horizontal="left"/>
    </xf>
    <xf numFmtId="0" fontId="100" fillId="0" borderId="48" xfId="0" applyFont="1" applyBorder="1" applyAlignment="1">
      <alignment horizontal="left" vertical="center"/>
    </xf>
    <xf numFmtId="49" fontId="0" fillId="0" borderId="46" xfId="0" applyNumberFormat="1" applyFont="1" applyBorder="1" applyAlignment="1">
      <alignment horizontal="left"/>
    </xf>
    <xf numFmtId="0" fontId="0" fillId="0" borderId="49" xfId="0" applyBorder="1" applyAlignment="1">
      <alignment/>
    </xf>
    <xf numFmtId="0" fontId="0" fillId="0" borderId="50" xfId="0" applyBorder="1" applyAlignment="1">
      <alignment/>
    </xf>
    <xf numFmtId="0" fontId="113" fillId="0" borderId="51" xfId="0" applyFont="1" applyBorder="1" applyAlignment="1">
      <alignment vertical="center"/>
    </xf>
    <xf numFmtId="0" fontId="100" fillId="0" borderId="51" xfId="0" applyFont="1" applyBorder="1" applyAlignment="1">
      <alignment vertical="center" wrapText="1"/>
    </xf>
    <xf numFmtId="0" fontId="113" fillId="0" borderId="51" xfId="0" applyFont="1" applyBorder="1" applyAlignment="1">
      <alignment vertical="center" wrapText="1"/>
    </xf>
    <xf numFmtId="0" fontId="114" fillId="0" borderId="11" xfId="0" applyFont="1" applyBorder="1" applyAlignment="1">
      <alignment horizontal="left" vertical="center" wrapText="1"/>
    </xf>
    <xf numFmtId="0" fontId="114" fillId="0" borderId="11" xfId="0" applyFont="1" applyBorder="1" applyAlignment="1">
      <alignment vertical="center" wrapText="1"/>
    </xf>
    <xf numFmtId="0" fontId="112" fillId="0" borderId="11" xfId="0" applyFont="1" applyBorder="1" applyAlignment="1">
      <alignment horizontal="center" vertical="center" wrapText="1"/>
    </xf>
    <xf numFmtId="0" fontId="109" fillId="0" borderId="11" xfId="0" applyFont="1" applyBorder="1" applyAlignment="1">
      <alignment vertical="center"/>
    </xf>
    <xf numFmtId="0" fontId="0" fillId="0" borderId="0" xfId="0" applyAlignment="1">
      <alignment horizontal="left"/>
    </xf>
    <xf numFmtId="0" fontId="112" fillId="0" borderId="52" xfId="0" applyFont="1" applyBorder="1" applyAlignment="1" quotePrefix="1">
      <alignment horizontal="left"/>
    </xf>
    <xf numFmtId="0" fontId="100" fillId="37" borderId="53" xfId="0" applyFont="1" applyFill="1" applyBorder="1" applyAlignment="1">
      <alignment/>
    </xf>
    <xf numFmtId="0" fontId="115" fillId="37" borderId="11" xfId="0" applyFont="1" applyFill="1" applyBorder="1" applyAlignment="1">
      <alignment vertical="center"/>
    </xf>
    <xf numFmtId="0" fontId="74" fillId="0" borderId="0" xfId="0" applyFont="1" applyAlignment="1">
      <alignment/>
    </xf>
    <xf numFmtId="49" fontId="0" fillId="0" borderId="53" xfId="0" applyNumberFormat="1" applyFont="1" applyBorder="1" applyAlignment="1">
      <alignment horizontal="left"/>
    </xf>
    <xf numFmtId="0" fontId="112" fillId="37" borderId="0" xfId="0" applyFont="1" applyFill="1" applyBorder="1" applyAlignment="1" applyProtection="1">
      <alignment horizontal="left"/>
      <protection/>
    </xf>
    <xf numFmtId="0" fontId="0" fillId="37" borderId="0" xfId="0" applyFill="1" applyBorder="1" applyAlignment="1" applyProtection="1">
      <alignment/>
      <protection/>
    </xf>
    <xf numFmtId="0" fontId="0" fillId="37" borderId="47" xfId="0" applyFill="1" applyBorder="1" applyAlignment="1" applyProtection="1">
      <alignment/>
      <protection/>
    </xf>
    <xf numFmtId="0" fontId="112" fillId="37" borderId="0" xfId="0" applyFont="1" applyFill="1" applyBorder="1" applyAlignment="1" applyProtection="1">
      <alignment horizontal="left"/>
      <protection locked="0"/>
    </xf>
    <xf numFmtId="0" fontId="0" fillId="37" borderId="0" xfId="0" applyFill="1" applyBorder="1" applyAlignment="1" applyProtection="1">
      <alignment/>
      <protection locked="0"/>
    </xf>
    <xf numFmtId="0" fontId="0" fillId="37" borderId="47" xfId="0" applyFill="1" applyBorder="1" applyAlignment="1" applyProtection="1">
      <alignment/>
      <protection locked="0"/>
    </xf>
    <xf numFmtId="0" fontId="107" fillId="0" borderId="11" xfId="0" applyFont="1" applyBorder="1" applyAlignment="1" applyProtection="1">
      <alignment horizontal="center" vertical="center" wrapText="1"/>
      <protection/>
    </xf>
    <xf numFmtId="0" fontId="112" fillId="0" borderId="45" xfId="0" applyFont="1" applyBorder="1" applyAlignment="1">
      <alignment horizontal="left"/>
    </xf>
    <xf numFmtId="0" fontId="13" fillId="37" borderId="0" xfId="0" applyFont="1" applyFill="1" applyBorder="1" applyAlignment="1">
      <alignment horizontal="left"/>
    </xf>
    <xf numFmtId="0" fontId="112" fillId="0" borderId="11" xfId="0" applyFont="1" applyBorder="1" applyAlignment="1" quotePrefix="1">
      <alignment horizontal="left"/>
    </xf>
    <xf numFmtId="0" fontId="100" fillId="37" borderId="11" xfId="0" applyFont="1" applyFill="1" applyBorder="1" applyAlignment="1">
      <alignment/>
    </xf>
    <xf numFmtId="0" fontId="116" fillId="0" borderId="0" xfId="53" applyFont="1" applyAlignment="1" applyProtection="1">
      <alignment/>
      <protection/>
    </xf>
    <xf numFmtId="0" fontId="116" fillId="0" borderId="0" xfId="53" applyFont="1" applyAlignment="1" applyProtection="1">
      <alignment vertical="center"/>
      <protection/>
    </xf>
    <xf numFmtId="0" fontId="117" fillId="0" borderId="0" xfId="0" applyFont="1" applyAlignment="1">
      <alignment/>
    </xf>
    <xf numFmtId="0" fontId="117" fillId="0" borderId="0" xfId="0" applyFont="1" applyAlignment="1">
      <alignment horizontal="right"/>
    </xf>
    <xf numFmtId="0" fontId="45" fillId="0" borderId="0" xfId="58" applyFont="1" applyFill="1" applyBorder="1" applyAlignment="1" applyProtection="1">
      <alignment horizontal="center" vertical="center"/>
      <protection/>
    </xf>
    <xf numFmtId="0" fontId="46" fillId="40" borderId="42" xfId="58" applyFont="1" applyFill="1" applyBorder="1" applyAlignment="1" applyProtection="1">
      <alignment horizontal="center"/>
      <protection/>
    </xf>
    <xf numFmtId="0" fontId="46" fillId="33" borderId="10" xfId="58" applyFont="1" applyFill="1" applyBorder="1" applyAlignment="1" applyProtection="1">
      <alignment/>
      <protection/>
    </xf>
    <xf numFmtId="0" fontId="118" fillId="36" borderId="0" xfId="0" applyFont="1" applyFill="1" applyAlignment="1" applyProtection="1">
      <alignment horizontal="center"/>
      <protection/>
    </xf>
    <xf numFmtId="0" fontId="7" fillId="0" borderId="0" xfId="58" applyFont="1" applyProtection="1">
      <alignment/>
      <protection/>
    </xf>
    <xf numFmtId="0" fontId="46" fillId="35" borderId="43" xfId="58" applyNumberFormat="1" applyFont="1" applyFill="1" applyBorder="1" applyAlignment="1" applyProtection="1">
      <alignment horizontal="center"/>
      <protection/>
    </xf>
    <xf numFmtId="0" fontId="46" fillId="33" borderId="26" xfId="58" applyFont="1" applyFill="1" applyBorder="1" applyAlignment="1" applyProtection="1">
      <alignment/>
      <protection/>
    </xf>
    <xf numFmtId="14" fontId="118" fillId="36" borderId="0" xfId="0" applyNumberFormat="1" applyFont="1" applyFill="1" applyAlignment="1" applyProtection="1">
      <alignment/>
      <protection/>
    </xf>
    <xf numFmtId="14" fontId="118" fillId="0" borderId="0" xfId="58" applyNumberFormat="1" applyFont="1" applyProtection="1">
      <alignment/>
      <protection/>
    </xf>
    <xf numFmtId="0" fontId="7" fillId="0" borderId="0" xfId="58" applyFont="1" applyFill="1" applyProtection="1">
      <alignment/>
      <protection/>
    </xf>
    <xf numFmtId="0" fontId="7" fillId="0" borderId="0" xfId="0" applyFont="1" applyFill="1" applyBorder="1" applyAlignment="1" applyProtection="1">
      <alignment horizontal="center" vertical="center"/>
      <protection/>
    </xf>
    <xf numFmtId="0" fontId="46" fillId="0" borderId="0" xfId="58" applyNumberFormat="1" applyFont="1" applyFill="1" applyBorder="1" applyAlignment="1" applyProtection="1">
      <alignment horizontal="center"/>
      <protection/>
    </xf>
    <xf numFmtId="0" fontId="119" fillId="36" borderId="0" xfId="58" applyFont="1" applyFill="1" applyBorder="1" applyAlignment="1" applyProtection="1">
      <alignment/>
      <protection/>
    </xf>
    <xf numFmtId="0" fontId="119" fillId="36" borderId="0" xfId="58" applyNumberFormat="1" applyFont="1" applyFill="1" applyBorder="1" applyAlignment="1" applyProtection="1">
      <alignment horizontal="center"/>
      <protection/>
    </xf>
    <xf numFmtId="14" fontId="118" fillId="36" borderId="0" xfId="58" applyNumberFormat="1" applyFont="1" applyFill="1" applyProtection="1">
      <alignment/>
      <protection/>
    </xf>
    <xf numFmtId="0" fontId="118" fillId="36" borderId="0" xfId="58" applyFont="1" applyFill="1" applyBorder="1" applyAlignment="1" applyProtection="1">
      <alignment horizontal="center"/>
      <protection/>
    </xf>
    <xf numFmtId="0" fontId="7" fillId="0" borderId="0" xfId="58"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46" fillId="0" borderId="0" xfId="58" applyFont="1" applyFill="1" applyBorder="1" applyAlignment="1" applyProtection="1">
      <alignment/>
      <protection/>
    </xf>
    <xf numFmtId="14" fontId="7" fillId="0" borderId="0" xfId="58" applyNumberFormat="1" applyFont="1" applyFill="1" applyProtection="1">
      <alignment/>
      <protection/>
    </xf>
    <xf numFmtId="0" fontId="6" fillId="0" borderId="11" xfId="58" applyFont="1" applyBorder="1" applyAlignment="1" applyProtection="1">
      <alignment horizontal="center"/>
      <protection/>
    </xf>
    <xf numFmtId="0" fontId="6" fillId="0" borderId="51" xfId="58" applyFont="1" applyBorder="1" applyAlignment="1" applyProtection="1">
      <alignment horizontal="center"/>
      <protection/>
    </xf>
    <xf numFmtId="175" fontId="7" fillId="41" borderId="54" xfId="58" applyNumberFormat="1" applyFont="1" applyFill="1" applyBorder="1" applyAlignment="1" applyProtection="1">
      <alignment horizontal="center"/>
      <protection/>
    </xf>
    <xf numFmtId="175" fontId="119" fillId="34" borderId="51" xfId="41" applyNumberFormat="1" applyFont="1" applyFill="1" applyBorder="1" applyAlignment="1" applyProtection="1">
      <alignment horizontal="center"/>
      <protection/>
    </xf>
    <xf numFmtId="175" fontId="7" fillId="34" borderId="55" xfId="58" applyNumberFormat="1" applyFont="1" applyFill="1" applyBorder="1" applyAlignment="1" applyProtection="1">
      <alignment horizontal="center"/>
      <protection/>
    </xf>
    <xf numFmtId="175" fontId="7" fillId="34" borderId="51" xfId="58" applyNumberFormat="1" applyFont="1" applyFill="1" applyBorder="1" applyAlignment="1" applyProtection="1">
      <alignment horizontal="center"/>
      <protection/>
    </xf>
    <xf numFmtId="175" fontId="7" fillId="41" borderId="51" xfId="58" applyNumberFormat="1" applyFont="1" applyFill="1" applyBorder="1" applyAlignment="1" applyProtection="1">
      <alignment horizontal="center"/>
      <protection/>
    </xf>
    <xf numFmtId="0" fontId="7" fillId="41" borderId="46" xfId="58" applyNumberFormat="1" applyFont="1" applyFill="1" applyBorder="1" applyAlignment="1" applyProtection="1">
      <alignment horizontal="center"/>
      <protection/>
    </xf>
    <xf numFmtId="0" fontId="119" fillId="34" borderId="52" xfId="41" applyNumberFormat="1" applyFont="1" applyFill="1" applyBorder="1" applyAlignment="1" applyProtection="1">
      <alignment horizontal="center"/>
      <protection/>
    </xf>
    <xf numFmtId="0" fontId="7" fillId="34" borderId="47" xfId="58" applyNumberFormat="1" applyFont="1" applyFill="1" applyBorder="1" applyAlignment="1" applyProtection="1">
      <alignment horizontal="center"/>
      <protection/>
    </xf>
    <xf numFmtId="0" fontId="7" fillId="34" borderId="52" xfId="58" applyNumberFormat="1" applyFont="1" applyFill="1" applyBorder="1" applyAlignment="1" applyProtection="1">
      <alignment horizontal="center"/>
      <protection/>
    </xf>
    <xf numFmtId="0" fontId="7" fillId="41" borderId="52" xfId="58" applyNumberFormat="1" applyFont="1" applyFill="1" applyBorder="1" applyAlignment="1" applyProtection="1">
      <alignment horizontal="center"/>
      <protection/>
    </xf>
    <xf numFmtId="0" fontId="7" fillId="41" borderId="53" xfId="58" applyNumberFormat="1" applyFont="1" applyFill="1" applyBorder="1" applyAlignment="1" applyProtection="1">
      <alignment horizontal="center"/>
      <protection/>
    </xf>
    <xf numFmtId="0" fontId="119" fillId="34" borderId="56" xfId="41" applyNumberFormat="1" applyFont="1" applyFill="1" applyBorder="1" applyAlignment="1" applyProtection="1">
      <alignment horizontal="center"/>
      <protection/>
    </xf>
    <xf numFmtId="0" fontId="7" fillId="34" borderId="50" xfId="58" applyNumberFormat="1" applyFont="1" applyFill="1" applyBorder="1" applyAlignment="1" applyProtection="1">
      <alignment horizontal="center"/>
      <protection/>
    </xf>
    <xf numFmtId="0" fontId="7" fillId="34" borderId="56" xfId="58" applyNumberFormat="1" applyFont="1" applyFill="1" applyBorder="1" applyAlignment="1" applyProtection="1">
      <alignment horizontal="center"/>
      <protection/>
    </xf>
    <xf numFmtId="0" fontId="7" fillId="41" borderId="56" xfId="58" applyNumberFormat="1" applyFont="1" applyFill="1" applyBorder="1" applyAlignment="1" applyProtection="1">
      <alignment horizontal="center"/>
      <protection/>
    </xf>
    <xf numFmtId="174" fontId="7" fillId="41" borderId="51" xfId="58" applyNumberFormat="1" applyFont="1" applyFill="1" applyBorder="1" applyAlignment="1" applyProtection="1">
      <alignment horizontal="center"/>
      <protection/>
    </xf>
    <xf numFmtId="174" fontId="7" fillId="34" borderId="52" xfId="58" applyNumberFormat="1" applyFont="1" applyFill="1" applyBorder="1" applyAlignment="1" applyProtection="1">
      <alignment horizontal="center"/>
      <protection/>
    </xf>
    <xf numFmtId="174" fontId="7" fillId="34" borderId="51" xfId="58" applyNumberFormat="1" applyFont="1" applyFill="1" applyBorder="1" applyAlignment="1" applyProtection="1">
      <alignment horizontal="center"/>
      <protection/>
    </xf>
    <xf numFmtId="175" fontId="7" fillId="41" borderId="51" xfId="58" applyNumberFormat="1" applyFont="1" applyFill="1" applyBorder="1" applyAlignment="1" applyProtection="1">
      <alignment horizontal="center" wrapText="1"/>
      <protection/>
    </xf>
    <xf numFmtId="175" fontId="7" fillId="34" borderId="51" xfId="58" applyNumberFormat="1" applyFont="1" applyFill="1" applyBorder="1" applyAlignment="1" applyProtection="1">
      <alignment horizontal="center" wrapText="1"/>
      <protection/>
    </xf>
    <xf numFmtId="0" fontId="7" fillId="0" borderId="0" xfId="58" applyNumberFormat="1" applyFont="1" applyFill="1" applyBorder="1" applyAlignment="1" applyProtection="1">
      <alignment horizontal="center"/>
      <protection/>
    </xf>
    <xf numFmtId="0" fontId="7" fillId="0" borderId="0" xfId="58" applyFont="1" applyFill="1" applyAlignment="1" applyProtection="1">
      <alignment/>
      <protection/>
    </xf>
    <xf numFmtId="0" fontId="7" fillId="0" borderId="0" xfId="58" applyNumberFormat="1" applyFont="1" applyFill="1" applyBorder="1" applyAlignment="1" applyProtection="1">
      <alignment horizontal="left"/>
      <protection/>
    </xf>
    <xf numFmtId="0" fontId="44" fillId="0" borderId="0" xfId="54" applyNumberFormat="1" applyFont="1" applyFill="1" applyBorder="1" applyAlignment="1" applyProtection="1">
      <alignment horizontal="left"/>
      <protection/>
    </xf>
    <xf numFmtId="174" fontId="7" fillId="0" borderId="0" xfId="58" applyNumberFormat="1" applyFont="1" applyFill="1" applyAlignment="1" applyProtection="1">
      <alignment/>
      <protection/>
    </xf>
    <xf numFmtId="14" fontId="48" fillId="0" borderId="0" xfId="58" applyNumberFormat="1" applyFont="1" applyFill="1" applyBorder="1" applyAlignment="1" applyProtection="1">
      <alignment horizontal="center"/>
      <protection/>
    </xf>
    <xf numFmtId="177" fontId="7" fillId="42" borderId="28" xfId="58" applyNumberFormat="1" applyFont="1" applyFill="1" applyBorder="1" applyAlignment="1" applyProtection="1">
      <alignment horizontal="center"/>
      <protection/>
    </xf>
    <xf numFmtId="0" fontId="7" fillId="42" borderId="28" xfId="58" applyFont="1" applyFill="1" applyBorder="1" applyAlignment="1" applyProtection="1">
      <alignment horizontal="center"/>
      <protection/>
    </xf>
    <xf numFmtId="0" fontId="94" fillId="0" borderId="0" xfId="53" applyAlignment="1" applyProtection="1">
      <alignment/>
      <protection/>
    </xf>
    <xf numFmtId="0" fontId="0" fillId="0" borderId="57" xfId="0" applyFont="1" applyFill="1" applyBorder="1" applyAlignment="1" applyProtection="1">
      <alignment horizontal="right" vertical="center"/>
      <protection/>
    </xf>
    <xf numFmtId="0" fontId="29" fillId="0" borderId="57" xfId="0" applyFont="1" applyFill="1" applyBorder="1" applyAlignment="1" applyProtection="1">
      <alignment horizontal="right" vertical="center"/>
      <protection/>
    </xf>
    <xf numFmtId="0" fontId="0" fillId="0" borderId="0" xfId="0" applyFont="1" applyAlignment="1">
      <alignment wrapText="1"/>
    </xf>
    <xf numFmtId="0" fontId="0" fillId="0" borderId="0" xfId="0" applyAlignment="1">
      <alignment/>
    </xf>
    <xf numFmtId="0" fontId="0" fillId="0" borderId="0" xfId="0" applyAlignment="1">
      <alignment wrapText="1"/>
    </xf>
    <xf numFmtId="0" fontId="0" fillId="0" borderId="58" xfId="0" applyFont="1" applyBorder="1" applyAlignment="1">
      <alignment wrapText="1"/>
    </xf>
    <xf numFmtId="0" fontId="7" fillId="0" borderId="57" xfId="0" applyFont="1" applyBorder="1" applyAlignment="1">
      <alignment horizontal="left"/>
    </xf>
    <xf numFmtId="0" fontId="7" fillId="0" borderId="0" xfId="0" applyFont="1" applyBorder="1" applyAlignment="1">
      <alignment horizontal="left"/>
    </xf>
    <xf numFmtId="0" fontId="23" fillId="0" borderId="31" xfId="0" applyFont="1" applyBorder="1" applyAlignment="1">
      <alignment vertical="top" wrapText="1"/>
    </xf>
    <xf numFmtId="0" fontId="23" fillId="0" borderId="26" xfId="0" applyFont="1" applyBorder="1" applyAlignment="1">
      <alignment vertical="top" wrapText="1"/>
    </xf>
    <xf numFmtId="0" fontId="23" fillId="0" borderId="27" xfId="0" applyFont="1" applyBorder="1" applyAlignment="1">
      <alignment vertical="top" wrapText="1"/>
    </xf>
    <xf numFmtId="0" fontId="94" fillId="0" borderId="12" xfId="53" applyBorder="1" applyAlignment="1" applyProtection="1">
      <alignment horizontal="center" vertical="center"/>
      <protection/>
    </xf>
    <xf numFmtId="0" fontId="94" fillId="0" borderId="0" xfId="53" applyBorder="1" applyAlignment="1" applyProtection="1">
      <alignment horizontal="center" vertical="center"/>
      <protection/>
    </xf>
    <xf numFmtId="0" fontId="94" fillId="0" borderId="30" xfId="53" applyBorder="1" applyAlignment="1" applyProtection="1">
      <alignment horizontal="center" vertical="center"/>
      <protection/>
    </xf>
    <xf numFmtId="0" fontId="6" fillId="0" borderId="13" xfId="0" applyFont="1" applyBorder="1" applyAlignment="1">
      <alignment vertical="center" wrapText="1"/>
    </xf>
    <xf numFmtId="0" fontId="6" fillId="0" borderId="10" xfId="0" applyFont="1" applyBorder="1" applyAlignment="1">
      <alignment vertical="center" wrapText="1"/>
    </xf>
    <xf numFmtId="0" fontId="6" fillId="0" borderId="35" xfId="0" applyFont="1" applyBorder="1" applyAlignment="1">
      <alignment vertical="center" wrapText="1"/>
    </xf>
    <xf numFmtId="0" fontId="108" fillId="32" borderId="15" xfId="0" applyFont="1" applyFill="1" applyBorder="1" applyAlignment="1" applyProtection="1">
      <alignment vertical="center"/>
      <protection locked="0"/>
    </xf>
    <xf numFmtId="0" fontId="108" fillId="0" borderId="14" xfId="0" applyFont="1" applyBorder="1" applyAlignment="1" applyProtection="1">
      <alignment vertical="center"/>
      <protection locked="0"/>
    </xf>
    <xf numFmtId="0" fontId="108" fillId="0" borderId="29" xfId="0" applyFont="1" applyBorder="1" applyAlignment="1" applyProtection="1">
      <alignment vertical="center"/>
      <protection locked="0"/>
    </xf>
    <xf numFmtId="49" fontId="108" fillId="35" borderId="0" xfId="0" applyNumberFormat="1" applyFont="1" applyFill="1" applyBorder="1" applyAlignment="1" applyProtection="1">
      <alignment wrapText="1"/>
      <protection locked="0"/>
    </xf>
    <xf numFmtId="49" fontId="108" fillId="35" borderId="30" xfId="0" applyNumberFormat="1" applyFont="1" applyFill="1" applyBorder="1" applyAlignment="1" applyProtection="1">
      <alignment wrapText="1"/>
      <protection locked="0"/>
    </xf>
    <xf numFmtId="0" fontId="106" fillId="0" borderId="57" xfId="0" applyFont="1" applyBorder="1" applyAlignment="1">
      <alignment horizontal="left"/>
    </xf>
    <xf numFmtId="0" fontId="106" fillId="0" borderId="0" xfId="0" applyFont="1" applyBorder="1" applyAlignment="1">
      <alignment horizontal="left"/>
    </xf>
    <xf numFmtId="49" fontId="0" fillId="35" borderId="0" xfId="0" applyNumberFormat="1" applyFill="1" applyBorder="1" applyAlignment="1" applyProtection="1">
      <alignment wrapText="1"/>
      <protection locked="0"/>
    </xf>
    <xf numFmtId="49" fontId="0" fillId="35" borderId="30" xfId="0" applyNumberFormat="1" applyFill="1" applyBorder="1" applyAlignment="1" applyProtection="1">
      <alignment wrapText="1"/>
      <protection locked="0"/>
    </xf>
    <xf numFmtId="0" fontId="0" fillId="0" borderId="59" xfId="0" applyBorder="1" applyAlignment="1" applyProtection="1">
      <alignment wrapText="1"/>
      <protection locked="0"/>
    </xf>
    <xf numFmtId="0" fontId="0" fillId="0" borderId="60" xfId="0" applyBorder="1" applyAlignment="1" applyProtection="1">
      <alignment wrapText="1"/>
      <protection locked="0"/>
    </xf>
    <xf numFmtId="0" fontId="6" fillId="0" borderId="15" xfId="0" applyFont="1" applyBorder="1" applyAlignment="1" applyProtection="1">
      <alignment/>
      <protection/>
    </xf>
    <xf numFmtId="0" fontId="0" fillId="0" borderId="14" xfId="0" applyBorder="1" applyAlignment="1" applyProtection="1">
      <alignment/>
      <protection/>
    </xf>
    <xf numFmtId="0" fontId="0" fillId="0" borderId="29" xfId="0" applyBorder="1" applyAlignment="1" applyProtection="1">
      <alignment/>
      <protection/>
    </xf>
    <xf numFmtId="14" fontId="7" fillId="32" borderId="15" xfId="0" applyNumberFormat="1" applyFont="1" applyFill="1" applyBorder="1" applyAlignment="1" applyProtection="1">
      <alignment/>
      <protection locked="0"/>
    </xf>
    <xf numFmtId="0" fontId="0" fillId="32" borderId="14" xfId="0" applyFill="1" applyBorder="1" applyAlignment="1" applyProtection="1">
      <alignment/>
      <protection locked="0"/>
    </xf>
    <xf numFmtId="0" fontId="0" fillId="32" borderId="29" xfId="0" applyFill="1" applyBorder="1" applyAlignment="1" applyProtection="1">
      <alignment/>
      <protection locked="0"/>
    </xf>
    <xf numFmtId="0" fontId="0" fillId="32" borderId="15" xfId="0"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29" xfId="0" applyBorder="1" applyAlignment="1" applyProtection="1">
      <alignment vertical="center"/>
      <protection locked="0"/>
    </xf>
    <xf numFmtId="0" fontId="24" fillId="0" borderId="15" xfId="0" applyFont="1" applyBorder="1" applyAlignment="1" applyProtection="1">
      <alignment horizontal="right" vertical="center"/>
      <protection/>
    </xf>
    <xf numFmtId="0" fontId="23" fillId="0" borderId="14" xfId="0" applyFont="1" applyBorder="1" applyAlignment="1" applyProtection="1">
      <alignment horizontal="right" vertical="center"/>
      <protection/>
    </xf>
    <xf numFmtId="0" fontId="23" fillId="0" borderId="29" xfId="0" applyFont="1" applyBorder="1" applyAlignment="1" applyProtection="1">
      <alignment horizontal="right" vertical="center"/>
      <protection/>
    </xf>
    <xf numFmtId="0" fontId="107" fillId="0" borderId="15" xfId="0" applyFont="1" applyBorder="1" applyAlignment="1" applyProtection="1">
      <alignment/>
      <protection/>
    </xf>
    <xf numFmtId="0" fontId="108" fillId="0" borderId="14" xfId="0" applyFont="1" applyBorder="1" applyAlignment="1" applyProtection="1">
      <alignment/>
      <protection/>
    </xf>
    <xf numFmtId="0" fontId="108" fillId="0" borderId="29" xfId="0" applyFont="1" applyBorder="1" applyAlignment="1" applyProtection="1">
      <alignment/>
      <protection/>
    </xf>
    <xf numFmtId="0" fontId="106" fillId="32" borderId="15" xfId="0" applyFont="1" applyFill="1" applyBorder="1" applyAlignment="1" applyProtection="1">
      <alignment/>
      <protection locked="0"/>
    </xf>
    <xf numFmtId="0" fontId="108" fillId="32" borderId="14" xfId="0" applyFont="1" applyFill="1" applyBorder="1" applyAlignment="1" applyProtection="1">
      <alignment/>
      <protection locked="0"/>
    </xf>
    <xf numFmtId="0" fontId="108" fillId="32" borderId="29" xfId="0" applyFont="1" applyFill="1" applyBorder="1" applyAlignment="1" applyProtection="1">
      <alignment/>
      <protection locked="0"/>
    </xf>
    <xf numFmtId="0" fontId="120" fillId="0" borderId="15" xfId="0" applyFont="1" applyBorder="1" applyAlignment="1" applyProtection="1">
      <alignment horizontal="right" vertical="center"/>
      <protection/>
    </xf>
    <xf numFmtId="0" fontId="121" fillId="0" borderId="14" xfId="0" applyFont="1" applyBorder="1" applyAlignment="1" applyProtection="1">
      <alignment horizontal="right" vertical="center"/>
      <protection/>
    </xf>
    <xf numFmtId="0" fontId="121" fillId="0" borderId="29" xfId="0" applyFont="1" applyBorder="1" applyAlignment="1" applyProtection="1">
      <alignment horizontal="right" vertical="center"/>
      <protection/>
    </xf>
    <xf numFmtId="0" fontId="106" fillId="0" borderId="61" xfId="0" applyFont="1" applyBorder="1" applyAlignment="1">
      <alignment horizontal="left"/>
    </xf>
    <xf numFmtId="0" fontId="6" fillId="0" borderId="15" xfId="0" applyFont="1" applyFill="1" applyBorder="1" applyAlignment="1" applyProtection="1">
      <alignment horizontal="left" vertical="center"/>
      <protection/>
    </xf>
    <xf numFmtId="0" fontId="0" fillId="0" borderId="14" xfId="0" applyBorder="1" applyAlignment="1" applyProtection="1">
      <alignment horizontal="left" vertical="center"/>
      <protection/>
    </xf>
    <xf numFmtId="0" fontId="107" fillId="0" borderId="0" xfId="0" applyFont="1" applyFill="1" applyBorder="1" applyAlignment="1" applyProtection="1">
      <alignment horizontal="right" vertical="center" wrapText="1"/>
      <protection/>
    </xf>
    <xf numFmtId="0" fontId="7" fillId="0" borderId="61" xfId="0" applyFont="1" applyBorder="1" applyAlignment="1">
      <alignment horizontal="left"/>
    </xf>
    <xf numFmtId="0" fontId="28" fillId="35" borderId="0" xfId="0" applyFont="1" applyFill="1" applyBorder="1" applyAlignment="1" applyProtection="1">
      <alignment horizontal="left" vertical="center"/>
      <protection locked="0"/>
    </xf>
    <xf numFmtId="0" fontId="29" fillId="35" borderId="0" xfId="0" applyFont="1" applyFill="1" applyBorder="1" applyAlignment="1" applyProtection="1">
      <alignment horizontal="left" vertical="center"/>
      <protection locked="0"/>
    </xf>
    <xf numFmtId="0" fontId="29" fillId="0" borderId="0" xfId="0" applyFont="1" applyBorder="1" applyAlignment="1" applyProtection="1">
      <alignment/>
      <protection locked="0"/>
    </xf>
    <xf numFmtId="0" fontId="6" fillId="0" borderId="62" xfId="0" applyFont="1" applyBorder="1" applyAlignment="1">
      <alignment horizontal="center" vertical="center" wrapText="1"/>
    </xf>
    <xf numFmtId="0" fontId="7" fillId="0" borderId="63" xfId="0" applyFont="1" applyBorder="1" applyAlignment="1">
      <alignment/>
    </xf>
    <xf numFmtId="0" fontId="7" fillId="0" borderId="12" xfId="0" applyFont="1" applyBorder="1" applyAlignment="1">
      <alignment/>
    </xf>
    <xf numFmtId="0" fontId="7" fillId="0" borderId="0" xfId="0" applyFont="1" applyBorder="1" applyAlignment="1">
      <alignment/>
    </xf>
    <xf numFmtId="2" fontId="7" fillId="35" borderId="10" xfId="0" applyNumberFormat="1" applyFont="1" applyFill="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49" fontId="0" fillId="43" borderId="15" xfId="0" applyNumberFormat="1"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7" fillId="0" borderId="14" xfId="0" applyFont="1" applyBorder="1" applyAlignment="1" applyProtection="1">
      <alignment horizontal="right" vertical="top"/>
      <protection/>
    </xf>
    <xf numFmtId="0" fontId="4" fillId="0" borderId="12" xfId="0" applyFont="1"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5" fillId="0" borderId="14" xfId="0" applyFont="1" applyBorder="1" applyAlignment="1">
      <alignment/>
    </xf>
    <xf numFmtId="0" fontId="22" fillId="0" borderId="14" xfId="0" applyFont="1" applyBorder="1" applyAlignment="1">
      <alignment/>
    </xf>
    <xf numFmtId="0" fontId="13" fillId="0" borderId="15" xfId="0" applyFont="1" applyBorder="1" applyAlignment="1">
      <alignment horizontal="left" vertical="center"/>
    </xf>
    <xf numFmtId="0" fontId="0" fillId="0" borderId="14" xfId="0" applyFont="1" applyBorder="1" applyAlignment="1">
      <alignment horizontal="left"/>
    </xf>
    <xf numFmtId="0" fontId="7" fillId="35" borderId="14" xfId="0" applyFont="1" applyFill="1" applyBorder="1" applyAlignment="1" applyProtection="1">
      <alignment horizontal="left"/>
      <protection locked="0"/>
    </xf>
    <xf numFmtId="0" fontId="0" fillId="35" borderId="14" xfId="0" applyFill="1" applyBorder="1" applyAlignment="1" applyProtection="1">
      <alignment horizontal="left"/>
      <protection locked="0"/>
    </xf>
    <xf numFmtId="0" fontId="13" fillId="0" borderId="15" xfId="0" applyFont="1" applyBorder="1" applyAlignment="1">
      <alignment vertical="center"/>
    </xf>
    <xf numFmtId="0" fontId="0" fillId="0" borderId="14" xfId="0" applyFont="1" applyBorder="1" applyAlignment="1">
      <alignment/>
    </xf>
    <xf numFmtId="0" fontId="7" fillId="35" borderId="10" xfId="0" applyFont="1" applyFill="1" applyBorder="1" applyAlignment="1" applyProtection="1">
      <alignment horizontal="center"/>
      <protection locked="0"/>
    </xf>
    <xf numFmtId="0" fontId="6" fillId="0" borderId="13" xfId="0" applyFont="1" applyBorder="1" applyAlignment="1">
      <alignment/>
    </xf>
    <xf numFmtId="0" fontId="0" fillId="0" borderId="10" xfId="0" applyBorder="1" applyAlignment="1">
      <alignment/>
    </xf>
    <xf numFmtId="0" fontId="0" fillId="0" borderId="64" xfId="0" applyBorder="1" applyAlignment="1">
      <alignment/>
    </xf>
    <xf numFmtId="0" fontId="35" fillId="0" borderId="15" xfId="0" applyFont="1" applyBorder="1" applyAlignment="1">
      <alignment horizontal="left" vertical="center"/>
    </xf>
    <xf numFmtId="0" fontId="0" fillId="0" borderId="14" xfId="0" applyBorder="1" applyAlignment="1">
      <alignment/>
    </xf>
    <xf numFmtId="0" fontId="0" fillId="0" borderId="29" xfId="0" applyBorder="1" applyAlignment="1">
      <alignment/>
    </xf>
    <xf numFmtId="0" fontId="6" fillId="0" borderId="15" xfId="0" applyFont="1" applyFill="1" applyBorder="1" applyAlignment="1" applyProtection="1">
      <alignment horizontal="left"/>
      <protection/>
    </xf>
    <xf numFmtId="0" fontId="24" fillId="0" borderId="15" xfId="0" applyFont="1" applyBorder="1" applyAlignment="1">
      <alignment horizontal="center" vertical="center"/>
    </xf>
    <xf numFmtId="0" fontId="0" fillId="0" borderId="14" xfId="0" applyBorder="1" applyAlignment="1">
      <alignment horizontal="center" vertical="center"/>
    </xf>
    <xf numFmtId="0" fontId="0" fillId="0" borderId="65" xfId="0" applyBorder="1" applyAlignment="1">
      <alignment horizontal="center" vertical="center"/>
    </xf>
    <xf numFmtId="0" fontId="7" fillId="0" borderId="26" xfId="0" applyFont="1" applyBorder="1" applyAlignment="1">
      <alignment horizontal="center" vertical="center"/>
    </xf>
    <xf numFmtId="0" fontId="13" fillId="36" borderId="15" xfId="0" applyFont="1" applyFill="1" applyBorder="1" applyAlignment="1" applyProtection="1">
      <alignment horizontal="center" vertical="center"/>
      <protection/>
    </xf>
    <xf numFmtId="0" fontId="13" fillId="0" borderId="14" xfId="0" applyFont="1" applyBorder="1" applyAlignment="1" applyProtection="1">
      <alignment horizontal="center" vertical="center"/>
      <protection/>
    </xf>
    <xf numFmtId="0" fontId="33" fillId="0" borderId="31" xfId="0" applyFont="1" applyBorder="1" applyAlignment="1">
      <alignment horizontal="center" vertical="center"/>
    </xf>
    <xf numFmtId="0" fontId="34" fillId="0" borderId="26" xfId="0" applyFont="1" applyBorder="1" applyAlignment="1">
      <alignment horizontal="center" vertical="center"/>
    </xf>
    <xf numFmtId="0" fontId="34" fillId="0" borderId="0" xfId="0" applyFont="1" applyBorder="1" applyAlignment="1">
      <alignment horizontal="center" vertical="center"/>
    </xf>
    <xf numFmtId="0" fontId="34" fillId="0" borderId="30" xfId="0" applyFont="1" applyBorder="1" applyAlignment="1">
      <alignment horizontal="center" vertical="center"/>
    </xf>
    <xf numFmtId="0" fontId="6" fillId="0" borderId="26" xfId="0" applyFont="1" applyBorder="1" applyAlignment="1">
      <alignment horizontal="right" vertical="center"/>
    </xf>
    <xf numFmtId="0" fontId="7" fillId="0" borderId="26" xfId="0" applyFont="1" applyBorder="1" applyAlignment="1">
      <alignment vertical="center"/>
    </xf>
    <xf numFmtId="0" fontId="6" fillId="0" borderId="13" xfId="0" applyFont="1" applyBorder="1" applyAlignment="1">
      <alignment horizontal="left" vertical="top" wrapText="1"/>
    </xf>
    <xf numFmtId="0" fontId="7" fillId="0" borderId="10" xfId="0" applyFont="1" applyBorder="1" applyAlignment="1">
      <alignment horizontal="left" wrapText="1"/>
    </xf>
    <xf numFmtId="0" fontId="7" fillId="0" borderId="35" xfId="0" applyFont="1" applyBorder="1" applyAlignment="1">
      <alignment horizontal="left" wrapText="1"/>
    </xf>
    <xf numFmtId="0" fontId="6" fillId="0" borderId="12" xfId="0" applyFont="1" applyBorder="1" applyAlignment="1">
      <alignment horizontal="left" vertical="top"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31" xfId="0" applyFont="1" applyBorder="1" applyAlignment="1">
      <alignment horizontal="left" wrapText="1"/>
    </xf>
    <xf numFmtId="0" fontId="7" fillId="0" borderId="26" xfId="0" applyFont="1" applyBorder="1" applyAlignment="1">
      <alignment horizontal="left" wrapText="1"/>
    </xf>
    <xf numFmtId="0" fontId="7" fillId="0" borderId="27" xfId="0" applyFont="1" applyBorder="1" applyAlignment="1">
      <alignment horizontal="left" wrapText="1"/>
    </xf>
    <xf numFmtId="0" fontId="7" fillId="35" borderId="15" xfId="0" applyFont="1" applyFill="1" applyBorder="1" applyAlignment="1" applyProtection="1">
      <alignment horizontal="center"/>
      <protection locked="0"/>
    </xf>
    <xf numFmtId="0" fontId="0" fillId="0" borderId="29" xfId="0" applyBorder="1" applyAlignment="1" applyProtection="1">
      <alignment horizontal="center"/>
      <protection locked="0"/>
    </xf>
    <xf numFmtId="0" fontId="6" fillId="0" borderId="31" xfId="0" applyFont="1" applyBorder="1" applyAlignment="1">
      <alignment horizontal="left" vertical="center"/>
    </xf>
    <xf numFmtId="0" fontId="0" fillId="0" borderId="26" xfId="0" applyBorder="1" applyAlignment="1">
      <alignment/>
    </xf>
    <xf numFmtId="0" fontId="0" fillId="32" borderId="66" xfId="0" applyFill="1" applyBorder="1" applyAlignment="1" applyProtection="1">
      <alignment vertical="center"/>
      <protection locked="0"/>
    </xf>
    <xf numFmtId="0" fontId="0" fillId="0" borderId="67" xfId="0" applyBorder="1" applyAlignment="1" applyProtection="1">
      <alignment/>
      <protection locked="0"/>
    </xf>
    <xf numFmtId="0" fontId="0" fillId="0" borderId="68" xfId="0" applyBorder="1" applyAlignment="1" applyProtection="1">
      <alignment/>
      <protection locked="0"/>
    </xf>
    <xf numFmtId="0" fontId="6" fillId="0" borderId="15" xfId="0" applyFont="1" applyBorder="1" applyAlignment="1">
      <alignment horizontal="left" vertical="center"/>
    </xf>
    <xf numFmtId="0" fontId="7" fillId="0" borderId="14" xfId="0" applyFont="1" applyBorder="1" applyAlignment="1">
      <alignment horizontal="left" vertical="center"/>
    </xf>
    <xf numFmtId="0" fontId="5" fillId="0" borderId="15"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24" fillId="36" borderId="69" xfId="0" applyFont="1" applyFill="1" applyBorder="1" applyAlignment="1" applyProtection="1">
      <alignment horizontal="right" vertical="center"/>
      <protection/>
    </xf>
    <xf numFmtId="0" fontId="23" fillId="0" borderId="65" xfId="0" applyFont="1" applyBorder="1" applyAlignment="1" applyProtection="1">
      <alignment horizontal="right" vertical="center"/>
      <protection/>
    </xf>
    <xf numFmtId="0" fontId="7" fillId="35" borderId="26" xfId="0" applyFont="1" applyFill="1" applyBorder="1" applyAlignment="1" applyProtection="1">
      <alignment horizontal="left" shrinkToFit="1"/>
      <protection locked="0"/>
    </xf>
    <xf numFmtId="0" fontId="0" fillId="35" borderId="26" xfId="0" applyFill="1" applyBorder="1" applyAlignment="1" applyProtection="1">
      <alignment shrinkToFit="1"/>
      <protection locked="0"/>
    </xf>
    <xf numFmtId="0" fontId="0" fillId="35" borderId="27" xfId="0" applyFill="1" applyBorder="1" applyAlignment="1" applyProtection="1">
      <alignment shrinkToFit="1"/>
      <protection locked="0"/>
    </xf>
    <xf numFmtId="14" fontId="7" fillId="35" borderId="10" xfId="0" applyNumberFormat="1" applyFont="1" applyFill="1" applyBorder="1" applyAlignment="1" applyProtection="1">
      <alignment horizontal="center" vertical="center"/>
      <protection locked="0"/>
    </xf>
    <xf numFmtId="14" fontId="0" fillId="35" borderId="10" xfId="0" applyNumberFormat="1" applyFill="1" applyBorder="1" applyAlignment="1" applyProtection="1">
      <alignment horizontal="center" vertical="center"/>
      <protection locked="0"/>
    </xf>
    <xf numFmtId="14" fontId="0" fillId="35" borderId="35" xfId="0" applyNumberFormat="1" applyFill="1" applyBorder="1" applyAlignment="1" applyProtection="1">
      <alignment horizontal="center" vertical="center"/>
      <protection locked="0"/>
    </xf>
    <xf numFmtId="0" fontId="6" fillId="0" borderId="31" xfId="0" applyFont="1" applyBorder="1" applyAlignment="1">
      <alignment horizontal="left"/>
    </xf>
    <xf numFmtId="0" fontId="7" fillId="0" borderId="26" xfId="0" applyFont="1" applyBorder="1" applyAlignment="1">
      <alignment/>
    </xf>
    <xf numFmtId="0" fontId="10" fillId="0" borderId="13" xfId="0" applyFont="1" applyBorder="1" applyAlignment="1">
      <alignment horizontal="center" vertical="center" wrapText="1"/>
    </xf>
    <xf numFmtId="0" fontId="7" fillId="0" borderId="10" xfId="0" applyFont="1" applyBorder="1" applyAlignment="1">
      <alignment horizontal="center"/>
    </xf>
    <xf numFmtId="0" fontId="7" fillId="0" borderId="35" xfId="0" applyFont="1" applyBorder="1" applyAlignment="1">
      <alignment horizontal="center"/>
    </xf>
    <xf numFmtId="0" fontId="7" fillId="0" borderId="12" xfId="0" applyFont="1" applyBorder="1" applyAlignment="1">
      <alignment horizontal="center"/>
    </xf>
    <xf numFmtId="0" fontId="7" fillId="0" borderId="0"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26" xfId="0" applyFont="1" applyBorder="1" applyAlignment="1">
      <alignment horizontal="center"/>
    </xf>
    <xf numFmtId="0" fontId="6" fillId="0" borderId="12" xfId="0" applyFont="1" applyBorder="1" applyAlignment="1">
      <alignment horizontal="left"/>
    </xf>
    <xf numFmtId="0" fontId="7" fillId="0" borderId="0" xfId="0" applyFont="1" applyBorder="1" applyAlignment="1">
      <alignment/>
    </xf>
    <xf numFmtId="0" fontId="0" fillId="0" borderId="0" xfId="0" applyBorder="1" applyAlignment="1">
      <alignment/>
    </xf>
    <xf numFmtId="14" fontId="7" fillId="35" borderId="14" xfId="0" applyNumberFormat="1"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35" borderId="13" xfId="0" applyFont="1" applyFill="1" applyBorder="1" applyAlignment="1" applyProtection="1">
      <alignment horizontal="left" vertical="top" wrapText="1"/>
      <protection locked="0"/>
    </xf>
    <xf numFmtId="0" fontId="0" fillId="0" borderId="10" xfId="0" applyBorder="1" applyAlignment="1" applyProtection="1">
      <alignment wrapText="1"/>
      <protection locked="0"/>
    </xf>
    <xf numFmtId="0" fontId="0" fillId="0" borderId="35" xfId="0" applyBorder="1" applyAlignment="1" applyProtection="1">
      <alignment wrapText="1"/>
      <protection locked="0"/>
    </xf>
    <xf numFmtId="0" fontId="0" fillId="0" borderId="31" xfId="0" applyBorder="1" applyAlignment="1" applyProtection="1">
      <alignment wrapText="1"/>
      <protection locked="0"/>
    </xf>
    <xf numFmtId="0" fontId="0" fillId="0" borderId="26" xfId="0" applyBorder="1" applyAlignment="1" applyProtection="1">
      <alignment wrapText="1"/>
      <protection locked="0"/>
    </xf>
    <xf numFmtId="0" fontId="0" fillId="0" borderId="0" xfId="0" applyBorder="1" applyAlignment="1" applyProtection="1">
      <alignment wrapText="1"/>
      <protection locked="0"/>
    </xf>
    <xf numFmtId="0" fontId="0" fillId="0" borderId="27" xfId="0" applyBorder="1" applyAlignment="1" applyProtection="1">
      <alignment wrapText="1"/>
      <protection locked="0"/>
    </xf>
    <xf numFmtId="0" fontId="7" fillId="0" borderId="14" xfId="0" applyFont="1" applyBorder="1" applyAlignment="1">
      <alignment/>
    </xf>
    <xf numFmtId="0" fontId="7" fillId="3" borderId="31" xfId="0" applyFont="1" applyFill="1" applyBorder="1" applyAlignment="1" applyProtection="1">
      <alignment horizontal="left"/>
      <protection locked="0"/>
    </xf>
    <xf numFmtId="0" fontId="0" fillId="3" borderId="14" xfId="0" applyFill="1" applyBorder="1" applyAlignment="1" applyProtection="1">
      <alignment/>
      <protection locked="0"/>
    </xf>
    <xf numFmtId="0" fontId="0" fillId="3" borderId="29" xfId="0" applyFill="1" applyBorder="1" applyAlignment="1" applyProtection="1">
      <alignment/>
      <protection locked="0"/>
    </xf>
    <xf numFmtId="0" fontId="6" fillId="0" borderId="13" xfId="0" applyFont="1" applyBorder="1" applyAlignment="1">
      <alignment horizontal="left" vertical="center"/>
    </xf>
    <xf numFmtId="0" fontId="7" fillId="0" borderId="10" xfId="0" applyFont="1" applyBorder="1" applyAlignment="1">
      <alignment vertical="center"/>
    </xf>
    <xf numFmtId="0" fontId="0" fillId="0" borderId="10" xfId="0" applyBorder="1" applyAlignment="1">
      <alignment vertical="center"/>
    </xf>
    <xf numFmtId="180" fontId="6" fillId="3" borderId="66" xfId="0" applyNumberFormat="1" applyFont="1" applyFill="1" applyBorder="1" applyAlignment="1" applyProtection="1">
      <alignment horizontal="center" vertical="center"/>
      <protection locked="0"/>
    </xf>
    <xf numFmtId="0" fontId="6" fillId="3" borderId="70" xfId="0" applyFont="1" applyFill="1" applyBorder="1" applyAlignment="1" applyProtection="1">
      <alignment horizontal="center" vertical="center"/>
      <protection locked="0"/>
    </xf>
    <xf numFmtId="0" fontId="23" fillId="0" borderId="12" xfId="0" applyFont="1" applyBorder="1" applyAlignment="1">
      <alignment horizontal="left" vertical="top" wrapText="1"/>
    </xf>
    <xf numFmtId="0" fontId="23" fillId="0" borderId="0" xfId="0" applyFont="1" applyBorder="1" applyAlignment="1">
      <alignment/>
    </xf>
    <xf numFmtId="0" fontId="6" fillId="0" borderId="13"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0" borderId="35" xfId="0" applyFont="1" applyBorder="1" applyAlignment="1" applyProtection="1">
      <alignment horizontal="center" vertical="top" wrapText="1"/>
      <protection locked="0"/>
    </xf>
    <xf numFmtId="0" fontId="23" fillId="32" borderId="54" xfId="0" applyFont="1" applyFill="1" applyBorder="1" applyAlignment="1" applyProtection="1">
      <alignment vertical="top" wrapText="1"/>
      <protection locked="0"/>
    </xf>
    <xf numFmtId="0" fontId="23" fillId="32" borderId="71" xfId="0" applyFont="1" applyFill="1" applyBorder="1" applyAlignment="1" applyProtection="1">
      <alignment vertical="top" wrapText="1"/>
      <protection locked="0"/>
    </xf>
    <xf numFmtId="0" fontId="23" fillId="32" borderId="72" xfId="0" applyFont="1" applyFill="1" applyBorder="1" applyAlignment="1" applyProtection="1">
      <alignment vertical="top" wrapText="1"/>
      <protection locked="0"/>
    </xf>
    <xf numFmtId="0" fontId="23" fillId="32" borderId="46" xfId="0" applyFont="1" applyFill="1" applyBorder="1" applyAlignment="1" applyProtection="1">
      <alignment vertical="top" wrapText="1"/>
      <protection locked="0"/>
    </xf>
    <xf numFmtId="0" fontId="23" fillId="32" borderId="0" xfId="0" applyFont="1" applyFill="1" applyBorder="1" applyAlignment="1" applyProtection="1">
      <alignment vertical="top" wrapText="1"/>
      <protection locked="0"/>
    </xf>
    <xf numFmtId="0" fontId="23" fillId="32" borderId="30" xfId="0" applyFont="1" applyFill="1" applyBorder="1" applyAlignment="1" applyProtection="1">
      <alignment vertical="top" wrapText="1"/>
      <protection locked="0"/>
    </xf>
    <xf numFmtId="0" fontId="23" fillId="32" borderId="53" xfId="0" applyFont="1" applyFill="1" applyBorder="1" applyAlignment="1" applyProtection="1">
      <alignment vertical="top" wrapText="1"/>
      <protection locked="0"/>
    </xf>
    <xf numFmtId="0" fontId="23" fillId="32" borderId="49" xfId="0" applyFont="1" applyFill="1" applyBorder="1" applyAlignment="1" applyProtection="1">
      <alignment vertical="top" wrapText="1"/>
      <protection locked="0"/>
    </xf>
    <xf numFmtId="0" fontId="23" fillId="32" borderId="73" xfId="0" applyFont="1" applyFill="1" applyBorder="1" applyAlignment="1" applyProtection="1">
      <alignment vertical="top" wrapText="1"/>
      <protection locked="0"/>
    </xf>
    <xf numFmtId="0" fontId="107" fillId="0" borderId="13" xfId="0" applyFont="1" applyBorder="1" applyAlignment="1">
      <alignment horizontal="right" vertical="center" wrapText="1"/>
    </xf>
    <xf numFmtId="0" fontId="107" fillId="0" borderId="35" xfId="0" applyFont="1" applyBorder="1" applyAlignment="1">
      <alignment horizontal="right" vertical="center" wrapText="1"/>
    </xf>
    <xf numFmtId="0" fontId="0" fillId="0" borderId="12" xfId="0" applyFont="1" applyBorder="1" applyAlignment="1">
      <alignment horizontal="left" vertical="top" wrapText="1"/>
    </xf>
    <xf numFmtId="0" fontId="0" fillId="0" borderId="0" xfId="0" applyFont="1" applyBorder="1" applyAlignment="1">
      <alignment/>
    </xf>
    <xf numFmtId="0" fontId="107" fillId="0" borderId="13" xfId="0" applyFont="1" applyBorder="1" applyAlignment="1">
      <alignment horizontal="center" vertical="center" wrapText="1"/>
    </xf>
    <xf numFmtId="0" fontId="106" fillId="0" borderId="10" xfId="0" applyFont="1" applyBorder="1" applyAlignment="1">
      <alignment/>
    </xf>
    <xf numFmtId="0" fontId="106" fillId="0" borderId="31" xfId="0" applyFont="1" applyBorder="1" applyAlignment="1">
      <alignment/>
    </xf>
    <xf numFmtId="0" fontId="106" fillId="0" borderId="26" xfId="0" applyFont="1" applyBorder="1" applyAlignment="1">
      <alignment/>
    </xf>
    <xf numFmtId="0" fontId="122" fillId="35" borderId="74" xfId="0" applyFont="1" applyFill="1" applyBorder="1" applyAlignment="1" applyProtection="1">
      <alignment horizontal="center" vertical="center" wrapText="1"/>
      <protection locked="0"/>
    </xf>
    <xf numFmtId="0" fontId="122" fillId="35" borderId="38" xfId="0" applyFont="1" applyFill="1" applyBorder="1" applyAlignment="1" applyProtection="1">
      <alignment vertical="center"/>
      <protection locked="0"/>
    </xf>
    <xf numFmtId="0" fontId="106" fillId="0" borderId="10" xfId="0" applyFont="1" applyBorder="1" applyAlignment="1">
      <alignment horizontal="left" vertical="center" wrapText="1"/>
    </xf>
    <xf numFmtId="0" fontId="106" fillId="0" borderId="0" xfId="0" applyFont="1" applyBorder="1" applyAlignment="1">
      <alignment/>
    </xf>
    <xf numFmtId="0" fontId="123" fillId="0" borderId="31" xfId="53" applyFont="1" applyBorder="1" applyAlignment="1" applyProtection="1">
      <alignment horizontal="center" vertical="center"/>
      <protection locked="0"/>
    </xf>
    <xf numFmtId="0" fontId="123" fillId="0" borderId="26" xfId="53" applyFont="1" applyBorder="1" applyAlignment="1" applyProtection="1">
      <alignment horizontal="center" vertical="center"/>
      <protection locked="0"/>
    </xf>
    <xf numFmtId="0" fontId="123" fillId="0" borderId="27" xfId="53" applyFont="1" applyBorder="1" applyAlignment="1" applyProtection="1">
      <alignment horizontal="center" vertical="center"/>
      <protection locked="0"/>
    </xf>
    <xf numFmtId="0" fontId="122" fillId="35" borderId="75" xfId="0" applyFont="1" applyFill="1" applyBorder="1" applyAlignment="1" applyProtection="1">
      <alignment horizontal="center" vertical="center"/>
      <protection locked="0"/>
    </xf>
    <xf numFmtId="0" fontId="107" fillId="36" borderId="15" xfId="0" applyFont="1" applyFill="1" applyBorder="1" applyAlignment="1" applyProtection="1">
      <alignment horizontal="left" vertical="center"/>
      <protection/>
    </xf>
    <xf numFmtId="0" fontId="107" fillId="36" borderId="14" xfId="0" applyFont="1" applyFill="1" applyBorder="1" applyAlignment="1" applyProtection="1">
      <alignment horizontal="left" vertical="center"/>
      <protection/>
    </xf>
    <xf numFmtId="0" fontId="107" fillId="36" borderId="29" xfId="0" applyFont="1" applyFill="1" applyBorder="1" applyAlignment="1" applyProtection="1">
      <alignment horizontal="left" vertical="center"/>
      <protection/>
    </xf>
    <xf numFmtId="0" fontId="4" fillId="0" borderId="10" xfId="0" applyFont="1" applyBorder="1" applyAlignment="1">
      <alignment horizontal="center" vertical="center"/>
    </xf>
    <xf numFmtId="0" fontId="22" fillId="0" borderId="10" xfId="0" applyFont="1" applyBorder="1" applyAlignment="1">
      <alignment horizontal="center"/>
    </xf>
    <xf numFmtId="0" fontId="0" fillId="0" borderId="69" xfId="0" applyFont="1" applyBorder="1" applyAlignment="1">
      <alignment horizontal="center" wrapText="1"/>
    </xf>
    <xf numFmtId="0" fontId="0" fillId="0" borderId="14" xfId="0" applyFont="1" applyBorder="1" applyAlignment="1">
      <alignment horizontal="center" wrapText="1"/>
    </xf>
    <xf numFmtId="0" fontId="22" fillId="35" borderId="66" xfId="0" applyFont="1" applyFill="1" applyBorder="1" applyAlignment="1" applyProtection="1">
      <alignment horizontal="center"/>
      <protection locked="0"/>
    </xf>
    <xf numFmtId="0" fontId="0" fillId="35" borderId="70" xfId="0" applyFill="1" applyBorder="1" applyAlignment="1" applyProtection="1">
      <alignment horizontal="center"/>
      <protection locked="0"/>
    </xf>
    <xf numFmtId="0" fontId="6" fillId="0" borderId="12" xfId="0" applyFont="1" applyBorder="1" applyAlignment="1">
      <alignment horizontal="left" vertical="center"/>
    </xf>
    <xf numFmtId="0" fontId="0" fillId="0" borderId="30" xfId="0" applyBorder="1" applyAlignment="1">
      <alignment/>
    </xf>
    <xf numFmtId="49" fontId="0" fillId="32" borderId="66" xfId="0" applyNumberFormat="1" applyFont="1" applyFill="1" applyBorder="1" applyAlignment="1" applyProtection="1" quotePrefix="1">
      <alignment/>
      <protection locked="0"/>
    </xf>
    <xf numFmtId="49" fontId="0" fillId="0" borderId="67" xfId="0" applyNumberFormat="1" applyBorder="1" applyAlignment="1" applyProtection="1">
      <alignment/>
      <protection locked="0"/>
    </xf>
    <xf numFmtId="49" fontId="0" fillId="0" borderId="68" xfId="0" applyNumberFormat="1" applyBorder="1" applyAlignment="1" applyProtection="1">
      <alignment/>
      <protection locked="0"/>
    </xf>
    <xf numFmtId="0" fontId="6" fillId="36" borderId="14" xfId="0" applyFont="1" applyFill="1" applyBorder="1" applyAlignment="1" applyProtection="1">
      <alignment horizontal="center" vertical="center"/>
      <protection/>
    </xf>
    <xf numFmtId="0" fontId="6" fillId="36" borderId="29" xfId="0" applyFont="1" applyFill="1" applyBorder="1" applyAlignment="1" applyProtection="1">
      <alignment horizontal="center" vertical="center"/>
      <protection/>
    </xf>
    <xf numFmtId="0" fontId="6" fillId="0" borderId="15" xfId="0" applyFont="1" applyBorder="1" applyAlignment="1">
      <alignment vertical="top" wrapText="1"/>
    </xf>
    <xf numFmtId="0" fontId="7" fillId="0" borderId="14" xfId="0" applyFont="1" applyBorder="1" applyAlignment="1">
      <alignment/>
    </xf>
    <xf numFmtId="0" fontId="7" fillId="0" borderId="29" xfId="0" applyFont="1" applyBorder="1" applyAlignment="1">
      <alignment/>
    </xf>
    <xf numFmtId="0" fontId="0" fillId="35" borderId="15" xfId="0" applyFont="1" applyFill="1" applyBorder="1" applyAlignment="1" applyProtection="1">
      <alignment horizontal="left" vertical="top" wrapText="1" shrinkToFit="1"/>
      <protection locked="0"/>
    </xf>
    <xf numFmtId="0" fontId="0" fillId="0" borderId="14" xfId="0" applyFont="1" applyBorder="1" applyAlignment="1" applyProtection="1">
      <alignment horizontal="left" vertical="top" wrapText="1" shrinkToFit="1"/>
      <protection locked="0"/>
    </xf>
    <xf numFmtId="0" fontId="0" fillId="0" borderId="29" xfId="0" applyFont="1" applyBorder="1" applyAlignment="1" applyProtection="1">
      <alignment horizontal="left" vertical="top" wrapText="1" shrinkToFit="1"/>
      <protection locked="0"/>
    </xf>
    <xf numFmtId="0" fontId="0" fillId="35" borderId="76" xfId="0" applyFont="1" applyFill="1" applyBorder="1" applyAlignment="1" applyProtection="1">
      <alignment shrinkToFit="1"/>
      <protection locked="0"/>
    </xf>
    <xf numFmtId="0" fontId="0" fillId="35" borderId="60" xfId="0" applyFill="1" applyBorder="1" applyAlignment="1" applyProtection="1">
      <alignment shrinkToFit="1"/>
      <protection locked="0"/>
    </xf>
    <xf numFmtId="0" fontId="7" fillId="3" borderId="15" xfId="0" applyFont="1" applyFill="1" applyBorder="1" applyAlignment="1" applyProtection="1">
      <alignment horizontal="center" vertical="top"/>
      <protection locked="0"/>
    </xf>
    <xf numFmtId="0" fontId="7" fillId="3" borderId="14" xfId="0" applyFont="1" applyFill="1" applyBorder="1" applyAlignment="1" applyProtection="1">
      <alignment/>
      <protection locked="0"/>
    </xf>
    <xf numFmtId="0" fontId="24" fillId="0" borderId="77" xfId="0" applyFont="1" applyBorder="1" applyAlignment="1">
      <alignment horizontal="center"/>
    </xf>
    <xf numFmtId="0" fontId="24" fillId="0" borderId="26" xfId="0" applyFont="1" applyBorder="1" applyAlignment="1">
      <alignment horizontal="center"/>
    </xf>
    <xf numFmtId="0" fontId="5" fillId="0" borderId="15" xfId="0" applyFont="1" applyBorder="1" applyAlignment="1">
      <alignment horizontal="left" vertical="center" wrapText="1"/>
    </xf>
    <xf numFmtId="0" fontId="0" fillId="0" borderId="14" xfId="0" applyBorder="1" applyAlignment="1">
      <alignment horizontal="left" vertical="center"/>
    </xf>
    <xf numFmtId="0" fontId="0" fillId="0" borderId="26" xfId="0" applyBorder="1" applyAlignment="1">
      <alignment horizontal="left" vertical="center"/>
    </xf>
    <xf numFmtId="0" fontId="0" fillId="0" borderId="29" xfId="0" applyBorder="1" applyAlignment="1">
      <alignment horizontal="left" vertical="center"/>
    </xf>
    <xf numFmtId="0" fontId="6" fillId="0" borderId="15" xfId="0" applyFont="1" applyBorder="1" applyAlignment="1">
      <alignment horizontal="right" vertical="center"/>
    </xf>
    <xf numFmtId="0" fontId="0" fillId="0" borderId="14" xfId="0" applyBorder="1" applyAlignment="1">
      <alignment horizontal="right" vertical="center"/>
    </xf>
    <xf numFmtId="0" fontId="0" fillId="0" borderId="29" xfId="0" applyBorder="1" applyAlignment="1">
      <alignment horizontal="right" vertical="center"/>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15" xfId="0" applyFont="1" applyBorder="1" applyAlignment="1">
      <alignment horizontal="left" vertical="center" wrapText="1"/>
    </xf>
    <xf numFmtId="0" fontId="7" fillId="0" borderId="14" xfId="0" applyFont="1" applyBorder="1" applyAlignment="1">
      <alignment vertical="center"/>
    </xf>
    <xf numFmtId="0" fontId="0" fillId="0" borderId="14" xfId="0" applyBorder="1" applyAlignment="1">
      <alignment vertical="center"/>
    </xf>
    <xf numFmtId="0" fontId="6" fillId="0" borderId="31" xfId="0" applyFont="1" applyBorder="1" applyAlignment="1">
      <alignment horizontal="right"/>
    </xf>
    <xf numFmtId="0" fontId="6" fillId="0" borderId="26" xfId="0" applyFont="1" applyBorder="1" applyAlignment="1">
      <alignment horizontal="right"/>
    </xf>
    <xf numFmtId="0" fontId="6" fillId="0" borderId="27" xfId="0" applyFont="1" applyBorder="1" applyAlignment="1">
      <alignment horizontal="right"/>
    </xf>
    <xf numFmtId="0" fontId="6" fillId="0" borderId="15" xfId="0" applyFont="1" applyBorder="1" applyAlignment="1">
      <alignment horizontal="right" vertical="center" wrapText="1"/>
    </xf>
    <xf numFmtId="0" fontId="7" fillId="0" borderId="14" xfId="0" applyFont="1" applyBorder="1" applyAlignment="1">
      <alignment horizontal="right" vertical="center"/>
    </xf>
    <xf numFmtId="0" fontId="7" fillId="0" borderId="29" xfId="0" applyFont="1" applyBorder="1" applyAlignment="1">
      <alignment horizontal="right" vertical="center"/>
    </xf>
    <xf numFmtId="0" fontId="7" fillId="3" borderId="15" xfId="0" applyFont="1" applyFill="1" applyBorder="1" applyAlignment="1" applyProtection="1">
      <alignment horizontal="center" vertical="top" shrinkToFit="1"/>
      <protection locked="0"/>
    </xf>
    <xf numFmtId="0" fontId="7" fillId="3" borderId="14" xfId="0" applyFont="1" applyFill="1" applyBorder="1" applyAlignment="1" applyProtection="1">
      <alignment shrinkToFit="1"/>
      <protection locked="0"/>
    </xf>
    <xf numFmtId="0" fontId="6" fillId="34" borderId="78" xfId="0" applyFont="1" applyFill="1" applyBorder="1" applyAlignment="1" applyProtection="1">
      <alignment horizontal="right" vertical="center"/>
      <protection/>
    </xf>
    <xf numFmtId="0" fontId="7" fillId="36" borderId="0" xfId="0" applyFont="1" applyFill="1" applyBorder="1" applyAlignment="1" applyProtection="1">
      <alignment/>
      <protection/>
    </xf>
    <xf numFmtId="0" fontId="7" fillId="34" borderId="61" xfId="0" applyFont="1" applyFill="1" applyBorder="1" applyAlignment="1" applyProtection="1">
      <alignment/>
      <protection/>
    </xf>
    <xf numFmtId="0" fontId="13" fillId="0" borderId="15" xfId="0" applyFont="1" applyBorder="1" applyAlignment="1">
      <alignment vertical="top" wrapText="1"/>
    </xf>
    <xf numFmtId="0" fontId="0" fillId="0" borderId="14" xfId="0" applyFont="1" applyBorder="1" applyAlignment="1">
      <alignment/>
    </xf>
    <xf numFmtId="0" fontId="0" fillId="0" borderId="29" xfId="0" applyFont="1" applyBorder="1" applyAlignment="1">
      <alignment/>
    </xf>
    <xf numFmtId="0" fontId="6" fillId="0" borderId="15" xfId="0" applyFont="1" applyBorder="1" applyAlignment="1" applyProtection="1">
      <alignment horizontal="right" vertical="top"/>
      <protection/>
    </xf>
    <xf numFmtId="0" fontId="7" fillId="0" borderId="14" xfId="0" applyFont="1" applyBorder="1" applyAlignment="1" applyProtection="1">
      <alignment horizontal="right"/>
      <protection/>
    </xf>
    <xf numFmtId="0" fontId="0" fillId="3" borderId="14" xfId="0" applyFont="1" applyFill="1" applyBorder="1" applyAlignment="1" applyProtection="1">
      <alignment horizontal="left" vertical="center"/>
      <protection locked="0"/>
    </xf>
    <xf numFmtId="0" fontId="0" fillId="3" borderId="29" xfId="0" applyFont="1" applyFill="1" applyBorder="1" applyAlignment="1" applyProtection="1">
      <alignment horizontal="left" vertical="center"/>
      <protection locked="0"/>
    </xf>
    <xf numFmtId="0" fontId="0" fillId="0" borderId="61" xfId="0" applyBorder="1" applyAlignment="1">
      <alignment/>
    </xf>
    <xf numFmtId="0" fontId="49" fillId="0" borderId="15" xfId="0" applyFont="1" applyBorder="1" applyAlignment="1">
      <alignment vertical="center"/>
    </xf>
    <xf numFmtId="0" fontId="23" fillId="0" borderId="14" xfId="0" applyFont="1" applyBorder="1" applyAlignment="1">
      <alignment vertical="center"/>
    </xf>
    <xf numFmtId="0" fontId="23" fillId="35" borderId="26" xfId="0" applyFont="1" applyFill="1"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49" fontId="7" fillId="35" borderId="0" xfId="0" applyNumberFormat="1" applyFont="1" applyFill="1" applyBorder="1" applyAlignment="1" applyProtection="1">
      <alignment vertical="center"/>
      <protection locked="0"/>
    </xf>
    <xf numFmtId="49" fontId="0" fillId="35" borderId="0" xfId="0" applyNumberFormat="1" applyFill="1" applyBorder="1" applyAlignment="1" applyProtection="1">
      <alignment vertical="center"/>
      <protection locked="0"/>
    </xf>
    <xf numFmtId="49" fontId="0" fillId="35" borderId="30" xfId="0" applyNumberFormat="1" applyFill="1" applyBorder="1" applyAlignment="1" applyProtection="1">
      <alignment vertical="center"/>
      <protection locked="0"/>
    </xf>
    <xf numFmtId="0" fontId="6" fillId="0" borderId="0" xfId="0" applyFont="1" applyBorder="1" applyAlignment="1">
      <alignment horizontal="left" vertical="top" wrapText="1"/>
    </xf>
    <xf numFmtId="0" fontId="24" fillId="0" borderId="12" xfId="0" applyFont="1" applyBorder="1" applyAlignment="1">
      <alignment horizontal="left" wrapText="1"/>
    </xf>
    <xf numFmtId="0" fontId="23" fillId="0" borderId="0" xfId="0" applyFont="1" applyBorder="1" applyAlignment="1">
      <alignment horizontal="left"/>
    </xf>
    <xf numFmtId="0" fontId="6" fillId="32" borderId="15" xfId="0" applyFont="1" applyFill="1" applyBorder="1" applyAlignment="1" applyProtection="1">
      <alignment horizontal="left" vertical="top" wrapText="1"/>
      <protection locked="0"/>
    </xf>
    <xf numFmtId="0" fontId="0" fillId="32" borderId="14" xfId="0" applyFill="1" applyBorder="1" applyAlignment="1" applyProtection="1">
      <alignment horizontal="left" vertical="top" wrapText="1"/>
      <protection locked="0"/>
    </xf>
    <xf numFmtId="0" fontId="0" fillId="32" borderId="29" xfId="0" applyFill="1" applyBorder="1" applyAlignment="1" applyProtection="1">
      <alignment horizontal="left" vertical="top" wrapText="1"/>
      <protection locked="0"/>
    </xf>
    <xf numFmtId="0" fontId="124" fillId="0" borderId="15" xfId="0" applyFont="1" applyBorder="1" applyAlignment="1">
      <alignment horizontal="left" vertical="center" wrapText="1"/>
    </xf>
    <xf numFmtId="0" fontId="125" fillId="0" borderId="14" xfId="0" applyFont="1" applyBorder="1" applyAlignment="1">
      <alignment horizontal="left" vertical="center"/>
    </xf>
    <xf numFmtId="0" fontId="125" fillId="0" borderId="10" xfId="0" applyFont="1" applyBorder="1" applyAlignment="1">
      <alignment horizontal="left" vertical="center"/>
    </xf>
    <xf numFmtId="0" fontId="125" fillId="0" borderId="29" xfId="0" applyFont="1" applyBorder="1" applyAlignment="1">
      <alignment horizontal="left" vertical="center"/>
    </xf>
    <xf numFmtId="0" fontId="13" fillId="0" borderId="15" xfId="0" applyFont="1" applyBorder="1" applyAlignment="1">
      <alignment horizontal="left" vertical="center" wrapText="1"/>
    </xf>
    <xf numFmtId="0" fontId="0" fillId="0" borderId="14" xfId="0" applyFont="1" applyBorder="1" applyAlignment="1">
      <alignment horizontal="left" vertical="center"/>
    </xf>
    <xf numFmtId="0" fontId="6" fillId="0" borderId="13" xfId="0" applyFont="1" applyBorder="1" applyAlignment="1">
      <alignment horizontal="right" vertical="center" wrapText="1"/>
    </xf>
    <xf numFmtId="0" fontId="0" fillId="0" borderId="10" xfId="0" applyBorder="1" applyAlignment="1">
      <alignment horizontal="right" vertical="center"/>
    </xf>
    <xf numFmtId="0" fontId="0" fillId="0" borderId="35" xfId="0" applyBorder="1" applyAlignment="1">
      <alignment horizontal="right" vertical="center"/>
    </xf>
    <xf numFmtId="0" fontId="0" fillId="0" borderId="14" xfId="0" applyFont="1" applyBorder="1" applyAlignment="1">
      <alignment horizontal="left" vertical="center" wrapText="1"/>
    </xf>
    <xf numFmtId="0" fontId="0" fillId="0" borderId="29" xfId="0" applyFont="1" applyBorder="1" applyAlignment="1">
      <alignment horizontal="left" vertical="center" wrapText="1"/>
    </xf>
    <xf numFmtId="0" fontId="6" fillId="35" borderId="66" xfId="0" applyFont="1" applyFill="1" applyBorder="1" applyAlignment="1" applyProtection="1">
      <alignment vertical="center"/>
      <protection locked="0"/>
    </xf>
    <xf numFmtId="0" fontId="7" fillId="35" borderId="68" xfId="0" applyFont="1" applyFill="1" applyBorder="1" applyAlignment="1" applyProtection="1">
      <alignment vertical="center"/>
      <protection locked="0"/>
    </xf>
    <xf numFmtId="0" fontId="12" fillId="0" borderId="10" xfId="0" applyFont="1" applyBorder="1" applyAlignment="1">
      <alignment horizontal="center" wrapText="1"/>
    </xf>
    <xf numFmtId="0" fontId="12" fillId="0" borderId="35" xfId="0" applyFont="1" applyBorder="1" applyAlignment="1">
      <alignment horizontal="center" wrapText="1"/>
    </xf>
    <xf numFmtId="0" fontId="12" fillId="0" borderId="12" xfId="0" applyFont="1" applyBorder="1" applyAlignment="1">
      <alignment horizontal="center" wrapText="1"/>
    </xf>
    <xf numFmtId="0" fontId="12" fillId="0" borderId="0" xfId="0" applyFont="1" applyBorder="1" applyAlignment="1">
      <alignment horizontal="center" wrapText="1"/>
    </xf>
    <xf numFmtId="0" fontId="12" fillId="0" borderId="30" xfId="0" applyFont="1" applyBorder="1" applyAlignment="1">
      <alignment horizontal="center" wrapText="1"/>
    </xf>
    <xf numFmtId="0" fontId="12" fillId="0" borderId="31" xfId="0" applyFont="1" applyBorder="1" applyAlignment="1">
      <alignment horizontal="center" wrapText="1"/>
    </xf>
    <xf numFmtId="0" fontId="12" fillId="0" borderId="26" xfId="0" applyFont="1" applyBorder="1" applyAlignment="1">
      <alignment horizontal="center" wrapText="1"/>
    </xf>
    <xf numFmtId="0" fontId="12" fillId="0" borderId="27" xfId="0" applyFont="1" applyBorder="1" applyAlignment="1">
      <alignment horizontal="center" wrapText="1"/>
    </xf>
    <xf numFmtId="0" fontId="6" fillId="0" borderId="15" xfId="0" applyFont="1" applyBorder="1" applyAlignment="1">
      <alignment horizontal="left" vertical="top" wrapText="1"/>
    </xf>
    <xf numFmtId="0" fontId="7" fillId="0" borderId="14" xfId="0" applyFont="1" applyBorder="1" applyAlignment="1">
      <alignment horizontal="left"/>
    </xf>
    <xf numFmtId="0" fontId="0" fillId="0" borderId="14" xfId="0" applyBorder="1" applyAlignment="1">
      <alignment horizontal="left"/>
    </xf>
    <xf numFmtId="0" fontId="6" fillId="0" borderId="12" xfId="0" applyFont="1" applyBorder="1" applyAlignment="1">
      <alignment horizontal="left" wrapText="1"/>
    </xf>
    <xf numFmtId="0" fontId="5" fillId="0" borderId="15" xfId="0" applyFont="1" applyBorder="1" applyAlignment="1">
      <alignment horizontal="left" vertical="center" wrapText="1"/>
    </xf>
    <xf numFmtId="0" fontId="0" fillId="0" borderId="0" xfId="0" applyBorder="1" applyAlignment="1">
      <alignment horizontal="left" vertical="center"/>
    </xf>
    <xf numFmtId="0" fontId="126" fillId="0" borderId="15" xfId="53" applyFont="1" applyBorder="1" applyAlignment="1" applyProtection="1">
      <alignment horizontal="left" vertical="center"/>
      <protection locked="0"/>
    </xf>
    <xf numFmtId="0" fontId="0" fillId="35" borderId="0" xfId="0" applyFont="1" applyFill="1"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0" xfId="0" applyBorder="1" applyAlignment="1">
      <alignment horizontal="left" vertical="top" wrapText="1"/>
    </xf>
    <xf numFmtId="0" fontId="0" fillId="0" borderId="31" xfId="0" applyBorder="1" applyAlignment="1">
      <alignment horizontal="left" vertical="top" wrapText="1"/>
    </xf>
    <xf numFmtId="0" fontId="0" fillId="0" borderId="26" xfId="0" applyBorder="1" applyAlignment="1">
      <alignment horizontal="left" vertical="top" wrapText="1"/>
    </xf>
    <xf numFmtId="0" fontId="14" fillId="0" borderId="13" xfId="0" applyFont="1" applyBorder="1" applyAlignment="1">
      <alignment horizontal="center" vertical="center" wrapText="1"/>
    </xf>
    <xf numFmtId="0" fontId="15" fillId="0" borderId="10" xfId="0" applyFont="1" applyBorder="1" applyAlignment="1">
      <alignment/>
    </xf>
    <xf numFmtId="0" fontId="15" fillId="0" borderId="35" xfId="0" applyFont="1" applyBorder="1" applyAlignment="1">
      <alignment/>
    </xf>
    <xf numFmtId="0" fontId="15" fillId="0" borderId="12" xfId="0" applyFont="1" applyBorder="1" applyAlignment="1">
      <alignment/>
    </xf>
    <xf numFmtId="0" fontId="15" fillId="0" borderId="0" xfId="0" applyFont="1" applyBorder="1" applyAlignment="1">
      <alignment/>
    </xf>
    <xf numFmtId="0" fontId="15" fillId="0" borderId="30" xfId="0" applyFont="1" applyBorder="1" applyAlignment="1">
      <alignment/>
    </xf>
    <xf numFmtId="0" fontId="6" fillId="0" borderId="15" xfId="0" applyFont="1" applyBorder="1" applyAlignment="1">
      <alignment wrapText="1"/>
    </xf>
    <xf numFmtId="14" fontId="7" fillId="3" borderId="15" xfId="0" applyNumberFormat="1" applyFont="1" applyFill="1" applyBorder="1" applyAlignment="1" applyProtection="1">
      <alignment horizontal="center" vertical="center" wrapText="1"/>
      <protection locked="0"/>
    </xf>
    <xf numFmtId="0" fontId="7" fillId="3" borderId="14" xfId="0" applyFont="1" applyFill="1" applyBorder="1" applyAlignment="1" applyProtection="1">
      <alignment/>
      <protection locked="0"/>
    </xf>
    <xf numFmtId="0" fontId="7" fillId="3" borderId="29" xfId="0" applyFont="1" applyFill="1" applyBorder="1" applyAlignment="1" applyProtection="1">
      <alignment/>
      <protection locked="0"/>
    </xf>
    <xf numFmtId="0" fontId="6" fillId="0" borderId="10" xfId="0" applyFont="1" applyBorder="1" applyAlignment="1">
      <alignment horizontal="left" vertical="top" wrapText="1"/>
    </xf>
    <xf numFmtId="0" fontId="0" fillId="0" borderId="10" xfId="0" applyBorder="1" applyAlignment="1">
      <alignment wrapText="1"/>
    </xf>
    <xf numFmtId="0" fontId="4" fillId="0" borderId="14" xfId="0" applyFont="1" applyBorder="1" applyAlignment="1">
      <alignment horizontal="right"/>
    </xf>
    <xf numFmtId="0" fontId="13" fillId="0" borderId="29" xfId="0" applyFont="1" applyBorder="1" applyAlignment="1">
      <alignment horizontal="right"/>
    </xf>
    <xf numFmtId="0" fontId="11"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32" borderId="15" xfId="0" applyFont="1" applyFill="1" applyBorder="1" applyAlignment="1" applyProtection="1">
      <alignment/>
      <protection locked="0"/>
    </xf>
    <xf numFmtId="0" fontId="7" fillId="35" borderId="66" xfId="0" applyFont="1" applyFill="1" applyBorder="1" applyAlignment="1" applyProtection="1">
      <alignment vertical="center" wrapText="1"/>
      <protection locked="0"/>
    </xf>
    <xf numFmtId="0" fontId="0" fillId="35" borderId="68" xfId="0" applyFill="1" applyBorder="1" applyAlignment="1" applyProtection="1">
      <alignment vertical="center"/>
      <protection locked="0"/>
    </xf>
    <xf numFmtId="0" fontId="7" fillId="35" borderId="29" xfId="0" applyFont="1" applyFill="1" applyBorder="1" applyAlignment="1" applyProtection="1">
      <alignment horizontal="center"/>
      <protection locked="0"/>
    </xf>
    <xf numFmtId="49" fontId="7" fillId="35" borderId="0" xfId="0" applyNumberFormat="1" applyFont="1" applyFill="1" applyBorder="1" applyAlignment="1" applyProtection="1">
      <alignment horizontal="left" vertical="top" wrapText="1"/>
      <protection locked="0"/>
    </xf>
    <xf numFmtId="49" fontId="0" fillId="35" borderId="30" xfId="0" applyNumberFormat="1" applyFill="1" applyBorder="1" applyAlignment="1" applyProtection="1">
      <alignment/>
      <protection locked="0"/>
    </xf>
    <xf numFmtId="172" fontId="7" fillId="35" borderId="15" xfId="0" applyNumberFormat="1" applyFont="1" applyFill="1" applyBorder="1" applyAlignment="1" applyProtection="1">
      <alignment horizontal="center" vertical="center" wrapText="1"/>
      <protection locked="0"/>
    </xf>
    <xf numFmtId="172" fontId="7" fillId="35" borderId="14" xfId="0" applyNumberFormat="1" applyFont="1" applyFill="1" applyBorder="1" applyAlignment="1" applyProtection="1">
      <alignment/>
      <protection locked="0"/>
    </xf>
    <xf numFmtId="172" fontId="7" fillId="35" borderId="29" xfId="0" applyNumberFormat="1" applyFont="1" applyFill="1" applyBorder="1" applyAlignment="1" applyProtection="1">
      <alignment/>
      <protection locked="0"/>
    </xf>
    <xf numFmtId="0" fontId="13" fillId="0" borderId="31" xfId="0" applyFont="1" applyBorder="1" applyAlignment="1">
      <alignment horizontal="left" vertical="center" wrapText="1"/>
    </xf>
    <xf numFmtId="0" fontId="0" fillId="0" borderId="26" xfId="0" applyFont="1" applyBorder="1" applyAlignment="1">
      <alignment horizontal="left" vertical="center"/>
    </xf>
    <xf numFmtId="0" fontId="7" fillId="35" borderId="0" xfId="0" applyFont="1" applyFill="1" applyBorder="1" applyAlignment="1" applyProtection="1">
      <alignment horizontal="left" vertical="top" wrapText="1" shrinkToFit="1"/>
      <protection locked="0"/>
    </xf>
    <xf numFmtId="0" fontId="7" fillId="35" borderId="0" xfId="0" applyFont="1" applyFill="1" applyBorder="1" applyAlignment="1" applyProtection="1">
      <alignment horizontal="left" vertical="top" shrinkToFit="1"/>
      <protection locked="0"/>
    </xf>
    <xf numFmtId="0" fontId="0" fillId="0" borderId="10" xfId="0" applyBorder="1" applyAlignment="1">
      <alignment horizontal="left" vertical="top" wrapText="1"/>
    </xf>
    <xf numFmtId="0" fontId="0" fillId="35" borderId="26" xfId="0" applyFont="1" applyFill="1" applyBorder="1" applyAlignment="1" applyProtection="1">
      <alignment horizontal="left" vertical="top"/>
      <protection locked="0"/>
    </xf>
    <xf numFmtId="0" fontId="5" fillId="0" borderId="15" xfId="0" applyFont="1" applyBorder="1" applyAlignment="1">
      <alignment horizontal="left" wrapText="1"/>
    </xf>
    <xf numFmtId="0" fontId="6" fillId="0" borderId="14" xfId="0" applyFont="1" applyBorder="1" applyAlignment="1">
      <alignment/>
    </xf>
    <xf numFmtId="0" fontId="6" fillId="0" borderId="29" xfId="0" applyFont="1" applyBorder="1" applyAlignment="1">
      <alignment/>
    </xf>
    <xf numFmtId="0" fontId="6" fillId="0" borderId="14" xfId="0" applyFont="1" applyBorder="1" applyAlignment="1">
      <alignment horizontal="right" wrapText="1"/>
    </xf>
    <xf numFmtId="0" fontId="13" fillId="0" borderId="10" xfId="0" applyFont="1" applyBorder="1" applyAlignment="1">
      <alignment horizontal="left" vertical="center"/>
    </xf>
    <xf numFmtId="0" fontId="13" fillId="0" borderId="64" xfId="0" applyFont="1" applyBorder="1" applyAlignment="1">
      <alignment horizontal="left" vertical="center"/>
    </xf>
    <xf numFmtId="0" fontId="6" fillId="0" borderId="10" xfId="0" applyFont="1" applyBorder="1" applyAlignment="1">
      <alignment/>
    </xf>
    <xf numFmtId="0" fontId="23" fillId="3" borderId="15" xfId="0" applyFont="1" applyFill="1" applyBorder="1" applyAlignment="1" applyProtection="1">
      <alignment horizontal="center" vertical="center" wrapText="1" shrinkToFit="1"/>
      <protection locked="0"/>
    </xf>
    <xf numFmtId="0" fontId="23" fillId="3" borderId="14" xfId="0" applyFont="1" applyFill="1" applyBorder="1" applyAlignment="1" applyProtection="1">
      <alignment vertical="center" wrapText="1" shrinkToFit="1"/>
      <protection locked="0"/>
    </xf>
    <xf numFmtId="0" fontId="23" fillId="3" borderId="29" xfId="0" applyFont="1" applyFill="1" applyBorder="1" applyAlignment="1" applyProtection="1">
      <alignment vertical="center" wrapText="1" shrinkToFit="1"/>
      <protection locked="0"/>
    </xf>
    <xf numFmtId="14" fontId="7" fillId="3" borderId="0" xfId="0" applyNumberFormat="1"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14" fontId="23" fillId="3" borderId="10" xfId="0" applyNumberFormat="1" applyFont="1" applyFill="1" applyBorder="1" applyAlignment="1" applyProtection="1">
      <alignment horizontal="left" vertical="top" wrapText="1"/>
      <protection locked="0"/>
    </xf>
    <xf numFmtId="0" fontId="23" fillId="3" borderId="10" xfId="0" applyFont="1" applyFill="1" applyBorder="1" applyAlignment="1" applyProtection="1">
      <alignment vertical="top"/>
      <protection locked="0"/>
    </xf>
    <xf numFmtId="0" fontId="23" fillId="3" borderId="0" xfId="0" applyFont="1" applyFill="1" applyBorder="1" applyAlignment="1" applyProtection="1">
      <alignment vertical="top"/>
      <protection locked="0"/>
    </xf>
    <xf numFmtId="0" fontId="23" fillId="3" borderId="35" xfId="0" applyFont="1" applyFill="1" applyBorder="1" applyAlignment="1" applyProtection="1">
      <alignment vertical="top"/>
      <protection locked="0"/>
    </xf>
    <xf numFmtId="0" fontId="6" fillId="0" borderId="26" xfId="0" applyFont="1" applyFill="1" applyBorder="1" applyAlignment="1" applyProtection="1">
      <alignment/>
      <protection/>
    </xf>
    <xf numFmtId="0" fontId="0" fillId="0" borderId="26" xfId="0" applyFont="1" applyFill="1" applyBorder="1" applyAlignment="1" applyProtection="1">
      <alignment/>
      <protection/>
    </xf>
    <xf numFmtId="49" fontId="7" fillId="35" borderId="10" xfId="0" applyNumberFormat="1" applyFont="1" applyFill="1" applyBorder="1" applyAlignment="1" applyProtection="1">
      <alignment vertical="center"/>
      <protection locked="0"/>
    </xf>
    <xf numFmtId="49" fontId="0" fillId="35" borderId="10" xfId="0" applyNumberFormat="1" applyFill="1" applyBorder="1" applyAlignment="1" applyProtection="1">
      <alignment vertical="center"/>
      <protection locked="0"/>
    </xf>
    <xf numFmtId="49" fontId="0" fillId="35" borderId="35" xfId="0" applyNumberFormat="1" applyFill="1" applyBorder="1" applyAlignment="1" applyProtection="1">
      <alignment vertical="center"/>
      <protection locked="0"/>
    </xf>
    <xf numFmtId="14" fontId="23" fillId="3" borderId="26" xfId="0" applyNumberFormat="1" applyFont="1" applyFill="1" applyBorder="1" applyAlignment="1" applyProtection="1">
      <alignment horizontal="left" vertical="center"/>
      <protection locked="0"/>
    </xf>
    <xf numFmtId="0" fontId="0" fillId="3" borderId="26" xfId="0" applyFill="1" applyBorder="1" applyAlignment="1" applyProtection="1">
      <alignment horizontal="left" vertical="center"/>
      <protection locked="0"/>
    </xf>
    <xf numFmtId="0" fontId="7" fillId="32" borderId="13" xfId="0" applyFont="1" applyFill="1" applyBorder="1" applyAlignment="1" applyProtection="1">
      <alignment vertical="center" wrapText="1"/>
      <protection locked="0"/>
    </xf>
    <xf numFmtId="0" fontId="7" fillId="32" borderId="10" xfId="0" applyFont="1" applyFill="1" applyBorder="1" applyAlignment="1" applyProtection="1">
      <alignment vertical="center" wrapText="1"/>
      <protection locked="0"/>
    </xf>
    <xf numFmtId="0" fontId="7" fillId="32" borderId="35" xfId="0" applyFont="1" applyFill="1" applyBorder="1" applyAlignment="1" applyProtection="1">
      <alignment vertical="center" wrapText="1"/>
      <protection locked="0"/>
    </xf>
    <xf numFmtId="0" fontId="6" fillId="0" borderId="15" xfId="53"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34" borderId="15" xfId="0" applyFont="1" applyFill="1" applyBorder="1" applyAlignment="1">
      <alignment horizontal="left" wrapText="1"/>
    </xf>
    <xf numFmtId="0" fontId="7" fillId="34" borderId="14" xfId="0" applyFont="1" applyFill="1" applyBorder="1" applyAlignment="1">
      <alignment/>
    </xf>
    <xf numFmtId="0" fontId="0" fillId="34" borderId="14" xfId="0" applyFill="1" applyBorder="1" applyAlignment="1">
      <alignment/>
    </xf>
    <xf numFmtId="0" fontId="35" fillId="0" borderId="13" xfId="0" applyFont="1" applyBorder="1" applyAlignment="1">
      <alignment horizontal="left" vertical="top" wrapText="1"/>
    </xf>
    <xf numFmtId="0" fontId="3" fillId="0" borderId="10" xfId="0" applyFont="1" applyBorder="1" applyAlignment="1">
      <alignment wrapText="1"/>
    </xf>
    <xf numFmtId="0" fontId="0" fillId="32" borderId="15" xfId="0" applyFont="1" applyFill="1" applyBorder="1" applyAlignment="1" applyProtection="1">
      <alignment horizontal="left" vertical="center"/>
      <protection locked="0"/>
    </xf>
    <xf numFmtId="0" fontId="0" fillId="32" borderId="14" xfId="0" applyFill="1" applyBorder="1" applyAlignment="1" applyProtection="1">
      <alignment horizontal="left" vertical="center"/>
      <protection locked="0"/>
    </xf>
    <xf numFmtId="0" fontId="0" fillId="32" borderId="29" xfId="0" applyFill="1" applyBorder="1" applyAlignment="1" applyProtection="1">
      <alignment horizontal="left" vertical="center"/>
      <protection locked="0"/>
    </xf>
    <xf numFmtId="0" fontId="0" fillId="3" borderId="15" xfId="0" applyFont="1" applyFill="1" applyBorder="1" applyAlignment="1" applyProtection="1">
      <alignment horizontal="left" vertical="center"/>
      <protection locked="0"/>
    </xf>
    <xf numFmtId="0" fontId="7" fillId="3" borderId="15"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0" fontId="7" fillId="0" borderId="29" xfId="0" applyFont="1" applyBorder="1" applyAlignment="1">
      <alignment horizontal="left" vertical="center"/>
    </xf>
    <xf numFmtId="49" fontId="7" fillId="3" borderId="10" xfId="0" applyNumberFormat="1" applyFont="1" applyFill="1" applyBorder="1" applyAlignment="1" applyProtection="1">
      <alignment horizontal="left" vertical="top" wrapText="1"/>
      <protection locked="0"/>
    </xf>
    <xf numFmtId="49" fontId="0" fillId="3" borderId="10" xfId="0" applyNumberFormat="1" applyFill="1" applyBorder="1" applyAlignment="1" applyProtection="1">
      <alignment vertical="top" wrapText="1"/>
      <protection locked="0"/>
    </xf>
    <xf numFmtId="0" fontId="106" fillId="0" borderId="12" xfId="0" applyFont="1" applyBorder="1" applyAlignment="1">
      <alignment/>
    </xf>
    <xf numFmtId="0" fontId="107" fillId="0" borderId="13" xfId="0" applyFont="1" applyBorder="1" applyAlignment="1">
      <alignment horizontal="right" vertical="center"/>
    </xf>
    <xf numFmtId="0" fontId="108" fillId="0" borderId="35" xfId="0" applyFont="1" applyBorder="1" applyAlignment="1">
      <alignment horizontal="right" vertical="center"/>
    </xf>
    <xf numFmtId="0" fontId="108" fillId="0" borderId="12" xfId="0" applyFont="1" applyBorder="1" applyAlignment="1">
      <alignment horizontal="right" vertical="center"/>
    </xf>
    <xf numFmtId="0" fontId="108" fillId="0" borderId="30" xfId="0" applyFont="1" applyBorder="1" applyAlignment="1">
      <alignment horizontal="right" vertical="center"/>
    </xf>
    <xf numFmtId="0" fontId="106" fillId="32" borderId="10" xfId="0" applyFont="1" applyFill="1" applyBorder="1" applyAlignment="1" applyProtection="1">
      <alignment horizontal="center" vertical="center"/>
      <protection locked="0"/>
    </xf>
    <xf numFmtId="0" fontId="108" fillId="32" borderId="10" xfId="0" applyFont="1" applyFill="1" applyBorder="1" applyAlignment="1" applyProtection="1">
      <alignment vertical="center"/>
      <protection locked="0"/>
    </xf>
    <xf numFmtId="0" fontId="108" fillId="32" borderId="35" xfId="0" applyFont="1" applyFill="1" applyBorder="1" applyAlignment="1" applyProtection="1">
      <alignment vertical="center"/>
      <protection locked="0"/>
    </xf>
    <xf numFmtId="0" fontId="108" fillId="32" borderId="0" xfId="0" applyFont="1" applyFill="1" applyBorder="1" applyAlignment="1" applyProtection="1">
      <alignment vertical="center"/>
      <protection locked="0"/>
    </xf>
    <xf numFmtId="0" fontId="108" fillId="32" borderId="30" xfId="0" applyFont="1" applyFill="1" applyBorder="1" applyAlignment="1" applyProtection="1">
      <alignment vertical="center"/>
      <protection locked="0"/>
    </xf>
    <xf numFmtId="0" fontId="14" fillId="35" borderId="74" xfId="0" applyFont="1" applyFill="1" applyBorder="1" applyAlignment="1" applyProtection="1">
      <alignment horizontal="center" vertical="center" wrapText="1"/>
      <protection locked="0"/>
    </xf>
    <xf numFmtId="0" fontId="14" fillId="35" borderId="75" xfId="0" applyFont="1" applyFill="1" applyBorder="1" applyAlignment="1" applyProtection="1">
      <alignment horizontal="center" vertical="center"/>
      <protection locked="0"/>
    </xf>
    <xf numFmtId="0" fontId="29" fillId="32" borderId="79" xfId="0" applyFont="1" applyFill="1" applyBorder="1" applyAlignment="1" applyProtection="1">
      <alignment vertical="center"/>
      <protection locked="0"/>
    </xf>
    <xf numFmtId="0" fontId="0" fillId="32" borderId="79" xfId="0" applyFill="1" applyBorder="1" applyAlignment="1" applyProtection="1">
      <alignment vertical="center"/>
      <protection locked="0"/>
    </xf>
    <xf numFmtId="0" fontId="0" fillId="32" borderId="80" xfId="0" applyFill="1" applyBorder="1" applyAlignment="1" applyProtection="1">
      <alignment vertical="center"/>
      <protection locked="0"/>
    </xf>
    <xf numFmtId="14" fontId="7" fillId="3" borderId="15" xfId="0" applyNumberFormat="1"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2" borderId="15" xfId="0" applyFont="1" applyFill="1" applyBorder="1" applyAlignment="1" applyProtection="1">
      <alignment shrinkToFit="1"/>
      <protection locked="0"/>
    </xf>
    <xf numFmtId="0" fontId="0" fillId="32" borderId="14" xfId="0" applyFill="1" applyBorder="1" applyAlignment="1" applyProtection="1">
      <alignment shrinkToFit="1"/>
      <protection locked="0"/>
    </xf>
    <xf numFmtId="0" fontId="0" fillId="32" borderId="29" xfId="0" applyFill="1" applyBorder="1" applyAlignment="1" applyProtection="1">
      <alignment shrinkToFit="1"/>
      <protection locked="0"/>
    </xf>
    <xf numFmtId="0" fontId="6" fillId="34" borderId="15" xfId="0" applyFont="1" applyFill="1" applyBorder="1" applyAlignment="1" applyProtection="1">
      <alignment/>
      <protection/>
    </xf>
    <xf numFmtId="0" fontId="7" fillId="35" borderId="0" xfId="0" applyFont="1" applyFill="1" applyBorder="1" applyAlignment="1" applyProtection="1">
      <alignment horizontal="left" vertical="center"/>
      <protection locked="0"/>
    </xf>
    <xf numFmtId="0" fontId="0" fillId="35" borderId="0" xfId="0" applyFill="1" applyBorder="1" applyAlignment="1" applyProtection="1">
      <alignment horizontal="left" vertical="center"/>
      <protection locked="0"/>
    </xf>
    <xf numFmtId="0" fontId="0" fillId="0" borderId="0" xfId="0" applyBorder="1" applyAlignment="1" applyProtection="1">
      <alignment/>
      <protection locked="0"/>
    </xf>
    <xf numFmtId="0" fontId="106" fillId="35" borderId="14" xfId="0" applyFont="1" applyFill="1" applyBorder="1" applyAlignment="1" applyProtection="1">
      <alignment horizontal="left"/>
      <protection locked="0"/>
    </xf>
    <xf numFmtId="0" fontId="108" fillId="35" borderId="14" xfId="0" applyFont="1" applyFill="1" applyBorder="1" applyAlignment="1" applyProtection="1">
      <alignment horizontal="left"/>
      <protection locked="0"/>
    </xf>
    <xf numFmtId="0" fontId="106" fillId="0" borderId="14" xfId="0" applyFont="1" applyBorder="1" applyAlignment="1" applyProtection="1">
      <alignment horizontal="right" vertical="top"/>
      <protection/>
    </xf>
    <xf numFmtId="0" fontId="7" fillId="0" borderId="10" xfId="0" applyFont="1" applyFill="1" applyBorder="1" applyAlignment="1">
      <alignment horizontal="right" vertical="center"/>
    </xf>
    <xf numFmtId="0" fontId="0" fillId="0" borderId="10" xfId="0" applyBorder="1" applyAlignment="1">
      <alignment horizontal="right"/>
    </xf>
    <xf numFmtId="0" fontId="7" fillId="35" borderId="66" xfId="0" applyFont="1" applyFill="1" applyBorder="1" applyAlignment="1" applyProtection="1">
      <alignment horizontal="left" vertical="top"/>
      <protection locked="0"/>
    </xf>
    <xf numFmtId="0" fontId="0" fillId="0" borderId="68" xfId="0" applyBorder="1" applyAlignment="1" applyProtection="1">
      <alignment horizontal="left" vertical="top"/>
      <protection locked="0"/>
    </xf>
    <xf numFmtId="0" fontId="23" fillId="32" borderId="15" xfId="0" applyFont="1" applyFill="1" applyBorder="1" applyAlignment="1" applyProtection="1">
      <alignment vertical="center"/>
      <protection locked="0"/>
    </xf>
    <xf numFmtId="0" fontId="23" fillId="0" borderId="14" xfId="0" applyFont="1" applyBorder="1" applyAlignment="1" applyProtection="1">
      <alignment vertical="center"/>
      <protection locked="0"/>
    </xf>
    <xf numFmtId="0" fontId="23" fillId="0" borderId="29" xfId="0" applyFont="1" applyBorder="1" applyAlignment="1" applyProtection="1">
      <alignment vertical="center"/>
      <protection locked="0"/>
    </xf>
    <xf numFmtId="0" fontId="7" fillId="36" borderId="12" xfId="0" applyFont="1" applyFill="1" applyBorder="1" applyAlignment="1" applyProtection="1">
      <alignment horizontal="center"/>
      <protection/>
    </xf>
    <xf numFmtId="0" fontId="7" fillId="36" borderId="0" xfId="0" applyFont="1" applyFill="1" applyBorder="1" applyAlignment="1" applyProtection="1">
      <alignment horizontal="center"/>
      <protection/>
    </xf>
    <xf numFmtId="0" fontId="0" fillId="0" borderId="0" xfId="0" applyBorder="1" applyAlignment="1">
      <alignment horizontal="center"/>
    </xf>
    <xf numFmtId="0" fontId="0" fillId="0" borderId="30" xfId="0" applyBorder="1" applyAlignment="1">
      <alignment horizontal="center"/>
    </xf>
    <xf numFmtId="0" fontId="7" fillId="0" borderId="0" xfId="0" applyFont="1" applyFill="1" applyBorder="1" applyAlignment="1" applyProtection="1">
      <alignment horizontal="left" vertical="top" wrapText="1"/>
      <protection/>
    </xf>
    <xf numFmtId="0" fontId="7" fillId="0" borderId="10" xfId="0" applyFont="1" applyBorder="1" applyAlignment="1">
      <alignment horizontal="left" vertical="center" wrapText="1"/>
    </xf>
    <xf numFmtId="0" fontId="7" fillId="0" borderId="10" xfId="0" applyFont="1" applyBorder="1" applyAlignment="1">
      <alignment/>
    </xf>
    <xf numFmtId="0" fontId="6" fillId="0" borderId="0" xfId="0" applyFont="1" applyFill="1" applyBorder="1" applyAlignment="1" applyProtection="1">
      <alignment horizontal="right" vertical="center" wrapText="1"/>
      <protection/>
    </xf>
    <xf numFmtId="0" fontId="106" fillId="36" borderId="10" xfId="0" applyFont="1" applyFill="1" applyBorder="1" applyAlignment="1" applyProtection="1">
      <alignment horizontal="center"/>
      <protection/>
    </xf>
    <xf numFmtId="0" fontId="108" fillId="0" borderId="10" xfId="0" applyFont="1" applyBorder="1" applyAlignment="1">
      <alignment horizontal="center"/>
    </xf>
    <xf numFmtId="0" fontId="108" fillId="0" borderId="35" xfId="0" applyFont="1" applyBorder="1" applyAlignment="1">
      <alignment horizontal="center"/>
    </xf>
    <xf numFmtId="14" fontId="106" fillId="0" borderId="0" xfId="0" applyNumberFormat="1" applyFont="1" applyFill="1" applyBorder="1" applyAlignment="1" applyProtection="1">
      <alignment horizontal="center"/>
      <protection/>
    </xf>
    <xf numFmtId="14" fontId="108" fillId="0" borderId="0" xfId="0" applyNumberFormat="1" applyFont="1" applyBorder="1" applyAlignment="1">
      <alignment/>
    </xf>
    <xf numFmtId="14" fontId="108" fillId="0" borderId="30" xfId="0" applyNumberFormat="1" applyFont="1" applyBorder="1" applyAlignment="1">
      <alignment/>
    </xf>
    <xf numFmtId="0" fontId="14" fillId="35" borderId="81" xfId="0" applyFont="1" applyFill="1" applyBorder="1" applyAlignment="1" applyProtection="1">
      <alignment horizontal="center" vertical="center" wrapText="1"/>
      <protection locked="0"/>
    </xf>
    <xf numFmtId="0" fontId="14" fillId="35" borderId="75" xfId="0" applyFont="1" applyFill="1" applyBorder="1" applyAlignment="1" applyProtection="1">
      <alignment vertical="center"/>
      <protection locked="0"/>
    </xf>
    <xf numFmtId="0" fontId="107" fillId="0" borderId="12" xfId="0" applyFont="1" applyBorder="1" applyAlignment="1">
      <alignment horizontal="right" vertical="center" wrapText="1"/>
    </xf>
    <xf numFmtId="0" fontId="107" fillId="0" borderId="30" xfId="0" applyFont="1" applyBorder="1" applyAlignment="1">
      <alignment horizontal="right" vertical="center" wrapText="1"/>
    </xf>
    <xf numFmtId="0" fontId="28" fillId="0" borderId="0" xfId="0" applyFont="1" applyFill="1" applyBorder="1" applyAlignment="1" applyProtection="1">
      <alignment horizontal="left" vertical="center" wrapText="1"/>
      <protection/>
    </xf>
    <xf numFmtId="0" fontId="28" fillId="0" borderId="61" xfId="0" applyFont="1" applyFill="1" applyBorder="1" applyAlignment="1" applyProtection="1">
      <alignment horizontal="left" vertical="center" wrapText="1"/>
      <protection/>
    </xf>
    <xf numFmtId="0" fontId="28" fillId="35" borderId="0"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7" fillId="0" borderId="63" xfId="0" applyFont="1" applyBorder="1" applyAlignment="1">
      <alignment horizontal="left" vertical="center" wrapText="1"/>
    </xf>
    <xf numFmtId="0" fontId="6" fillId="0" borderId="13" xfId="0" applyFont="1" applyBorder="1" applyAlignment="1">
      <alignment horizontal="right" vertical="center"/>
    </xf>
    <xf numFmtId="0" fontId="0" fillId="0" borderId="31" xfId="0" applyBorder="1" applyAlignment="1">
      <alignment horizontal="right" vertical="center"/>
    </xf>
    <xf numFmtId="0" fontId="0" fillId="0" borderId="27" xfId="0" applyBorder="1" applyAlignment="1">
      <alignment horizontal="right" vertical="center"/>
    </xf>
    <xf numFmtId="0" fontId="7" fillId="32" borderId="10" xfId="0" applyFont="1" applyFill="1" applyBorder="1" applyAlignment="1" applyProtection="1">
      <alignment horizontal="center" vertical="center"/>
      <protection locked="0"/>
    </xf>
    <xf numFmtId="0" fontId="0" fillId="32" borderId="10" xfId="0" applyFill="1" applyBorder="1" applyAlignment="1" applyProtection="1">
      <alignment vertical="center"/>
      <protection locked="0"/>
    </xf>
    <xf numFmtId="0" fontId="0" fillId="32" borderId="35" xfId="0" applyFill="1" applyBorder="1" applyAlignment="1" applyProtection="1">
      <alignment vertical="center"/>
      <protection locked="0"/>
    </xf>
    <xf numFmtId="0" fontId="0" fillId="32" borderId="26" xfId="0" applyFill="1" applyBorder="1" applyAlignment="1" applyProtection="1">
      <alignment vertical="center"/>
      <protection locked="0"/>
    </xf>
    <xf numFmtId="0" fontId="0" fillId="32" borderId="27" xfId="0" applyFill="1" applyBorder="1" applyAlignment="1" applyProtection="1">
      <alignment vertical="center"/>
      <protection locked="0"/>
    </xf>
    <xf numFmtId="0" fontId="6" fillId="0" borderId="35" xfId="0" applyFont="1" applyBorder="1" applyAlignment="1">
      <alignment horizontal="right" vertical="center" wrapText="1"/>
    </xf>
    <xf numFmtId="0" fontId="127" fillId="0" borderId="15" xfId="0" applyFont="1" applyBorder="1" applyAlignment="1">
      <alignment vertical="center"/>
    </xf>
    <xf numFmtId="0" fontId="108" fillId="0" borderId="14" xfId="0" applyFont="1" applyBorder="1" applyAlignment="1">
      <alignment/>
    </xf>
    <xf numFmtId="0" fontId="4" fillId="0" borderId="12" xfId="0" applyFont="1" applyBorder="1" applyAlignment="1">
      <alignment vertical="center"/>
    </xf>
    <xf numFmtId="0" fontId="29" fillId="0" borderId="0" xfId="0" applyFont="1" applyBorder="1" applyAlignment="1">
      <alignment/>
    </xf>
    <xf numFmtId="0" fontId="28" fillId="0" borderId="10" xfId="0" applyFont="1" applyFill="1" applyBorder="1" applyAlignment="1">
      <alignment horizontal="right" vertical="center"/>
    </xf>
    <xf numFmtId="0" fontId="0" fillId="32" borderId="66" xfId="0" applyFill="1" applyBorder="1" applyAlignment="1" applyProtection="1">
      <alignment horizontal="center" vertical="center"/>
      <protection locked="0"/>
    </xf>
    <xf numFmtId="0" fontId="0" fillId="0" borderId="67" xfId="0" applyBorder="1" applyAlignment="1" applyProtection="1">
      <alignment horizontal="center"/>
      <protection locked="0"/>
    </xf>
    <xf numFmtId="0" fontId="0" fillId="0" borderId="68" xfId="0" applyBorder="1" applyAlignment="1" applyProtection="1">
      <alignment horizontal="center"/>
      <protection locked="0"/>
    </xf>
    <xf numFmtId="0" fontId="28" fillId="35" borderId="82" xfId="0" applyFont="1" applyFill="1" applyBorder="1" applyAlignment="1" applyProtection="1">
      <alignment horizontal="left" vertical="top"/>
      <protection locked="0"/>
    </xf>
    <xf numFmtId="0" fontId="29" fillId="0" borderId="83" xfId="0" applyFont="1" applyBorder="1" applyAlignment="1" applyProtection="1">
      <alignment horizontal="left" vertical="top"/>
      <protection locked="0"/>
    </xf>
    <xf numFmtId="0" fontId="107" fillId="36" borderId="69" xfId="0" applyFont="1" applyFill="1" applyBorder="1" applyAlignment="1" applyProtection="1">
      <alignment horizontal="right" vertical="center"/>
      <protection/>
    </xf>
    <xf numFmtId="0" fontId="107" fillId="0" borderId="65" xfId="0" applyFont="1" applyBorder="1" applyAlignment="1" applyProtection="1">
      <alignment horizontal="right" vertical="center"/>
      <protection/>
    </xf>
    <xf numFmtId="49" fontId="108" fillId="43" borderId="15" xfId="0" applyNumberFormat="1" applyFont="1" applyFill="1" applyBorder="1" applyAlignment="1" applyProtection="1">
      <alignment horizontal="left" vertical="center"/>
      <protection locked="0"/>
    </xf>
    <xf numFmtId="0" fontId="108" fillId="0" borderId="14" xfId="0" applyFont="1" applyBorder="1" applyAlignment="1" applyProtection="1">
      <alignment horizontal="left" vertical="center"/>
      <protection locked="0"/>
    </xf>
    <xf numFmtId="0" fontId="108" fillId="0" borderId="29" xfId="0" applyFont="1" applyBorder="1" applyAlignment="1" applyProtection="1">
      <alignment horizontal="left" vertical="center"/>
      <protection locked="0"/>
    </xf>
    <xf numFmtId="0" fontId="29" fillId="35" borderId="0" xfId="0" applyFont="1" applyFill="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29" fillId="43" borderId="82" xfId="0" applyFont="1" applyFill="1" applyBorder="1" applyAlignment="1" applyProtection="1">
      <alignment horizontal="left" vertical="center"/>
      <protection locked="0"/>
    </xf>
    <xf numFmtId="0" fontId="29" fillId="0" borderId="80" xfId="0" applyFont="1" applyBorder="1" applyAlignment="1" applyProtection="1">
      <alignment horizontal="left" vertical="center"/>
      <protection locked="0"/>
    </xf>
    <xf numFmtId="0" fontId="6" fillId="0" borderId="12" xfId="0" applyFont="1" applyBorder="1" applyAlignment="1">
      <alignment vertical="center"/>
    </xf>
    <xf numFmtId="0" fontId="6" fillId="0" borderId="13" xfId="0" applyFont="1" applyBorder="1" applyAlignment="1">
      <alignment horizontal="center" vertical="center" wrapText="1"/>
    </xf>
    <xf numFmtId="0" fontId="0" fillId="43" borderId="76" xfId="0" applyFont="1" applyFill="1" applyBorder="1" applyAlignment="1" applyProtection="1">
      <alignment horizontal="left" vertical="center"/>
      <protection locked="0"/>
    </xf>
    <xf numFmtId="0" fontId="0" fillId="0" borderId="60" xfId="0" applyBorder="1" applyAlignment="1" applyProtection="1">
      <alignment horizontal="left" vertical="center"/>
      <protection locked="0"/>
    </xf>
    <xf numFmtId="14" fontId="7" fillId="0" borderId="0" xfId="0" applyNumberFormat="1" applyFont="1" applyFill="1" applyBorder="1" applyAlignment="1" applyProtection="1">
      <alignment horizontal="center"/>
      <protection/>
    </xf>
    <xf numFmtId="14" fontId="0" fillId="0" borderId="0" xfId="0" applyNumberFormat="1" applyBorder="1" applyAlignment="1">
      <alignment/>
    </xf>
    <xf numFmtId="14" fontId="0" fillId="0" borderId="30" xfId="0" applyNumberFormat="1" applyBorder="1" applyAlignment="1">
      <alignment/>
    </xf>
    <xf numFmtId="0" fontId="107" fillId="0" borderId="15" xfId="0" applyFont="1" applyFill="1" applyBorder="1" applyAlignment="1" applyProtection="1">
      <alignment horizontal="left" vertical="center"/>
      <protection/>
    </xf>
    <xf numFmtId="0" fontId="108" fillId="0" borderId="14" xfId="0" applyFont="1" applyBorder="1" applyAlignment="1" applyProtection="1">
      <alignment horizontal="left" vertical="center"/>
      <protection/>
    </xf>
    <xf numFmtId="0" fontId="6" fillId="0" borderId="12" xfId="0" applyFont="1" applyBorder="1" applyAlignment="1">
      <alignment horizontal="right" vertical="center" wrapText="1"/>
    </xf>
    <xf numFmtId="0" fontId="6" fillId="0" borderId="30" xfId="0" applyFont="1" applyBorder="1" applyAlignment="1">
      <alignment horizontal="right" vertical="center" wrapText="1"/>
    </xf>
    <xf numFmtId="0" fontId="7" fillId="35" borderId="0" xfId="0" applyFont="1" applyFill="1"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23" fillId="35" borderId="15" xfId="0" applyFont="1" applyFill="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3" fillId="0" borderId="29" xfId="0" applyFont="1" applyBorder="1" applyAlignment="1" applyProtection="1">
      <alignment horizontal="left" vertical="top" wrapText="1"/>
      <protection locked="0"/>
    </xf>
    <xf numFmtId="0" fontId="24" fillId="0" borderId="0" xfId="0" applyNumberFormat="1" applyFont="1" applyAlignment="1" applyProtection="1">
      <alignment horizontal="left" vertical="center"/>
      <protection/>
    </xf>
    <xf numFmtId="0" fontId="23" fillId="0" borderId="0" xfId="0" applyFont="1" applyAlignment="1" applyProtection="1">
      <alignment wrapText="1"/>
      <protection/>
    </xf>
    <xf numFmtId="0" fontId="23"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wrapText="1"/>
      <protection/>
    </xf>
    <xf numFmtId="14" fontId="24" fillId="0" borderId="0" xfId="0" applyNumberFormat="1" applyFont="1" applyAlignment="1" applyProtection="1">
      <alignment horizontal="left" vertical="center"/>
      <protection/>
    </xf>
    <xf numFmtId="0" fontId="0" fillId="0" borderId="0" xfId="0" applyAlignment="1">
      <alignment horizontal="left" vertical="center"/>
    </xf>
    <xf numFmtId="180" fontId="21" fillId="36" borderId="0" xfId="58" applyNumberFormat="1" applyFont="1" applyFill="1" applyAlignment="1" applyProtection="1">
      <alignment/>
      <protection/>
    </xf>
    <xf numFmtId="0" fontId="21" fillId="36" borderId="0" xfId="58" applyNumberFormat="1" applyFont="1" applyFill="1" applyAlignment="1" applyProtection="1">
      <alignment/>
      <protection/>
    </xf>
    <xf numFmtId="0" fontId="47" fillId="39" borderId="84" xfId="58" applyNumberFormat="1" applyFont="1" applyFill="1" applyBorder="1" applyAlignment="1" applyProtection="1">
      <alignment horizontal="left" vertical="top" wrapText="1"/>
      <protection/>
    </xf>
    <xf numFmtId="0" fontId="7" fillId="0" borderId="85" xfId="58" applyFont="1" applyBorder="1" applyAlignment="1" applyProtection="1">
      <alignment horizontal="left" vertical="top" wrapText="1"/>
      <protection/>
    </xf>
    <xf numFmtId="0" fontId="7" fillId="0" borderId="24" xfId="58" applyFont="1" applyBorder="1" applyAlignment="1" applyProtection="1">
      <alignment horizontal="left" vertical="top" wrapText="1"/>
      <protection/>
    </xf>
    <xf numFmtId="0" fontId="7" fillId="0" borderId="0" xfId="58" applyFont="1" applyAlignment="1" applyProtection="1">
      <alignment horizontal="left" vertical="top" wrapText="1"/>
      <protection/>
    </xf>
    <xf numFmtId="0" fontId="7" fillId="0" borderId="86" xfId="58" applyFont="1" applyBorder="1" applyAlignment="1" applyProtection="1">
      <alignment horizontal="left" vertical="top" wrapText="1"/>
      <protection/>
    </xf>
    <xf numFmtId="0" fontId="7" fillId="0" borderId="87" xfId="58" applyFont="1" applyBorder="1" applyAlignment="1" applyProtection="1">
      <alignment horizontal="left" vertical="top" wrapText="1"/>
      <protection/>
    </xf>
    <xf numFmtId="173" fontId="46" fillId="0" borderId="0" xfId="58" applyNumberFormat="1" applyFont="1" applyAlignment="1" applyProtection="1">
      <alignment horizontal="left"/>
      <protection/>
    </xf>
    <xf numFmtId="0" fontId="7" fillId="0" borderId="0" xfId="58" applyFont="1" applyAlignment="1" applyProtection="1">
      <alignment/>
      <protection/>
    </xf>
    <xf numFmtId="0" fontId="0" fillId="0" borderId="48" xfId="0" applyFont="1" applyBorder="1" applyAlignment="1" applyProtection="1">
      <alignment/>
      <protection/>
    </xf>
    <xf numFmtId="0" fontId="0" fillId="0" borderId="45" xfId="0" applyBorder="1" applyAlignment="1" applyProtection="1">
      <alignment/>
      <protection/>
    </xf>
    <xf numFmtId="14" fontId="48" fillId="40" borderId="13" xfId="58" applyNumberFormat="1" applyFont="1" applyFill="1" applyBorder="1" applyAlignment="1" applyProtection="1">
      <alignment horizontal="center"/>
      <protection/>
    </xf>
    <xf numFmtId="0" fontId="7" fillId="0" borderId="35" xfId="0" applyFont="1" applyBorder="1" applyAlignment="1" applyProtection="1">
      <alignment/>
      <protection/>
    </xf>
    <xf numFmtId="0" fontId="45" fillId="40" borderId="13" xfId="58" applyFont="1" applyFill="1" applyBorder="1" applyAlignment="1" applyProtection="1">
      <alignment horizontal="center" vertical="center"/>
      <protection/>
    </xf>
    <xf numFmtId="0" fontId="7" fillId="0" borderId="35" xfId="0" applyFont="1" applyBorder="1" applyAlignment="1" applyProtection="1">
      <alignment horizontal="center" vertical="center"/>
      <protection/>
    </xf>
    <xf numFmtId="14" fontId="48" fillId="40" borderId="31" xfId="58" applyNumberFormat="1" applyFont="1" applyFill="1" applyBorder="1" applyAlignment="1" applyProtection="1">
      <alignment horizontal="center"/>
      <protection/>
    </xf>
    <xf numFmtId="0" fontId="7" fillId="0" borderId="27" xfId="0" applyFont="1" applyBorder="1" applyAlignment="1" applyProtection="1">
      <alignment horizontal="center"/>
      <protection/>
    </xf>
    <xf numFmtId="0" fontId="0" fillId="0" borderId="46"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47" xfId="0" applyBorder="1" applyAlignment="1" applyProtection="1">
      <alignment vertical="top" wrapText="1"/>
      <protection/>
    </xf>
    <xf numFmtId="0" fontId="0" fillId="0" borderId="46" xfId="0" applyBorder="1" applyAlignment="1" applyProtection="1">
      <alignment vertical="top" wrapText="1"/>
      <protection/>
    </xf>
    <xf numFmtId="0" fontId="0" fillId="0" borderId="53" xfId="0" applyBorder="1" applyAlignment="1" applyProtection="1">
      <alignment vertical="top" wrapText="1"/>
      <protection/>
    </xf>
    <xf numFmtId="0" fontId="0" fillId="0" borderId="49" xfId="0" applyBorder="1" applyAlignment="1" applyProtection="1">
      <alignment vertical="top" wrapText="1"/>
      <protection/>
    </xf>
    <xf numFmtId="0" fontId="0" fillId="0" borderId="50" xfId="0" applyBorder="1" applyAlignment="1" applyProtection="1">
      <alignment vertical="top" wrapText="1"/>
      <protection/>
    </xf>
    <xf numFmtId="0" fontId="45" fillId="36" borderId="31" xfId="58" applyFont="1" applyFill="1" applyBorder="1" applyAlignment="1" applyProtection="1">
      <alignment horizontal="center" vertical="center"/>
      <protection/>
    </xf>
    <xf numFmtId="0" fontId="7" fillId="36" borderId="27" xfId="0" applyFont="1" applyFill="1" applyBorder="1" applyAlignment="1" applyProtection="1">
      <alignment horizontal="center" vertical="center"/>
      <protection/>
    </xf>
    <xf numFmtId="0" fontId="17" fillId="0" borderId="54" xfId="58" applyFont="1" applyBorder="1" applyAlignment="1" applyProtection="1">
      <alignment vertical="top" wrapText="1"/>
      <protection/>
    </xf>
    <xf numFmtId="0" fontId="0" fillId="0" borderId="71" xfId="0" applyBorder="1" applyAlignment="1" applyProtection="1">
      <alignment vertical="top" wrapText="1"/>
      <protection/>
    </xf>
    <xf numFmtId="0" fontId="0" fillId="0" borderId="55" xfId="0" applyBorder="1" applyAlignment="1" applyProtection="1">
      <alignment vertical="top" wrapText="1"/>
      <protection/>
    </xf>
    <xf numFmtId="0" fontId="103" fillId="0" borderId="11" xfId="58" applyFont="1" applyBorder="1" applyAlignment="1" applyProtection="1">
      <alignment/>
      <protection/>
    </xf>
    <xf numFmtId="0" fontId="127" fillId="0" borderId="11" xfId="58" applyFont="1" applyBorder="1" applyAlignment="1" applyProtection="1">
      <alignment/>
      <protection/>
    </xf>
    <xf numFmtId="0" fontId="17" fillId="0" borderId="11" xfId="58" applyFont="1" applyBorder="1" applyAlignment="1" applyProtection="1">
      <alignment/>
      <protection/>
    </xf>
    <xf numFmtId="0" fontId="0" fillId="0" borderId="11" xfId="58" applyBorder="1" applyAlignment="1" applyProtection="1">
      <alignment/>
      <protection/>
    </xf>
    <xf numFmtId="0" fontId="20" fillId="44" borderId="11" xfId="58" applyFont="1" applyFill="1" applyBorder="1" applyAlignment="1" applyProtection="1">
      <alignment horizontal="center"/>
      <protection/>
    </xf>
    <xf numFmtId="179" fontId="17" fillId="0" borderId="0" xfId="58" applyNumberFormat="1" applyFont="1" applyBorder="1" applyAlignment="1" applyProtection="1">
      <alignment horizontal="center"/>
      <protection/>
    </xf>
    <xf numFmtId="0" fontId="7" fillId="45" borderId="15" xfId="58" applyFont="1" applyFill="1" applyBorder="1" applyAlignment="1" applyProtection="1">
      <alignment horizontal="center"/>
      <protection/>
    </xf>
    <xf numFmtId="0" fontId="7" fillId="45" borderId="29" xfId="58" applyFont="1" applyFill="1" applyBorder="1" applyAlignment="1" applyProtection="1">
      <alignment horizontal="center"/>
      <protection/>
    </xf>
    <xf numFmtId="179" fontId="7" fillId="0" borderId="15" xfId="58" applyNumberFormat="1" applyFont="1" applyBorder="1" applyAlignment="1" applyProtection="1">
      <alignment horizontal="center"/>
      <protection/>
    </xf>
    <xf numFmtId="179" fontId="7" fillId="0" borderId="29" xfId="58" applyNumberFormat="1" applyFont="1" applyBorder="1" applyAlignment="1" applyProtection="1">
      <alignment horizontal="center"/>
      <protection/>
    </xf>
    <xf numFmtId="0" fontId="0" fillId="0" borderId="46" xfId="0" applyBorder="1" applyAlignment="1">
      <alignment horizontal="left"/>
    </xf>
    <xf numFmtId="0" fontId="0" fillId="0" borderId="0" xfId="0" applyAlignment="1">
      <alignment/>
    </xf>
    <xf numFmtId="0" fontId="0" fillId="0" borderId="47" xfId="0" applyBorder="1" applyAlignment="1">
      <alignment/>
    </xf>
    <xf numFmtId="0" fontId="0" fillId="0" borderId="46" xfId="0" applyBorder="1" applyAlignment="1">
      <alignment horizontal="left" vertical="top"/>
    </xf>
    <xf numFmtId="0" fontId="13" fillId="0" borderId="0" xfId="0" applyFont="1" applyAlignment="1">
      <alignment wrapText="1"/>
    </xf>
    <xf numFmtId="0" fontId="13"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7">
    <dxf>
      <font>
        <color theme="0"/>
      </font>
      <fill>
        <patternFill>
          <bgColor theme="0"/>
        </patternFill>
      </fill>
      <border>
        <left/>
        <right/>
        <top/>
        <bottom/>
      </border>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b/>
        <i val="0"/>
        <color theme="0"/>
      </font>
      <fill>
        <patternFill>
          <bgColor rgb="FF800080"/>
        </patternFill>
      </fill>
    </dxf>
    <dxf/>
    <dxf>
      <fill>
        <patternFill>
          <bgColor rgb="FFFF0000"/>
        </patternFill>
      </fill>
    </dxf>
    <dxf>
      <font>
        <strike val="0"/>
        <color rgb="FF00B050"/>
      </font>
      <fill>
        <patternFill>
          <bgColor rgb="FF00B050"/>
        </patternFill>
      </fill>
    </dxf>
    <dxf>
      <fill>
        <patternFill>
          <bgColor rgb="FF7030A0"/>
        </patternFill>
      </fill>
    </dxf>
    <dxf>
      <fill>
        <patternFill>
          <bgColor rgb="FF00B050"/>
        </patternFill>
      </fill>
    </dxf>
    <dxf>
      <fill>
        <patternFill>
          <bgColor rgb="FFFFC000"/>
        </patternFill>
      </fill>
    </dxf>
    <dxf>
      <fill>
        <patternFill>
          <bgColor rgb="FFFF0000"/>
        </patternFill>
      </fill>
    </dxf>
    <dxf>
      <font>
        <b/>
        <i val="0"/>
      </font>
      <fill>
        <patternFill>
          <bgColor rgb="FFFF0000"/>
        </patternFill>
      </fill>
    </dxf>
    <dxf>
      <font>
        <b/>
        <i val="0"/>
        <color auto="1"/>
      </font>
      <fill>
        <patternFill>
          <bgColor rgb="FFFFC000"/>
        </patternFill>
      </fill>
    </dxf>
    <dxf>
      <font>
        <b/>
        <i val="0"/>
        <color auto="1"/>
      </font>
      <fill>
        <patternFill>
          <bgColor rgb="FF00B05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361</xdr:row>
      <xdr:rowOff>133350</xdr:rowOff>
    </xdr:from>
    <xdr:to>
      <xdr:col>10</xdr:col>
      <xdr:colOff>295275</xdr:colOff>
      <xdr:row>361</xdr:row>
      <xdr:rowOff>657225</xdr:rowOff>
    </xdr:to>
    <xdr:sp macro="[0]!Save">
      <xdr:nvSpPr>
        <xdr:cNvPr id="1" name="TextBox 3"/>
        <xdr:cNvSpPr txBox="1">
          <a:spLocks noChangeArrowheads="1"/>
        </xdr:cNvSpPr>
      </xdr:nvSpPr>
      <xdr:spPr>
        <a:xfrm>
          <a:off x="2647950" y="21907500"/>
          <a:ext cx="2733675" cy="523875"/>
        </a:xfrm>
        <a:prstGeom prst="rect">
          <a:avLst/>
        </a:prstGeom>
        <a:solidFill>
          <a:srgbClr val="FFC000"/>
        </a:solidFill>
        <a:ln w="38100" cmpd="sng">
          <a:solidFill>
            <a:srgbClr val="BCBCBC"/>
          </a:solidFill>
          <a:headEnd type="none"/>
          <a:tailEnd type="none"/>
        </a:ln>
      </xdr:spPr>
      <xdr:txBody>
        <a:bodyPr vertOverflow="clip" wrap="square" anchor="ctr"/>
        <a:p>
          <a:pPr algn="ctr">
            <a:defRPr/>
          </a:pPr>
          <a:r>
            <a:rPr lang="en-US" cap="none" sz="1800" b="1" i="0" u="none" baseline="0">
              <a:solidFill>
                <a:srgbClr val="FF0000"/>
              </a:solidFill>
            </a:rPr>
            <a:t>Click to encrypt form</a:t>
          </a:r>
        </a:p>
      </xdr:txBody>
    </xdr:sp>
    <xdr:clientData/>
  </xdr:twoCellAnchor>
  <xdr:twoCellAnchor>
    <xdr:from>
      <xdr:col>13</xdr:col>
      <xdr:colOff>0</xdr:colOff>
      <xdr:row>272</xdr:row>
      <xdr:rowOff>161925</xdr:rowOff>
    </xdr:from>
    <xdr:to>
      <xdr:col>14</xdr:col>
      <xdr:colOff>238125</xdr:colOff>
      <xdr:row>274</xdr:row>
      <xdr:rowOff>114300</xdr:rowOff>
    </xdr:to>
    <xdr:sp macro="[0]!Printall">
      <xdr:nvSpPr>
        <xdr:cNvPr id="2" name="TextBox 1"/>
        <xdr:cNvSpPr txBox="1">
          <a:spLocks noChangeArrowheads="1"/>
        </xdr:cNvSpPr>
      </xdr:nvSpPr>
      <xdr:spPr>
        <a:xfrm>
          <a:off x="7372350" y="161925"/>
          <a:ext cx="971550" cy="409575"/>
        </a:xfrm>
        <a:prstGeom prst="rect">
          <a:avLst/>
        </a:prstGeom>
        <a:solidFill>
          <a:srgbClr val="FFC000"/>
        </a:solidFill>
        <a:ln w="25400" cmpd="sng">
          <a:solidFill>
            <a:srgbClr val="4F81BD"/>
          </a:solidFill>
          <a:headEnd type="none"/>
          <a:tailEnd type="none"/>
        </a:ln>
      </xdr:spPr>
      <xdr:txBody>
        <a:bodyPr vertOverflow="clip" wrap="square" anchor="ctr"/>
        <a:p>
          <a:pPr algn="ctr">
            <a:defRPr/>
          </a:pPr>
          <a:r>
            <a:rPr lang="en-US" cap="none" sz="1400" b="1" i="0" u="none" baseline="0">
              <a:solidFill>
                <a:srgbClr val="000000"/>
              </a:solidFill>
              <a:latin typeface="Arial"/>
              <a:ea typeface="Arial"/>
              <a:cs typeface="Arial"/>
            </a:rPr>
            <a:t>Print</a:t>
          </a:r>
        </a:p>
      </xdr:txBody>
    </xdr:sp>
    <xdr:clientData/>
  </xdr:twoCellAnchor>
  <xdr:twoCellAnchor editAs="oneCell">
    <xdr:from>
      <xdr:col>1</xdr:col>
      <xdr:colOff>123825</xdr:colOff>
      <xdr:row>0</xdr:row>
      <xdr:rowOff>0</xdr:rowOff>
    </xdr:from>
    <xdr:to>
      <xdr:col>3</xdr:col>
      <xdr:colOff>180975</xdr:colOff>
      <xdr:row>276</xdr:row>
      <xdr:rowOff>0</xdr:rowOff>
    </xdr:to>
    <xdr:pic>
      <xdr:nvPicPr>
        <xdr:cNvPr id="3" name="Picture 4"/>
        <xdr:cNvPicPr preferRelativeResize="1">
          <a:picLocks noChangeAspect="1"/>
        </xdr:cNvPicPr>
      </xdr:nvPicPr>
      <xdr:blipFill>
        <a:blip r:embed="rId1"/>
        <a:stretch>
          <a:fillRect/>
        </a:stretch>
      </xdr:blipFill>
      <xdr:spPr>
        <a:xfrm>
          <a:off x="438150" y="0"/>
          <a:ext cx="8667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2</xdr:row>
      <xdr:rowOff>161925</xdr:rowOff>
    </xdr:from>
    <xdr:to>
      <xdr:col>2</xdr:col>
      <xdr:colOff>0</xdr:colOff>
      <xdr:row>9</xdr:row>
      <xdr:rowOff>76200</xdr:rowOff>
    </xdr:to>
    <xdr:pic>
      <xdr:nvPicPr>
        <xdr:cNvPr id="1" name="Picture 3"/>
        <xdr:cNvPicPr preferRelativeResize="1">
          <a:picLocks noChangeAspect="1"/>
        </xdr:cNvPicPr>
      </xdr:nvPicPr>
      <xdr:blipFill>
        <a:blip r:embed="rId1"/>
        <a:stretch>
          <a:fillRect/>
        </a:stretch>
      </xdr:blipFill>
      <xdr:spPr>
        <a:xfrm>
          <a:off x="447675" y="476250"/>
          <a:ext cx="1200150" cy="923925"/>
        </a:xfrm>
        <a:prstGeom prst="rect">
          <a:avLst/>
        </a:prstGeom>
        <a:noFill/>
        <a:ln w="9525" cmpd="sng">
          <a:noFill/>
        </a:ln>
      </xdr:spPr>
    </xdr:pic>
    <xdr:clientData/>
  </xdr:twoCellAnchor>
  <xdr:twoCellAnchor editAs="oneCell">
    <xdr:from>
      <xdr:col>0</xdr:col>
      <xdr:colOff>0</xdr:colOff>
      <xdr:row>38</xdr:row>
      <xdr:rowOff>19050</xdr:rowOff>
    </xdr:from>
    <xdr:to>
      <xdr:col>2</xdr:col>
      <xdr:colOff>0</xdr:colOff>
      <xdr:row>40</xdr:row>
      <xdr:rowOff>104775</xdr:rowOff>
    </xdr:to>
    <xdr:pic>
      <xdr:nvPicPr>
        <xdr:cNvPr id="2" name="Picture 1"/>
        <xdr:cNvPicPr preferRelativeResize="1">
          <a:picLocks noChangeAspect="1"/>
        </xdr:cNvPicPr>
      </xdr:nvPicPr>
      <xdr:blipFill>
        <a:blip r:embed="rId2"/>
        <a:stretch>
          <a:fillRect/>
        </a:stretch>
      </xdr:blipFill>
      <xdr:spPr>
        <a:xfrm>
          <a:off x="0" y="7867650"/>
          <a:ext cx="16478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2</xdr:col>
      <xdr:colOff>0</xdr:colOff>
      <xdr:row>8</xdr:row>
      <xdr:rowOff>0</xdr:rowOff>
    </xdr:to>
    <xdr:pic>
      <xdr:nvPicPr>
        <xdr:cNvPr id="1" name="Picture 3"/>
        <xdr:cNvPicPr preferRelativeResize="1">
          <a:picLocks noChangeAspect="1"/>
        </xdr:cNvPicPr>
      </xdr:nvPicPr>
      <xdr:blipFill>
        <a:blip r:embed="rId1"/>
        <a:stretch>
          <a:fillRect/>
        </a:stretch>
      </xdr:blipFill>
      <xdr:spPr>
        <a:xfrm>
          <a:off x="76200" y="161925"/>
          <a:ext cx="1495425" cy="1076325"/>
        </a:xfrm>
        <a:prstGeom prst="rect">
          <a:avLst/>
        </a:prstGeom>
        <a:noFill/>
        <a:ln w="9525" cmpd="sng">
          <a:noFill/>
        </a:ln>
      </xdr:spPr>
    </xdr:pic>
    <xdr:clientData/>
  </xdr:twoCellAnchor>
  <xdr:twoCellAnchor editAs="oneCell">
    <xdr:from>
      <xdr:col>0</xdr:col>
      <xdr:colOff>9525</xdr:colOff>
      <xdr:row>39</xdr:row>
      <xdr:rowOff>28575</xdr:rowOff>
    </xdr:from>
    <xdr:to>
      <xdr:col>1</xdr:col>
      <xdr:colOff>714375</xdr:colOff>
      <xdr:row>41</xdr:row>
      <xdr:rowOff>19050</xdr:rowOff>
    </xdr:to>
    <xdr:pic>
      <xdr:nvPicPr>
        <xdr:cNvPr id="2" name="Picture 1"/>
        <xdr:cNvPicPr preferRelativeResize="1">
          <a:picLocks noChangeAspect="1"/>
        </xdr:cNvPicPr>
      </xdr:nvPicPr>
      <xdr:blipFill>
        <a:blip r:embed="rId2"/>
        <a:stretch>
          <a:fillRect/>
        </a:stretch>
      </xdr:blipFill>
      <xdr:spPr>
        <a:xfrm>
          <a:off x="9525" y="8410575"/>
          <a:ext cx="1333500" cy="3143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Z372:AC381" comment="" totalsRowShown="0">
  <autoFilter ref="Z372:AC381"/>
  <tableColumns count="4">
    <tableColumn id="1" name="Column1"/>
    <tableColumn id="2" name="Column2"/>
    <tableColumn id="3" name="Column3"/>
    <tableColumn id="4" name="Column4"/>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7.xml.rels><?xml version="1.0" encoding="utf-8" standalone="yes"?><Relationships xmlns="http://schemas.openxmlformats.org/package/2006/relationships"><Relationship Id="rId1" Type="http://schemas.openxmlformats.org/officeDocument/2006/relationships/hyperlink" Target="mailto:5hour@movianto.com" TargetMode="External" /><Relationship Id="rId2" Type="http://schemas.openxmlformats.org/officeDocument/2006/relationships/hyperlink" Target="mailto:francine.stalham@ukhsa.gov.uk" TargetMode="External" /><Relationship Id="rId3"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mailto:RIGS@ukhsa.gov.uk" TargetMode="External" /><Relationship Id="rId2" Type="http://schemas.openxmlformats.org/officeDocument/2006/relationships/hyperlink" Target="mailto:PHE.RIGS@nhs.net" TargetMode="Externa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EA2"/>
  <sheetViews>
    <sheetView zoomScalePageLayoutView="0" workbookViewId="0" topLeftCell="CV1">
      <selection activeCell="Z2" sqref="Z2"/>
    </sheetView>
  </sheetViews>
  <sheetFormatPr defaultColWidth="9.28125" defaultRowHeight="12.75"/>
  <cols>
    <col min="1" max="1" width="6.7109375" style="66" bestFit="1" customWidth="1"/>
    <col min="2" max="2" width="3.421875" style="66" bestFit="1" customWidth="1"/>
    <col min="3" max="3" width="11.28125" style="49" bestFit="1" customWidth="1"/>
    <col min="4" max="4" width="7.28125" style="67" bestFit="1" customWidth="1"/>
    <col min="5" max="6" width="3.421875" style="66" bestFit="1" customWidth="1"/>
    <col min="7" max="7" width="16.7109375" style="66" bestFit="1" customWidth="1"/>
    <col min="8" max="9" width="13.8515625" style="66" bestFit="1" customWidth="1"/>
    <col min="10" max="10" width="10.00390625" style="66" bestFit="1" customWidth="1"/>
    <col min="11" max="11" width="12.140625" style="66" bestFit="1" customWidth="1"/>
    <col min="12" max="12" width="9.8515625" style="66" bestFit="1" customWidth="1"/>
    <col min="13" max="13" width="10.7109375" style="49" bestFit="1" customWidth="1"/>
    <col min="14" max="14" width="3.421875" style="66" bestFit="1" customWidth="1"/>
    <col min="15" max="16" width="13.8515625" style="66" bestFit="1" customWidth="1"/>
    <col min="17" max="17" width="3.421875" style="66" bestFit="1" customWidth="1"/>
    <col min="18" max="18" width="24.421875" style="66" bestFit="1" customWidth="1"/>
    <col min="19" max="20" width="3.421875" style="66" bestFit="1" customWidth="1"/>
    <col min="21" max="21" width="16.421875" style="66" bestFit="1" customWidth="1"/>
    <col min="22" max="22" width="11.28125" style="66" bestFit="1" customWidth="1"/>
    <col min="23" max="23" width="5.7109375" style="66" bestFit="1" customWidth="1"/>
    <col min="24" max="24" width="15.28125" style="66" bestFit="1" customWidth="1"/>
    <col min="25" max="25" width="5.7109375" style="66" bestFit="1" customWidth="1"/>
    <col min="26" max="26" width="14.421875" style="66" bestFit="1" customWidth="1"/>
    <col min="27" max="27" width="15.28125" style="66" bestFit="1" customWidth="1"/>
    <col min="28" max="28" width="9.421875" style="66" bestFit="1" customWidth="1"/>
    <col min="29" max="29" width="15.28125" style="66" bestFit="1" customWidth="1"/>
    <col min="30" max="30" width="3.421875" style="66" bestFit="1" customWidth="1"/>
    <col min="31" max="31" width="12.28125" style="66" bestFit="1" customWidth="1"/>
    <col min="32" max="33" width="3.421875" style="66" bestFit="1" customWidth="1"/>
    <col min="34" max="34" width="15.28125" style="66" bestFit="1" customWidth="1"/>
    <col min="35" max="35" width="3.421875" style="66" bestFit="1" customWidth="1"/>
    <col min="36" max="39" width="10.7109375" style="66" bestFit="1" customWidth="1"/>
    <col min="40" max="42" width="3.421875" style="66" bestFit="1" customWidth="1"/>
    <col min="43" max="43" width="4.7109375" style="66" bestFit="1" customWidth="1"/>
    <col min="44" max="49" width="3.421875" style="66" bestFit="1" customWidth="1"/>
    <col min="50" max="50" width="10.7109375" style="66" bestFit="1" customWidth="1"/>
    <col min="51" max="51" width="3.421875" style="66" bestFit="1" customWidth="1"/>
    <col min="52" max="52" width="11.140625" style="66" bestFit="1" customWidth="1"/>
    <col min="53" max="53" width="10.7109375" style="66" bestFit="1" customWidth="1"/>
    <col min="54" max="54" width="11.140625" style="66" bestFit="1" customWidth="1"/>
    <col min="55" max="55" width="12.28125" style="66" bestFit="1" customWidth="1"/>
    <col min="56" max="56" width="11.140625" style="66" bestFit="1" customWidth="1"/>
    <col min="57" max="57" width="10.7109375" style="66" bestFit="1" customWidth="1"/>
    <col min="58" max="58" width="12.28125" style="66" bestFit="1" customWidth="1"/>
    <col min="59" max="59" width="9.421875" style="66" bestFit="1" customWidth="1"/>
    <col min="60" max="60" width="3.421875" style="66" bestFit="1" customWidth="1"/>
    <col min="61" max="61" width="16.8515625" style="66" bestFit="1" customWidth="1"/>
    <col min="62" max="62" width="8.00390625" style="66" bestFit="1" customWidth="1"/>
    <col min="63" max="63" width="9.8515625" style="66" bestFit="1" customWidth="1"/>
    <col min="64" max="64" width="12.140625" style="66" bestFit="1" customWidth="1"/>
    <col min="65" max="66" width="13.8515625" style="66" bestFit="1" customWidth="1"/>
    <col min="67" max="67" width="10.7109375" style="66" bestFit="1" customWidth="1"/>
    <col min="68" max="68" width="3.421875" style="66" bestFit="1" customWidth="1"/>
    <col min="69" max="69" width="28.7109375" style="66" bestFit="1" customWidth="1"/>
    <col min="70" max="70" width="9.421875" style="66" bestFit="1" customWidth="1"/>
    <col min="71" max="71" width="14.00390625" style="66" bestFit="1" customWidth="1"/>
    <col min="72" max="72" width="11.421875" style="66" bestFit="1" customWidth="1"/>
    <col min="73" max="73" width="16.00390625" style="66" bestFit="1" customWidth="1"/>
    <col min="74" max="74" width="15.28125" style="66" bestFit="1" customWidth="1"/>
    <col min="75" max="75" width="3.421875" style="66" bestFit="1" customWidth="1"/>
    <col min="76" max="76" width="11.28125" style="66" bestFit="1" customWidth="1"/>
    <col min="77" max="77" width="10.140625" style="66" bestFit="1" customWidth="1"/>
    <col min="78" max="78" width="3.421875" style="203" customWidth="1"/>
    <col min="79" max="79" width="13.7109375" style="66" bestFit="1" customWidth="1"/>
    <col min="80" max="80" width="3.421875" style="66" bestFit="1" customWidth="1"/>
    <col min="81" max="81" width="10.140625" style="66" bestFit="1" customWidth="1"/>
    <col min="82" max="82" width="29.8515625" style="66" bestFit="1" customWidth="1"/>
    <col min="83" max="83" width="10.7109375" style="66" bestFit="1" customWidth="1"/>
    <col min="84" max="84" width="3.421875" style="66" bestFit="1" customWidth="1"/>
    <col min="85" max="85" width="6.7109375" style="66" bestFit="1" customWidth="1"/>
    <col min="86" max="86" width="10.140625" style="66" bestFit="1" customWidth="1"/>
    <col min="87" max="87" width="6.140625" style="66" bestFit="1" customWidth="1"/>
    <col min="88" max="88" width="15.28125" style="66" bestFit="1" customWidth="1"/>
    <col min="89" max="89" width="11.28125" style="66" bestFit="1" customWidth="1"/>
    <col min="90" max="90" width="11.421875" style="66" bestFit="1" customWidth="1"/>
    <col min="91" max="91" width="6.140625" style="66" bestFit="1" customWidth="1"/>
    <col min="92" max="92" width="87.421875" style="66" bestFit="1" customWidth="1"/>
    <col min="93" max="93" width="4.421875" style="66" bestFit="1" customWidth="1"/>
    <col min="94" max="95" width="3.421875" style="66" bestFit="1" customWidth="1"/>
    <col min="96" max="96" width="10.140625" style="66" bestFit="1" customWidth="1"/>
    <col min="97" max="97" width="4.421875" style="66" bestFit="1" customWidth="1"/>
    <col min="98" max="98" width="9.421875" style="66" bestFit="1" customWidth="1"/>
    <col min="99" max="99" width="4.421875" style="66" bestFit="1" customWidth="1"/>
    <col min="100" max="104" width="3.421875" style="66" bestFit="1" customWidth="1"/>
    <col min="105" max="105" width="8.28125" style="66" bestFit="1" customWidth="1"/>
    <col min="106" max="106" width="12.8515625" style="66" bestFit="1" customWidth="1"/>
    <col min="107" max="107" width="3.421875" style="66" bestFit="1" customWidth="1"/>
    <col min="108" max="108" width="6.140625" style="66" bestFit="1" customWidth="1"/>
    <col min="109" max="109" width="13.7109375" style="66" bestFit="1" customWidth="1"/>
    <col min="110" max="110" width="13.140625" style="66" bestFit="1" customWidth="1"/>
    <col min="111" max="111" width="14.00390625" style="66" bestFit="1" customWidth="1"/>
    <col min="112" max="112" width="13.8515625" style="66" bestFit="1" customWidth="1"/>
    <col min="113" max="113" width="16.00390625" style="66" bestFit="1" customWidth="1"/>
    <col min="114" max="114" width="15.28125" style="66" bestFit="1" customWidth="1"/>
    <col min="115" max="115" width="8.421875" style="66" bestFit="1" customWidth="1"/>
    <col min="116" max="117" width="3.421875" style="66" bestFit="1" customWidth="1"/>
    <col min="118" max="118" width="10.140625" style="66" bestFit="1" customWidth="1"/>
    <col min="119" max="119" width="29.8515625" style="66" bestFit="1" customWidth="1"/>
    <col min="120" max="120" width="3.421875" style="66" bestFit="1" customWidth="1"/>
    <col min="121" max="121" width="11.140625" style="66" bestFit="1" customWidth="1"/>
    <col min="122" max="122" width="10.7109375" style="66" bestFit="1" customWidth="1"/>
    <col min="123" max="123" width="11.28125" style="66" bestFit="1" customWidth="1"/>
    <col min="124" max="124" width="5.7109375" style="66" bestFit="1" customWidth="1"/>
    <col min="125" max="125" width="6.140625" style="66" bestFit="1" customWidth="1"/>
    <col min="126" max="126" width="15.28125" style="66" bestFit="1" customWidth="1"/>
    <col min="127" max="129" width="3.421875" style="66" bestFit="1" customWidth="1"/>
    <col min="130" max="130" width="21.8515625" style="66" bestFit="1" customWidth="1"/>
    <col min="131" max="16384" width="9.28125" style="66" customWidth="1"/>
  </cols>
  <sheetData>
    <row r="1" spans="1:131" s="63" customFormat="1" ht="181.5">
      <c r="A1" s="63" t="s">
        <v>407</v>
      </c>
      <c r="B1" s="63" t="s">
        <v>408</v>
      </c>
      <c r="C1" s="64" t="s">
        <v>409</v>
      </c>
      <c r="D1" s="65" t="s">
        <v>410</v>
      </c>
      <c r="E1" s="63" t="s">
        <v>411</v>
      </c>
      <c r="F1" s="181" t="s">
        <v>638</v>
      </c>
      <c r="G1" s="63" t="s">
        <v>412</v>
      </c>
      <c r="H1" s="63" t="s">
        <v>413</v>
      </c>
      <c r="I1" s="63" t="s">
        <v>414</v>
      </c>
      <c r="J1" s="63" t="s">
        <v>415</v>
      </c>
      <c r="K1" s="63" t="s">
        <v>416</v>
      </c>
      <c r="L1" s="63" t="s">
        <v>417</v>
      </c>
      <c r="M1" s="64" t="s">
        <v>418</v>
      </c>
      <c r="N1" s="63" t="s">
        <v>419</v>
      </c>
      <c r="O1" s="63" t="s">
        <v>420</v>
      </c>
      <c r="P1" s="63" t="s">
        <v>421</v>
      </c>
      <c r="Q1" s="181" t="s">
        <v>625</v>
      </c>
      <c r="R1" s="181" t="s">
        <v>626</v>
      </c>
      <c r="S1" s="182" t="s">
        <v>627</v>
      </c>
      <c r="T1" s="63" t="s">
        <v>422</v>
      </c>
      <c r="U1" s="63" t="s">
        <v>424</v>
      </c>
      <c r="V1" s="63" t="s">
        <v>423</v>
      </c>
      <c r="W1" s="181" t="s">
        <v>628</v>
      </c>
      <c r="X1" s="63" t="s">
        <v>425</v>
      </c>
      <c r="Y1" s="63" t="s">
        <v>426</v>
      </c>
      <c r="Z1" s="63" t="s">
        <v>427</v>
      </c>
      <c r="AA1" s="63" t="s">
        <v>428</v>
      </c>
      <c r="AB1" s="63" t="s">
        <v>429</v>
      </c>
      <c r="AC1" s="63" t="s">
        <v>430</v>
      </c>
      <c r="AD1" s="63" t="s">
        <v>431</v>
      </c>
      <c r="AE1" s="63" t="s">
        <v>432</v>
      </c>
      <c r="AF1" s="63" t="s">
        <v>433</v>
      </c>
      <c r="AG1" s="63" t="s">
        <v>434</v>
      </c>
      <c r="AH1" s="63" t="s">
        <v>471</v>
      </c>
      <c r="AI1" s="63" t="s">
        <v>57</v>
      </c>
      <c r="AJ1" s="63" t="s">
        <v>629</v>
      </c>
      <c r="AK1" s="63" t="s">
        <v>630</v>
      </c>
      <c r="AL1" s="63" t="s">
        <v>631</v>
      </c>
      <c r="AM1" s="63" t="s">
        <v>632</v>
      </c>
      <c r="AN1" s="63" t="s">
        <v>435</v>
      </c>
      <c r="AO1" s="63" t="s">
        <v>436</v>
      </c>
      <c r="AP1" s="63" t="s">
        <v>437</v>
      </c>
      <c r="AQ1" s="63" t="s">
        <v>438</v>
      </c>
      <c r="AR1" s="63" t="s">
        <v>439</v>
      </c>
      <c r="AS1" s="63" t="s">
        <v>440</v>
      </c>
      <c r="AT1" s="63" t="s">
        <v>441</v>
      </c>
      <c r="AU1" s="63" t="s">
        <v>442</v>
      </c>
      <c r="AV1" s="63" t="s">
        <v>443</v>
      </c>
      <c r="AW1" s="63" t="s">
        <v>444</v>
      </c>
      <c r="AX1" s="181" t="s">
        <v>633</v>
      </c>
      <c r="AY1" s="181" t="s">
        <v>634</v>
      </c>
      <c r="AZ1" s="63" t="s">
        <v>445</v>
      </c>
      <c r="BA1" s="181" t="s">
        <v>635</v>
      </c>
      <c r="BB1" s="181" t="s">
        <v>636</v>
      </c>
      <c r="BC1" s="181" t="s">
        <v>637</v>
      </c>
      <c r="BD1" s="63" t="s">
        <v>446</v>
      </c>
      <c r="BE1" s="63" t="s">
        <v>447</v>
      </c>
      <c r="BF1" s="63" t="s">
        <v>327</v>
      </c>
      <c r="BG1" s="63" t="s">
        <v>336</v>
      </c>
      <c r="BH1" s="185" t="s">
        <v>642</v>
      </c>
      <c r="BI1" s="185" t="s">
        <v>641</v>
      </c>
      <c r="BJ1" s="185" t="s">
        <v>640</v>
      </c>
      <c r="BK1" s="121" t="s">
        <v>448</v>
      </c>
      <c r="BL1" s="121" t="s">
        <v>449</v>
      </c>
      <c r="BM1" s="121" t="s">
        <v>450</v>
      </c>
      <c r="BN1" s="121" t="s">
        <v>451</v>
      </c>
      <c r="BO1" s="121" t="s">
        <v>452</v>
      </c>
      <c r="BP1" s="121" t="s">
        <v>453</v>
      </c>
      <c r="BQ1" s="63" t="s">
        <v>454</v>
      </c>
      <c r="BR1" s="63" t="s">
        <v>455</v>
      </c>
      <c r="BS1" s="63" t="s">
        <v>456</v>
      </c>
      <c r="BT1" s="101" t="s">
        <v>681</v>
      </c>
      <c r="BU1" s="63" t="s">
        <v>329</v>
      </c>
      <c r="BV1" s="63" t="s">
        <v>457</v>
      </c>
      <c r="BW1" s="63" t="s">
        <v>472</v>
      </c>
      <c r="BX1" s="185" t="s">
        <v>643</v>
      </c>
      <c r="BY1" s="185" t="s">
        <v>644</v>
      </c>
      <c r="BZ1" s="121" t="s">
        <v>674</v>
      </c>
      <c r="CA1" s="63" t="s">
        <v>458</v>
      </c>
      <c r="CB1" s="185" t="s">
        <v>459</v>
      </c>
      <c r="CC1" s="63" t="s">
        <v>460</v>
      </c>
      <c r="CD1" s="185" t="s">
        <v>676</v>
      </c>
      <c r="CE1" s="63" t="s">
        <v>461</v>
      </c>
      <c r="CF1" s="63" t="s">
        <v>462</v>
      </c>
      <c r="CG1" s="185" t="s">
        <v>677</v>
      </c>
      <c r="CH1" s="63" t="s">
        <v>463</v>
      </c>
      <c r="CI1" s="63" t="s">
        <v>464</v>
      </c>
      <c r="CJ1" s="63" t="s">
        <v>465</v>
      </c>
      <c r="CK1" s="63" t="s">
        <v>466</v>
      </c>
      <c r="CL1" s="63" t="s">
        <v>467</v>
      </c>
      <c r="CM1" s="63" t="s">
        <v>468</v>
      </c>
      <c r="CN1" s="63" t="s">
        <v>469</v>
      </c>
      <c r="CO1" s="185" t="s">
        <v>639</v>
      </c>
      <c r="CP1" s="101" t="s">
        <v>506</v>
      </c>
      <c r="CQ1" s="63" t="s">
        <v>507</v>
      </c>
      <c r="CR1" s="63" t="s">
        <v>508</v>
      </c>
      <c r="CS1" s="63" t="s">
        <v>509</v>
      </c>
      <c r="CT1" s="63" t="s">
        <v>510</v>
      </c>
      <c r="CU1" s="63" t="s">
        <v>511</v>
      </c>
      <c r="CV1" s="63" t="s">
        <v>512</v>
      </c>
      <c r="CW1" s="63" t="s">
        <v>490</v>
      </c>
      <c r="CX1" s="63" t="s">
        <v>489</v>
      </c>
      <c r="CY1" s="63" t="s">
        <v>513</v>
      </c>
      <c r="CZ1" s="63" t="s">
        <v>514</v>
      </c>
      <c r="DA1" s="184" t="s">
        <v>515</v>
      </c>
      <c r="DB1" s="101" t="s">
        <v>675</v>
      </c>
      <c r="DC1" s="63" t="s">
        <v>516</v>
      </c>
      <c r="DD1" s="185" t="s">
        <v>678</v>
      </c>
      <c r="DE1" s="63" t="s">
        <v>517</v>
      </c>
      <c r="DF1" s="183" t="s">
        <v>518</v>
      </c>
      <c r="DG1" s="63" t="s">
        <v>519</v>
      </c>
      <c r="DH1" s="185" t="s">
        <v>520</v>
      </c>
      <c r="DI1" s="63" t="s">
        <v>521</v>
      </c>
      <c r="DJ1" s="63" t="s">
        <v>522</v>
      </c>
      <c r="DK1" s="63" t="s">
        <v>523</v>
      </c>
      <c r="DL1" s="63" t="s">
        <v>524</v>
      </c>
      <c r="DM1" s="101" t="s">
        <v>525</v>
      </c>
      <c r="DN1" s="101" t="s">
        <v>526</v>
      </c>
      <c r="DO1" s="101" t="s">
        <v>527</v>
      </c>
      <c r="DP1" s="101" t="s">
        <v>528</v>
      </c>
      <c r="DQ1" s="101" t="s">
        <v>529</v>
      </c>
      <c r="DR1" s="204" t="s">
        <v>680</v>
      </c>
      <c r="DS1" s="101" t="s">
        <v>679</v>
      </c>
      <c r="DT1" s="101" t="s">
        <v>530</v>
      </c>
      <c r="DU1" s="101" t="s">
        <v>531</v>
      </c>
      <c r="DV1" s="101" t="s">
        <v>532</v>
      </c>
      <c r="DW1" s="101" t="s">
        <v>0</v>
      </c>
      <c r="DX1" s="101" t="s">
        <v>1</v>
      </c>
      <c r="DY1" s="101" t="s">
        <v>542</v>
      </c>
      <c r="DZ1" s="63" t="s">
        <v>533</v>
      </c>
      <c r="EA1" s="185" t="s">
        <v>645</v>
      </c>
    </row>
    <row r="2" spans="1:131" s="102" customFormat="1" ht="12">
      <c r="A2" s="102" t="s">
        <v>470</v>
      </c>
      <c r="B2" s="102">
        <f>'Rabies form'!D277</f>
        <v>0</v>
      </c>
      <c r="C2" s="103">
        <f>'Rabies form'!E278</f>
        <v>0</v>
      </c>
      <c r="D2" s="104">
        <f>'Rabies form'!L278</f>
        <v>0</v>
      </c>
      <c r="E2" s="102">
        <f>'Rabies form'!E280</f>
        <v>0</v>
      </c>
      <c r="F2" s="102" t="str">
        <f>'Rabies form'!E281</f>
        <v>Title</v>
      </c>
      <c r="G2" s="102">
        <f>'Rabies form'!E282</f>
        <v>0</v>
      </c>
      <c r="H2" s="105">
        <f>'Rabies form'!M280</f>
        <v>0</v>
      </c>
      <c r="I2" s="105">
        <f>'Rabies form'!M281</f>
        <v>0</v>
      </c>
      <c r="J2" s="102">
        <f>'Rabies form'!M282</f>
        <v>0</v>
      </c>
      <c r="K2" s="105" t="str">
        <f>'Rabies form'!H284</f>
        <v>Surname</v>
      </c>
      <c r="L2" s="105" t="str">
        <f>'Rabies form'!E284</f>
        <v>First name</v>
      </c>
      <c r="M2" s="103">
        <f>'Rabies form'!E285</f>
        <v>0</v>
      </c>
      <c r="N2" s="105">
        <f>'Rabies form'!I285</f>
        <v>0</v>
      </c>
      <c r="O2" s="105">
        <f>'Rabies form'!M284</f>
        <v>0</v>
      </c>
      <c r="P2" s="105">
        <f>'Rabies form'!M285</f>
        <v>0</v>
      </c>
      <c r="Q2" s="105">
        <f>'Rabies form'!H295</f>
        <v>0</v>
      </c>
      <c r="R2" s="102">
        <f>'Rabies form'!J295</f>
        <v>0</v>
      </c>
      <c r="S2" s="102">
        <f>'Rabies form'!H296</f>
        <v>0</v>
      </c>
      <c r="T2" s="102">
        <f>'Rabies form'!F298</f>
        <v>0</v>
      </c>
      <c r="U2" s="102" t="str">
        <f>'Rabies form'!N298</f>
        <v>Non immune</v>
      </c>
      <c r="V2" s="103">
        <f>'Rabies form'!F289</f>
        <v>0</v>
      </c>
      <c r="W2" s="103" t="e">
        <f>'Rabies form'!L289</f>
        <v>#N/A</v>
      </c>
      <c r="X2" s="102" t="str">
        <f>'Rabies form'!F290</f>
        <v>Choose from list</v>
      </c>
      <c r="Y2" s="102" t="e">
        <f>'Rabies form'!L290</f>
        <v>#N/A</v>
      </c>
      <c r="Z2" s="102">
        <f>'Rabies form'!F291</f>
        <v>0</v>
      </c>
      <c r="AA2" s="102" t="e">
        <f>'Rabies form'!L290</f>
        <v>#N/A</v>
      </c>
      <c r="AB2" s="102" t="str">
        <f>'Rabies form'!F292</f>
        <v>Enter site</v>
      </c>
      <c r="AC2" s="102" t="str">
        <f>'Rabies form'!L291</f>
        <v>Choose from list</v>
      </c>
      <c r="AD2" s="102">
        <f>'Rabies form'!F293</f>
        <v>0</v>
      </c>
      <c r="AE2" s="102">
        <f>'Rabies form'!I300</f>
        <v>0</v>
      </c>
      <c r="AF2" s="102">
        <f>'Rabies form'!G301</f>
        <v>0</v>
      </c>
      <c r="AG2" s="106">
        <f>'Rabies form'!K301</f>
        <v>0</v>
      </c>
      <c r="AH2" s="106">
        <f>'Rabies form'!N301</f>
        <v>0</v>
      </c>
      <c r="AI2" s="102">
        <f>'Rabies form'!F302</f>
        <v>0</v>
      </c>
      <c r="AJ2" s="103">
        <f>'Rabies form'!G303</f>
        <v>0</v>
      </c>
      <c r="AK2" s="103">
        <f>'Rabies form'!I303</f>
        <v>0</v>
      </c>
      <c r="AL2" s="103">
        <f>'Rabies form'!K303</f>
        <v>0</v>
      </c>
      <c r="AM2" s="103">
        <f>'Rabies form'!M303</f>
        <v>0</v>
      </c>
      <c r="AN2" s="102">
        <f>'Rabies form'!F305</f>
        <v>0</v>
      </c>
      <c r="AO2" s="102">
        <f>'Rabies form'!F306</f>
        <v>0</v>
      </c>
      <c r="AP2" s="102">
        <f>'Rabies form'!F307</f>
        <v>0</v>
      </c>
      <c r="AQ2" s="102">
        <f>'Rabies form'!F308</f>
        <v>0</v>
      </c>
      <c r="AR2" s="105">
        <f>'Rabies form'!F309</f>
        <v>0</v>
      </c>
      <c r="AS2" s="102">
        <f>'Rabies form'!F310</f>
        <v>0</v>
      </c>
      <c r="AT2" s="102">
        <f>'Rabies form'!F311</f>
        <v>0</v>
      </c>
      <c r="AU2" s="102">
        <f>'Rabies form'!F312</f>
        <v>0</v>
      </c>
      <c r="AV2" s="102">
        <f>'Rabies form'!H313</f>
        <v>0</v>
      </c>
      <c r="AW2" s="102">
        <f>'Rabies form'!E315</f>
        <v>0</v>
      </c>
      <c r="AX2" s="103">
        <f>'Rabies form'!N313</f>
        <v>0</v>
      </c>
      <c r="AY2" s="102">
        <f>'Rabies form'!I317</f>
        <v>0</v>
      </c>
      <c r="AZ2" s="102">
        <f>'Rabies form'!I318</f>
        <v>0</v>
      </c>
      <c r="BA2" s="103">
        <f>'Rabies form'!M318</f>
        <v>0</v>
      </c>
      <c r="BB2" s="103" t="str">
        <f>'Rabies form'!E319</f>
        <v>Enter name</v>
      </c>
      <c r="BC2" s="102" t="e">
        <f>'Rabies form'!N319</f>
        <v>#N/A</v>
      </c>
      <c r="BD2" s="102" t="str">
        <f>'Rabies form'!E321</f>
        <v>Enter name</v>
      </c>
      <c r="BE2" s="103">
        <f>'Rabies form'!M321</f>
        <v>0</v>
      </c>
      <c r="BF2" s="102" t="e">
        <f>'Rabies form'!E322</f>
        <v>#N/A</v>
      </c>
      <c r="BG2" s="102">
        <f>'Rabies form'!H322</f>
        <v>0</v>
      </c>
      <c r="BH2" s="102">
        <f>'Rabies form'!L332</f>
        <v>0</v>
      </c>
      <c r="BI2" s="102">
        <f>'Rabies form'!L348</f>
        <v>0</v>
      </c>
      <c r="BJ2" s="102">
        <f>'Rabies form'!M361</f>
        <v>0</v>
      </c>
      <c r="BK2" s="105" t="str">
        <f>'Rabies form'!E284</f>
        <v>First name</v>
      </c>
      <c r="BL2" s="105" t="str">
        <f>'Rabies form'!H284</f>
        <v>Surname</v>
      </c>
      <c r="BM2" s="105">
        <f>'Rabies form'!M284</f>
        <v>0</v>
      </c>
      <c r="BN2" s="105">
        <f>'Rabies form'!M285</f>
        <v>0</v>
      </c>
      <c r="BO2" s="103">
        <f>'Rabies form'!E285</f>
        <v>0</v>
      </c>
      <c r="BP2" s="105">
        <f>'Rabies form'!I285</f>
        <v>0</v>
      </c>
      <c r="BQ2" s="103">
        <f>'Rabies form'!E286</f>
        <v>0</v>
      </c>
      <c r="BR2" s="103" t="str">
        <f>'Rabies form'!E287</f>
        <v>Postcode</v>
      </c>
      <c r="BS2" s="102">
        <f>'Rabies form'!E331</f>
        <v>0</v>
      </c>
      <c r="BT2" s="105">
        <f>'Rabies form'!L331</f>
        <v>0</v>
      </c>
      <c r="BU2" s="102">
        <f>'Rabies form'!E332</f>
        <v>0</v>
      </c>
      <c r="BV2" s="102">
        <f>'Rabies form'!E333</f>
        <v>0</v>
      </c>
      <c r="BW2" s="102">
        <f>'Rabies form'!G334</f>
        <v>0</v>
      </c>
      <c r="BX2" s="103" t="e">
        <f>'Rabies form'!#REF!</f>
        <v>#REF!</v>
      </c>
      <c r="BY2" s="103">
        <f>'Rabies form'!F361</f>
        <v>0</v>
      </c>
      <c r="BZ2" s="102">
        <f>'Rabies form'!E329</f>
        <v>0</v>
      </c>
      <c r="CA2" s="102">
        <f>'Rabies form'!J329</f>
        <v>0</v>
      </c>
      <c r="CB2" s="102">
        <f>'Rabies form'!E335</f>
        <v>0</v>
      </c>
      <c r="CC2" s="102" t="str">
        <f>'Rabies form'!K335</f>
        <v>JRC22352</v>
      </c>
      <c r="CD2" s="102" t="e">
        <f>'Rabies form'!K336</f>
        <v>#N/A</v>
      </c>
      <c r="CE2" s="103"/>
      <c r="CF2" s="102">
        <f>'Rabies form'!E337</f>
        <v>0</v>
      </c>
      <c r="CG2" s="102">
        <f>'Rabies form'!K337</f>
        <v>0</v>
      </c>
      <c r="CH2" s="103"/>
      <c r="CI2" s="103"/>
      <c r="CK2" s="103"/>
      <c r="CN2" s="102" t="str">
        <f ca="1">CELL("filename")</f>
        <v>https://phecloud.sharepoint.com/teams/CPHBusinessNetwork-01.CEIBusinessPlanningFY22-23/Shared Documents/01. CEI Business Planning/TARZET FY 24-25/[TARZET Business Planning FY 24-25.xlsx]1. Activities </v>
      </c>
      <c r="CO2" s="102" t="e">
        <f>'Rabies form'!#REF!</f>
        <v>#REF!</v>
      </c>
      <c r="CP2" s="102">
        <f>'Rabies form'!N277</f>
        <v>0</v>
      </c>
      <c r="CQ2" s="102" t="str">
        <f>'Rabies form'!F281</f>
        <v>Name</v>
      </c>
      <c r="CR2" s="102" t="str">
        <f>'Rabies form'!J308</f>
        <v>JRC22352</v>
      </c>
      <c r="CS2" s="102">
        <f>'Rabies form'!M308</f>
        <v>211</v>
      </c>
      <c r="CT2" s="102" t="str">
        <f>'Rabies form'!J309</f>
        <v>211 IU/ml</v>
      </c>
      <c r="CU2" s="102">
        <f>'Rabies form'!N309</f>
        <v>2.8</v>
      </c>
      <c r="CV2" s="102">
        <f>'Rabies form'!L325</f>
        <v>0</v>
      </c>
      <c r="CW2" s="102">
        <f>'Rabies form'!F325</f>
        <v>0</v>
      </c>
      <c r="CX2" s="102">
        <f>'Rabies form'!E327</f>
        <v>0</v>
      </c>
      <c r="CY2" s="102">
        <f>'Rabies form'!K327</f>
        <v>0</v>
      </c>
      <c r="CZ2" s="102">
        <f>'Rabies form'!N327</f>
        <v>0</v>
      </c>
      <c r="DA2" s="102">
        <f>'Rabies form'!H329</f>
        <v>0</v>
      </c>
      <c r="DB2" s="102">
        <f>'Rabies form'!N329</f>
        <v>0</v>
      </c>
      <c r="DC2" s="102">
        <f>'Rabies form'!N334</f>
        <v>0</v>
      </c>
      <c r="DD2" s="102" t="e">
        <f>'Rabies form'!#REF!</f>
        <v>#REF!</v>
      </c>
      <c r="DE2" s="102" t="e">
        <f>'Rabies form'!#REF!</f>
        <v>#REF!</v>
      </c>
      <c r="DF2" s="106" t="e">
        <f>'Rabies form'!#REF!</f>
        <v>#REF!</v>
      </c>
      <c r="DG2" s="102" t="e">
        <f>'Rabies form'!#REF!</f>
        <v>#REF!</v>
      </c>
      <c r="DH2" s="102" t="e">
        <f>'Rabies form'!#REF!</f>
        <v>#REF!</v>
      </c>
      <c r="DI2" s="102">
        <f>'Rabies form'!E348</f>
        <v>0</v>
      </c>
      <c r="DJ2" s="102">
        <f>'Rabies form'!E349</f>
        <v>0</v>
      </c>
      <c r="DK2" s="102">
        <f>'Rabies form'!G350</f>
        <v>0</v>
      </c>
      <c r="DL2" s="102">
        <f>'Rabies form'!N350</f>
        <v>0</v>
      </c>
      <c r="DM2" s="102">
        <f>'Rabies form'!E351</f>
        <v>0</v>
      </c>
      <c r="DN2" s="102" t="str">
        <f>'Rabies form'!K351</f>
        <v>JRC22352</v>
      </c>
      <c r="DP2" s="102">
        <f>'Rabies form'!E353</f>
        <v>0</v>
      </c>
      <c r="DR2" s="103" t="e">
        <f>'Rabies form'!K352</f>
        <v>#N/A</v>
      </c>
      <c r="DS2" s="103">
        <f>'Rabies form'!K353</f>
        <v>0</v>
      </c>
      <c r="DT2" s="102">
        <f>'Rabies form'!K354</f>
        <v>0</v>
      </c>
      <c r="DU2" s="103"/>
      <c r="DW2" s="102">
        <f>'Rabies form'!H287</f>
        <v>0</v>
      </c>
      <c r="DX2" s="102">
        <f>'Rabies form'!J334</f>
        <v>0</v>
      </c>
      <c r="DY2" s="102">
        <f>'Rabies form'!J350</f>
        <v>0</v>
      </c>
      <c r="DZ2" s="102" t="s">
        <v>541</v>
      </c>
      <c r="EA2" s="102" t="e">
        <f>'Rabies form'!L290</f>
        <v>#N/A</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J32" sqref="J32:K32"/>
    </sheetView>
  </sheetViews>
  <sheetFormatPr defaultColWidth="8.8515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9"/>
  <dimension ref="A1:A1"/>
  <sheetViews>
    <sheetView zoomScalePageLayoutView="0" workbookViewId="0" topLeftCell="A1">
      <selection activeCell="J32" sqref="J32:K32"/>
    </sheetView>
  </sheetViews>
  <sheetFormatPr defaultColWidth="8.8515625" defaultRowHeight="12.7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codeName="Sheet10"/>
  <dimension ref="A1:A1"/>
  <sheetViews>
    <sheetView zoomScalePageLayoutView="0" workbookViewId="0" topLeftCell="A9">
      <selection activeCell="J32" sqref="J32"/>
    </sheetView>
  </sheetViews>
  <sheetFormatPr defaultColWidth="8.8515625" defaultRowHeight="12.7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E17"/>
  <sheetViews>
    <sheetView showGridLines="0" showRowColHeaders="0" zoomScalePageLayoutView="0" workbookViewId="0" topLeftCell="A1">
      <selection activeCell="B5" sqref="B5"/>
    </sheetView>
  </sheetViews>
  <sheetFormatPr defaultColWidth="8.8515625" defaultRowHeight="12.75"/>
  <cols>
    <col min="1" max="1" width="8.8515625" style="0" customWidth="1"/>
    <col min="2" max="2" width="11.28125" style="0" customWidth="1"/>
    <col min="3" max="3" width="13.421875" style="0" bestFit="1" customWidth="1"/>
  </cols>
  <sheetData>
    <row r="1" spans="1:5" ht="12.75" thickBot="1">
      <c r="A1" s="132"/>
      <c r="B1" s="132"/>
      <c r="C1" s="132"/>
      <c r="D1" s="127"/>
      <c r="E1" s="127"/>
    </row>
    <row r="2" spans="1:5" ht="15.75" thickBot="1">
      <c r="A2" s="132"/>
      <c r="B2" s="866" t="s">
        <v>343</v>
      </c>
      <c r="C2" s="867"/>
      <c r="D2" s="127"/>
      <c r="E2" s="127"/>
    </row>
    <row r="3" spans="1:5" ht="15">
      <c r="A3" s="132"/>
      <c r="B3" s="249" t="s">
        <v>347</v>
      </c>
      <c r="C3" s="243" t="s">
        <v>348</v>
      </c>
      <c r="D3" s="127"/>
      <c r="E3" s="127"/>
    </row>
    <row r="4" spans="1:5" ht="1.5" customHeight="1" thickBot="1">
      <c r="A4" s="128"/>
      <c r="B4" s="244">
        <v>6.350293</v>
      </c>
      <c r="C4" s="245">
        <v>0.45359237</v>
      </c>
      <c r="D4" s="127"/>
      <c r="E4" s="127"/>
    </row>
    <row r="5" spans="1:5" ht="15.75" thickBot="1">
      <c r="A5" s="128"/>
      <c r="B5" s="246">
        <v>0</v>
      </c>
      <c r="C5" s="247">
        <v>0</v>
      </c>
      <c r="D5" s="127"/>
      <c r="E5" s="127"/>
    </row>
    <row r="6" spans="1:5" ht="15.75" thickBot="1">
      <c r="A6" s="132"/>
      <c r="B6" s="248">
        <f>B4*B5</f>
        <v>0</v>
      </c>
      <c r="C6" s="248">
        <f>C4*C5</f>
        <v>0</v>
      </c>
      <c r="D6" s="127"/>
      <c r="E6" s="127"/>
    </row>
    <row r="7" spans="1:5" ht="15.75" thickBot="1">
      <c r="A7" s="132"/>
      <c r="B7" s="868">
        <f>B6+C6</f>
        <v>0</v>
      </c>
      <c r="C7" s="869"/>
      <c r="D7" s="127"/>
      <c r="E7" s="127"/>
    </row>
    <row r="8" spans="1:5" ht="12">
      <c r="A8" s="127"/>
      <c r="B8" s="127"/>
      <c r="C8" s="127"/>
      <c r="D8" s="127"/>
      <c r="E8" s="127"/>
    </row>
    <row r="9" spans="1:5" ht="12">
      <c r="A9" s="127"/>
      <c r="B9" s="127"/>
      <c r="C9" s="127"/>
      <c r="D9" s="127"/>
      <c r="E9" s="127"/>
    </row>
    <row r="10" spans="1:5" ht="12">
      <c r="A10" s="127"/>
      <c r="B10" s="127"/>
      <c r="C10" s="127"/>
      <c r="D10" s="127"/>
      <c r="E10" s="127"/>
    </row>
    <row r="11" spans="1:5" ht="12">
      <c r="A11" s="127"/>
      <c r="B11" s="127"/>
      <c r="C11" s="127"/>
      <c r="D11" s="127"/>
      <c r="E11" s="127"/>
    </row>
    <row r="12" spans="1:5" ht="12">
      <c r="A12" s="127"/>
      <c r="B12" s="127"/>
      <c r="C12" s="127"/>
      <c r="D12" s="127"/>
      <c r="E12" s="127"/>
    </row>
    <row r="13" spans="1:4" ht="12">
      <c r="A13" s="127"/>
      <c r="B13" s="127"/>
      <c r="C13" s="127"/>
      <c r="D13" s="127"/>
    </row>
    <row r="14" spans="1:4" ht="12">
      <c r="A14" s="127"/>
      <c r="B14" s="127"/>
      <c r="C14" s="127"/>
      <c r="D14" s="127"/>
    </row>
    <row r="15" spans="1:4" ht="12">
      <c r="A15" s="127"/>
      <c r="B15" s="127"/>
      <c r="C15" s="127"/>
      <c r="D15" s="127"/>
    </row>
    <row r="16" spans="1:4" ht="12">
      <c r="A16" s="127"/>
      <c r="B16" s="127"/>
      <c r="C16" s="127"/>
      <c r="D16" s="127"/>
    </row>
    <row r="17" spans="1:4" ht="12">
      <c r="A17" s="127"/>
      <c r="B17" s="127"/>
      <c r="C17" s="127"/>
      <c r="D17" s="127"/>
    </row>
  </sheetData>
  <sheetProtection password="CC4C" sheet="1" objects="1" scenarios="1" selectLockedCells="1"/>
  <mergeCells count="2">
    <mergeCell ref="B2:C2"/>
    <mergeCell ref="B7:C7"/>
  </mergeCell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codeName="Sheet14"/>
  <dimension ref="B1:I20"/>
  <sheetViews>
    <sheetView zoomScalePageLayoutView="0" workbookViewId="0" topLeftCell="A1">
      <selection activeCell="C4" sqref="C4"/>
    </sheetView>
  </sheetViews>
  <sheetFormatPr defaultColWidth="8.8515625" defaultRowHeight="12.75"/>
  <cols>
    <col min="1" max="1" width="7.140625" style="0" customWidth="1"/>
    <col min="2" max="2" width="32.421875" style="0" customWidth="1"/>
    <col min="3" max="3" width="25.7109375" style="0" customWidth="1"/>
    <col min="4" max="5" width="10.421875" style="0" customWidth="1"/>
    <col min="6" max="6" width="6.8515625" style="0" customWidth="1"/>
    <col min="7" max="7" width="16.7109375" style="0" customWidth="1"/>
    <col min="8" max="8" width="10.8515625" style="0" customWidth="1"/>
    <col min="9" max="9" width="33.421875" style="0" customWidth="1"/>
  </cols>
  <sheetData>
    <row r="1" spans="7:8" ht="17.25" customHeight="1">
      <c r="G1" s="259"/>
      <c r="H1" s="294"/>
    </row>
    <row r="2" spans="2:8" ht="17.25" customHeight="1">
      <c r="B2" s="256" t="s">
        <v>751</v>
      </c>
      <c r="C2" s="257" t="s">
        <v>752</v>
      </c>
      <c r="D2" s="258"/>
      <c r="E2" s="258"/>
      <c r="H2" s="294"/>
    </row>
    <row r="3" spans="2:8" ht="17.25" customHeight="1">
      <c r="B3" s="292" t="s">
        <v>754</v>
      </c>
      <c r="C3" s="290" t="s">
        <v>779</v>
      </c>
      <c r="D3" s="260"/>
      <c r="E3" s="261"/>
      <c r="H3" s="294"/>
    </row>
    <row r="4" spans="2:8" ht="17.25" customHeight="1">
      <c r="B4" s="280" t="s">
        <v>777</v>
      </c>
      <c r="C4" s="283"/>
      <c r="D4" s="284"/>
      <c r="E4" s="285"/>
      <c r="H4" s="295"/>
    </row>
    <row r="5" spans="2:8" ht="17.25" customHeight="1">
      <c r="B5" s="280" t="s">
        <v>776</v>
      </c>
      <c r="C5" s="283"/>
      <c r="D5" s="284"/>
      <c r="E5" s="285"/>
      <c r="H5" s="294"/>
    </row>
    <row r="6" spans="2:8" ht="17.25" customHeight="1">
      <c r="B6" s="293" t="s">
        <v>755</v>
      </c>
      <c r="C6" s="291">
        <f>'Rabies form'!M329</f>
        <v>0</v>
      </c>
      <c r="E6" s="263"/>
      <c r="H6" s="294"/>
    </row>
    <row r="7" spans="2:8" ht="17.25" customHeight="1">
      <c r="B7" s="264" t="s">
        <v>769</v>
      </c>
      <c r="C7" s="265">
        <f>'Rabies form'!D277</f>
        <v>0</v>
      </c>
      <c r="E7" s="263"/>
      <c r="H7" s="296"/>
    </row>
    <row r="8" spans="2:5" ht="13.5" customHeight="1">
      <c r="B8" s="264"/>
      <c r="C8" s="265"/>
      <c r="E8" s="263"/>
    </row>
    <row r="9" spans="2:5" ht="14.25">
      <c r="B9" s="264" t="s">
        <v>756</v>
      </c>
      <c r="C9" s="870">
        <f>'Rabies form'!E331</f>
        <v>0</v>
      </c>
      <c r="D9" s="871"/>
      <c r="E9" s="872"/>
    </row>
    <row r="10" spans="2:5" ht="14.25">
      <c r="B10" s="264" t="s">
        <v>670</v>
      </c>
      <c r="C10" s="870">
        <f>'Rabies form'!E332</f>
        <v>0</v>
      </c>
      <c r="D10" s="871"/>
      <c r="E10" s="872"/>
    </row>
    <row r="11" spans="2:5" ht="40.5" customHeight="1">
      <c r="B11" s="266" t="s">
        <v>671</v>
      </c>
      <c r="C11" s="873">
        <f>'Rabies form'!E333</f>
        <v>0</v>
      </c>
      <c r="D11" s="871"/>
      <c r="E11" s="872"/>
    </row>
    <row r="12" spans="2:5" ht="14.25">
      <c r="B12" s="264" t="s">
        <v>672</v>
      </c>
      <c r="C12" s="265">
        <f>'Rabies form'!G334</f>
        <v>0</v>
      </c>
      <c r="E12" s="263"/>
    </row>
    <row r="13" spans="2:5" ht="14.25">
      <c r="B13" s="264"/>
      <c r="C13" s="267"/>
      <c r="E13" s="263"/>
    </row>
    <row r="14" spans="2:5" ht="14.25">
      <c r="B14" s="264" t="s">
        <v>757</v>
      </c>
      <c r="C14" s="267">
        <f>'Rabies form'!L331</f>
        <v>0</v>
      </c>
      <c r="E14" s="263"/>
    </row>
    <row r="15" spans="2:5" ht="14.25">
      <c r="B15" s="264"/>
      <c r="C15" s="268"/>
      <c r="D15" s="268"/>
      <c r="E15" s="269"/>
    </row>
    <row r="16" ht="5.25" customHeight="1"/>
    <row r="17" spans="2:5" ht="30.75">
      <c r="B17" s="270" t="s">
        <v>758</v>
      </c>
      <c r="C17" s="271" t="s">
        <v>780</v>
      </c>
      <c r="D17" s="272" t="s">
        <v>759</v>
      </c>
      <c r="E17" s="272" t="s">
        <v>760</v>
      </c>
    </row>
    <row r="18" spans="2:5" ht="24.75">
      <c r="B18" s="273" t="s">
        <v>761</v>
      </c>
      <c r="C18" s="274" t="s">
        <v>762</v>
      </c>
      <c r="D18" s="275">
        <f>'Rabies form'!E335</f>
        <v>0</v>
      </c>
      <c r="E18" s="276" t="s">
        <v>768</v>
      </c>
    </row>
    <row r="19" spans="2:5" ht="15">
      <c r="B19" s="273" t="s">
        <v>763</v>
      </c>
      <c r="C19" s="274" t="s">
        <v>764</v>
      </c>
      <c r="D19" s="275">
        <f>'Rabies form'!E337</f>
        <v>0</v>
      </c>
      <c r="E19" s="276" t="s">
        <v>768</v>
      </c>
    </row>
    <row r="20" spans="2:9" ht="25.5" customHeight="1">
      <c r="B20" s="273" t="s">
        <v>766</v>
      </c>
      <c r="C20" s="274" t="s">
        <v>767</v>
      </c>
      <c r="D20" s="289">
        <v>1</v>
      </c>
      <c r="E20" s="274" t="s">
        <v>765</v>
      </c>
      <c r="G20" s="277"/>
      <c r="H20" s="874"/>
      <c r="I20" s="875"/>
    </row>
  </sheetData>
  <sheetProtection password="CC4C" sheet="1"/>
  <mergeCells count="4">
    <mergeCell ref="C9:E9"/>
    <mergeCell ref="C10:E10"/>
    <mergeCell ref="C11:E11"/>
    <mergeCell ref="H20:I20"/>
  </mergeCells>
  <printOptions/>
  <pageMargins left="0.7" right="0.7" top="0.75" bottom="0.75" header="0.3" footer="0.3"/>
  <pageSetup horizontalDpi="600" verticalDpi="600" orientation="portrait" paperSize="9"/>
  <legacyDrawing r:id="rId1"/>
</worksheet>
</file>

<file path=xl/worksheets/sheet16.xml><?xml version="1.0" encoding="utf-8"?>
<worksheet xmlns="http://schemas.openxmlformats.org/spreadsheetml/2006/main" xmlns:r="http://schemas.openxmlformats.org/officeDocument/2006/relationships">
  <sheetPr codeName="Sheet17"/>
  <dimension ref="A1:A6"/>
  <sheetViews>
    <sheetView zoomScalePageLayoutView="0" workbookViewId="0" topLeftCell="A1">
      <selection activeCell="A6" sqref="A6"/>
    </sheetView>
  </sheetViews>
  <sheetFormatPr defaultColWidth="8.8515625" defaultRowHeight="12.75"/>
  <cols>
    <col min="1" max="1" width="41.421875" style="0" customWidth="1"/>
  </cols>
  <sheetData>
    <row r="1" ht="12.75">
      <c r="A1" s="281" t="s">
        <v>770</v>
      </c>
    </row>
    <row r="2" ht="12.75">
      <c r="A2" s="281" t="s">
        <v>771</v>
      </c>
    </row>
    <row r="3" ht="12.75">
      <c r="A3" s="281" t="s">
        <v>772</v>
      </c>
    </row>
    <row r="4" ht="12.75">
      <c r="A4" s="281" t="s">
        <v>773</v>
      </c>
    </row>
    <row r="5" ht="12.75">
      <c r="A5" s="281" t="s">
        <v>774</v>
      </c>
    </row>
    <row r="6" ht="12.75">
      <c r="A6" s="281" t="s">
        <v>775</v>
      </c>
    </row>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sheetPr codeName="Sheet15"/>
  <dimension ref="B2:I20"/>
  <sheetViews>
    <sheetView zoomScalePageLayoutView="0" workbookViewId="0" topLeftCell="A1">
      <selection activeCell="H17" sqref="H17"/>
    </sheetView>
  </sheetViews>
  <sheetFormatPr defaultColWidth="8.8515625" defaultRowHeight="12.75"/>
  <cols>
    <col min="1" max="1" width="7.140625" style="0" customWidth="1"/>
    <col min="2" max="2" width="32.421875" style="0" customWidth="1"/>
    <col min="3" max="3" width="25.7109375" style="0" customWidth="1"/>
    <col min="4" max="4" width="10.421875" style="0" customWidth="1"/>
    <col min="5" max="5" width="10.28125" style="0" customWidth="1"/>
    <col min="6" max="6" width="6.8515625" style="0" customWidth="1"/>
    <col min="7" max="7" width="16.7109375" style="0" customWidth="1"/>
    <col min="8" max="8" width="10.8515625" style="0" customWidth="1"/>
    <col min="9" max="9" width="33.421875" style="0" customWidth="1"/>
  </cols>
  <sheetData>
    <row r="1" ht="25.5" customHeight="1"/>
    <row r="2" spans="2:9" ht="16.5" customHeight="1">
      <c r="B2" s="256" t="s">
        <v>751</v>
      </c>
      <c r="C2" s="257" t="s">
        <v>752</v>
      </c>
      <c r="D2" s="258"/>
      <c r="E2" s="258"/>
      <c r="G2" s="297" t="s">
        <v>753</v>
      </c>
      <c r="H2" s="294" t="s">
        <v>750</v>
      </c>
      <c r="I2" s="296"/>
    </row>
    <row r="3" spans="2:9" ht="16.5" customHeight="1">
      <c r="B3" s="278" t="s">
        <v>754</v>
      </c>
      <c r="C3" s="256" t="s">
        <v>779</v>
      </c>
      <c r="D3" s="260"/>
      <c r="E3" s="261"/>
      <c r="G3" s="296"/>
      <c r="H3" s="294" t="s">
        <v>778</v>
      </c>
      <c r="I3" s="296"/>
    </row>
    <row r="4" spans="2:9" ht="16.5" customHeight="1">
      <c r="B4" s="280" t="s">
        <v>777</v>
      </c>
      <c r="C4" s="286"/>
      <c r="D4" s="287"/>
      <c r="E4" s="288"/>
      <c r="G4" s="296"/>
      <c r="H4" s="294"/>
      <c r="I4" s="296"/>
    </row>
    <row r="5" spans="2:9" ht="16.5" customHeight="1">
      <c r="B5" s="280" t="s">
        <v>776</v>
      </c>
      <c r="C5" s="286"/>
      <c r="D5" s="287"/>
      <c r="E5" s="288"/>
      <c r="G5" s="296"/>
      <c r="H5" s="295"/>
      <c r="I5" s="296"/>
    </row>
    <row r="6" spans="2:9" ht="16.5" customHeight="1">
      <c r="B6" s="279" t="s">
        <v>755</v>
      </c>
      <c r="C6" s="262">
        <f>'Rabies form'!M345</f>
        <v>0</v>
      </c>
      <c r="E6" s="263"/>
      <c r="G6" s="296"/>
      <c r="H6" s="294"/>
      <c r="I6" s="296"/>
    </row>
    <row r="7" spans="2:9" ht="16.5" customHeight="1">
      <c r="B7" s="264" t="s">
        <v>769</v>
      </c>
      <c r="C7" s="265">
        <f>'Rabies form'!D277</f>
        <v>0</v>
      </c>
      <c r="E7" s="263"/>
      <c r="G7" s="296"/>
      <c r="H7" s="294"/>
      <c r="I7" s="296"/>
    </row>
    <row r="8" spans="2:8" ht="13.5" customHeight="1">
      <c r="B8" s="264"/>
      <c r="C8" s="265"/>
      <c r="E8" s="263"/>
      <c r="H8" s="348"/>
    </row>
    <row r="9" spans="2:5" ht="14.25">
      <c r="B9" s="264" t="s">
        <v>756</v>
      </c>
      <c r="C9" s="870">
        <f>'Rabies form'!E347</f>
        <v>0</v>
      </c>
      <c r="D9" s="871"/>
      <c r="E9" s="872"/>
    </row>
    <row r="10" spans="2:5" ht="14.25">
      <c r="B10" s="264" t="s">
        <v>670</v>
      </c>
      <c r="C10" s="870">
        <f>'Rabies form'!E348</f>
        <v>0</v>
      </c>
      <c r="D10" s="871"/>
      <c r="E10" s="872"/>
    </row>
    <row r="11" spans="2:5" ht="40.5" customHeight="1">
      <c r="B11" s="266" t="s">
        <v>671</v>
      </c>
      <c r="C11" s="873">
        <f>'Rabies form'!E349</f>
        <v>0</v>
      </c>
      <c r="D11" s="871"/>
      <c r="E11" s="872"/>
    </row>
    <row r="12" spans="2:5" ht="14.25">
      <c r="B12" s="264" t="s">
        <v>672</v>
      </c>
      <c r="C12" s="265">
        <f>'Rabies form'!G350</f>
        <v>0</v>
      </c>
      <c r="E12" s="263"/>
    </row>
    <row r="13" spans="2:5" ht="14.25">
      <c r="B13" s="264"/>
      <c r="C13" s="267"/>
      <c r="E13" s="263"/>
    </row>
    <row r="14" spans="2:5" ht="14.25">
      <c r="B14" s="264" t="s">
        <v>757</v>
      </c>
      <c r="C14" s="51">
        <f>'Rabies form'!L347</f>
        <v>0</v>
      </c>
      <c r="E14" s="263"/>
    </row>
    <row r="15" spans="2:5" ht="14.25">
      <c r="B15" s="264"/>
      <c r="C15" s="282"/>
      <c r="D15" s="268"/>
      <c r="E15" s="269"/>
    </row>
    <row r="16" ht="5.25" customHeight="1"/>
    <row r="17" spans="2:5" ht="30.75">
      <c r="B17" s="270" t="s">
        <v>758</v>
      </c>
      <c r="C17" s="271" t="s">
        <v>780</v>
      </c>
      <c r="D17" s="272" t="s">
        <v>759</v>
      </c>
      <c r="E17" s="272" t="s">
        <v>760</v>
      </c>
    </row>
    <row r="18" spans="2:5" ht="24.75">
      <c r="B18" s="273" t="s">
        <v>761</v>
      </c>
      <c r="C18" s="274" t="s">
        <v>762</v>
      </c>
      <c r="D18" s="275">
        <f>'Rabies form'!E351</f>
        <v>0</v>
      </c>
      <c r="E18" s="276" t="s">
        <v>768</v>
      </c>
    </row>
    <row r="19" spans="2:5" ht="15">
      <c r="B19" s="273" t="s">
        <v>763</v>
      </c>
      <c r="C19" s="274" t="s">
        <v>764</v>
      </c>
      <c r="D19" s="275">
        <f>'Rabies form'!E353</f>
        <v>0</v>
      </c>
      <c r="E19" s="276" t="s">
        <v>768</v>
      </c>
    </row>
    <row r="20" spans="2:9" ht="25.5" customHeight="1">
      <c r="B20" s="273" t="s">
        <v>766</v>
      </c>
      <c r="C20" s="274" t="s">
        <v>767</v>
      </c>
      <c r="D20" s="289">
        <v>1</v>
      </c>
      <c r="E20" s="274" t="s">
        <v>765</v>
      </c>
      <c r="G20" s="277"/>
      <c r="H20" s="874"/>
      <c r="I20" s="875"/>
    </row>
  </sheetData>
  <sheetProtection password="CC4C" sheet="1"/>
  <mergeCells count="4">
    <mergeCell ref="C9:E9"/>
    <mergeCell ref="C10:E10"/>
    <mergeCell ref="C11:E11"/>
    <mergeCell ref="H20:I20"/>
  </mergeCells>
  <hyperlinks>
    <hyperlink ref="H2" r:id="rId1" display="5hour@movianto.com"/>
    <hyperlink ref="H3" r:id="rId2" display="francine.stalham@ukhsa.gov.uk"/>
  </hyperlinks>
  <printOptions/>
  <pageMargins left="0.7" right="0.7" top="0.75" bottom="0.75" header="0.3" footer="0.3"/>
  <pageSetup horizontalDpi="600" verticalDpi="600" orientation="portrait" paperSize="9"/>
  <legacyDrawing r:id="rId3"/>
</worksheet>
</file>

<file path=xl/worksheets/sheet2.xml><?xml version="1.0" encoding="utf-8"?>
<worksheet xmlns="http://schemas.openxmlformats.org/spreadsheetml/2006/main" xmlns:r="http://schemas.openxmlformats.org/officeDocument/2006/relationships">
  <sheetPr codeName="Sheet16"/>
  <dimension ref="A2:A21"/>
  <sheetViews>
    <sheetView zoomScalePageLayoutView="0" workbookViewId="0" topLeftCell="A1">
      <selection activeCell="F2" sqref="F2"/>
    </sheetView>
  </sheetViews>
  <sheetFormatPr defaultColWidth="8.8515625" defaultRowHeight="12.75"/>
  <cols>
    <col min="1" max="1" width="93.140625" style="0" customWidth="1"/>
  </cols>
  <sheetData>
    <row r="2" ht="270">
      <c r="A2" s="250" t="s">
        <v>749</v>
      </c>
    </row>
    <row r="4" ht="193.5">
      <c r="A4" s="251" t="s">
        <v>781</v>
      </c>
    </row>
    <row r="6" ht="15">
      <c r="A6" s="252"/>
    </row>
    <row r="7" ht="15">
      <c r="A7" s="252"/>
    </row>
    <row r="9" ht="19.5">
      <c r="A9" s="253"/>
    </row>
    <row r="11" ht="68.25" customHeight="1">
      <c r="A11" s="252"/>
    </row>
    <row r="12" ht="15">
      <c r="A12" s="252"/>
    </row>
    <row r="14" ht="15">
      <c r="A14" s="252"/>
    </row>
    <row r="16" ht="15">
      <c r="A16" s="254"/>
    </row>
    <row r="18" ht="12">
      <c r="A18" s="255"/>
    </row>
    <row r="19" ht="12">
      <c r="A19" s="255"/>
    </row>
    <row r="20" ht="12">
      <c r="A20" s="255"/>
    </row>
    <row r="21" ht="12">
      <c r="A21" s="255"/>
    </row>
  </sheetData>
  <sheetProtection password="CC4C" sheet="1" objects="1" scenarios="1"/>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2">
    <pageSetUpPr fitToPage="1"/>
  </sheetPr>
  <dimension ref="A1:HN644"/>
  <sheetViews>
    <sheetView showGridLines="0" tabSelected="1" zoomScalePageLayoutView="75" workbookViewId="0" topLeftCell="A273">
      <selection activeCell="D277" sqref="D277:E277"/>
    </sheetView>
  </sheetViews>
  <sheetFormatPr defaultColWidth="11.421875" defaultRowHeight="12.75"/>
  <cols>
    <col min="1" max="2" width="4.7109375" style="3" customWidth="1"/>
    <col min="3" max="5" width="7.421875" style="3" customWidth="1"/>
    <col min="6" max="6" width="8.00390625" style="3" customWidth="1"/>
    <col min="7" max="7" width="8.421875" style="3" customWidth="1"/>
    <col min="8" max="8" width="8.7109375" style="3" customWidth="1"/>
    <col min="9" max="9" width="8.00390625" style="3" customWidth="1"/>
    <col min="10" max="13" width="11.421875" style="3" customWidth="1"/>
    <col min="14" max="14" width="11.00390625" style="3" customWidth="1"/>
    <col min="15" max="15" width="8.140625" style="3" customWidth="1"/>
    <col min="16" max="16" width="10.28125" style="3" hidden="1" customWidth="1"/>
    <col min="17" max="19" width="9.140625" style="3" hidden="1" customWidth="1"/>
    <col min="20" max="20" width="11.421875" style="3" hidden="1" customWidth="1"/>
    <col min="21" max="21" width="17.00390625" style="3" hidden="1" customWidth="1"/>
    <col min="22" max="25" width="17.140625" style="3" hidden="1" customWidth="1"/>
    <col min="26" max="29" width="17.140625" style="57" hidden="1" customWidth="1"/>
    <col min="30" max="33" width="17.140625" style="3" hidden="1" customWidth="1"/>
    <col min="34" max="35" width="16.8515625" style="3" hidden="1" customWidth="1"/>
    <col min="36" max="36" width="31.7109375" style="3" hidden="1" customWidth="1"/>
    <col min="37" max="40" width="16.8515625" style="3" hidden="1" customWidth="1"/>
    <col min="41" max="41" width="25.7109375" style="3" hidden="1" customWidth="1"/>
    <col min="42" max="47" width="16.8515625" style="3" hidden="1" customWidth="1"/>
    <col min="48" max="52" width="9.140625" style="3" hidden="1" customWidth="1"/>
    <col min="53" max="67" width="9.140625" style="3" customWidth="1"/>
    <col min="68" max="16384" width="11.421875" style="3" customWidth="1"/>
  </cols>
  <sheetData>
    <row r="1" spans="6:45" ht="15" customHeight="1" hidden="1">
      <c r="F1" s="351" t="s">
        <v>310</v>
      </c>
      <c r="G1" s="352"/>
      <c r="H1" s="352"/>
      <c r="U1" s="188"/>
      <c r="V1" s="3" t="s">
        <v>584</v>
      </c>
      <c r="X1" s="4" t="s">
        <v>19</v>
      </c>
      <c r="Y1" s="4" t="s">
        <v>22</v>
      </c>
      <c r="Z1" s="59" t="s">
        <v>614</v>
      </c>
      <c r="AA1" s="59" t="s">
        <v>614</v>
      </c>
      <c r="AB1" s="61" t="s">
        <v>652</v>
      </c>
      <c r="AC1" s="68" t="e">
        <f aca="true" t="shared" si="0" ref="AC1:AC7">IF($X$290="Bat",AB1,IF($X$290="Rodent or primate",AA1,Z1))</f>
        <v>#N/A</v>
      </c>
      <c r="AD1" s="4" t="s">
        <v>362</v>
      </c>
      <c r="AE1" s="4" t="s">
        <v>31</v>
      </c>
      <c r="AF1" s="4" t="s">
        <v>32</v>
      </c>
      <c r="AG1" s="4" t="s">
        <v>33</v>
      </c>
      <c r="AH1" s="4" t="s">
        <v>34</v>
      </c>
      <c r="AI1" s="4" t="s">
        <v>604</v>
      </c>
      <c r="AJ1" s="4" t="s">
        <v>665</v>
      </c>
      <c r="AK1" s="4" t="s">
        <v>61</v>
      </c>
      <c r="AL1" s="202"/>
      <c r="AM1" s="3" t="s">
        <v>71</v>
      </c>
      <c r="AO1" s="29" t="s">
        <v>73</v>
      </c>
      <c r="AP1" s="30"/>
      <c r="AR1" s="240" t="s">
        <v>717</v>
      </c>
      <c r="AS1" s="3" t="s">
        <v>557</v>
      </c>
    </row>
    <row r="2" spans="6:45" ht="15" customHeight="1" hidden="1">
      <c r="F2" s="351" t="s">
        <v>538</v>
      </c>
      <c r="G2" s="353"/>
      <c r="H2" s="353"/>
      <c r="U2" s="188"/>
      <c r="V2" s="3" t="s">
        <v>380</v>
      </c>
      <c r="X2" s="4" t="s">
        <v>55</v>
      </c>
      <c r="Y2" s="4" t="s">
        <v>44</v>
      </c>
      <c r="Z2" s="59" t="s">
        <v>615</v>
      </c>
      <c r="AA2" s="59" t="s">
        <v>615</v>
      </c>
      <c r="AB2" s="61" t="s">
        <v>653</v>
      </c>
      <c r="AC2" s="68" t="e">
        <f t="shared" si="0"/>
        <v>#N/A</v>
      </c>
      <c r="AD2" s="4" t="s">
        <v>42</v>
      </c>
      <c r="AE2" s="4" t="s">
        <v>31</v>
      </c>
      <c r="AF2" s="4" t="s">
        <v>35</v>
      </c>
      <c r="AG2" s="4" t="s">
        <v>36</v>
      </c>
      <c r="AH2" s="3" t="s">
        <v>563</v>
      </c>
      <c r="AI2" s="4" t="s">
        <v>603</v>
      </c>
      <c r="AJ2" s="4" t="s">
        <v>666</v>
      </c>
      <c r="AK2" s="4" t="s">
        <v>62</v>
      </c>
      <c r="AL2" s="202"/>
      <c r="AM2" s="3" t="s">
        <v>699</v>
      </c>
      <c r="AO2" s="29" t="s">
        <v>74</v>
      </c>
      <c r="AP2" s="30"/>
      <c r="AR2" s="57" t="s">
        <v>565</v>
      </c>
      <c r="AS2" s="3" t="s">
        <v>553</v>
      </c>
    </row>
    <row r="3" spans="6:45" ht="28.5" customHeight="1" hidden="1">
      <c r="F3" s="354" t="s">
        <v>72</v>
      </c>
      <c r="G3" s="352"/>
      <c r="H3" s="352"/>
      <c r="U3" s="187"/>
      <c r="V3" s="3" t="s">
        <v>378</v>
      </c>
      <c r="X3" s="4" t="s">
        <v>373</v>
      </c>
      <c r="Y3" s="3" t="s">
        <v>387</v>
      </c>
      <c r="Z3" s="59" t="s">
        <v>741</v>
      </c>
      <c r="AA3" s="59" t="s">
        <v>741</v>
      </c>
      <c r="AB3" s="61" t="s">
        <v>742</v>
      </c>
      <c r="AC3" s="68" t="e">
        <f t="shared" si="0"/>
        <v>#N/A</v>
      </c>
      <c r="AD3" s="4" t="s">
        <v>597</v>
      </c>
      <c r="AE3" s="4" t="s">
        <v>602</v>
      </c>
      <c r="AF3" s="4" t="s">
        <v>10</v>
      </c>
      <c r="AG3" s="4" t="s">
        <v>10</v>
      </c>
      <c r="AH3" s="3" t="s">
        <v>610</v>
      </c>
      <c r="AI3" s="4" t="s">
        <v>37</v>
      </c>
      <c r="AJ3" s="4" t="s">
        <v>10</v>
      </c>
      <c r="AK3" s="4" t="s">
        <v>63</v>
      </c>
      <c r="AL3" s="202"/>
      <c r="AM3" s="3" t="s">
        <v>700</v>
      </c>
      <c r="AO3" s="29" t="s">
        <v>75</v>
      </c>
      <c r="AP3" s="30"/>
      <c r="AR3" s="57" t="s">
        <v>592</v>
      </c>
      <c r="AS3" s="3" t="s">
        <v>552</v>
      </c>
    </row>
    <row r="4" spans="6:45" ht="15" customHeight="1" hidden="1">
      <c r="F4" s="29" t="s">
        <v>73</v>
      </c>
      <c r="U4" s="62"/>
      <c r="V4" s="3" t="s">
        <v>382</v>
      </c>
      <c r="X4" s="4"/>
      <c r="Y4" s="3" t="s">
        <v>545</v>
      </c>
      <c r="Z4" s="59" t="s">
        <v>740</v>
      </c>
      <c r="AA4" s="59" t="s">
        <v>740</v>
      </c>
      <c r="AB4" s="61" t="s">
        <v>743</v>
      </c>
      <c r="AC4" s="68" t="e">
        <f t="shared" si="0"/>
        <v>#N/A</v>
      </c>
      <c r="AD4" s="4" t="s">
        <v>598</v>
      </c>
      <c r="AE4" s="4" t="s">
        <v>602</v>
      </c>
      <c r="AF4" s="4"/>
      <c r="AG4" s="4"/>
      <c r="AH4" s="4" t="s">
        <v>10</v>
      </c>
      <c r="AI4" s="4" t="s">
        <v>38</v>
      </c>
      <c r="AJ4" s="4"/>
      <c r="AK4" s="4" t="s">
        <v>596</v>
      </c>
      <c r="AL4" s="202"/>
      <c r="AM4" s="3" t="s">
        <v>548</v>
      </c>
      <c r="AO4" s="29" t="s">
        <v>76</v>
      </c>
      <c r="AP4" s="30"/>
      <c r="AR4" s="57" t="s">
        <v>588</v>
      </c>
      <c r="AS4" s="3" t="s">
        <v>550</v>
      </c>
    </row>
    <row r="5" spans="6:45" ht="32.25" customHeight="1" hidden="1">
      <c r="F5" s="29" t="s">
        <v>74</v>
      </c>
      <c r="U5" s="186"/>
      <c r="V5" s="3" t="s">
        <v>383</v>
      </c>
      <c r="X5" s="4"/>
      <c r="Y5" s="4" t="s">
        <v>68</v>
      </c>
      <c r="Z5" s="59" t="s">
        <v>656</v>
      </c>
      <c r="AA5" s="59" t="s">
        <v>656</v>
      </c>
      <c r="AB5" s="61" t="s">
        <v>692</v>
      </c>
      <c r="AC5" s="68" t="e">
        <f t="shared" si="0"/>
        <v>#N/A</v>
      </c>
      <c r="AD5" s="4" t="s">
        <v>599</v>
      </c>
      <c r="AE5" s="4" t="s">
        <v>602</v>
      </c>
      <c r="AF5" s="4"/>
      <c r="AG5" s="4"/>
      <c r="AH5" s="4"/>
      <c r="AI5" s="3" t="s">
        <v>374</v>
      </c>
      <c r="AJ5" s="4"/>
      <c r="AK5" s="4" t="s">
        <v>64</v>
      </c>
      <c r="AO5" s="29" t="s">
        <v>77</v>
      </c>
      <c r="AP5" s="30"/>
      <c r="AR5" s="170" t="s">
        <v>794</v>
      </c>
      <c r="AS5" s="3" t="s">
        <v>554</v>
      </c>
    </row>
    <row r="6" spans="6:45" ht="17.25" customHeight="1" hidden="1">
      <c r="F6" s="29" t="s">
        <v>75</v>
      </c>
      <c r="Q6" s="6"/>
      <c r="U6"/>
      <c r="V6" s="3" t="s">
        <v>384</v>
      </c>
      <c r="X6" s="4"/>
      <c r="Y6" s="4"/>
      <c r="Z6" s="59" t="s">
        <v>616</v>
      </c>
      <c r="AA6" s="59" t="s">
        <v>616</v>
      </c>
      <c r="AB6" s="61" t="s">
        <v>661</v>
      </c>
      <c r="AC6" s="68" t="e">
        <f t="shared" si="0"/>
        <v>#N/A</v>
      </c>
      <c r="AD6" s="4" t="s">
        <v>6</v>
      </c>
      <c r="AE6" s="3" t="s">
        <v>370</v>
      </c>
      <c r="AF6" s="4"/>
      <c r="AG6" s="4"/>
      <c r="AH6" s="4"/>
      <c r="AI6" s="4" t="s">
        <v>10</v>
      </c>
      <c r="AJ6" s="4"/>
      <c r="AK6" s="4" t="s">
        <v>55</v>
      </c>
      <c r="AM6" s="3" t="s">
        <v>491</v>
      </c>
      <c r="AO6" s="29" t="s">
        <v>78</v>
      </c>
      <c r="AP6" s="30"/>
      <c r="AR6" s="170" t="s">
        <v>487</v>
      </c>
      <c r="AS6" s="3" t="s">
        <v>551</v>
      </c>
    </row>
    <row r="7" spans="6:45" ht="20.25" customHeight="1" hidden="1">
      <c r="F7" s="29" t="s">
        <v>76</v>
      </c>
      <c r="U7" s="125"/>
      <c r="V7" s="3" t="s">
        <v>379</v>
      </c>
      <c r="X7" s="4"/>
      <c r="Y7" s="4"/>
      <c r="Z7" s="59" t="s">
        <v>651</v>
      </c>
      <c r="AA7" s="59" t="s">
        <v>651</v>
      </c>
      <c r="AB7" s="61" t="s">
        <v>612</v>
      </c>
      <c r="AC7" s="68" t="e">
        <f t="shared" si="0"/>
        <v>#N/A</v>
      </c>
      <c r="AD7" s="4"/>
      <c r="AE7" s="4"/>
      <c r="AF7" s="4"/>
      <c r="AG7" s="4"/>
      <c r="AH7" s="4"/>
      <c r="AI7" s="4"/>
      <c r="AJ7" s="4"/>
      <c r="AK7" s="4"/>
      <c r="AO7" s="29" t="s">
        <v>79</v>
      </c>
      <c r="AP7" s="30"/>
      <c r="AR7" s="57" t="s">
        <v>737</v>
      </c>
      <c r="AS7" s="124" t="s">
        <v>555</v>
      </c>
    </row>
    <row r="8" spans="6:45" ht="20.25" customHeight="1" hidden="1">
      <c r="F8" s="29" t="s">
        <v>77</v>
      </c>
      <c r="U8" s="125"/>
      <c r="V8" s="3" t="s">
        <v>385</v>
      </c>
      <c r="X8" s="4"/>
      <c r="Y8" s="4"/>
      <c r="Z8" s="59" t="s">
        <v>13</v>
      </c>
      <c r="AA8" s="57" t="s">
        <v>13</v>
      </c>
      <c r="AB8" s="57" t="s">
        <v>13</v>
      </c>
      <c r="AC8" s="57" t="s">
        <v>331</v>
      </c>
      <c r="AD8" s="4" t="s">
        <v>6</v>
      </c>
      <c r="AE8" s="4"/>
      <c r="AF8" s="4"/>
      <c r="AG8" s="4"/>
      <c r="AH8" s="4"/>
      <c r="AI8" s="4"/>
      <c r="AJ8" s="4"/>
      <c r="AK8" s="4"/>
      <c r="AO8" s="29" t="s">
        <v>80</v>
      </c>
      <c r="AP8" s="30"/>
      <c r="AR8" s="57" t="s">
        <v>662</v>
      </c>
      <c r="AS8" s="3" t="s">
        <v>385</v>
      </c>
    </row>
    <row r="9" spans="6:45" ht="20.25" customHeight="1" hidden="1">
      <c r="F9" s="29" t="s">
        <v>78</v>
      </c>
      <c r="V9" s="3" t="s">
        <v>6</v>
      </c>
      <c r="AA9" s="61"/>
      <c r="AB9" s="61"/>
      <c r="AC9" s="68"/>
      <c r="AD9" s="4" t="s">
        <v>13</v>
      </c>
      <c r="AO9" s="29" t="s">
        <v>81</v>
      </c>
      <c r="AP9" s="30"/>
      <c r="AR9" s="57" t="s">
        <v>747</v>
      </c>
      <c r="AS9" s="3" t="s">
        <v>556</v>
      </c>
    </row>
    <row r="10" spans="6:44" ht="20.25" customHeight="1" hidden="1">
      <c r="F10" s="29" t="s">
        <v>79</v>
      </c>
      <c r="V10" s="3" t="s">
        <v>331</v>
      </c>
      <c r="AO10" s="29" t="s">
        <v>82</v>
      </c>
      <c r="AP10" s="30"/>
      <c r="AR10" s="57" t="s">
        <v>325</v>
      </c>
    </row>
    <row r="11" spans="6:44" ht="20.25" customHeight="1" hidden="1">
      <c r="F11" s="29" t="s">
        <v>80</v>
      </c>
      <c r="AO11" s="29" t="s">
        <v>83</v>
      </c>
      <c r="AP11" s="30"/>
      <c r="AR11" s="57" t="s">
        <v>663</v>
      </c>
    </row>
    <row r="12" spans="6:44" ht="18.75" customHeight="1" hidden="1">
      <c r="F12" s="29" t="s">
        <v>81</v>
      </c>
      <c r="AO12" s="29" t="s">
        <v>84</v>
      </c>
      <c r="AP12" s="30"/>
      <c r="AR12" s="57" t="s">
        <v>788</v>
      </c>
    </row>
    <row r="13" spans="6:44" ht="15" customHeight="1" hidden="1">
      <c r="F13" s="29" t="s">
        <v>82</v>
      </c>
      <c r="AO13" s="29" t="s">
        <v>85</v>
      </c>
      <c r="AP13" s="30"/>
      <c r="AR13" s="57" t="s">
        <v>654</v>
      </c>
    </row>
    <row r="14" spans="6:44" ht="15.75" customHeight="1" hidden="1">
      <c r="F14" s="29" t="s">
        <v>83</v>
      </c>
      <c r="AO14" s="29" t="s">
        <v>86</v>
      </c>
      <c r="AP14" s="30"/>
      <c r="AR14" s="57" t="s">
        <v>326</v>
      </c>
    </row>
    <row r="15" spans="6:44" ht="15" hidden="1">
      <c r="F15" s="29" t="s">
        <v>84</v>
      </c>
      <c r="AO15" s="29" t="s">
        <v>87</v>
      </c>
      <c r="AP15" s="30"/>
      <c r="AR15" s="57" t="s">
        <v>589</v>
      </c>
    </row>
    <row r="16" spans="6:44" ht="16.5" customHeight="1" hidden="1">
      <c r="F16" s="29" t="s">
        <v>85</v>
      </c>
      <c r="AO16" s="29" t="s">
        <v>88</v>
      </c>
      <c r="AP16" s="30"/>
      <c r="AR16" s="57" t="s">
        <v>793</v>
      </c>
    </row>
    <row r="17" spans="6:44" ht="15" hidden="1">
      <c r="F17" s="29" t="s">
        <v>86</v>
      </c>
      <c r="AO17" s="31" t="s">
        <v>89</v>
      </c>
      <c r="AP17" s="32"/>
      <c r="AR17" s="57" t="s">
        <v>739</v>
      </c>
    </row>
    <row r="18" spans="6:44" ht="15" hidden="1">
      <c r="F18" s="29" t="s">
        <v>87</v>
      </c>
      <c r="AO18" s="70" t="s">
        <v>473</v>
      </c>
      <c r="AP18" s="32"/>
      <c r="AR18" s="57" t="s">
        <v>785</v>
      </c>
    </row>
    <row r="19" spans="6:44" ht="13.5" customHeight="1" hidden="1">
      <c r="F19" s="29" t="s">
        <v>88</v>
      </c>
      <c r="AO19" s="27" t="s">
        <v>90</v>
      </c>
      <c r="AP19" s="28"/>
      <c r="AR19" s="57" t="s">
        <v>590</v>
      </c>
    </row>
    <row r="20" spans="6:44" ht="15.75" customHeight="1" hidden="1">
      <c r="F20" s="31" t="s">
        <v>89</v>
      </c>
      <c r="AO20" s="33" t="s">
        <v>91</v>
      </c>
      <c r="AP20" s="33"/>
      <c r="AR20" s="57" t="s">
        <v>591</v>
      </c>
    </row>
    <row r="21" spans="6:44" ht="15" customHeight="1" hidden="1">
      <c r="F21" s="70" t="s">
        <v>473</v>
      </c>
      <c r="AO21" s="29" t="s">
        <v>92</v>
      </c>
      <c r="AP21" s="30"/>
      <c r="AR21" s="57" t="s">
        <v>738</v>
      </c>
    </row>
    <row r="22" spans="6:44" ht="15" hidden="1">
      <c r="F22" s="27" t="s">
        <v>90</v>
      </c>
      <c r="AO22" s="29" t="s">
        <v>93</v>
      </c>
      <c r="AP22" s="30"/>
      <c r="AR22" s="3" t="s">
        <v>736</v>
      </c>
    </row>
    <row r="23" spans="6:42" ht="13.5" customHeight="1" hidden="1">
      <c r="F23" s="33" t="s">
        <v>91</v>
      </c>
      <c r="AO23" s="29" t="s">
        <v>94</v>
      </c>
      <c r="AP23" s="30"/>
    </row>
    <row r="24" spans="6:42" ht="15" hidden="1">
      <c r="F24" s="29" t="s">
        <v>92</v>
      </c>
      <c r="AO24" s="29" t="s">
        <v>95</v>
      </c>
      <c r="AP24" s="30"/>
    </row>
    <row r="25" spans="6:42" ht="36.75" customHeight="1" hidden="1">
      <c r="F25" s="29" t="s">
        <v>93</v>
      </c>
      <c r="AO25" s="29" t="s">
        <v>96</v>
      </c>
      <c r="AP25" s="30"/>
    </row>
    <row r="26" spans="6:42" ht="25.5" hidden="1">
      <c r="F26" s="29" t="s">
        <v>94</v>
      </c>
      <c r="AO26" s="29" t="s">
        <v>97</v>
      </c>
      <c r="AP26" s="30"/>
    </row>
    <row r="27" spans="6:42" ht="15" hidden="1">
      <c r="F27" s="29" t="s">
        <v>95</v>
      </c>
      <c r="AO27" s="29" t="s">
        <v>98</v>
      </c>
      <c r="AP27" s="30"/>
    </row>
    <row r="28" spans="6:42" ht="37.5" customHeight="1" hidden="1">
      <c r="F28" s="29" t="s">
        <v>96</v>
      </c>
      <c r="AO28" s="29" t="s">
        <v>99</v>
      </c>
      <c r="AP28" s="30"/>
    </row>
    <row r="29" spans="6:42" ht="16.5" customHeight="1" hidden="1">
      <c r="F29" s="29" t="s">
        <v>97</v>
      </c>
      <c r="AO29" s="29" t="s">
        <v>100</v>
      </c>
      <c r="AP29" s="30"/>
    </row>
    <row r="30" spans="6:42" ht="16.5" customHeight="1" hidden="1">
      <c r="F30" s="29" t="s">
        <v>98</v>
      </c>
      <c r="AO30" s="29" t="s">
        <v>101</v>
      </c>
      <c r="AP30" s="30"/>
    </row>
    <row r="31" spans="6:42" ht="15.75" customHeight="1" hidden="1">
      <c r="F31" s="29" t="s">
        <v>99</v>
      </c>
      <c r="AO31" s="29" t="s">
        <v>102</v>
      </c>
      <c r="AP31" s="30"/>
    </row>
    <row r="32" spans="6:42" ht="16.5" customHeight="1" hidden="1">
      <c r="F32" s="29" t="s">
        <v>100</v>
      </c>
      <c r="AO32" s="29" t="s">
        <v>103</v>
      </c>
      <c r="AP32" s="30"/>
    </row>
    <row r="33" spans="6:42" ht="15" customHeight="1" hidden="1">
      <c r="F33" s="29" t="s">
        <v>101</v>
      </c>
      <c r="AO33" s="29" t="s">
        <v>104</v>
      </c>
      <c r="AP33" s="30"/>
    </row>
    <row r="34" spans="6:42" ht="15.75" customHeight="1" hidden="1">
      <c r="F34" s="29" t="s">
        <v>102</v>
      </c>
      <c r="AO34" s="29" t="s">
        <v>105</v>
      </c>
      <c r="AP34" s="30"/>
    </row>
    <row r="35" spans="6:42" ht="51" hidden="1">
      <c r="F35" s="29" t="s">
        <v>103</v>
      </c>
      <c r="AO35" s="29" t="s">
        <v>106</v>
      </c>
      <c r="AP35" s="30"/>
    </row>
    <row r="36" spans="6:42" ht="54" customHeight="1" hidden="1">
      <c r="F36" s="29" t="s">
        <v>104</v>
      </c>
      <c r="AO36" s="29" t="s">
        <v>107</v>
      </c>
      <c r="AP36" s="30"/>
    </row>
    <row r="37" spans="6:42" ht="15" hidden="1">
      <c r="F37" s="29" t="s">
        <v>105</v>
      </c>
      <c r="AO37" s="29" t="s">
        <v>108</v>
      </c>
      <c r="AP37" s="30"/>
    </row>
    <row r="38" spans="6:42" ht="38.25" hidden="1">
      <c r="F38" s="29" t="s">
        <v>106</v>
      </c>
      <c r="AO38" s="29" t="s">
        <v>109</v>
      </c>
      <c r="AP38" s="30"/>
    </row>
    <row r="39" spans="6:42" ht="15" customHeight="1" hidden="1">
      <c r="F39" s="29" t="s">
        <v>107</v>
      </c>
      <c r="AO39" s="29" t="s">
        <v>110</v>
      </c>
      <c r="AP39" s="30"/>
    </row>
    <row r="40" spans="6:42" ht="15" customHeight="1" hidden="1">
      <c r="F40" s="29" t="s">
        <v>108</v>
      </c>
      <c r="AO40" s="33" t="s">
        <v>111</v>
      </c>
      <c r="AP40" s="33"/>
    </row>
    <row r="41" spans="6:42" ht="15" customHeight="1" hidden="1">
      <c r="F41" s="29" t="s">
        <v>109</v>
      </c>
      <c r="AO41" s="34" t="s">
        <v>112</v>
      </c>
      <c r="AP41" s="34"/>
    </row>
    <row r="42" spans="6:42" ht="15" customHeight="1" hidden="1">
      <c r="F42" s="29" t="s">
        <v>110</v>
      </c>
      <c r="AO42" s="34" t="s">
        <v>113</v>
      </c>
      <c r="AP42" s="34"/>
    </row>
    <row r="43" spans="6:42" ht="15" customHeight="1" hidden="1">
      <c r="F43" s="33" t="s">
        <v>111</v>
      </c>
      <c r="AO43" s="34" t="s">
        <v>504</v>
      </c>
      <c r="AP43" s="34"/>
    </row>
    <row r="44" spans="6:42" ht="15.75" customHeight="1" hidden="1">
      <c r="F44" s="34" t="s">
        <v>112</v>
      </c>
      <c r="AO44" s="34" t="s">
        <v>114</v>
      </c>
      <c r="AP44" s="34"/>
    </row>
    <row r="45" spans="6:42" ht="25.5" hidden="1">
      <c r="F45" s="34" t="s">
        <v>113</v>
      </c>
      <c r="AO45" s="34" t="s">
        <v>115</v>
      </c>
      <c r="AP45" s="34"/>
    </row>
    <row r="46" spans="6:42" ht="25.5" hidden="1">
      <c r="F46" s="34" t="s">
        <v>504</v>
      </c>
      <c r="AO46" s="34" t="s">
        <v>116</v>
      </c>
      <c r="AP46" s="34"/>
    </row>
    <row r="47" spans="6:42" ht="15" hidden="1">
      <c r="F47" s="34" t="s">
        <v>114</v>
      </c>
      <c r="AO47" s="34" t="s">
        <v>117</v>
      </c>
      <c r="AP47" s="34"/>
    </row>
    <row r="48" spans="6:42" ht="25.5" hidden="1">
      <c r="F48" s="34" t="s">
        <v>115</v>
      </c>
      <c r="AO48" s="34" t="s">
        <v>118</v>
      </c>
      <c r="AP48" s="34"/>
    </row>
    <row r="49" spans="6:42" ht="25.5" hidden="1">
      <c r="F49" s="34" t="s">
        <v>116</v>
      </c>
      <c r="AO49" s="34" t="s">
        <v>119</v>
      </c>
      <c r="AP49" s="34"/>
    </row>
    <row r="50" spans="6:42" ht="25.5" hidden="1">
      <c r="F50" s="34" t="s">
        <v>117</v>
      </c>
      <c r="AO50" s="34" t="s">
        <v>558</v>
      </c>
      <c r="AP50" s="34"/>
    </row>
    <row r="51" spans="6:42" ht="38.25" hidden="1">
      <c r="F51" s="34" t="s">
        <v>118</v>
      </c>
      <c r="AO51" s="34" t="s">
        <v>120</v>
      </c>
      <c r="AP51" s="34"/>
    </row>
    <row r="52" spans="6:42" ht="15" hidden="1">
      <c r="F52" s="34" t="s">
        <v>119</v>
      </c>
      <c r="AO52" s="34" t="s">
        <v>121</v>
      </c>
      <c r="AP52" s="34"/>
    </row>
    <row r="53" spans="6:42" ht="25.5" hidden="1">
      <c r="F53" s="34" t="s">
        <v>558</v>
      </c>
      <c r="AO53" s="34" t="s">
        <v>122</v>
      </c>
      <c r="AP53" s="34"/>
    </row>
    <row r="54" spans="6:42" ht="15" hidden="1">
      <c r="F54" s="34" t="s">
        <v>120</v>
      </c>
      <c r="AO54" s="34" t="s">
        <v>123</v>
      </c>
      <c r="AP54" s="34"/>
    </row>
    <row r="55" spans="6:42" ht="15" hidden="1">
      <c r="F55" s="34" t="s">
        <v>121</v>
      </c>
      <c r="AO55" s="34" t="s">
        <v>124</v>
      </c>
      <c r="AP55" s="34"/>
    </row>
    <row r="56" spans="6:42" ht="25.5" hidden="1">
      <c r="F56" s="34" t="s">
        <v>122</v>
      </c>
      <c r="AO56" s="34" t="s">
        <v>125</v>
      </c>
      <c r="AP56" s="34"/>
    </row>
    <row r="57" spans="6:42" ht="38.25" hidden="1">
      <c r="F57" s="34" t="s">
        <v>123</v>
      </c>
      <c r="AO57" s="34" t="s">
        <v>126</v>
      </c>
      <c r="AP57" s="34"/>
    </row>
    <row r="58" spans="6:42" ht="25.5" hidden="1">
      <c r="F58" s="34" t="s">
        <v>124</v>
      </c>
      <c r="AO58" s="34" t="s">
        <v>127</v>
      </c>
      <c r="AP58" s="34"/>
    </row>
    <row r="59" spans="6:42" ht="25.5" hidden="1">
      <c r="F59" s="34" t="s">
        <v>125</v>
      </c>
      <c r="AO59" s="34" t="s">
        <v>128</v>
      </c>
      <c r="AP59" s="34"/>
    </row>
    <row r="60" spans="6:42" ht="38.25" hidden="1">
      <c r="F60" s="34" t="s">
        <v>126</v>
      </c>
      <c r="AO60" s="34" t="s">
        <v>129</v>
      </c>
      <c r="AP60" s="34"/>
    </row>
    <row r="61" spans="6:42" ht="63" hidden="1">
      <c r="F61" s="34" t="s">
        <v>127</v>
      </c>
      <c r="AO61" s="34" t="s">
        <v>130</v>
      </c>
      <c r="AP61" s="34"/>
    </row>
    <row r="62" spans="6:42" ht="25.5" hidden="1">
      <c r="F62" s="34" t="s">
        <v>128</v>
      </c>
      <c r="AO62" s="34" t="s">
        <v>131</v>
      </c>
      <c r="AP62" s="34"/>
    </row>
    <row r="63" spans="6:42" ht="15" hidden="1">
      <c r="F63" s="34" t="s">
        <v>129</v>
      </c>
      <c r="AO63" s="34" t="s">
        <v>132</v>
      </c>
      <c r="AP63" s="34"/>
    </row>
    <row r="64" spans="6:42" ht="25.5" hidden="1">
      <c r="F64" s="34" t="s">
        <v>130</v>
      </c>
      <c r="AO64" s="34" t="s">
        <v>133</v>
      </c>
      <c r="AP64" s="34"/>
    </row>
    <row r="65" spans="6:42" ht="25.5" hidden="1">
      <c r="F65" s="34" t="s">
        <v>131</v>
      </c>
      <c r="AO65" s="34" t="s">
        <v>134</v>
      </c>
      <c r="AP65" s="34"/>
    </row>
    <row r="66" spans="6:42" ht="15" hidden="1">
      <c r="F66" s="34" t="s">
        <v>132</v>
      </c>
      <c r="AO66" s="34" t="s">
        <v>135</v>
      </c>
      <c r="AP66" s="34"/>
    </row>
    <row r="67" spans="6:42" ht="25.5" hidden="1">
      <c r="F67" s="34" t="s">
        <v>133</v>
      </c>
      <c r="AO67" s="34" t="s">
        <v>505</v>
      </c>
      <c r="AP67" s="34"/>
    </row>
    <row r="68" spans="6:42" ht="25.5" hidden="1">
      <c r="F68" s="34" t="s">
        <v>134</v>
      </c>
      <c r="AO68" s="34" t="s">
        <v>136</v>
      </c>
      <c r="AP68" s="34"/>
    </row>
    <row r="69" spans="6:42" ht="25.5" hidden="1">
      <c r="F69" s="34" t="s">
        <v>135</v>
      </c>
      <c r="AO69" s="34" t="s">
        <v>137</v>
      </c>
      <c r="AP69" s="34"/>
    </row>
    <row r="70" spans="6:42" ht="88.5" hidden="1">
      <c r="F70" s="34" t="s">
        <v>505</v>
      </c>
      <c r="AO70" s="34" t="s">
        <v>138</v>
      </c>
      <c r="AP70" s="34"/>
    </row>
    <row r="71" spans="6:42" ht="63" hidden="1">
      <c r="F71" s="34" t="s">
        <v>136</v>
      </c>
      <c r="AO71" s="34" t="s">
        <v>139</v>
      </c>
      <c r="AP71" s="34"/>
    </row>
    <row r="72" spans="6:42" ht="15" hidden="1">
      <c r="F72" s="34" t="s">
        <v>137</v>
      </c>
      <c r="AO72" s="34" t="s">
        <v>140</v>
      </c>
      <c r="AP72" s="34"/>
    </row>
    <row r="73" spans="6:42" ht="15" hidden="1">
      <c r="F73" s="34" t="s">
        <v>138</v>
      </c>
      <c r="AO73" s="34" t="s">
        <v>141</v>
      </c>
      <c r="AP73" s="34"/>
    </row>
    <row r="74" spans="6:42" ht="25.5" hidden="1">
      <c r="F74" s="34" t="s">
        <v>139</v>
      </c>
      <c r="AO74" s="34" t="s">
        <v>142</v>
      </c>
      <c r="AP74" s="34"/>
    </row>
    <row r="75" spans="6:42" ht="38.25" hidden="1">
      <c r="F75" s="34" t="s">
        <v>140</v>
      </c>
      <c r="AO75" s="34" t="s">
        <v>143</v>
      </c>
      <c r="AP75" s="34"/>
    </row>
    <row r="76" spans="6:42" ht="25.5" hidden="1">
      <c r="F76" s="34" t="s">
        <v>141</v>
      </c>
      <c r="AO76" s="34" t="s">
        <v>144</v>
      </c>
      <c r="AP76" s="34"/>
    </row>
    <row r="77" spans="6:42" ht="25.5" hidden="1">
      <c r="F77" s="34" t="s">
        <v>142</v>
      </c>
      <c r="AO77" s="34" t="s">
        <v>145</v>
      </c>
      <c r="AP77" s="34"/>
    </row>
    <row r="78" spans="6:42" ht="15" hidden="1">
      <c r="F78" s="34" t="s">
        <v>143</v>
      </c>
      <c r="AO78" s="34" t="s">
        <v>146</v>
      </c>
      <c r="AP78" s="34"/>
    </row>
    <row r="79" spans="6:42" ht="15" hidden="1">
      <c r="F79" s="34" t="s">
        <v>144</v>
      </c>
      <c r="AO79" s="34" t="s">
        <v>147</v>
      </c>
      <c r="AP79" s="34"/>
    </row>
    <row r="80" spans="6:42" ht="25.5" hidden="1">
      <c r="F80" s="34" t="s">
        <v>145</v>
      </c>
      <c r="AO80" s="34" t="s">
        <v>148</v>
      </c>
      <c r="AP80" s="34"/>
    </row>
    <row r="81" spans="6:42" ht="38.25" hidden="1">
      <c r="F81" s="34" t="s">
        <v>146</v>
      </c>
      <c r="AO81" s="34" t="s">
        <v>149</v>
      </c>
      <c r="AP81" s="34"/>
    </row>
    <row r="82" spans="6:42" ht="15" hidden="1">
      <c r="F82" s="34" t="s">
        <v>147</v>
      </c>
      <c r="AO82" s="34" t="s">
        <v>150</v>
      </c>
      <c r="AP82" s="34"/>
    </row>
    <row r="83" spans="6:42" ht="15" hidden="1">
      <c r="F83" s="34" t="s">
        <v>148</v>
      </c>
      <c r="AO83" s="34" t="s">
        <v>151</v>
      </c>
      <c r="AP83" s="34"/>
    </row>
    <row r="84" spans="6:42" ht="15" hidden="1">
      <c r="F84" s="34" t="s">
        <v>149</v>
      </c>
      <c r="AO84" s="34" t="s">
        <v>152</v>
      </c>
      <c r="AP84" s="34"/>
    </row>
    <row r="85" spans="6:42" ht="25.5" hidden="1">
      <c r="F85" s="34" t="s">
        <v>150</v>
      </c>
      <c r="AO85" s="34" t="s">
        <v>153</v>
      </c>
      <c r="AP85" s="34"/>
    </row>
    <row r="86" spans="6:42" ht="25.5" hidden="1">
      <c r="F86" s="34" t="s">
        <v>151</v>
      </c>
      <c r="AO86" s="34" t="s">
        <v>154</v>
      </c>
      <c r="AP86" s="34"/>
    </row>
    <row r="87" spans="6:42" ht="15" hidden="1">
      <c r="F87" s="34" t="s">
        <v>152</v>
      </c>
      <c r="AO87" s="34" t="s">
        <v>155</v>
      </c>
      <c r="AP87" s="62"/>
    </row>
    <row r="88" spans="6:42" ht="15" hidden="1">
      <c r="F88" s="34" t="s">
        <v>153</v>
      </c>
      <c r="AO88" s="34" t="s">
        <v>156</v>
      </c>
      <c r="AP88" s="34"/>
    </row>
    <row r="89" spans="6:42" ht="25.5" hidden="1">
      <c r="F89" s="34" t="s">
        <v>154</v>
      </c>
      <c r="AO89" s="34" t="s">
        <v>157</v>
      </c>
      <c r="AP89" s="34"/>
    </row>
    <row r="90" spans="6:42" ht="15" hidden="1">
      <c r="F90" s="34" t="s">
        <v>155</v>
      </c>
      <c r="AO90" s="34" t="s">
        <v>158</v>
      </c>
      <c r="AP90" s="34"/>
    </row>
    <row r="91" spans="6:42" ht="25.5" hidden="1">
      <c r="F91" s="34" t="s">
        <v>156</v>
      </c>
      <c r="AO91" s="34" t="s">
        <v>159</v>
      </c>
      <c r="AP91" s="34"/>
    </row>
    <row r="92" spans="6:42" ht="38.25" hidden="1">
      <c r="F92" s="34" t="s">
        <v>157</v>
      </c>
      <c r="AO92" s="34" t="s">
        <v>160</v>
      </c>
      <c r="AP92" s="34"/>
    </row>
    <row r="93" spans="6:42" ht="15" hidden="1">
      <c r="F93" s="34" t="s">
        <v>158</v>
      </c>
      <c r="AO93" s="34" t="s">
        <v>161</v>
      </c>
      <c r="AP93" s="34"/>
    </row>
    <row r="94" spans="6:42" ht="38.25" hidden="1">
      <c r="F94" s="34" t="s">
        <v>159</v>
      </c>
      <c r="AO94" s="34" t="s">
        <v>162</v>
      </c>
      <c r="AP94" s="34"/>
    </row>
    <row r="95" spans="6:42" ht="25.5" hidden="1">
      <c r="F95" s="34" t="s">
        <v>160</v>
      </c>
      <c r="AO95" s="34" t="s">
        <v>163</v>
      </c>
      <c r="AP95" s="34"/>
    </row>
    <row r="96" spans="6:42" ht="15" hidden="1">
      <c r="F96" s="34" t="s">
        <v>161</v>
      </c>
      <c r="AO96" s="34" t="s">
        <v>164</v>
      </c>
      <c r="AP96" s="34"/>
    </row>
    <row r="97" spans="6:42" ht="25.5" hidden="1">
      <c r="F97" s="34" t="s">
        <v>162</v>
      </c>
      <c r="AO97" s="62" t="s">
        <v>544</v>
      </c>
      <c r="AP97" s="34"/>
    </row>
    <row r="98" spans="6:42" ht="15" hidden="1">
      <c r="F98" s="34" t="s">
        <v>163</v>
      </c>
      <c r="AO98" s="34" t="s">
        <v>165</v>
      </c>
      <c r="AP98" s="34"/>
    </row>
    <row r="99" spans="6:42" ht="15" hidden="1">
      <c r="F99" s="34" t="s">
        <v>164</v>
      </c>
      <c r="AO99" s="34" t="s">
        <v>166</v>
      </c>
      <c r="AP99" s="34"/>
    </row>
    <row r="100" spans="6:42" ht="15" hidden="1">
      <c r="F100" s="62" t="s">
        <v>544</v>
      </c>
      <c r="AO100" s="34" t="s">
        <v>167</v>
      </c>
      <c r="AP100" s="34"/>
    </row>
    <row r="101" spans="6:42" ht="25.5" hidden="1">
      <c r="F101" s="34" t="s">
        <v>165</v>
      </c>
      <c r="AO101" s="34" t="s">
        <v>168</v>
      </c>
      <c r="AP101" s="34"/>
    </row>
    <row r="102" spans="6:42" ht="15" hidden="1">
      <c r="F102" s="34" t="s">
        <v>166</v>
      </c>
      <c r="AO102" s="34" t="s">
        <v>169</v>
      </c>
      <c r="AP102" s="34"/>
    </row>
    <row r="103" spans="6:42" ht="25.5" hidden="1">
      <c r="F103" s="34" t="s">
        <v>167</v>
      </c>
      <c r="AO103" s="34" t="s">
        <v>170</v>
      </c>
      <c r="AP103" s="34"/>
    </row>
    <row r="104" spans="6:42" ht="15" hidden="1">
      <c r="F104" s="34" t="s">
        <v>168</v>
      </c>
      <c r="AO104" s="34" t="s">
        <v>171</v>
      </c>
      <c r="AP104" s="34"/>
    </row>
    <row r="105" spans="6:42" ht="25.5" hidden="1">
      <c r="F105" s="34" t="s">
        <v>169</v>
      </c>
      <c r="AO105" s="34" t="s">
        <v>172</v>
      </c>
      <c r="AP105" s="34"/>
    </row>
    <row r="106" spans="6:42" ht="15" hidden="1">
      <c r="F106" s="34" t="s">
        <v>170</v>
      </c>
      <c r="AO106" s="34" t="s">
        <v>173</v>
      </c>
      <c r="AP106" s="34"/>
    </row>
    <row r="107" spans="6:42" ht="25.5" hidden="1">
      <c r="F107" s="34" t="s">
        <v>171</v>
      </c>
      <c r="AO107" s="34" t="s">
        <v>174</v>
      </c>
      <c r="AP107" s="34"/>
    </row>
    <row r="108" spans="6:42" ht="15" hidden="1">
      <c r="F108" s="34" t="s">
        <v>172</v>
      </c>
      <c r="AO108" s="34" t="s">
        <v>175</v>
      </c>
      <c r="AP108" s="34"/>
    </row>
    <row r="109" spans="6:42" ht="15" hidden="1">
      <c r="F109" s="34" t="s">
        <v>173</v>
      </c>
      <c r="AO109" s="34" t="s">
        <v>176</v>
      </c>
      <c r="AP109" s="34"/>
    </row>
    <row r="110" spans="6:42" ht="15" hidden="1">
      <c r="F110" s="34" t="s">
        <v>174</v>
      </c>
      <c r="AO110" s="34" t="s">
        <v>177</v>
      </c>
      <c r="AP110" s="34"/>
    </row>
    <row r="111" spans="6:42" ht="25.5" hidden="1">
      <c r="F111" s="34" t="s">
        <v>175</v>
      </c>
      <c r="AO111" s="34" t="s">
        <v>178</v>
      </c>
      <c r="AP111" s="34"/>
    </row>
    <row r="112" spans="6:42" ht="25.5" hidden="1">
      <c r="F112" s="34" t="s">
        <v>176</v>
      </c>
      <c r="AO112" s="34" t="s">
        <v>179</v>
      </c>
      <c r="AP112" s="34"/>
    </row>
    <row r="113" spans="6:42" ht="15" hidden="1">
      <c r="F113" s="34" t="s">
        <v>177</v>
      </c>
      <c r="AO113" s="34" t="s">
        <v>180</v>
      </c>
      <c r="AP113" s="34"/>
    </row>
    <row r="114" spans="6:42" ht="15" hidden="1">
      <c r="F114" s="34" t="s">
        <v>178</v>
      </c>
      <c r="AO114" s="34" t="s">
        <v>181</v>
      </c>
      <c r="AP114" s="34"/>
    </row>
    <row r="115" spans="6:42" ht="15" hidden="1">
      <c r="F115" s="34" t="s">
        <v>179</v>
      </c>
      <c r="AO115" s="34" t="s">
        <v>182</v>
      </c>
      <c r="AP115" s="34"/>
    </row>
    <row r="116" spans="6:42" ht="15" hidden="1">
      <c r="F116" s="34" t="s">
        <v>180</v>
      </c>
      <c r="AO116" s="34" t="s">
        <v>183</v>
      </c>
      <c r="AP116" s="34"/>
    </row>
    <row r="117" spans="6:42" ht="25.5" hidden="1">
      <c r="F117" s="34" t="s">
        <v>181</v>
      </c>
      <c r="AO117" s="34" t="s">
        <v>184</v>
      </c>
      <c r="AP117" s="34"/>
    </row>
    <row r="118" spans="6:42" ht="15" hidden="1">
      <c r="F118" s="34" t="s">
        <v>182</v>
      </c>
      <c r="AO118" s="34" t="s">
        <v>559</v>
      </c>
      <c r="AP118" s="34"/>
    </row>
    <row r="119" spans="6:42" ht="15" hidden="1">
      <c r="F119" s="34" t="s">
        <v>183</v>
      </c>
      <c r="AO119" s="34" t="s">
        <v>185</v>
      </c>
      <c r="AP119" s="34"/>
    </row>
    <row r="120" spans="6:42" ht="15" hidden="1">
      <c r="F120" s="34" t="s">
        <v>184</v>
      </c>
      <c r="AO120" s="34" t="s">
        <v>690</v>
      </c>
      <c r="AP120" s="34"/>
    </row>
    <row r="121" spans="6:42" ht="25.5" hidden="1">
      <c r="F121" s="34" t="s">
        <v>559</v>
      </c>
      <c r="AO121" s="34" t="s">
        <v>186</v>
      </c>
      <c r="AP121" s="34"/>
    </row>
    <row r="122" spans="6:42" ht="25.5" hidden="1">
      <c r="F122" s="34" t="s">
        <v>185</v>
      </c>
      <c r="AO122" s="34" t="s">
        <v>187</v>
      </c>
      <c r="AP122" s="34"/>
    </row>
    <row r="123" spans="6:42" ht="15" hidden="1">
      <c r="F123" s="34" t="s">
        <v>690</v>
      </c>
      <c r="AO123" s="34" t="s">
        <v>188</v>
      </c>
      <c r="AP123" s="34"/>
    </row>
    <row r="124" spans="6:42" ht="15" hidden="1">
      <c r="F124" s="34" t="s">
        <v>186</v>
      </c>
      <c r="AO124" s="34" t="s">
        <v>189</v>
      </c>
      <c r="AP124" s="34"/>
    </row>
    <row r="125" spans="6:42" ht="63" hidden="1">
      <c r="F125" s="34" t="s">
        <v>187</v>
      </c>
      <c r="AO125" s="34" t="s">
        <v>190</v>
      </c>
      <c r="AP125" s="34"/>
    </row>
    <row r="126" spans="6:42" ht="15" hidden="1">
      <c r="F126" s="34" t="s">
        <v>188</v>
      </c>
      <c r="AO126" s="34" t="s">
        <v>191</v>
      </c>
      <c r="AP126" s="34"/>
    </row>
    <row r="127" spans="6:42" ht="15" hidden="1">
      <c r="F127" s="34" t="s">
        <v>189</v>
      </c>
      <c r="AO127" s="34" t="s">
        <v>192</v>
      </c>
      <c r="AP127" s="34"/>
    </row>
    <row r="128" spans="6:42" ht="25.5" hidden="1">
      <c r="F128" s="34" t="s">
        <v>190</v>
      </c>
      <c r="AO128" s="34" t="s">
        <v>193</v>
      </c>
      <c r="AP128" s="34"/>
    </row>
    <row r="129" spans="6:42" ht="15" hidden="1">
      <c r="F129" s="34" t="s">
        <v>191</v>
      </c>
      <c r="AO129" s="34" t="s">
        <v>194</v>
      </c>
      <c r="AP129" s="34"/>
    </row>
    <row r="130" spans="6:42" ht="15" hidden="1">
      <c r="F130" s="34" t="s">
        <v>192</v>
      </c>
      <c r="AO130" s="34" t="s">
        <v>195</v>
      </c>
      <c r="AP130" s="34"/>
    </row>
    <row r="131" spans="6:42" ht="25.5" hidden="1">
      <c r="F131" s="34" t="s">
        <v>193</v>
      </c>
      <c r="AO131" s="34" t="s">
        <v>196</v>
      </c>
      <c r="AP131" s="34"/>
    </row>
    <row r="132" spans="6:42" ht="25.5" hidden="1">
      <c r="F132" s="34" t="s">
        <v>194</v>
      </c>
      <c r="AO132" s="34" t="s">
        <v>197</v>
      </c>
      <c r="AP132" s="34"/>
    </row>
    <row r="133" spans="6:42" ht="15" hidden="1">
      <c r="F133" s="34" t="s">
        <v>195</v>
      </c>
      <c r="AO133" s="34" t="s">
        <v>198</v>
      </c>
      <c r="AP133" s="34"/>
    </row>
    <row r="134" spans="6:42" ht="15" hidden="1">
      <c r="F134" s="34" t="s">
        <v>196</v>
      </c>
      <c r="AO134" s="34" t="s">
        <v>562</v>
      </c>
      <c r="AP134" s="34"/>
    </row>
    <row r="135" spans="6:42" ht="25.5" hidden="1">
      <c r="F135" s="34" t="s">
        <v>197</v>
      </c>
      <c r="AO135" s="34" t="s">
        <v>199</v>
      </c>
      <c r="AP135" s="34"/>
    </row>
    <row r="136" spans="6:42" ht="15" hidden="1">
      <c r="F136" s="34" t="s">
        <v>198</v>
      </c>
      <c r="AO136" s="34" t="s">
        <v>200</v>
      </c>
      <c r="AP136" s="34"/>
    </row>
    <row r="137" spans="6:42" ht="25.5" hidden="1">
      <c r="F137" s="34" t="s">
        <v>562</v>
      </c>
      <c r="AO137" s="34" t="s">
        <v>201</v>
      </c>
      <c r="AP137" s="34"/>
    </row>
    <row r="138" spans="6:42" ht="15" hidden="1">
      <c r="F138" s="34" t="s">
        <v>199</v>
      </c>
      <c r="AO138" s="34" t="s">
        <v>202</v>
      </c>
      <c r="AP138" s="34"/>
    </row>
    <row r="139" spans="6:42" ht="15" hidden="1">
      <c r="F139" s="34" t="s">
        <v>200</v>
      </c>
      <c r="AO139" s="34" t="s">
        <v>203</v>
      </c>
      <c r="AP139" s="34"/>
    </row>
    <row r="140" spans="6:42" ht="15" hidden="1">
      <c r="F140" s="34" t="s">
        <v>201</v>
      </c>
      <c r="AO140" s="34" t="s">
        <v>204</v>
      </c>
      <c r="AP140" s="34"/>
    </row>
    <row r="141" spans="6:42" ht="15" hidden="1">
      <c r="F141" s="34" t="s">
        <v>202</v>
      </c>
      <c r="AO141" s="34" t="s">
        <v>205</v>
      </c>
      <c r="AP141" s="34"/>
    </row>
    <row r="142" spans="6:42" ht="15" hidden="1">
      <c r="F142" s="34" t="s">
        <v>203</v>
      </c>
      <c r="AO142" s="34" t="s">
        <v>206</v>
      </c>
      <c r="AP142" s="34"/>
    </row>
    <row r="143" spans="6:42" ht="25.5" hidden="1">
      <c r="F143" s="34" t="s">
        <v>204</v>
      </c>
      <c r="AO143" s="34" t="s">
        <v>207</v>
      </c>
      <c r="AP143" s="34"/>
    </row>
    <row r="144" spans="6:42" ht="15" hidden="1">
      <c r="F144" s="34" t="s">
        <v>205</v>
      </c>
      <c r="AO144" s="34" t="s">
        <v>208</v>
      </c>
      <c r="AP144" s="34"/>
    </row>
    <row r="145" spans="6:42" ht="25.5" hidden="1">
      <c r="F145" s="34" t="s">
        <v>206</v>
      </c>
      <c r="AO145" s="34" t="s">
        <v>209</v>
      </c>
      <c r="AP145" s="34"/>
    </row>
    <row r="146" spans="6:42" ht="25.5" hidden="1">
      <c r="F146" s="34" t="s">
        <v>207</v>
      </c>
      <c r="AO146" s="34" t="s">
        <v>210</v>
      </c>
      <c r="AP146" s="34"/>
    </row>
    <row r="147" spans="6:42" ht="25.5" hidden="1">
      <c r="F147" s="34" t="s">
        <v>208</v>
      </c>
      <c r="AO147" s="34" t="s">
        <v>211</v>
      </c>
      <c r="AP147" s="34"/>
    </row>
    <row r="148" spans="6:42" ht="25.5" hidden="1">
      <c r="F148" s="34" t="s">
        <v>209</v>
      </c>
      <c r="AO148" s="34" t="s">
        <v>212</v>
      </c>
      <c r="AP148" s="34"/>
    </row>
    <row r="149" spans="6:42" ht="25.5" hidden="1">
      <c r="F149" s="34" t="s">
        <v>210</v>
      </c>
      <c r="AO149" s="34" t="s">
        <v>213</v>
      </c>
      <c r="AP149" s="34"/>
    </row>
    <row r="150" spans="6:42" ht="15" hidden="1">
      <c r="F150" s="34" t="s">
        <v>211</v>
      </c>
      <c r="AO150" s="34" t="s">
        <v>214</v>
      </c>
      <c r="AP150" s="34"/>
    </row>
    <row r="151" spans="6:42" ht="15" hidden="1">
      <c r="F151" s="34" t="s">
        <v>212</v>
      </c>
      <c r="AO151" s="34" t="s">
        <v>215</v>
      </c>
      <c r="AP151" s="34"/>
    </row>
    <row r="152" spans="6:42" ht="15" hidden="1">
      <c r="F152" s="34" t="s">
        <v>213</v>
      </c>
      <c r="AO152" s="34" t="s">
        <v>216</v>
      </c>
      <c r="AP152" s="34"/>
    </row>
    <row r="153" spans="6:42" ht="15" hidden="1">
      <c r="F153" s="34" t="s">
        <v>214</v>
      </c>
      <c r="AO153" s="34" t="s">
        <v>217</v>
      </c>
      <c r="AP153" s="34"/>
    </row>
    <row r="154" spans="6:42" ht="15" hidden="1">
      <c r="F154" s="34" t="s">
        <v>215</v>
      </c>
      <c r="AO154" s="34" t="s">
        <v>218</v>
      </c>
      <c r="AP154" s="34"/>
    </row>
    <row r="155" spans="6:42" ht="15" hidden="1">
      <c r="F155" s="34" t="s">
        <v>216</v>
      </c>
      <c r="AO155" s="34" t="s">
        <v>219</v>
      </c>
      <c r="AP155" s="34"/>
    </row>
    <row r="156" spans="6:42" ht="25.5" hidden="1">
      <c r="F156" s="34" t="s">
        <v>217</v>
      </c>
      <c r="AO156" s="34" t="s">
        <v>220</v>
      </c>
      <c r="AP156" s="34"/>
    </row>
    <row r="157" spans="6:42" ht="25.5" hidden="1">
      <c r="F157" s="34" t="s">
        <v>218</v>
      </c>
      <c r="AO157" s="34" t="s">
        <v>221</v>
      </c>
      <c r="AP157" s="34"/>
    </row>
    <row r="158" spans="6:42" ht="25.5" hidden="1">
      <c r="F158" s="34" t="s">
        <v>219</v>
      </c>
      <c r="AO158" s="34" t="s">
        <v>222</v>
      </c>
      <c r="AP158" s="34"/>
    </row>
    <row r="159" spans="6:42" ht="25.5" hidden="1">
      <c r="F159" s="34" t="s">
        <v>220</v>
      </c>
      <c r="AO159" s="34" t="s">
        <v>223</v>
      </c>
      <c r="AP159" s="34"/>
    </row>
    <row r="160" spans="6:42" ht="15" hidden="1">
      <c r="F160" s="34" t="s">
        <v>221</v>
      </c>
      <c r="AO160" s="34" t="s">
        <v>224</v>
      </c>
      <c r="AP160" s="34"/>
    </row>
    <row r="161" spans="6:42" ht="15" hidden="1">
      <c r="F161" s="34" t="s">
        <v>222</v>
      </c>
      <c r="AO161" s="34" t="s">
        <v>225</v>
      </c>
      <c r="AP161" s="34"/>
    </row>
    <row r="162" spans="6:42" ht="15" hidden="1">
      <c r="F162" s="34" t="s">
        <v>223</v>
      </c>
      <c r="AO162" s="34" t="s">
        <v>226</v>
      </c>
      <c r="AP162" s="34"/>
    </row>
    <row r="163" spans="6:42" ht="15" hidden="1">
      <c r="F163" s="34" t="s">
        <v>224</v>
      </c>
      <c r="AO163" s="34" t="s">
        <v>227</v>
      </c>
      <c r="AP163" s="34"/>
    </row>
    <row r="164" spans="2:42" ht="25.5" hidden="1">
      <c r="B164" s="34"/>
      <c r="C164" s="34"/>
      <c r="D164" s="34"/>
      <c r="E164" s="34"/>
      <c r="F164" s="34" t="s">
        <v>225</v>
      </c>
      <c r="G164" s="34"/>
      <c r="H164" s="34"/>
      <c r="I164" s="34"/>
      <c r="J164" s="34"/>
      <c r="K164" s="34"/>
      <c r="L164" s="34"/>
      <c r="M164" s="34"/>
      <c r="N164" s="34"/>
      <c r="O164" s="34"/>
      <c r="AO164" s="34" t="s">
        <v>228</v>
      </c>
      <c r="AP164" s="34"/>
    </row>
    <row r="165" spans="6:42" ht="15" hidden="1">
      <c r="F165" s="34" t="s">
        <v>226</v>
      </c>
      <c r="AO165" s="34" t="s">
        <v>229</v>
      </c>
      <c r="AP165" s="34"/>
    </row>
    <row r="166" spans="6:42" ht="15" hidden="1">
      <c r="F166" s="34" t="s">
        <v>227</v>
      </c>
      <c r="AO166" s="34" t="s">
        <v>230</v>
      </c>
      <c r="AP166" s="34"/>
    </row>
    <row r="167" spans="6:42" ht="15" hidden="1">
      <c r="F167" s="34" t="s">
        <v>228</v>
      </c>
      <c r="AO167" s="34" t="s">
        <v>231</v>
      </c>
      <c r="AP167" s="34"/>
    </row>
    <row r="168" spans="6:42" ht="25.5" hidden="1">
      <c r="F168" s="34" t="s">
        <v>229</v>
      </c>
      <c r="AO168" s="34" t="s">
        <v>232</v>
      </c>
      <c r="AP168" s="34"/>
    </row>
    <row r="169" spans="6:42" ht="25.5" hidden="1">
      <c r="F169" s="34" t="s">
        <v>230</v>
      </c>
      <c r="AO169" s="34" t="s">
        <v>233</v>
      </c>
      <c r="AP169" s="34"/>
    </row>
    <row r="170" spans="6:42" ht="15" hidden="1">
      <c r="F170" s="34" t="s">
        <v>231</v>
      </c>
      <c r="AO170" s="34" t="s">
        <v>234</v>
      </c>
      <c r="AP170" s="34"/>
    </row>
    <row r="171" spans="6:42" ht="25.5" hidden="1">
      <c r="F171" s="34" t="s">
        <v>232</v>
      </c>
      <c r="AO171" s="34" t="s">
        <v>235</v>
      </c>
      <c r="AP171" s="34"/>
    </row>
    <row r="172" spans="6:42" ht="38.25" hidden="1">
      <c r="F172" s="34" t="s">
        <v>233</v>
      </c>
      <c r="AO172" s="34" t="s">
        <v>236</v>
      </c>
      <c r="AP172" s="34"/>
    </row>
    <row r="173" spans="6:42" ht="15" hidden="1">
      <c r="F173" s="34" t="s">
        <v>234</v>
      </c>
      <c r="AO173" s="34" t="s">
        <v>237</v>
      </c>
      <c r="AP173" s="34"/>
    </row>
    <row r="174" spans="6:42" ht="15" hidden="1">
      <c r="F174" s="34" t="s">
        <v>235</v>
      </c>
      <c r="AO174" s="34" t="s">
        <v>238</v>
      </c>
      <c r="AP174" s="34"/>
    </row>
    <row r="175" spans="6:42" ht="15" hidden="1">
      <c r="F175" s="34" t="s">
        <v>236</v>
      </c>
      <c r="AO175" s="34" t="s">
        <v>239</v>
      </c>
      <c r="AP175" s="34"/>
    </row>
    <row r="176" spans="6:42" ht="25.5" hidden="1">
      <c r="F176" s="34" t="s">
        <v>237</v>
      </c>
      <c r="AO176" s="34" t="s">
        <v>240</v>
      </c>
      <c r="AP176" s="34"/>
    </row>
    <row r="177" spans="6:42" ht="38.25" hidden="1">
      <c r="F177" s="34" t="s">
        <v>238</v>
      </c>
      <c r="AO177" s="34" t="s">
        <v>241</v>
      </c>
      <c r="AP177" s="34"/>
    </row>
    <row r="178" spans="6:42" ht="38.25" hidden="1">
      <c r="F178" s="34" t="s">
        <v>239</v>
      </c>
      <c r="AO178" s="34" t="s">
        <v>242</v>
      </c>
      <c r="AP178" s="34"/>
    </row>
    <row r="179" spans="6:42" ht="25.5" hidden="1">
      <c r="F179" s="34" t="s">
        <v>240</v>
      </c>
      <c r="AO179" s="34" t="s">
        <v>243</v>
      </c>
      <c r="AP179" s="34"/>
    </row>
    <row r="180" spans="6:42" ht="25.5" hidden="1">
      <c r="F180" s="34" t="s">
        <v>241</v>
      </c>
      <c r="AO180" s="34" t="s">
        <v>244</v>
      </c>
      <c r="AP180" s="34"/>
    </row>
    <row r="181" spans="6:42" ht="15" hidden="1">
      <c r="F181" s="34" t="s">
        <v>242</v>
      </c>
      <c r="AO181" s="34" t="s">
        <v>245</v>
      </c>
      <c r="AP181" s="34"/>
    </row>
    <row r="182" spans="6:42" ht="15" hidden="1">
      <c r="F182" s="34" t="s">
        <v>243</v>
      </c>
      <c r="AO182" s="34" t="s">
        <v>246</v>
      </c>
      <c r="AP182" s="34"/>
    </row>
    <row r="183" spans="6:42" ht="15" hidden="1">
      <c r="F183" s="34" t="s">
        <v>244</v>
      </c>
      <c r="AO183" s="34" t="s">
        <v>375</v>
      </c>
      <c r="AP183" s="34"/>
    </row>
    <row r="184" spans="6:42" ht="25.5" hidden="1">
      <c r="F184" s="34" t="s">
        <v>245</v>
      </c>
      <c r="AO184" s="34" t="s">
        <v>247</v>
      </c>
      <c r="AP184" s="34"/>
    </row>
    <row r="185" spans="6:42" ht="38.25" hidden="1">
      <c r="F185" s="34" t="s">
        <v>246</v>
      </c>
      <c r="AO185" s="34" t="s">
        <v>248</v>
      </c>
      <c r="AP185" s="34"/>
    </row>
    <row r="186" spans="6:42" ht="38.25" hidden="1">
      <c r="F186" s="34" t="s">
        <v>375</v>
      </c>
      <c r="AO186" s="34" t="s">
        <v>249</v>
      </c>
      <c r="AP186" s="34"/>
    </row>
    <row r="187" spans="6:42" ht="15" hidden="1">
      <c r="F187" s="34" t="s">
        <v>247</v>
      </c>
      <c r="AO187" s="34" t="s">
        <v>250</v>
      </c>
      <c r="AP187" s="34"/>
    </row>
    <row r="188" spans="6:42" ht="15" hidden="1">
      <c r="F188" s="34" t="s">
        <v>248</v>
      </c>
      <c r="AO188" s="34" t="s">
        <v>251</v>
      </c>
      <c r="AP188" s="34"/>
    </row>
    <row r="189" spans="6:42" ht="15" hidden="1">
      <c r="F189" s="34" t="s">
        <v>249</v>
      </c>
      <c r="AO189" s="34" t="s">
        <v>252</v>
      </c>
      <c r="AP189" s="34"/>
    </row>
    <row r="190" spans="6:42" ht="25.5" hidden="1">
      <c r="F190" s="34" t="s">
        <v>250</v>
      </c>
      <c r="AO190" s="34" t="s">
        <v>253</v>
      </c>
      <c r="AP190" s="34"/>
    </row>
    <row r="191" spans="6:42" ht="15" hidden="1">
      <c r="F191" s="34" t="s">
        <v>251</v>
      </c>
      <c r="AO191" s="34" t="s">
        <v>254</v>
      </c>
      <c r="AP191" s="34"/>
    </row>
    <row r="192" spans="6:42" ht="38.25" hidden="1">
      <c r="F192" s="34" t="s">
        <v>252</v>
      </c>
      <c r="AO192" s="34" t="s">
        <v>255</v>
      </c>
      <c r="AP192" s="34"/>
    </row>
    <row r="193" spans="6:42" ht="25.5" hidden="1">
      <c r="F193" s="34" t="s">
        <v>253</v>
      </c>
      <c r="AO193" s="34" t="s">
        <v>256</v>
      </c>
      <c r="AP193" s="34"/>
    </row>
    <row r="194" spans="6:42" ht="15" hidden="1">
      <c r="F194" s="34" t="s">
        <v>254</v>
      </c>
      <c r="AO194" s="34" t="s">
        <v>257</v>
      </c>
      <c r="AP194" s="34"/>
    </row>
    <row r="195" spans="6:42" ht="25.5" hidden="1">
      <c r="F195" s="34" t="s">
        <v>255</v>
      </c>
      <c r="AO195" s="34" t="s">
        <v>258</v>
      </c>
      <c r="AP195" s="34"/>
    </row>
    <row r="196" spans="6:42" ht="25.5" hidden="1">
      <c r="F196" s="34" t="s">
        <v>256</v>
      </c>
      <c r="AO196" s="34" t="s">
        <v>259</v>
      </c>
      <c r="AP196" s="34"/>
    </row>
    <row r="197" spans="6:42" ht="15" hidden="1">
      <c r="F197" s="34" t="s">
        <v>257</v>
      </c>
      <c r="AO197" s="34" t="s">
        <v>260</v>
      </c>
      <c r="AP197" s="34"/>
    </row>
    <row r="198" spans="6:42" ht="15" hidden="1">
      <c r="F198" s="34" t="s">
        <v>258</v>
      </c>
      <c r="AO198" s="34" t="s">
        <v>261</v>
      </c>
      <c r="AP198" s="34"/>
    </row>
    <row r="199" spans="6:42" ht="25.5" hidden="1">
      <c r="F199" s="34" t="s">
        <v>259</v>
      </c>
      <c r="AO199" s="34" t="s">
        <v>262</v>
      </c>
      <c r="AP199" s="34"/>
    </row>
    <row r="200" spans="6:42" ht="15" hidden="1">
      <c r="F200" s="34" t="s">
        <v>260</v>
      </c>
      <c r="AO200" s="34" t="s">
        <v>263</v>
      </c>
      <c r="AP200" s="34"/>
    </row>
    <row r="201" spans="6:42" ht="51" hidden="1">
      <c r="F201" s="34" t="s">
        <v>261</v>
      </c>
      <c r="AO201" s="34" t="s">
        <v>264</v>
      </c>
      <c r="AP201" s="34"/>
    </row>
    <row r="202" spans="6:42" ht="15" hidden="1">
      <c r="F202" s="34" t="s">
        <v>262</v>
      </c>
      <c r="AO202" s="34" t="s">
        <v>265</v>
      </c>
      <c r="AP202" s="34"/>
    </row>
    <row r="203" spans="6:42" ht="15" hidden="1">
      <c r="F203" s="34" t="s">
        <v>263</v>
      </c>
      <c r="AO203" s="34" t="s">
        <v>266</v>
      </c>
      <c r="AP203" s="34"/>
    </row>
    <row r="204" spans="6:42" ht="38.25" hidden="1">
      <c r="F204" s="34" t="s">
        <v>264</v>
      </c>
      <c r="AO204" s="34" t="s">
        <v>267</v>
      </c>
      <c r="AP204" s="34"/>
    </row>
    <row r="205" spans="6:42" ht="15" hidden="1">
      <c r="F205" s="34" t="s">
        <v>265</v>
      </c>
      <c r="AO205" s="34" t="s">
        <v>268</v>
      </c>
      <c r="AP205" s="34"/>
    </row>
    <row r="206" spans="6:42" ht="25.5" hidden="1">
      <c r="F206" s="34" t="s">
        <v>266</v>
      </c>
      <c r="AO206" s="34" t="s">
        <v>560</v>
      </c>
      <c r="AP206" s="34"/>
    </row>
    <row r="207" spans="6:42" ht="38.25" hidden="1">
      <c r="F207" s="34" t="s">
        <v>267</v>
      </c>
      <c r="AO207" s="34" t="s">
        <v>269</v>
      </c>
      <c r="AP207" s="34"/>
    </row>
    <row r="208" spans="6:42" ht="25.5" hidden="1">
      <c r="F208" s="34" t="s">
        <v>268</v>
      </c>
      <c r="AO208" s="34" t="s">
        <v>270</v>
      </c>
      <c r="AP208" s="34"/>
    </row>
    <row r="209" spans="6:42" ht="51" hidden="1">
      <c r="F209" s="34" t="s">
        <v>560</v>
      </c>
      <c r="AO209" s="34" t="s">
        <v>271</v>
      </c>
      <c r="AP209" s="34"/>
    </row>
    <row r="210" spans="6:42" ht="51" hidden="1">
      <c r="F210" s="34" t="s">
        <v>269</v>
      </c>
      <c r="AO210" s="34" t="s">
        <v>272</v>
      </c>
      <c r="AP210" s="34"/>
    </row>
    <row r="211" spans="6:42" ht="63" hidden="1">
      <c r="F211" s="34" t="s">
        <v>270</v>
      </c>
      <c r="AO211" s="34" t="s">
        <v>273</v>
      </c>
      <c r="AP211" s="34"/>
    </row>
    <row r="212" spans="6:42" ht="15" hidden="1">
      <c r="F212" s="34" t="s">
        <v>271</v>
      </c>
      <c r="AO212" s="34" t="s">
        <v>274</v>
      </c>
      <c r="AP212" s="34"/>
    </row>
    <row r="213" spans="6:42" ht="25.5" hidden="1">
      <c r="F213" s="34" t="s">
        <v>272</v>
      </c>
      <c r="AO213" s="34" t="s">
        <v>275</v>
      </c>
      <c r="AP213" s="34"/>
    </row>
    <row r="214" spans="6:42" ht="38.25" hidden="1">
      <c r="F214" s="34" t="s">
        <v>273</v>
      </c>
      <c r="AO214" s="34" t="s">
        <v>276</v>
      </c>
      <c r="AP214" s="34"/>
    </row>
    <row r="215" spans="6:42" ht="25.5" hidden="1">
      <c r="F215" s="34" t="s">
        <v>274</v>
      </c>
      <c r="AO215" s="34" t="s">
        <v>277</v>
      </c>
      <c r="AP215" s="34"/>
    </row>
    <row r="216" spans="6:42" ht="15" hidden="1">
      <c r="F216" s="34" t="s">
        <v>275</v>
      </c>
      <c r="AO216" s="34" t="s">
        <v>278</v>
      </c>
      <c r="AP216" s="34"/>
    </row>
    <row r="217" spans="6:42" ht="15" hidden="1">
      <c r="F217" s="34" t="s">
        <v>276</v>
      </c>
      <c r="AO217" s="34" t="s">
        <v>279</v>
      </c>
      <c r="AP217" s="34"/>
    </row>
    <row r="218" spans="6:42" ht="25.5" hidden="1">
      <c r="F218" s="34" t="s">
        <v>277</v>
      </c>
      <c r="AO218" s="34" t="s">
        <v>280</v>
      </c>
      <c r="AP218" s="34"/>
    </row>
    <row r="219" spans="6:42" ht="25.5" hidden="1">
      <c r="F219" s="34" t="s">
        <v>278</v>
      </c>
      <c r="AO219" s="34" t="s">
        <v>281</v>
      </c>
      <c r="AP219" s="34"/>
    </row>
    <row r="220" spans="6:42" ht="25.5" hidden="1">
      <c r="F220" s="34" t="s">
        <v>279</v>
      </c>
      <c r="AO220" s="34" t="s">
        <v>282</v>
      </c>
      <c r="AP220" s="34"/>
    </row>
    <row r="221" spans="6:222" ht="15" hidden="1">
      <c r="F221" s="34" t="s">
        <v>280</v>
      </c>
      <c r="Q221" s="34"/>
      <c r="R221" s="34"/>
      <c r="S221" s="34"/>
      <c r="T221" s="34"/>
      <c r="U221" s="34"/>
      <c r="V221" s="34"/>
      <c r="W221" s="34"/>
      <c r="X221" s="34"/>
      <c r="Y221" s="34"/>
      <c r="Z221" s="34"/>
      <c r="AA221" s="34"/>
      <c r="AB221" s="34"/>
      <c r="AC221" s="69"/>
      <c r="AD221" s="34"/>
      <c r="AE221" s="34"/>
      <c r="AF221" s="34"/>
      <c r="AG221" s="34"/>
      <c r="AH221" s="34"/>
      <c r="AI221" s="34"/>
      <c r="AJ221" s="34"/>
      <c r="AK221" s="34"/>
      <c r="AL221" s="34"/>
      <c r="AM221" s="34"/>
      <c r="AN221" s="34"/>
      <c r="AO221" s="34" t="s">
        <v>283</v>
      </c>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4"/>
      <c r="CS221" s="34"/>
      <c r="CT221" s="34"/>
      <c r="CU221" s="34"/>
      <c r="CV221" s="34"/>
      <c r="CW221" s="34"/>
      <c r="CX221" s="34"/>
      <c r="CY221" s="34"/>
      <c r="CZ221" s="34"/>
      <c r="DA221" s="34"/>
      <c r="DB221" s="34"/>
      <c r="DC221" s="34"/>
      <c r="DD221" s="34"/>
      <c r="DE221" s="34"/>
      <c r="DF221" s="34"/>
      <c r="DG221" s="34"/>
      <c r="DH221" s="34"/>
      <c r="DI221" s="34"/>
      <c r="DJ221" s="34"/>
      <c r="DK221" s="34"/>
      <c r="DL221" s="34"/>
      <c r="DM221" s="34"/>
      <c r="DN221" s="34"/>
      <c r="DO221" s="34"/>
      <c r="DP221" s="34"/>
      <c r="DQ221" s="34"/>
      <c r="DR221" s="34"/>
      <c r="DS221" s="34"/>
      <c r="DT221" s="34"/>
      <c r="DU221" s="34"/>
      <c r="DV221" s="34"/>
      <c r="DW221" s="34"/>
      <c r="DX221" s="34"/>
      <c r="DY221" s="34"/>
      <c r="DZ221" s="34"/>
      <c r="EA221" s="34"/>
      <c r="EB221" s="34"/>
      <c r="EC221" s="34"/>
      <c r="ED221" s="34"/>
      <c r="EE221" s="34"/>
      <c r="EF221" s="34"/>
      <c r="EG221" s="34"/>
      <c r="EH221" s="34"/>
      <c r="EI221" s="34"/>
      <c r="EJ221" s="34"/>
      <c r="EK221" s="34"/>
      <c r="EL221" s="34"/>
      <c r="EM221" s="34"/>
      <c r="EN221" s="34"/>
      <c r="EO221" s="34"/>
      <c r="EP221" s="34"/>
      <c r="EQ221" s="34"/>
      <c r="ER221" s="34"/>
      <c r="ES221" s="34"/>
      <c r="ET221" s="34"/>
      <c r="EU221" s="34"/>
      <c r="EV221" s="34"/>
      <c r="EW221" s="34"/>
      <c r="EX221" s="34"/>
      <c r="EY221" s="34"/>
      <c r="EZ221" s="34"/>
      <c r="FA221" s="34"/>
      <c r="FB221" s="34"/>
      <c r="FC221" s="34"/>
      <c r="FD221" s="34"/>
      <c r="FE221" s="34"/>
      <c r="FF221" s="34"/>
      <c r="FG221" s="34"/>
      <c r="FH221" s="34"/>
      <c r="FI221" s="34"/>
      <c r="FJ221" s="34"/>
      <c r="FK221" s="34"/>
      <c r="FL221" s="34"/>
      <c r="FM221" s="34"/>
      <c r="FN221" s="34"/>
      <c r="FO221" s="34"/>
      <c r="FP221" s="34"/>
      <c r="FQ221" s="34"/>
      <c r="FR221" s="34"/>
      <c r="FS221" s="34"/>
      <c r="FT221" s="34"/>
      <c r="FU221" s="34"/>
      <c r="FV221" s="34"/>
      <c r="FW221" s="34"/>
      <c r="FX221" s="34"/>
      <c r="FY221" s="34"/>
      <c r="FZ221" s="34"/>
      <c r="GA221" s="34"/>
      <c r="GB221" s="34"/>
      <c r="GC221" s="34"/>
      <c r="GD221" s="34"/>
      <c r="GE221" s="34"/>
      <c r="GF221" s="34"/>
      <c r="GG221" s="34"/>
      <c r="GH221" s="34"/>
      <c r="GI221" s="34"/>
      <c r="GJ221" s="34"/>
      <c r="GK221" s="34"/>
      <c r="GL221" s="34"/>
      <c r="GM221" s="34"/>
      <c r="GN221" s="34"/>
      <c r="GO221" s="34"/>
      <c r="GP221" s="34"/>
      <c r="GQ221" s="34"/>
      <c r="GR221" s="34"/>
      <c r="GS221" s="34"/>
      <c r="GT221" s="34"/>
      <c r="GU221" s="34"/>
      <c r="GV221" s="34"/>
      <c r="GW221" s="34"/>
      <c r="GX221" s="34"/>
      <c r="GY221" s="34"/>
      <c r="GZ221" s="34"/>
      <c r="HA221" s="34"/>
      <c r="HB221" s="34"/>
      <c r="HC221" s="34"/>
      <c r="HD221" s="34"/>
      <c r="HE221" s="34"/>
      <c r="HF221" s="34"/>
      <c r="HG221" s="34"/>
      <c r="HH221" s="34"/>
      <c r="HI221" s="34"/>
      <c r="HJ221" s="34"/>
      <c r="HK221" s="34"/>
      <c r="HL221" s="34"/>
      <c r="HM221" s="34"/>
      <c r="HN221" s="34"/>
    </row>
    <row r="222" spans="1:42" ht="15" hidden="1">
      <c r="A222" s="34"/>
      <c r="F222" s="34" t="s">
        <v>281</v>
      </c>
      <c r="P222" s="34"/>
      <c r="AO222" s="34" t="s">
        <v>284</v>
      </c>
      <c r="AP222" s="34"/>
    </row>
    <row r="223" spans="6:42" ht="25.5" hidden="1">
      <c r="F223" s="34" t="s">
        <v>282</v>
      </c>
      <c r="AO223" s="34" t="s">
        <v>285</v>
      </c>
      <c r="AP223" s="34"/>
    </row>
    <row r="224" spans="6:42" ht="15" hidden="1">
      <c r="F224" s="34" t="s">
        <v>283</v>
      </c>
      <c r="AO224" s="34" t="s">
        <v>734</v>
      </c>
      <c r="AP224" s="34"/>
    </row>
    <row r="225" spans="6:42" ht="25.5" hidden="1">
      <c r="F225" s="34" t="s">
        <v>284</v>
      </c>
      <c r="AO225" s="34" t="s">
        <v>543</v>
      </c>
      <c r="AP225" s="34"/>
    </row>
    <row r="226" spans="6:42" ht="75.75" hidden="1">
      <c r="F226" s="34" t="s">
        <v>285</v>
      </c>
      <c r="AO226" s="34" t="s">
        <v>286</v>
      </c>
      <c r="AP226" s="34"/>
    </row>
    <row r="227" spans="6:42" ht="25.5" hidden="1">
      <c r="F227" s="34" t="s">
        <v>734</v>
      </c>
      <c r="AO227" s="34" t="s">
        <v>287</v>
      </c>
      <c r="AP227" s="34"/>
    </row>
    <row r="228" spans="6:42" ht="88.5" hidden="1">
      <c r="F228" s="34" t="s">
        <v>543</v>
      </c>
      <c r="AO228" s="34" t="s">
        <v>735</v>
      </c>
      <c r="AP228" s="34"/>
    </row>
    <row r="229" spans="6:42" ht="100.5" hidden="1">
      <c r="F229" s="34" t="s">
        <v>286</v>
      </c>
      <c r="AO229" s="34" t="s">
        <v>288</v>
      </c>
      <c r="AP229" s="34"/>
    </row>
    <row r="230" spans="6:42" ht="25.5" hidden="1">
      <c r="F230" s="34" t="s">
        <v>287</v>
      </c>
      <c r="AO230" s="34" t="s">
        <v>376</v>
      </c>
      <c r="AP230" s="34"/>
    </row>
    <row r="231" spans="6:42" ht="15" hidden="1">
      <c r="F231" s="34" t="s">
        <v>735</v>
      </c>
      <c r="AO231" s="34" t="s">
        <v>289</v>
      </c>
      <c r="AP231" s="34"/>
    </row>
    <row r="232" spans="6:42" ht="25.5" hidden="1">
      <c r="F232" s="34" t="s">
        <v>288</v>
      </c>
      <c r="AO232" s="34" t="s">
        <v>290</v>
      </c>
      <c r="AP232" s="34"/>
    </row>
    <row r="233" spans="6:42" ht="15" hidden="1">
      <c r="F233" s="34" t="s">
        <v>376</v>
      </c>
      <c r="AO233" s="34" t="s">
        <v>291</v>
      </c>
      <c r="AP233" s="34"/>
    </row>
    <row r="234" spans="6:42" ht="25.5" hidden="1">
      <c r="F234" s="34" t="s">
        <v>289</v>
      </c>
      <c r="AO234" s="34" t="s">
        <v>292</v>
      </c>
      <c r="AP234" s="34"/>
    </row>
    <row r="235" spans="6:42" ht="15" hidden="1">
      <c r="F235" s="34" t="s">
        <v>290</v>
      </c>
      <c r="AO235" s="34" t="s">
        <v>293</v>
      </c>
      <c r="AP235" s="34"/>
    </row>
    <row r="236" spans="6:42" ht="25.5" hidden="1">
      <c r="F236" s="34" t="s">
        <v>291</v>
      </c>
      <c r="AO236" s="34" t="s">
        <v>294</v>
      </c>
      <c r="AP236" s="34"/>
    </row>
    <row r="237" spans="6:42" ht="15" hidden="1">
      <c r="F237" s="34" t="s">
        <v>292</v>
      </c>
      <c r="AO237" s="34" t="s">
        <v>295</v>
      </c>
      <c r="AP237" s="34"/>
    </row>
    <row r="238" spans="6:42" ht="15" hidden="1">
      <c r="F238" s="34" t="s">
        <v>293</v>
      </c>
      <c r="AO238" s="34" t="s">
        <v>296</v>
      </c>
      <c r="AP238" s="34"/>
    </row>
    <row r="239" spans="6:42" ht="15" hidden="1">
      <c r="F239" s="34" t="s">
        <v>294</v>
      </c>
      <c r="AO239" s="34" t="s">
        <v>297</v>
      </c>
      <c r="AP239" s="34"/>
    </row>
    <row r="240" spans="6:42" ht="25.5" hidden="1">
      <c r="F240" s="34" t="s">
        <v>295</v>
      </c>
      <c r="AO240" s="34" t="s">
        <v>298</v>
      </c>
      <c r="AP240" s="34"/>
    </row>
    <row r="241" spans="6:42" ht="15" hidden="1">
      <c r="F241" s="34" t="s">
        <v>296</v>
      </c>
      <c r="AO241" s="34" t="s">
        <v>561</v>
      </c>
      <c r="AP241" s="34"/>
    </row>
    <row r="242" spans="6:42" ht="15" hidden="1">
      <c r="F242" s="34" t="s">
        <v>297</v>
      </c>
      <c r="AO242" s="34" t="s">
        <v>299</v>
      </c>
      <c r="AP242" s="34"/>
    </row>
    <row r="243" spans="6:42" ht="15" hidden="1">
      <c r="F243" s="34" t="s">
        <v>298</v>
      </c>
      <c r="AO243" s="34" t="s">
        <v>300</v>
      </c>
      <c r="AP243" s="34"/>
    </row>
    <row r="244" spans="6:42" ht="25.5" hidden="1">
      <c r="F244" s="34" t="s">
        <v>561</v>
      </c>
      <c r="AO244" s="34" t="s">
        <v>301</v>
      </c>
      <c r="AP244" s="34"/>
    </row>
    <row r="245" spans="6:42" ht="15" hidden="1">
      <c r="F245" s="34" t="s">
        <v>299</v>
      </c>
      <c r="AO245" s="34" t="s">
        <v>302</v>
      </c>
      <c r="AP245" s="34"/>
    </row>
    <row r="246" spans="6:42" ht="15" hidden="1">
      <c r="F246" s="34" t="s">
        <v>300</v>
      </c>
      <c r="AO246" s="34" t="s">
        <v>303</v>
      </c>
      <c r="AP246" s="34"/>
    </row>
    <row r="247" spans="6:42" ht="15" hidden="1">
      <c r="F247" s="34" t="s">
        <v>301</v>
      </c>
      <c r="AO247" s="34" t="s">
        <v>796</v>
      </c>
      <c r="AP247" s="34"/>
    </row>
    <row r="248" spans="6:42" ht="38.25" hidden="1">
      <c r="F248" s="34" t="s">
        <v>302</v>
      </c>
      <c r="AO248" s="34" t="s">
        <v>304</v>
      </c>
      <c r="AP248" s="34"/>
    </row>
    <row r="249" spans="6:42" ht="15" hidden="1">
      <c r="F249" s="34" t="s">
        <v>303</v>
      </c>
      <c r="AO249" s="34" t="s">
        <v>305</v>
      </c>
      <c r="AP249" s="34"/>
    </row>
    <row r="250" spans="6:42" ht="25.5" hidden="1">
      <c r="F250" s="34" t="s">
        <v>796</v>
      </c>
      <c r="AO250" s="34" t="s">
        <v>306</v>
      </c>
      <c r="AP250" s="34"/>
    </row>
    <row r="251" spans="6:42" ht="25.5" hidden="1">
      <c r="F251" s="34" t="s">
        <v>304</v>
      </c>
      <c r="AO251" s="34" t="s">
        <v>307</v>
      </c>
      <c r="AP251" s="34"/>
    </row>
    <row r="252" spans="6:42" ht="51" hidden="1">
      <c r="F252" s="34" t="s">
        <v>305</v>
      </c>
      <c r="AO252" s="34" t="s">
        <v>308</v>
      </c>
      <c r="AP252" s="34"/>
    </row>
    <row r="253" spans="6:42" ht="15" hidden="1">
      <c r="F253" s="34" t="s">
        <v>306</v>
      </c>
      <c r="AO253" s="34" t="s">
        <v>309</v>
      </c>
      <c r="AP253" s="34"/>
    </row>
    <row r="254" spans="6:42" ht="15" hidden="1">
      <c r="F254" s="34" t="s">
        <v>307</v>
      </c>
      <c r="AO254" s="34" t="s">
        <v>310</v>
      </c>
      <c r="AP254" s="34"/>
    </row>
    <row r="255" spans="6:42" ht="25.5" hidden="1">
      <c r="F255" s="34" t="s">
        <v>308</v>
      </c>
      <c r="AO255" s="34" t="s">
        <v>538</v>
      </c>
      <c r="AP255" s="34"/>
    </row>
    <row r="256" spans="6:42" ht="38.25" hidden="1">
      <c r="F256" s="34" t="s">
        <v>309</v>
      </c>
      <c r="AO256" s="34" t="s">
        <v>311</v>
      </c>
      <c r="AP256" s="34"/>
    </row>
    <row r="257" spans="6:42" ht="25.5" hidden="1">
      <c r="F257" s="34" t="s">
        <v>310</v>
      </c>
      <c r="AO257" s="34" t="s">
        <v>312</v>
      </c>
      <c r="AP257" s="34"/>
    </row>
    <row r="258" spans="6:42" ht="63" hidden="1">
      <c r="F258" s="34" t="s">
        <v>538</v>
      </c>
      <c r="AO258" s="34" t="s">
        <v>313</v>
      </c>
      <c r="AP258" s="34"/>
    </row>
    <row r="259" spans="6:42" ht="51" hidden="1">
      <c r="F259" s="34" t="s">
        <v>311</v>
      </c>
      <c r="AO259" s="34" t="s">
        <v>314</v>
      </c>
      <c r="AP259" s="34"/>
    </row>
    <row r="260" spans="6:42" ht="15" hidden="1">
      <c r="F260" s="34" t="s">
        <v>312</v>
      </c>
      <c r="AO260" s="34" t="s">
        <v>315</v>
      </c>
      <c r="AP260" s="34"/>
    </row>
    <row r="261" spans="6:42" ht="25.5" hidden="1">
      <c r="F261" s="34" t="s">
        <v>313</v>
      </c>
      <c r="AO261" s="34" t="s">
        <v>316</v>
      </c>
      <c r="AP261" s="34"/>
    </row>
    <row r="262" spans="6:42" ht="15" hidden="1">
      <c r="F262" s="34" t="s">
        <v>314</v>
      </c>
      <c r="AO262" s="34" t="s">
        <v>317</v>
      </c>
      <c r="AP262" s="34"/>
    </row>
    <row r="263" spans="6:42" ht="25.5" hidden="1">
      <c r="F263" s="34" t="s">
        <v>315</v>
      </c>
      <c r="AO263" s="34" t="s">
        <v>318</v>
      </c>
      <c r="AP263" s="34"/>
    </row>
    <row r="264" spans="6:42" ht="15" hidden="1">
      <c r="F264" s="34" t="s">
        <v>316</v>
      </c>
      <c r="AO264" s="34" t="s">
        <v>319</v>
      </c>
      <c r="AP264" s="34"/>
    </row>
    <row r="265" spans="6:42" ht="25.5" hidden="1">
      <c r="F265" s="34" t="s">
        <v>317</v>
      </c>
      <c r="AO265" s="34" t="s">
        <v>320</v>
      </c>
      <c r="AP265" s="34"/>
    </row>
    <row r="266" spans="6:42" ht="75.75" hidden="1">
      <c r="F266" s="34" t="s">
        <v>318</v>
      </c>
      <c r="AO266" s="34" t="s">
        <v>321</v>
      </c>
      <c r="AP266" s="34"/>
    </row>
    <row r="267" spans="6:42" ht="51" hidden="1">
      <c r="F267" s="34" t="s">
        <v>319</v>
      </c>
      <c r="AO267" s="34" t="s">
        <v>322</v>
      </c>
      <c r="AP267" s="34"/>
    </row>
    <row r="268" spans="6:42" ht="25.5" hidden="1">
      <c r="F268" s="34" t="s">
        <v>320</v>
      </c>
      <c r="AO268" s="34" t="s">
        <v>323</v>
      </c>
      <c r="AP268" s="34"/>
    </row>
    <row r="269" spans="6:41" ht="15" hidden="1">
      <c r="F269" s="34" t="s">
        <v>321</v>
      </c>
      <c r="AO269" s="34" t="s">
        <v>324</v>
      </c>
    </row>
    <row r="270" ht="15" hidden="1">
      <c r="F270" s="34" t="s">
        <v>322</v>
      </c>
    </row>
    <row r="271" ht="15" hidden="1">
      <c r="F271" s="34" t="s">
        <v>323</v>
      </c>
    </row>
    <row r="272" ht="26.25" hidden="1" thickBot="1">
      <c r="F272" s="34" t="s">
        <v>324</v>
      </c>
    </row>
    <row r="273" spans="2:15" ht="24" customHeight="1">
      <c r="B273" s="646" t="s">
        <v>709</v>
      </c>
      <c r="C273" s="647"/>
      <c r="D273" s="647"/>
      <c r="E273" s="647"/>
      <c r="F273" s="647"/>
      <c r="G273" s="647"/>
      <c r="H273" s="647"/>
      <c r="I273" s="647"/>
      <c r="J273" s="647"/>
      <c r="K273" s="647"/>
      <c r="L273" s="647"/>
      <c r="M273" s="647"/>
      <c r="N273" s="647"/>
      <c r="O273" s="648"/>
    </row>
    <row r="274" spans="2:15" ht="12" customHeight="1">
      <c r="B274" s="649"/>
      <c r="C274" s="650"/>
      <c r="D274" s="650"/>
      <c r="E274" s="650"/>
      <c r="F274" s="650"/>
      <c r="G274" s="650"/>
      <c r="H274" s="650"/>
      <c r="I274" s="650"/>
      <c r="J274" s="650"/>
      <c r="K274" s="650"/>
      <c r="L274" s="650"/>
      <c r="M274" s="650"/>
      <c r="N274" s="650"/>
      <c r="O274" s="651"/>
    </row>
    <row r="275" spans="2:15" ht="18.75" customHeight="1">
      <c r="B275" s="107"/>
      <c r="C275" s="108"/>
      <c r="D275" s="108"/>
      <c r="E275" s="108"/>
      <c r="F275" s="660" t="s">
        <v>535</v>
      </c>
      <c r="G275" s="661"/>
      <c r="H275" s="661"/>
      <c r="I275" s="661"/>
      <c r="J275" s="661"/>
      <c r="K275" s="661"/>
      <c r="L275" s="661"/>
      <c r="M275" s="661"/>
      <c r="N275" s="661"/>
      <c r="O275" s="109"/>
    </row>
    <row r="276" spans="2:15" ht="18" customHeight="1" thickBot="1">
      <c r="B276" s="110"/>
      <c r="C276" s="111"/>
      <c r="D276" s="111"/>
      <c r="E276" s="111"/>
      <c r="F276" s="111"/>
      <c r="G276" s="111"/>
      <c r="H276" s="111"/>
      <c r="I276" s="111"/>
      <c r="J276" s="118"/>
      <c r="K276" s="118" t="s">
        <v>536</v>
      </c>
      <c r="L276" s="120">
        <v>40</v>
      </c>
      <c r="M276" s="118" t="s">
        <v>540</v>
      </c>
      <c r="N276" s="119">
        <v>45565</v>
      </c>
      <c r="O276" s="112"/>
    </row>
    <row r="277" spans="2:15" ht="18" customHeight="1" thickBot="1">
      <c r="B277" s="598" t="s">
        <v>335</v>
      </c>
      <c r="C277" s="599"/>
      <c r="D277" s="456"/>
      <c r="E277" s="665"/>
      <c r="F277" s="24"/>
      <c r="G277" s="25" t="s">
        <v>43</v>
      </c>
      <c r="H277" s="24"/>
      <c r="I277" s="24"/>
      <c r="J277" s="24"/>
      <c r="K277" s="24"/>
      <c r="L277" s="658" t="s">
        <v>564</v>
      </c>
      <c r="M277" s="659"/>
      <c r="N277" s="662"/>
      <c r="O277" s="382"/>
    </row>
    <row r="278" spans="2:23" ht="19.5" customHeight="1" thickBot="1">
      <c r="B278" s="652" t="s">
        <v>693</v>
      </c>
      <c r="C278" s="555"/>
      <c r="D278" s="556"/>
      <c r="E278" s="653"/>
      <c r="F278" s="654"/>
      <c r="G278" s="654"/>
      <c r="H278" s="655"/>
      <c r="I278" s="680" t="s">
        <v>5</v>
      </c>
      <c r="J278" s="555"/>
      <c r="K278" s="556"/>
      <c r="L278" s="668"/>
      <c r="M278" s="669"/>
      <c r="N278" s="669"/>
      <c r="O278" s="670"/>
      <c r="V278" s="35">
        <f ca="1">TODAY()</f>
        <v>45411</v>
      </c>
      <c r="W278" s="36">
        <f ca="1">NOW()</f>
        <v>45411.599193055554</v>
      </c>
    </row>
    <row r="279" spans="2:22" ht="20.25" customHeight="1" thickBot="1">
      <c r="B279" s="677" t="s">
        <v>21</v>
      </c>
      <c r="C279" s="678"/>
      <c r="D279" s="678"/>
      <c r="E279" s="683"/>
      <c r="F279" s="683"/>
      <c r="G279" s="678"/>
      <c r="H279" s="678"/>
      <c r="I279" s="678"/>
      <c r="J279" s="678"/>
      <c r="K279" s="678"/>
      <c r="L279" s="678"/>
      <c r="M279" s="678"/>
      <c r="N279" s="678"/>
      <c r="O279" s="679"/>
      <c r="S279"/>
      <c r="V279" s="35">
        <f>V278+1</f>
        <v>45412</v>
      </c>
    </row>
    <row r="280" spans="2:22" ht="14.25" customHeight="1" thickBot="1" thickTop="1">
      <c r="B280" s="503" t="s">
        <v>67</v>
      </c>
      <c r="C280" s="681"/>
      <c r="D280" s="682"/>
      <c r="E280" s="663"/>
      <c r="F280" s="664"/>
      <c r="G280" s="22"/>
      <c r="H280" s="22"/>
      <c r="I280" s="22"/>
      <c r="J280" s="22"/>
      <c r="K280" s="656" t="s">
        <v>51</v>
      </c>
      <c r="L280" s="657"/>
      <c r="M280" s="603"/>
      <c r="N280" s="604"/>
      <c r="O280" s="605"/>
      <c r="V280" s="35">
        <f>V279+1</f>
        <v>45413</v>
      </c>
    </row>
    <row r="281" spans="2:15" ht="14.25" customHeight="1" thickTop="1">
      <c r="B281" s="450" t="s">
        <v>50</v>
      </c>
      <c r="C281" s="606"/>
      <c r="D281" s="606"/>
      <c r="E281" s="40" t="s">
        <v>803</v>
      </c>
      <c r="F281" s="673" t="s">
        <v>806</v>
      </c>
      <c r="G281" s="674"/>
      <c r="H281" s="641"/>
      <c r="I281" s="641"/>
      <c r="J281" s="641"/>
      <c r="K281" s="606" t="s">
        <v>52</v>
      </c>
      <c r="L281" s="488"/>
      <c r="M281" s="603"/>
      <c r="N281" s="604"/>
      <c r="O281" s="605"/>
    </row>
    <row r="282" spans="2:15" ht="20.25" customHeight="1" thickBot="1">
      <c r="B282" s="671" t="s">
        <v>7</v>
      </c>
      <c r="C282" s="672"/>
      <c r="D282" s="672"/>
      <c r="E282" s="676"/>
      <c r="F282" s="601"/>
      <c r="G282" s="601"/>
      <c r="H282" s="601"/>
      <c r="I282" s="601"/>
      <c r="J282" s="601"/>
      <c r="K282" s="693" t="s">
        <v>388</v>
      </c>
      <c r="L282" s="694"/>
      <c r="M282" s="600"/>
      <c r="N282" s="601"/>
      <c r="O282" s="602"/>
    </row>
    <row r="283" spans="2:15" ht="20.25" customHeight="1" thickBot="1">
      <c r="B283" s="677" t="s">
        <v>2</v>
      </c>
      <c r="C283" s="678"/>
      <c r="D283" s="678"/>
      <c r="E283" s="678"/>
      <c r="F283" s="678"/>
      <c r="G283" s="678"/>
      <c r="H283" s="678"/>
      <c r="I283" s="678"/>
      <c r="J283" s="678"/>
      <c r="K283" s="678"/>
      <c r="L283" s="678"/>
      <c r="M283" s="678"/>
      <c r="N283" s="678"/>
      <c r="O283" s="679"/>
    </row>
    <row r="284" spans="2:25" ht="18" customHeight="1" thickBot="1">
      <c r="B284" s="447" t="s">
        <v>56</v>
      </c>
      <c r="C284" s="656"/>
      <c r="D284" s="675"/>
      <c r="E284" s="719" t="s">
        <v>804</v>
      </c>
      <c r="F284" s="719"/>
      <c r="G284" s="719"/>
      <c r="H284" s="719" t="s">
        <v>805</v>
      </c>
      <c r="I284" s="720"/>
      <c r="J284" s="720"/>
      <c r="K284" s="447" t="s">
        <v>51</v>
      </c>
      <c r="L284" s="657"/>
      <c r="M284" s="695"/>
      <c r="N284" s="696"/>
      <c r="O284" s="697"/>
      <c r="S284" s="35"/>
      <c r="W284" s="56" t="str">
        <f>E284</f>
        <v>First name</v>
      </c>
      <c r="X284" s="56" t="str">
        <f>H284</f>
        <v>Surname</v>
      </c>
      <c r="Y284" s="35">
        <f>E285</f>
        <v>0</v>
      </c>
    </row>
    <row r="285" spans="2:17" ht="18" customHeight="1" thickBot="1">
      <c r="B285" s="450" t="s">
        <v>733</v>
      </c>
      <c r="C285" s="606"/>
      <c r="D285" s="643"/>
      <c r="E285" s="687"/>
      <c r="F285" s="688"/>
      <c r="G285" s="238">
        <f>ROUNDDOWN((E278-E285)/365.25,0)</f>
        <v>0</v>
      </c>
      <c r="H285" s="122" t="s">
        <v>334</v>
      </c>
      <c r="I285" s="666"/>
      <c r="J285" s="667"/>
      <c r="K285" s="450" t="s">
        <v>52</v>
      </c>
      <c r="L285" s="488"/>
      <c r="M285" s="603"/>
      <c r="N285" s="604"/>
      <c r="O285" s="605"/>
      <c r="Q285" s="56"/>
    </row>
    <row r="286" spans="2:17" ht="23.25" customHeight="1">
      <c r="B286" s="447" t="s">
        <v>488</v>
      </c>
      <c r="C286" s="675"/>
      <c r="D286" s="675"/>
      <c r="E286" s="689"/>
      <c r="F286" s="690"/>
      <c r="G286" s="690"/>
      <c r="H286" s="691"/>
      <c r="I286" s="690"/>
      <c r="J286" s="690"/>
      <c r="K286" s="690"/>
      <c r="L286" s="690"/>
      <c r="M286" s="690"/>
      <c r="N286" s="690"/>
      <c r="O286" s="692"/>
      <c r="Q286" s="56"/>
    </row>
    <row r="287" spans="2:17" ht="21.75" customHeight="1" thickBot="1">
      <c r="B287" s="644"/>
      <c r="C287" s="645"/>
      <c r="D287" s="645"/>
      <c r="E287" s="698" t="s">
        <v>808</v>
      </c>
      <c r="F287" s="699"/>
      <c r="G287" s="72"/>
      <c r="H287" s="177"/>
      <c r="I287" s="72"/>
      <c r="J287" s="72"/>
      <c r="K287" s="72"/>
      <c r="L287" s="72"/>
      <c r="M287" s="72"/>
      <c r="N287" s="72"/>
      <c r="O287" s="73"/>
      <c r="Q287" s="56"/>
    </row>
    <row r="288" spans="2:15" ht="20.25" customHeight="1" thickBot="1">
      <c r="B288" s="637" t="s">
        <v>725</v>
      </c>
      <c r="C288" s="567"/>
      <c r="D288" s="567"/>
      <c r="E288" s="567"/>
      <c r="F288" s="568"/>
      <c r="G288" s="568"/>
      <c r="H288" s="567"/>
      <c r="I288" s="568"/>
      <c r="J288" s="567"/>
      <c r="K288" s="568"/>
      <c r="L288" s="567"/>
      <c r="M288" s="568"/>
      <c r="N288" s="567"/>
      <c r="O288" s="569"/>
    </row>
    <row r="289" spans="2:26" ht="21" customHeight="1" thickBot="1">
      <c r="B289" s="554" t="s">
        <v>8</v>
      </c>
      <c r="C289" s="555"/>
      <c r="D289" s="555"/>
      <c r="E289" s="556"/>
      <c r="F289" s="736"/>
      <c r="G289" s="737"/>
      <c r="H289" s="737"/>
      <c r="I289" s="618" t="s">
        <v>724</v>
      </c>
      <c r="J289" s="619"/>
      <c r="K289" s="620"/>
      <c r="L289" s="552" t="e">
        <f>IF(Y290*Z290=9,"Red",IF(Y290*Z290&lt;3.5,"Green","Amber"))</f>
        <v>#N/A</v>
      </c>
      <c r="M289" s="552"/>
      <c r="N289" s="552"/>
      <c r="O289" s="553"/>
      <c r="Y289" s="3" t="s">
        <v>425</v>
      </c>
      <c r="Z289" s="57" t="s">
        <v>613</v>
      </c>
    </row>
    <row r="290" spans="2:29" s="21" customFormat="1" ht="24" customHeight="1" thickBot="1">
      <c r="B290" s="576" t="s">
        <v>330</v>
      </c>
      <c r="C290" s="577"/>
      <c r="D290" s="577"/>
      <c r="E290" s="578"/>
      <c r="F290" s="684" t="s">
        <v>331</v>
      </c>
      <c r="G290" s="685"/>
      <c r="H290" s="686"/>
      <c r="I290" s="582" t="s">
        <v>624</v>
      </c>
      <c r="J290" s="583"/>
      <c r="K290" s="584"/>
      <c r="L290" s="573" t="e">
        <f>VLOOKUP(F290,Countries!A1:E271,'Rabies form'!W290,)</f>
        <v>#N/A</v>
      </c>
      <c r="M290" s="574"/>
      <c r="N290" s="574"/>
      <c r="O290" s="575"/>
      <c r="W290" s="21" t="e">
        <f>IF(X290="Bat","3",(IF(X290="Rodent or primate","4",(IF(X290="Fox/skunk/raccoon","5","2")))))</f>
        <v>#N/A</v>
      </c>
      <c r="X290" s="21" t="e">
        <f>VLOOKUP(F291,AD370:AE378,2,FALSE)</f>
        <v>#N/A</v>
      </c>
      <c r="Y290" s="21" t="e">
        <f>IF(LEFT(L290,1)="N",1,IF(LEFT(L290,1)="L",2,3))</f>
        <v>#N/A</v>
      </c>
      <c r="Z290" s="58" t="str">
        <f>RIGHT(L291,1)</f>
        <v>t</v>
      </c>
      <c r="AA290" s="58"/>
      <c r="AB290" s="58"/>
      <c r="AC290" s="58"/>
    </row>
    <row r="291" spans="2:15" ht="20.25" customHeight="1" thickBot="1">
      <c r="B291" s="576" t="s">
        <v>45</v>
      </c>
      <c r="C291" s="464"/>
      <c r="D291" s="464"/>
      <c r="E291" s="718"/>
      <c r="F291" s="562"/>
      <c r="G291" s="563"/>
      <c r="H291" s="563"/>
      <c r="I291" s="579" t="s">
        <v>332</v>
      </c>
      <c r="J291" s="580"/>
      <c r="K291" s="581"/>
      <c r="L291" s="715" t="s">
        <v>331</v>
      </c>
      <c r="M291" s="716"/>
      <c r="N291" s="716"/>
      <c r="O291" s="717"/>
    </row>
    <row r="292" spans="2:15" ht="20.25" customHeight="1" thickBot="1">
      <c r="B292" s="590" t="s">
        <v>11</v>
      </c>
      <c r="C292" s="591"/>
      <c r="D292" s="591"/>
      <c r="E292" s="592"/>
      <c r="F292" s="585" t="s">
        <v>371</v>
      </c>
      <c r="G292" s="586"/>
      <c r="H292" s="586"/>
      <c r="I292" s="593"/>
      <c r="J292" s="594"/>
      <c r="K292" s="594"/>
      <c r="L292" s="378"/>
      <c r="M292" s="378"/>
      <c r="N292" s="378"/>
      <c r="O292" s="379"/>
    </row>
    <row r="293" spans="2:15" ht="32.25" customHeight="1" thickBot="1">
      <c r="B293" s="633" t="s">
        <v>611</v>
      </c>
      <c r="C293" s="634"/>
      <c r="D293" s="634"/>
      <c r="E293" s="635"/>
      <c r="F293" s="557"/>
      <c r="G293" s="558"/>
      <c r="H293" s="558"/>
      <c r="I293" s="558"/>
      <c r="J293" s="558"/>
      <c r="K293" s="558"/>
      <c r="L293" s="558"/>
      <c r="M293" s="558"/>
      <c r="N293" s="558"/>
      <c r="O293" s="559"/>
    </row>
    <row r="294" spans="2:15" ht="20.25" customHeight="1" thickBot="1">
      <c r="B294" s="566" t="s">
        <v>617</v>
      </c>
      <c r="C294" s="567"/>
      <c r="D294" s="567"/>
      <c r="E294" s="567"/>
      <c r="F294" s="568"/>
      <c r="G294" s="568"/>
      <c r="H294" s="567"/>
      <c r="I294" s="568"/>
      <c r="J294" s="567"/>
      <c r="K294" s="568"/>
      <c r="L294" s="567"/>
      <c r="M294" s="568"/>
      <c r="N294" s="567"/>
      <c r="O294" s="569"/>
    </row>
    <row r="295" spans="2:24" ht="24" customHeight="1" thickBot="1" thickTop="1">
      <c r="B295" s="709" t="s">
        <v>622</v>
      </c>
      <c r="C295" s="710"/>
      <c r="D295" s="710"/>
      <c r="E295" s="710"/>
      <c r="F295" s="710"/>
      <c r="G295" s="710"/>
      <c r="H295" s="189"/>
      <c r="I295" s="176"/>
      <c r="J295" s="700"/>
      <c r="K295" s="701"/>
      <c r="L295" s="701"/>
      <c r="M295" s="701"/>
      <c r="N295" s="701"/>
      <c r="O295" s="702"/>
      <c r="Q295" s="56"/>
      <c r="W295" s="35"/>
      <c r="X295" s="3" t="s">
        <v>600</v>
      </c>
    </row>
    <row r="296" spans="2:24" ht="21.75" customHeight="1" thickBot="1">
      <c r="B296" s="616" t="s">
        <v>621</v>
      </c>
      <c r="C296" s="621"/>
      <c r="D296" s="621"/>
      <c r="E296" s="621"/>
      <c r="F296" s="621"/>
      <c r="G296" s="622"/>
      <c r="H296" s="609"/>
      <c r="I296" s="610"/>
      <c r="J296" s="610"/>
      <c r="K296" s="610"/>
      <c r="L296" s="610"/>
      <c r="M296" s="610"/>
      <c r="N296" s="610"/>
      <c r="O296" s="611"/>
      <c r="X296" s="3" t="s">
        <v>606</v>
      </c>
    </row>
    <row r="297" spans="2:15" ht="19.5" customHeight="1" thickBot="1">
      <c r="B297" s="612" t="s">
        <v>534</v>
      </c>
      <c r="C297" s="613"/>
      <c r="D297" s="613"/>
      <c r="E297" s="613"/>
      <c r="F297" s="613"/>
      <c r="G297" s="613"/>
      <c r="H297" s="613"/>
      <c r="I297" s="614"/>
      <c r="J297" s="614"/>
      <c r="K297" s="614"/>
      <c r="L297" s="613"/>
      <c r="M297" s="613"/>
      <c r="N297" s="613"/>
      <c r="O297" s="615"/>
    </row>
    <row r="298" spans="2:15" ht="20.25" customHeight="1" thickBot="1">
      <c r="B298" s="616" t="s">
        <v>618</v>
      </c>
      <c r="C298" s="617"/>
      <c r="D298" s="617"/>
      <c r="E298" s="617"/>
      <c r="F298" s="711"/>
      <c r="G298" s="712"/>
      <c r="H298" s="712"/>
      <c r="I298" s="712"/>
      <c r="J298" s="713"/>
      <c r="K298" s="570" t="s">
        <v>619</v>
      </c>
      <c r="L298" s="571"/>
      <c r="M298" s="572"/>
      <c r="N298" s="595" t="s">
        <v>34</v>
      </c>
      <c r="O298" s="596"/>
    </row>
    <row r="299" spans="2:20" ht="21.75" customHeight="1" thickBot="1">
      <c r="B299" s="639" t="s">
        <v>714</v>
      </c>
      <c r="C299" s="567"/>
      <c r="D299" s="567"/>
      <c r="E299" s="567"/>
      <c r="F299" s="567"/>
      <c r="G299" s="567"/>
      <c r="H299" s="567"/>
      <c r="I299" s="567"/>
      <c r="J299" s="567"/>
      <c r="K299" s="703" t="e">
        <f>IF(L289="Green",AI376,IF(H295="Yes",AI371,IF(N298="Immunosuppressed",AI371,(IF(N298="Fully immunised",AI375,IF(L289="Green",AI376,IF(L289="Amber",AI374,IF(L289="Red",IF(N298="Non immune",AI373,AI374)))))))))</f>
        <v>#N/A</v>
      </c>
      <c r="L299" s="704"/>
      <c r="M299" s="704"/>
      <c r="N299" s="704"/>
      <c r="O299" s="705"/>
      <c r="T299" s="6"/>
    </row>
    <row r="300" spans="2:24" ht="20.25" customHeight="1" thickBot="1">
      <c r="B300" s="706" t="s">
        <v>333</v>
      </c>
      <c r="C300" s="707"/>
      <c r="D300" s="707"/>
      <c r="E300" s="707"/>
      <c r="F300" s="708"/>
      <c r="G300" s="708"/>
      <c r="H300" s="708"/>
      <c r="I300" s="714"/>
      <c r="J300" s="595"/>
      <c r="K300" s="413"/>
      <c r="L300" s="413"/>
      <c r="M300" s="413"/>
      <c r="N300" s="413"/>
      <c r="O300" s="414"/>
      <c r="W300" s="3" t="e">
        <f>VALUE(LEFT(I300,1))</f>
        <v>#VALUE!</v>
      </c>
      <c r="X300" s="3">
        <f>IF(ISNUMBER(W300),W300,0)</f>
        <v>0</v>
      </c>
    </row>
    <row r="301" spans="2:23" ht="18" customHeight="1" thickBot="1">
      <c r="B301" s="607" t="s">
        <v>53</v>
      </c>
      <c r="C301" s="608"/>
      <c r="D301" s="608"/>
      <c r="E301" s="608"/>
      <c r="F301" s="19" t="s">
        <v>54</v>
      </c>
      <c r="G301" s="39"/>
      <c r="H301" s="587" t="s">
        <v>792</v>
      </c>
      <c r="I301" s="588"/>
      <c r="J301" s="589"/>
      <c r="K301" s="193"/>
      <c r="L301" s="564" t="s">
        <v>386</v>
      </c>
      <c r="M301" s="565"/>
      <c r="N301" s="560"/>
      <c r="O301" s="561"/>
      <c r="W301" s="3" t="s">
        <v>646</v>
      </c>
    </row>
    <row r="302" spans="2:23" ht="19.5" customHeight="1" thickBot="1" thickTop="1">
      <c r="B302" s="450" t="s">
        <v>474</v>
      </c>
      <c r="C302" s="643"/>
      <c r="D302" s="643"/>
      <c r="E302" s="643"/>
      <c r="F302" s="640"/>
      <c r="G302" s="641"/>
      <c r="H302" s="641"/>
      <c r="I302" s="641"/>
      <c r="J302" s="641"/>
      <c r="K302" s="641"/>
      <c r="L302" s="641"/>
      <c r="M302" s="641"/>
      <c r="N302" s="641"/>
      <c r="O302" s="642"/>
      <c r="W302" s="3" t="s">
        <v>647</v>
      </c>
    </row>
    <row r="303" spans="2:23" ht="19.5" customHeight="1" thickBot="1" thickTop="1">
      <c r="B303" s="644"/>
      <c r="C303" s="645"/>
      <c r="D303" s="645"/>
      <c r="E303" s="645"/>
      <c r="F303" s="19" t="s">
        <v>54</v>
      </c>
      <c r="G303" s="145"/>
      <c r="H303" s="180" t="s">
        <v>60</v>
      </c>
      <c r="I303" s="145"/>
      <c r="J303" s="180" t="s">
        <v>61</v>
      </c>
      <c r="K303" s="145"/>
      <c r="L303" s="180" t="s">
        <v>62</v>
      </c>
      <c r="M303" s="145"/>
      <c r="N303" s="180" t="s">
        <v>63</v>
      </c>
      <c r="O303" s="145"/>
      <c r="W303" s="3" t="s">
        <v>649</v>
      </c>
    </row>
    <row r="304" spans="2:15" ht="17.25" customHeight="1" thickBot="1">
      <c r="B304" s="637" t="s">
        <v>620</v>
      </c>
      <c r="C304" s="567"/>
      <c r="D304" s="567"/>
      <c r="E304" s="567"/>
      <c r="F304" s="638"/>
      <c r="G304" s="568"/>
      <c r="H304" s="567"/>
      <c r="I304" s="568"/>
      <c r="J304" s="567"/>
      <c r="K304" s="568"/>
      <c r="L304" s="567"/>
      <c r="M304" s="568"/>
      <c r="N304" s="567"/>
      <c r="O304" s="569"/>
    </row>
    <row r="305" spans="2:15" ht="16.5" thickBot="1" thickTop="1">
      <c r="B305" s="26" t="s">
        <v>728</v>
      </c>
      <c r="C305" s="17"/>
      <c r="D305" s="17"/>
      <c r="E305" s="19"/>
      <c r="F305" s="195"/>
      <c r="G305" s="6"/>
      <c r="H305" s="478" t="str">
        <f>IF(N298="Immunosuppressed",W303,IF(N298="Fully immunised",W302,W301))</f>
        <v>Standard UK schedule is vaccine given into alternate arms by intramuscular inoculation on days 0, 3, 7, and 21</v>
      </c>
      <c r="I305" s="625"/>
      <c r="J305" s="625"/>
      <c r="K305" s="625"/>
      <c r="L305" s="625"/>
      <c r="M305" s="625"/>
      <c r="N305" s="625"/>
      <c r="O305" s="626"/>
    </row>
    <row r="306" spans="2:15" ht="18.75" customHeight="1" thickBot="1" thickTop="1">
      <c r="B306" s="636" t="s">
        <v>58</v>
      </c>
      <c r="C306" s="488"/>
      <c r="D306" s="488"/>
      <c r="E306" s="2"/>
      <c r="F306" s="189"/>
      <c r="G306" s="6"/>
      <c r="H306" s="627"/>
      <c r="I306" s="628"/>
      <c r="J306" s="628"/>
      <c r="K306" s="628"/>
      <c r="L306" s="628"/>
      <c r="M306" s="628"/>
      <c r="N306" s="628"/>
      <c r="O306" s="629"/>
    </row>
    <row r="307" spans="2:23" ht="18" customHeight="1" thickBot="1" thickTop="1">
      <c r="B307" s="9" t="s">
        <v>605</v>
      </c>
      <c r="C307" s="10"/>
      <c r="D307" s="10"/>
      <c r="E307" s="16"/>
      <c r="F307" s="190"/>
      <c r="G307" s="18"/>
      <c r="H307" s="630"/>
      <c r="I307" s="631"/>
      <c r="J307" s="628"/>
      <c r="K307" s="628"/>
      <c r="L307" s="631"/>
      <c r="M307" s="631"/>
      <c r="N307" s="631"/>
      <c r="O307" s="632"/>
      <c r="W307" s="3">
        <f>F307</f>
        <v>0</v>
      </c>
    </row>
    <row r="308" spans="2:23" ht="19.5" customHeight="1" thickBot="1" thickTop="1">
      <c r="B308" s="428" t="s">
        <v>729</v>
      </c>
      <c r="C308" s="429"/>
      <c r="D308" s="429"/>
      <c r="E308" s="430"/>
      <c r="F308" s="191"/>
      <c r="G308" s="8"/>
      <c r="H308" s="241" t="s">
        <v>478</v>
      </c>
      <c r="I308" s="241"/>
      <c r="J308" s="623" t="s">
        <v>744</v>
      </c>
      <c r="K308" s="624"/>
      <c r="L308" s="241"/>
      <c r="M308" s="241">
        <f>VLOOKUP($J$308,Vaccines!A2:F3,5,FALSE)</f>
        <v>211</v>
      </c>
      <c r="N308" s="241" t="s">
        <v>479</v>
      </c>
      <c r="O308" s="242"/>
      <c r="W308" s="3" t="str">
        <f>VLOOKUP(J308,Vaccines!A1:G3,7,FALSE)</f>
        <v>24RIG_JRC22352 Exp 30/09/202</v>
      </c>
    </row>
    <row r="309" spans="2:15" ht="17.25" customHeight="1" thickBot="1" thickTop="1">
      <c r="B309" s="486" t="s">
        <v>46</v>
      </c>
      <c r="C309" s="487"/>
      <c r="D309" s="487"/>
      <c r="E309" s="597"/>
      <c r="F309" s="192"/>
      <c r="G309" s="11" t="s">
        <v>47</v>
      </c>
      <c r="H309" s="241" t="s">
        <v>480</v>
      </c>
      <c r="I309" s="241"/>
      <c r="J309" s="445" t="str">
        <f>VLOOKUP(J308,Vaccines!A2:F3,4,FALSE)</f>
        <v>211 IU/ml</v>
      </c>
      <c r="K309" s="446"/>
      <c r="L309" s="241" t="s">
        <v>481</v>
      </c>
      <c r="M309" s="241" t="s">
        <v>727</v>
      </c>
      <c r="N309" s="241">
        <f>VLOOKUP($J$308,Vaccines!A2:F3,6,FALSE)</f>
        <v>2.8</v>
      </c>
      <c r="O309" s="242" t="s">
        <v>483</v>
      </c>
    </row>
    <row r="310" spans="2:15" ht="17.25" customHeight="1" thickTop="1">
      <c r="B310" s="486" t="s">
        <v>730</v>
      </c>
      <c r="C310" s="487"/>
      <c r="D310" s="487"/>
      <c r="E310" s="488"/>
      <c r="F310" s="20">
        <f>IF(F308="YES",F309*20,0)</f>
        <v>0</v>
      </c>
      <c r="G310" s="12" t="s">
        <v>48</v>
      </c>
      <c r="H310" s="478" t="s">
        <v>648</v>
      </c>
      <c r="I310" s="479"/>
      <c r="J310" s="479"/>
      <c r="K310" s="479"/>
      <c r="L310" s="479"/>
      <c r="M310" s="479"/>
      <c r="N310" s="479"/>
      <c r="O310" s="480"/>
    </row>
    <row r="311" spans="2:15" ht="17.25" customHeight="1">
      <c r="B311" s="486" t="s">
        <v>731</v>
      </c>
      <c r="C311" s="487"/>
      <c r="D311" s="487"/>
      <c r="E311" s="488"/>
      <c r="F311" s="179">
        <f>F310/M308</f>
        <v>0</v>
      </c>
      <c r="G311" s="12" t="s">
        <v>49</v>
      </c>
      <c r="H311" s="481"/>
      <c r="I311" s="482"/>
      <c r="J311" s="482"/>
      <c r="K311" s="482"/>
      <c r="L311" s="482"/>
      <c r="M311" s="482"/>
      <c r="N311" s="482"/>
      <c r="O311" s="483"/>
    </row>
    <row r="312" spans="2:15" ht="17.25" customHeight="1" thickBot="1">
      <c r="B312" s="476" t="s">
        <v>17</v>
      </c>
      <c r="C312" s="477"/>
      <c r="D312" s="477"/>
      <c r="E312" s="459"/>
      <c r="F312" s="150">
        <f>ROUNDUP(F311/N309,0)</f>
        <v>0</v>
      </c>
      <c r="G312" s="91"/>
      <c r="H312" s="484"/>
      <c r="I312" s="485"/>
      <c r="J312" s="485"/>
      <c r="K312" s="485"/>
      <c r="L312" s="485"/>
      <c r="M312" s="485"/>
      <c r="N312" s="482"/>
      <c r="O312" s="483"/>
    </row>
    <row r="313" spans="2:29" s="21" customFormat="1" ht="18.75" customHeight="1" thickBot="1" thickTop="1">
      <c r="B313" s="503" t="s">
        <v>18</v>
      </c>
      <c r="C313" s="504"/>
      <c r="D313" s="504"/>
      <c r="E313" s="504"/>
      <c r="F313" s="504"/>
      <c r="G313" s="505"/>
      <c r="H313" s="410"/>
      <c r="I313" s="411"/>
      <c r="J313" s="411"/>
      <c r="K313" s="411"/>
      <c r="L313" s="411"/>
      <c r="M313" s="144" t="s">
        <v>409</v>
      </c>
      <c r="N313" s="506"/>
      <c r="O313" s="507"/>
      <c r="W313" s="146">
        <f>N313</f>
        <v>0</v>
      </c>
      <c r="Z313" s="58"/>
      <c r="AA313" s="58"/>
      <c r="AB313" s="58"/>
      <c r="AC313" s="58"/>
    </row>
    <row r="314" spans="2:15" ht="14.25" customHeight="1" thickBot="1" thickTop="1">
      <c r="B314" s="441" t="s">
        <v>716</v>
      </c>
      <c r="C314" s="442"/>
      <c r="D314" s="442"/>
      <c r="E314" s="443"/>
      <c r="F314" s="443"/>
      <c r="G314" s="443"/>
      <c r="H314" s="443"/>
      <c r="I314" s="443"/>
      <c r="J314" s="443"/>
      <c r="K314" s="443"/>
      <c r="L314" s="443"/>
      <c r="M314" s="443"/>
      <c r="N314" s="443"/>
      <c r="O314" s="444"/>
    </row>
    <row r="315" spans="2:15" ht="15">
      <c r="B315" s="447" t="s">
        <v>485</v>
      </c>
      <c r="C315" s="448"/>
      <c r="D315" s="449"/>
      <c r="E315" s="492"/>
      <c r="F315" s="493"/>
      <c r="G315" s="493"/>
      <c r="H315" s="493"/>
      <c r="I315" s="493"/>
      <c r="J315" s="493"/>
      <c r="K315" s="493"/>
      <c r="L315" s="493"/>
      <c r="M315" s="493"/>
      <c r="N315" s="493"/>
      <c r="O315" s="494"/>
    </row>
    <row r="316" spans="2:15" ht="13.5" customHeight="1" thickBot="1">
      <c r="B316" s="450"/>
      <c r="C316" s="451"/>
      <c r="D316" s="452"/>
      <c r="E316" s="495"/>
      <c r="F316" s="496"/>
      <c r="G316" s="496"/>
      <c r="H316" s="496"/>
      <c r="I316" s="497"/>
      <c r="J316" s="496"/>
      <c r="K316" s="496"/>
      <c r="L316" s="496"/>
      <c r="M316" s="496"/>
      <c r="N316" s="496"/>
      <c r="O316" s="498"/>
    </row>
    <row r="317" spans="2:20" ht="16.5" customHeight="1" thickBot="1" thickTop="1">
      <c r="B317" s="453"/>
      <c r="C317" s="454"/>
      <c r="D317" s="455"/>
      <c r="E317" s="439" t="s">
        <v>580</v>
      </c>
      <c r="F317" s="440"/>
      <c r="G317" s="440"/>
      <c r="H317" s="440"/>
      <c r="I317" s="147"/>
      <c r="J317" s="148"/>
      <c r="K317" s="148"/>
      <c r="L317" s="148"/>
      <c r="M317" s="148"/>
      <c r="N317" s="148"/>
      <c r="O317" s="149"/>
      <c r="T317" s="80"/>
    </row>
    <row r="318" spans="2:15" ht="20.25" customHeight="1" thickBot="1">
      <c r="B318" s="463" t="s">
        <v>732</v>
      </c>
      <c r="C318" s="499"/>
      <c r="D318" s="499"/>
      <c r="E318" s="499"/>
      <c r="F318" s="499"/>
      <c r="G318" s="499"/>
      <c r="H318" s="432"/>
      <c r="I318" s="500"/>
      <c r="J318" s="501"/>
      <c r="K318" s="502"/>
      <c r="L318" s="123" t="s">
        <v>66</v>
      </c>
      <c r="M318" s="489"/>
      <c r="N318" s="490"/>
      <c r="O318" s="491"/>
    </row>
    <row r="319" spans="2:15" ht="18.75" customHeight="1" thickBot="1">
      <c r="B319" s="431" t="s">
        <v>718</v>
      </c>
      <c r="C319" s="432"/>
      <c r="D319" s="433"/>
      <c r="E319" s="738" t="s">
        <v>372</v>
      </c>
      <c r="F319" s="739"/>
      <c r="G319" s="740"/>
      <c r="H319" s="434" t="s">
        <v>65</v>
      </c>
      <c r="I319" s="378"/>
      <c r="J319" s="378"/>
      <c r="K319" s="379"/>
      <c r="L319" s="741" t="s">
        <v>795</v>
      </c>
      <c r="M319" s="379"/>
      <c r="N319" s="456" t="e">
        <f>VLOOKUP(E319,Countries!H2:I120,2,FALSE)</f>
        <v>#N/A</v>
      </c>
      <c r="O319" s="457"/>
    </row>
    <row r="320" spans="2:17" ht="16.5" customHeight="1" thickBot="1">
      <c r="B320" s="419" t="s">
        <v>715</v>
      </c>
      <c r="C320" s="420"/>
      <c r="D320" s="420"/>
      <c r="E320" s="420"/>
      <c r="F320" s="420"/>
      <c r="G320" s="420"/>
      <c r="H320" s="420"/>
      <c r="I320" s="420"/>
      <c r="J320" s="420"/>
      <c r="K320" s="420"/>
      <c r="L320" s="420"/>
      <c r="M320" s="420"/>
      <c r="N320" s="420"/>
      <c r="O320" s="420"/>
      <c r="Q320" s="81"/>
    </row>
    <row r="321" spans="2:15" ht="17.25" customHeight="1">
      <c r="B321" s="13" t="s">
        <v>655</v>
      </c>
      <c r="C321" s="14"/>
      <c r="D321" s="15"/>
      <c r="E321" s="427" t="s">
        <v>372</v>
      </c>
      <c r="F321" s="427"/>
      <c r="G321" s="427"/>
      <c r="H321" s="1" t="s">
        <v>65</v>
      </c>
      <c r="I321" s="1"/>
      <c r="J321" s="7"/>
      <c r="K321" s="23"/>
      <c r="L321" s="37" t="s">
        <v>66</v>
      </c>
      <c r="M321" s="473"/>
      <c r="N321" s="474"/>
      <c r="O321" s="475"/>
    </row>
    <row r="322" spans="2:15" ht="18.75" customHeight="1" thickBot="1">
      <c r="B322" s="458" t="s">
        <v>327</v>
      </c>
      <c r="C322" s="459"/>
      <c r="D322" s="459"/>
      <c r="E322" s="438" t="e">
        <f>VLOOKUP(E321,Countries!H2:I120,2,FALSE)</f>
        <v>#N/A</v>
      </c>
      <c r="F322" s="438"/>
      <c r="G322" s="438"/>
      <c r="H322" s="470"/>
      <c r="I322" s="471"/>
      <c r="J322" s="471"/>
      <c r="K322" s="471"/>
      <c r="L322" s="471"/>
      <c r="M322" s="471"/>
      <c r="N322" s="471"/>
      <c r="O322" s="472"/>
    </row>
    <row r="323" spans="2:15" ht="9" customHeight="1" thickBot="1">
      <c r="B323" s="92"/>
      <c r="C323" s="93"/>
      <c r="D323" s="93"/>
      <c r="E323" s="94"/>
      <c r="F323" s="94"/>
      <c r="G323" s="94"/>
      <c r="H323" s="95"/>
      <c r="I323" s="96"/>
      <c r="J323" s="96"/>
      <c r="K323" s="96"/>
      <c r="L323" s="96"/>
      <c r="M323" s="96"/>
      <c r="N323" s="96"/>
      <c r="O323" s="96"/>
    </row>
    <row r="324" spans="2:20" ht="22.5" customHeight="1" thickBot="1">
      <c r="B324" s="541" t="s">
        <v>726</v>
      </c>
      <c r="C324" s="542"/>
      <c r="D324" s="542"/>
      <c r="E324" s="542"/>
      <c r="F324" s="542"/>
      <c r="G324" s="542"/>
      <c r="H324" s="542"/>
      <c r="I324" s="542"/>
      <c r="J324" s="542"/>
      <c r="K324" s="542"/>
      <c r="L324" s="542"/>
      <c r="M324" s="542"/>
      <c r="N324" s="542"/>
      <c r="O324" s="542"/>
      <c r="T324" s="6"/>
    </row>
    <row r="325" spans="2:29" s="84" customFormat="1" ht="26.25" customHeight="1" thickBot="1">
      <c r="B325" s="463" t="s">
        <v>490</v>
      </c>
      <c r="C325" s="464"/>
      <c r="D325" s="464"/>
      <c r="E325" s="464"/>
      <c r="F325" s="82">
        <f>F312</f>
        <v>0</v>
      </c>
      <c r="G325" s="178"/>
      <c r="H325" s="465" t="s">
        <v>607</v>
      </c>
      <c r="I325" s="466"/>
      <c r="J325" s="466"/>
      <c r="K325" s="467"/>
      <c r="L325" s="82">
        <f>F306</f>
        <v>0</v>
      </c>
      <c r="M325" s="83"/>
      <c r="N325" s="83"/>
      <c r="O325" s="100"/>
      <c r="T325" s="85"/>
      <c r="Z325" s="86"/>
      <c r="AA325" s="86"/>
      <c r="AB325" s="86"/>
      <c r="AC325" s="86"/>
    </row>
    <row r="326" spans="2:20" ht="9.75" customHeight="1" thickBot="1">
      <c r="B326" s="97"/>
      <c r="C326" s="77"/>
      <c r="D326" s="77"/>
      <c r="E326" s="77"/>
      <c r="F326" s="77"/>
      <c r="G326" s="77"/>
      <c r="H326" s="78"/>
      <c r="I326" s="78"/>
      <c r="J326" s="78"/>
      <c r="K326" s="78"/>
      <c r="L326" s="77"/>
      <c r="M326" s="77"/>
      <c r="N326" s="77"/>
      <c r="O326" s="171"/>
      <c r="T326" s="6"/>
    </row>
    <row r="327" spans="2:20" ht="28.5" customHeight="1" thickBot="1" thickTop="1">
      <c r="B327" s="421" t="s">
        <v>489</v>
      </c>
      <c r="C327" s="422"/>
      <c r="D327" s="422"/>
      <c r="E327" s="232"/>
      <c r="F327" s="71"/>
      <c r="G327" s="79"/>
      <c r="H327" s="435" t="s">
        <v>502</v>
      </c>
      <c r="I327" s="436"/>
      <c r="J327" s="437"/>
      <c r="K327" s="233"/>
      <c r="L327" s="543" t="s">
        <v>501</v>
      </c>
      <c r="M327" s="544"/>
      <c r="N327" s="545"/>
      <c r="O327" s="546"/>
      <c r="T327" s="6"/>
    </row>
    <row r="328" spans="2:20" ht="12" customHeight="1" thickBot="1">
      <c r="B328" s="547"/>
      <c r="C328" s="488"/>
      <c r="D328" s="488"/>
      <c r="E328" s="488"/>
      <c r="F328" s="488"/>
      <c r="G328" s="488"/>
      <c r="H328" s="488"/>
      <c r="I328" s="488"/>
      <c r="J328" s="488"/>
      <c r="K328" s="488"/>
      <c r="L328" s="488"/>
      <c r="M328" s="488"/>
      <c r="N328" s="488"/>
      <c r="O328" s="548"/>
      <c r="T328" s="6"/>
    </row>
    <row r="329" spans="2:24" ht="22.5" customHeight="1" thickBot="1" thickTop="1">
      <c r="B329" s="399" t="s">
        <v>694</v>
      </c>
      <c r="C329" s="400"/>
      <c r="D329" s="400"/>
      <c r="E329" s="400"/>
      <c r="F329" s="400"/>
      <c r="G329" s="460"/>
      <c r="H329" s="461"/>
      <c r="I329" s="461"/>
      <c r="J329" s="462"/>
      <c r="K329" s="468" t="s">
        <v>701</v>
      </c>
      <c r="L329" s="469"/>
      <c r="M329" s="549"/>
      <c r="N329" s="550"/>
      <c r="O329" s="551"/>
      <c r="W329" s="3" t="s">
        <v>667</v>
      </c>
      <c r="X329" s="3" t="e">
        <f>LEFT(E333,FIND(CHAR(10),E333))</f>
        <v>#VALUE!</v>
      </c>
    </row>
    <row r="330" spans="2:23" ht="15.75" customHeight="1" thickBot="1">
      <c r="B330" s="416"/>
      <c r="C330" s="417"/>
      <c r="D330" s="417"/>
      <c r="E330" s="417"/>
      <c r="F330" s="417"/>
      <c r="G330" s="417"/>
      <c r="H330" s="417"/>
      <c r="I330" s="417"/>
      <c r="J330" s="417"/>
      <c r="K330" s="417"/>
      <c r="L330" s="417"/>
      <c r="M330" s="417"/>
      <c r="N330" s="417"/>
      <c r="O330" s="418"/>
      <c r="W330" s="3" t="s">
        <v>668</v>
      </c>
    </row>
    <row r="331" spans="2:23" ht="18" customHeight="1" thickBot="1">
      <c r="B331" s="425" t="s">
        <v>791</v>
      </c>
      <c r="C331" s="426"/>
      <c r="D331" s="426"/>
      <c r="E331" s="423"/>
      <c r="F331" s="424"/>
      <c r="G331" s="424"/>
      <c r="H331" s="38"/>
      <c r="I331" s="415" t="s">
        <v>486</v>
      </c>
      <c r="J331" s="415"/>
      <c r="K331" s="415"/>
      <c r="L331" s="412"/>
      <c r="M331" s="413"/>
      <c r="N331" s="413"/>
      <c r="O331" s="414"/>
      <c r="W331" s="3" t="s">
        <v>606</v>
      </c>
    </row>
    <row r="332" spans="2:23" ht="18" customHeight="1" thickBot="1">
      <c r="B332" s="807" t="s">
        <v>493</v>
      </c>
      <c r="C332" s="488"/>
      <c r="D332" s="488"/>
      <c r="E332" s="742"/>
      <c r="F332" s="743"/>
      <c r="G332" s="743"/>
      <c r="H332" s="744"/>
      <c r="I332" s="748" t="s">
        <v>623</v>
      </c>
      <c r="J332" s="749"/>
      <c r="K332" s="749"/>
      <c r="L332" s="752"/>
      <c r="M332" s="753"/>
      <c r="N332" s="753"/>
      <c r="O332" s="754"/>
      <c r="W332" s="56">
        <f>L331</f>
        <v>0</v>
      </c>
    </row>
    <row r="333" spans="2:15" ht="48" customHeight="1" thickBot="1">
      <c r="B333" s="74" t="s">
        <v>494</v>
      </c>
      <c r="C333" s="2"/>
      <c r="D333" s="2"/>
      <c r="E333" s="818"/>
      <c r="F333" s="776"/>
      <c r="G333" s="776"/>
      <c r="H333" s="776"/>
      <c r="I333" s="776"/>
      <c r="J333" s="776"/>
      <c r="K333" s="819"/>
      <c r="L333" s="820"/>
      <c r="M333" s="821"/>
      <c r="N333" s="821"/>
      <c r="O333" s="822"/>
    </row>
    <row r="334" spans="2:15" ht="19.5" customHeight="1" thickBot="1" thickTop="1">
      <c r="B334" s="75"/>
      <c r="C334" s="2"/>
      <c r="D334" s="2"/>
      <c r="E334" s="759" t="s">
        <v>389</v>
      </c>
      <c r="F334" s="759"/>
      <c r="G334" s="750"/>
      <c r="H334" s="751"/>
      <c r="I334" s="349" t="s">
        <v>330</v>
      </c>
      <c r="J334" s="200"/>
      <c r="K334" s="115"/>
      <c r="L334" s="117" t="s">
        <v>537</v>
      </c>
      <c r="M334" s="116"/>
      <c r="N334" s="809"/>
      <c r="O334" s="810"/>
    </row>
    <row r="335" spans="2:15" ht="15" customHeight="1" thickTop="1">
      <c r="B335" s="406" t="s">
        <v>495</v>
      </c>
      <c r="C335" s="407"/>
      <c r="D335" s="407"/>
      <c r="E335" s="769"/>
      <c r="F335" s="777" t="s">
        <v>20</v>
      </c>
      <c r="G335" s="409"/>
      <c r="H335" s="409"/>
      <c r="I335" s="618" t="s">
        <v>3</v>
      </c>
      <c r="J335" s="786"/>
      <c r="K335" s="755" t="str">
        <f>J308</f>
        <v>JRC22352</v>
      </c>
      <c r="L335" s="756"/>
      <c r="M335" s="757"/>
      <c r="N335" s="757"/>
      <c r="O335" s="758"/>
    </row>
    <row r="336" spans="2:15" ht="15" customHeight="1" thickBot="1">
      <c r="B336" s="408"/>
      <c r="C336" s="409"/>
      <c r="D336" s="409"/>
      <c r="E336" s="770"/>
      <c r="F336" s="409"/>
      <c r="G336" s="409"/>
      <c r="H336" s="409"/>
      <c r="I336" s="816" t="s">
        <v>691</v>
      </c>
      <c r="J336" s="817"/>
      <c r="K336" s="811" t="e">
        <f>VLOOKUP(K335,Vaccines!A2:F2,3,FALSE)</f>
        <v>#N/A</v>
      </c>
      <c r="L336" s="811"/>
      <c r="M336" s="812"/>
      <c r="N336" s="812"/>
      <c r="O336" s="813"/>
    </row>
    <row r="337" spans="2:15" ht="15" customHeight="1">
      <c r="B337" s="808" t="s">
        <v>496</v>
      </c>
      <c r="C337" s="761"/>
      <c r="D337" s="761"/>
      <c r="E337" s="731"/>
      <c r="F337" s="760" t="s">
        <v>39</v>
      </c>
      <c r="G337" s="761"/>
      <c r="H337" s="761"/>
      <c r="I337" s="778" t="s">
        <v>3</v>
      </c>
      <c r="J337" s="620"/>
      <c r="K337" s="781"/>
      <c r="L337" s="781"/>
      <c r="M337" s="782"/>
      <c r="N337" s="782"/>
      <c r="O337" s="783"/>
    </row>
    <row r="338" spans="2:15" ht="15" customHeight="1" thickBot="1">
      <c r="B338" s="408"/>
      <c r="C338" s="409"/>
      <c r="D338" s="409"/>
      <c r="E338" s="732"/>
      <c r="F338" s="409"/>
      <c r="G338" s="409"/>
      <c r="H338" s="409"/>
      <c r="I338" s="779"/>
      <c r="J338" s="780"/>
      <c r="K338" s="784"/>
      <c r="L338" s="784"/>
      <c r="M338" s="784"/>
      <c r="N338" s="784"/>
      <c r="O338" s="785"/>
    </row>
    <row r="339" spans="2:15" ht="18" customHeight="1" thickBot="1">
      <c r="B339" s="377" t="s">
        <v>706</v>
      </c>
      <c r="C339" s="378"/>
      <c r="D339" s="378"/>
      <c r="E339" s="379"/>
      <c r="F339" s="380"/>
      <c r="G339" s="381"/>
      <c r="H339" s="382"/>
      <c r="I339" s="386" t="s">
        <v>707</v>
      </c>
      <c r="J339" s="387"/>
      <c r="K339" s="387"/>
      <c r="L339" s="388"/>
      <c r="M339" s="383"/>
      <c r="N339" s="384"/>
      <c r="O339" s="385"/>
    </row>
    <row r="340" spans="2:15" ht="21.75" customHeight="1" thickBot="1">
      <c r="B340" s="26" t="s">
        <v>682</v>
      </c>
      <c r="C340" s="16"/>
      <c r="E340" s="16" t="s">
        <v>683</v>
      </c>
      <c r="F340" s="16"/>
      <c r="G340" s="16"/>
      <c r="H340" s="16"/>
      <c r="I340" s="37" t="s">
        <v>65</v>
      </c>
      <c r="J340" s="23"/>
      <c r="K340" s="23"/>
      <c r="L340" s="23"/>
      <c r="M340" s="23"/>
      <c r="N340" s="23"/>
      <c r="O340" s="205"/>
    </row>
    <row r="341" spans="2:15" ht="24" customHeight="1" thickBot="1" thickTop="1">
      <c r="B341" s="206"/>
      <c r="C341" s="355" t="s">
        <v>684</v>
      </c>
      <c r="D341" s="356"/>
      <c r="E341" s="402"/>
      <c r="F341" s="207"/>
      <c r="G341" s="355" t="s">
        <v>685</v>
      </c>
      <c r="H341" s="356"/>
      <c r="I341" s="356"/>
      <c r="J341" s="356"/>
      <c r="K341" s="762" t="s">
        <v>468</v>
      </c>
      <c r="L341" s="762"/>
      <c r="M341" s="373"/>
      <c r="N341" s="373"/>
      <c r="O341" s="374"/>
    </row>
    <row r="342" spans="2:15" ht="21.75" customHeight="1" thickBot="1" thickTop="1">
      <c r="B342" s="206"/>
      <c r="C342" s="16" t="s">
        <v>686</v>
      </c>
      <c r="D342" s="16"/>
      <c r="E342" s="16"/>
      <c r="F342" s="208"/>
      <c r="G342" s="355" t="s">
        <v>687</v>
      </c>
      <c r="H342" s="356"/>
      <c r="I342" s="356"/>
      <c r="J342" s="356"/>
      <c r="K342" s="762"/>
      <c r="L342" s="762"/>
      <c r="M342" s="373"/>
      <c r="N342" s="373"/>
      <c r="O342" s="374"/>
    </row>
    <row r="343" spans="2:15" ht="15.75" customHeight="1" thickBot="1" thickTop="1">
      <c r="B343" s="206"/>
      <c r="C343" s="355" t="s">
        <v>688</v>
      </c>
      <c r="D343" s="356"/>
      <c r="E343" s="402"/>
      <c r="F343" s="208"/>
      <c r="G343" s="355" t="s">
        <v>689</v>
      </c>
      <c r="H343" s="356"/>
      <c r="I343" s="356"/>
      <c r="J343" s="356"/>
      <c r="K343" s="209"/>
      <c r="L343" s="210"/>
      <c r="M343" s="373"/>
      <c r="N343" s="373"/>
      <c r="O343" s="374"/>
    </row>
    <row r="344" spans="2:15" ht="15.75" customHeight="1" thickBot="1" thickTop="1">
      <c r="B344" s="225"/>
      <c r="C344" s="16"/>
      <c r="D344" s="16"/>
      <c r="E344" s="16"/>
      <c r="F344" s="226"/>
      <c r="G344" s="16"/>
      <c r="H344" s="16"/>
      <c r="I344" s="16"/>
      <c r="J344" s="16"/>
      <c r="K344" s="209"/>
      <c r="L344" s="210"/>
      <c r="M344" s="375"/>
      <c r="N344" s="375"/>
      <c r="O344" s="376"/>
    </row>
    <row r="345" spans="2:15" ht="20.25" customHeight="1" thickBot="1" thickTop="1">
      <c r="B345" s="814" t="s">
        <v>698</v>
      </c>
      <c r="C345" s="815"/>
      <c r="D345" s="815"/>
      <c r="E345" s="815"/>
      <c r="F345" s="815"/>
      <c r="G345" s="792"/>
      <c r="H345" s="793"/>
      <c r="I345" s="793"/>
      <c r="J345" s="794"/>
      <c r="K345" s="797" t="s">
        <v>702</v>
      </c>
      <c r="L345" s="798"/>
      <c r="M345" s="549"/>
      <c r="N345" s="550"/>
      <c r="O345" s="551"/>
    </row>
    <row r="346" spans="2:15" ht="20.25" customHeight="1" thickBot="1" thickTop="1">
      <c r="B346" s="229"/>
      <c r="C346" s="230"/>
      <c r="D346" s="234"/>
      <c r="E346" s="234"/>
      <c r="F346" s="234"/>
      <c r="G346" s="235"/>
      <c r="H346" s="236"/>
      <c r="I346" s="236"/>
      <c r="J346" s="236"/>
      <c r="K346" s="231"/>
      <c r="L346" s="231"/>
      <c r="M346" s="213"/>
      <c r="N346" s="213"/>
      <c r="O346" s="237"/>
    </row>
    <row r="347" spans="2:15" ht="17.25" customHeight="1" thickBot="1">
      <c r="B347" s="787" t="s">
        <v>790</v>
      </c>
      <c r="C347" s="788"/>
      <c r="D347" s="788"/>
      <c r="E347" s="745"/>
      <c r="F347" s="746"/>
      <c r="G347" s="746"/>
      <c r="H347" s="38"/>
      <c r="I347" s="747" t="s">
        <v>486</v>
      </c>
      <c r="J347" s="747"/>
      <c r="K347" s="747"/>
      <c r="L347" s="799"/>
      <c r="M347" s="800"/>
      <c r="N347" s="800"/>
      <c r="O347" s="801"/>
    </row>
    <row r="348" spans="2:26" ht="21.75" customHeight="1" thickTop="1">
      <c r="B348" s="789" t="s">
        <v>497</v>
      </c>
      <c r="C348" s="790"/>
      <c r="D348" s="790"/>
      <c r="E348" s="403"/>
      <c r="F348" s="404"/>
      <c r="G348" s="404"/>
      <c r="H348" s="405"/>
      <c r="I348" s="791" t="s">
        <v>623</v>
      </c>
      <c r="J348" s="749"/>
      <c r="K348" s="749"/>
      <c r="L348" s="733"/>
      <c r="M348" s="734"/>
      <c r="N348" s="734"/>
      <c r="O348" s="735"/>
      <c r="V348" s="3">
        <v>0</v>
      </c>
      <c r="W348" s="3">
        <v>2</v>
      </c>
      <c r="Y348" s="124">
        <v>4</v>
      </c>
      <c r="Z348" s="3">
        <v>5</v>
      </c>
    </row>
    <row r="349" spans="2:26" ht="46.5" customHeight="1" thickBot="1">
      <c r="B349" s="98" t="s">
        <v>498</v>
      </c>
      <c r="C349" s="166"/>
      <c r="D349" s="166"/>
      <c r="E349" s="775"/>
      <c r="F349" s="776"/>
      <c r="G349" s="776"/>
      <c r="H349" s="776"/>
      <c r="I349" s="776"/>
      <c r="J349" s="776"/>
      <c r="K349" s="776"/>
      <c r="L349" s="802"/>
      <c r="M349" s="803"/>
      <c r="N349" s="803"/>
      <c r="O349" s="804"/>
      <c r="V349" s="3">
        <v>1</v>
      </c>
      <c r="W349" s="3" t="s">
        <v>658</v>
      </c>
      <c r="Y349" s="3" t="s">
        <v>596</v>
      </c>
      <c r="Z349" s="3" t="s">
        <v>64</v>
      </c>
    </row>
    <row r="350" spans="2:26" ht="21.75" customHeight="1" thickBot="1" thickTop="1">
      <c r="B350" s="99"/>
      <c r="C350" s="166"/>
      <c r="D350" s="166"/>
      <c r="E350" s="773" t="s">
        <v>389</v>
      </c>
      <c r="F350" s="774"/>
      <c r="G350" s="795"/>
      <c r="H350" s="796"/>
      <c r="I350" s="350" t="s">
        <v>330</v>
      </c>
      <c r="J350" s="201"/>
      <c r="K350" s="172"/>
      <c r="L350" s="173" t="s">
        <v>492</v>
      </c>
      <c r="M350" s="174"/>
      <c r="N350" s="805"/>
      <c r="O350" s="806"/>
      <c r="R350" s="88"/>
      <c r="V350" s="3">
        <v>2</v>
      </c>
      <c r="W350" s="3" t="s">
        <v>60</v>
      </c>
      <c r="Y350" s="3" t="s">
        <v>62</v>
      </c>
      <c r="Z350" s="3" t="s">
        <v>63</v>
      </c>
    </row>
    <row r="351" spans="2:26" ht="15" customHeight="1">
      <c r="B351" s="526" t="s">
        <v>499</v>
      </c>
      <c r="C351" s="527"/>
      <c r="D351" s="527"/>
      <c r="E351" s="530"/>
      <c r="F351" s="532" t="s">
        <v>20</v>
      </c>
      <c r="G351" s="527"/>
      <c r="H351" s="527"/>
      <c r="I351" s="522" t="s">
        <v>3</v>
      </c>
      <c r="J351" s="523"/>
      <c r="K351" s="763" t="str">
        <f>J308</f>
        <v>JRC22352</v>
      </c>
      <c r="L351" s="763"/>
      <c r="M351" s="764"/>
      <c r="N351" s="764"/>
      <c r="O351" s="765"/>
      <c r="V351" s="3">
        <v>3</v>
      </c>
      <c r="Y351" s="3" t="s">
        <v>61</v>
      </c>
      <c r="Z351" s="3" t="s">
        <v>62</v>
      </c>
    </row>
    <row r="352" spans="2:26" ht="15" customHeight="1" thickBot="1">
      <c r="B352" s="528"/>
      <c r="C352" s="529"/>
      <c r="D352" s="529"/>
      <c r="E352" s="531"/>
      <c r="F352" s="529"/>
      <c r="G352" s="529"/>
      <c r="H352" s="529"/>
      <c r="I352" s="771" t="s">
        <v>691</v>
      </c>
      <c r="J352" s="772"/>
      <c r="K352" s="766" t="e">
        <f>VLOOKUP(K351,Vaccines!A1:F2,3,FALSE)</f>
        <v>#N/A</v>
      </c>
      <c r="L352" s="766"/>
      <c r="M352" s="767"/>
      <c r="N352" s="767"/>
      <c r="O352" s="768"/>
      <c r="V352" s="3">
        <v>4</v>
      </c>
      <c r="Y352" s="3" t="s">
        <v>60</v>
      </c>
      <c r="Z352" s="3" t="s">
        <v>61</v>
      </c>
    </row>
    <row r="353" spans="2:26" ht="15" customHeight="1">
      <c r="B353" s="526" t="s">
        <v>500</v>
      </c>
      <c r="C353" s="527"/>
      <c r="D353" s="527"/>
      <c r="E353" s="530"/>
      <c r="F353" s="532" t="s">
        <v>39</v>
      </c>
      <c r="G353" s="527"/>
      <c r="H353" s="527"/>
      <c r="I353" s="722" t="s">
        <v>3</v>
      </c>
      <c r="J353" s="723"/>
      <c r="K353" s="726"/>
      <c r="L353" s="726"/>
      <c r="M353" s="727"/>
      <c r="N353" s="727"/>
      <c r="O353" s="728"/>
      <c r="U353" s="3" t="e">
        <f>VLOOKUP(E353,V348:Z353,X300,FALSE)</f>
        <v>#VALUE!</v>
      </c>
      <c r="V353" s="3">
        <v>5</v>
      </c>
      <c r="Z353" s="3" t="s">
        <v>60</v>
      </c>
    </row>
    <row r="354" spans="2:15" ht="15" customHeight="1" thickBot="1">
      <c r="B354" s="721"/>
      <c r="C354" s="533"/>
      <c r="D354" s="533"/>
      <c r="E354" s="537"/>
      <c r="F354" s="533"/>
      <c r="G354" s="533"/>
      <c r="H354" s="533"/>
      <c r="I354" s="724"/>
      <c r="J354" s="725"/>
      <c r="K354" s="729"/>
      <c r="L354" s="729"/>
      <c r="M354" s="729"/>
      <c r="N354" s="729"/>
      <c r="O354" s="730"/>
    </row>
    <row r="355" spans="2:15" ht="21" customHeight="1" thickBot="1">
      <c r="B355" s="389" t="s">
        <v>708</v>
      </c>
      <c r="C355" s="390"/>
      <c r="D355" s="390"/>
      <c r="E355" s="391"/>
      <c r="F355" s="392"/>
      <c r="G355" s="393"/>
      <c r="H355" s="394"/>
      <c r="I355" s="395" t="s">
        <v>707</v>
      </c>
      <c r="J355" s="396"/>
      <c r="K355" s="396"/>
      <c r="L355" s="397"/>
      <c r="M355" s="366"/>
      <c r="N355" s="367"/>
      <c r="O355" s="368"/>
    </row>
    <row r="356" spans="2:15" ht="21" customHeight="1" thickBot="1">
      <c r="B356" s="214" t="s">
        <v>697</v>
      </c>
      <c r="C356" s="215"/>
      <c r="D356" s="215"/>
      <c r="E356" s="215" t="s">
        <v>683</v>
      </c>
      <c r="F356" s="215"/>
      <c r="G356" s="215"/>
      <c r="H356" s="215"/>
      <c r="I356" s="216" t="s">
        <v>65</v>
      </c>
      <c r="J356" s="215"/>
      <c r="K356" s="215"/>
      <c r="L356" s="215"/>
      <c r="M356" s="215"/>
      <c r="N356" s="215"/>
      <c r="O356" s="217"/>
    </row>
    <row r="357" spans="2:15" ht="15" customHeight="1" thickBot="1" thickTop="1">
      <c r="B357" s="218"/>
      <c r="C357" s="371" t="s">
        <v>684</v>
      </c>
      <c r="D357" s="372"/>
      <c r="E357" s="398"/>
      <c r="F357" s="219"/>
      <c r="G357" s="371" t="s">
        <v>685</v>
      </c>
      <c r="H357" s="372"/>
      <c r="I357" s="372"/>
      <c r="J357" s="372"/>
      <c r="K357" s="401" t="s">
        <v>468</v>
      </c>
      <c r="L357" s="401"/>
      <c r="M357" s="369"/>
      <c r="N357" s="369"/>
      <c r="O357" s="370"/>
    </row>
    <row r="358" spans="2:15" ht="15" customHeight="1" thickBot="1" thickTop="1">
      <c r="B358" s="218"/>
      <c r="C358" s="220" t="s">
        <v>686</v>
      </c>
      <c r="D358" s="220"/>
      <c r="E358" s="220"/>
      <c r="F358" s="221"/>
      <c r="G358" s="371" t="s">
        <v>687</v>
      </c>
      <c r="H358" s="372"/>
      <c r="I358" s="372"/>
      <c r="J358" s="372"/>
      <c r="K358" s="401"/>
      <c r="L358" s="401"/>
      <c r="M358" s="369"/>
      <c r="N358" s="369"/>
      <c r="O358" s="370"/>
    </row>
    <row r="359" spans="2:15" ht="15" customHeight="1" thickBot="1" thickTop="1">
      <c r="B359" s="218"/>
      <c r="C359" s="371" t="s">
        <v>688</v>
      </c>
      <c r="D359" s="372"/>
      <c r="E359" s="398"/>
      <c r="F359" s="221"/>
      <c r="G359" s="371" t="s">
        <v>689</v>
      </c>
      <c r="H359" s="372"/>
      <c r="I359" s="372"/>
      <c r="J359" s="372"/>
      <c r="K359" s="222"/>
      <c r="L359" s="223"/>
      <c r="M359" s="369"/>
      <c r="N359" s="369"/>
      <c r="O359" s="370"/>
    </row>
    <row r="360" spans="2:15" ht="18.75" customHeight="1" thickBot="1" thickTop="1">
      <c r="B360" s="211"/>
      <c r="C360" s="212"/>
      <c r="D360" s="212"/>
      <c r="E360" s="212"/>
      <c r="F360" s="212"/>
      <c r="G360" s="212"/>
      <c r="H360" s="212"/>
      <c r="I360" s="212"/>
      <c r="J360" s="212"/>
      <c r="K360" s="212"/>
      <c r="L360" s="212"/>
      <c r="M360" s="212"/>
      <c r="N360" s="212"/>
      <c r="O360" s="224"/>
    </row>
    <row r="361" spans="2:15" ht="22.5" customHeight="1" thickBot="1">
      <c r="B361" s="538"/>
      <c r="C361" s="539"/>
      <c r="D361" s="539"/>
      <c r="E361" s="539"/>
      <c r="F361" s="539"/>
      <c r="G361" s="539"/>
      <c r="H361" s="539"/>
      <c r="I361" s="539"/>
      <c r="J361" s="539"/>
      <c r="K361" s="539"/>
      <c r="L361" s="539"/>
      <c r="M361" s="539"/>
      <c r="N361" s="539"/>
      <c r="O361" s="540"/>
    </row>
    <row r="362" spans="2:22" ht="51.75" customHeight="1">
      <c r="B362" s="510"/>
      <c r="C362" s="511"/>
      <c r="D362" s="511"/>
      <c r="E362" s="511"/>
      <c r="F362" s="511"/>
      <c r="G362" s="511"/>
      <c r="H362" s="511"/>
      <c r="I362" s="511"/>
      <c r="J362" s="511"/>
      <c r="K362" s="511"/>
      <c r="L362" s="511"/>
      <c r="M362" s="511"/>
      <c r="N362" s="511"/>
      <c r="O362" s="512"/>
      <c r="V362" s="3" t="s">
        <v>366</v>
      </c>
    </row>
    <row r="363" spans="2:15" ht="20.25" customHeight="1">
      <c r="B363" s="360" t="s">
        <v>723</v>
      </c>
      <c r="C363" s="361"/>
      <c r="D363" s="361"/>
      <c r="E363" s="361"/>
      <c r="F363" s="361"/>
      <c r="G363" s="361"/>
      <c r="H363" s="361"/>
      <c r="I363" s="361"/>
      <c r="J363" s="361"/>
      <c r="K363" s="361"/>
      <c r="L363" s="361"/>
      <c r="M363" s="361"/>
      <c r="N363" s="361"/>
      <c r="O363" s="362"/>
    </row>
    <row r="364" spans="2:22" ht="20.25" customHeight="1" thickBot="1">
      <c r="B364" s="534" t="s">
        <v>798</v>
      </c>
      <c r="C364" s="535"/>
      <c r="D364" s="535"/>
      <c r="E364" s="535"/>
      <c r="F364" s="535"/>
      <c r="G364" s="535"/>
      <c r="H364" s="535"/>
      <c r="I364" s="535"/>
      <c r="J364" s="535"/>
      <c r="K364" s="535"/>
      <c r="L364" s="535"/>
      <c r="M364" s="535"/>
      <c r="N364" s="535"/>
      <c r="O364" s="536"/>
      <c r="V364" s="3" t="s">
        <v>331</v>
      </c>
    </row>
    <row r="365" spans="2:22" ht="20.25" customHeight="1">
      <c r="B365" s="363" t="s">
        <v>710</v>
      </c>
      <c r="C365" s="364"/>
      <c r="D365" s="364"/>
      <c r="E365" s="364"/>
      <c r="F365" s="364"/>
      <c r="G365" s="364"/>
      <c r="H365" s="364"/>
      <c r="I365" s="364"/>
      <c r="J365" s="364"/>
      <c r="K365" s="364"/>
      <c r="L365" s="364"/>
      <c r="M365" s="364"/>
      <c r="N365" s="364"/>
      <c r="O365" s="365"/>
      <c r="U365" s="62"/>
      <c r="V365" t="s">
        <v>744</v>
      </c>
    </row>
    <row r="366" spans="2:21" ht="20.25" customHeight="1">
      <c r="B366" s="524" t="s">
        <v>673</v>
      </c>
      <c r="C366" s="525"/>
      <c r="D366" s="525"/>
      <c r="E366" s="525"/>
      <c r="F366" s="513" t="s">
        <v>696</v>
      </c>
      <c r="G366" s="514"/>
      <c r="H366" s="514"/>
      <c r="I366" s="514"/>
      <c r="J366" s="514"/>
      <c r="K366" s="514"/>
      <c r="L366" s="514"/>
      <c r="M366" s="514"/>
      <c r="N366" s="514"/>
      <c r="O366" s="515"/>
      <c r="U366" s="187"/>
    </row>
    <row r="367" spans="2:21" ht="15" customHeight="1">
      <c r="B367" s="508" t="s">
        <v>711</v>
      </c>
      <c r="C367" s="509"/>
      <c r="D367" s="509"/>
      <c r="E367" s="176"/>
      <c r="F367" s="516"/>
      <c r="G367" s="517"/>
      <c r="H367" s="517"/>
      <c r="I367" s="517"/>
      <c r="J367" s="517"/>
      <c r="K367" s="517"/>
      <c r="L367" s="517"/>
      <c r="M367" s="517"/>
      <c r="N367" s="517"/>
      <c r="O367" s="518"/>
      <c r="U367" s="188"/>
    </row>
    <row r="368" spans="2:22" ht="15" customHeight="1">
      <c r="B368" s="508" t="s">
        <v>4</v>
      </c>
      <c r="C368" s="509"/>
      <c r="D368" s="509"/>
      <c r="E368" s="239"/>
      <c r="F368" s="516"/>
      <c r="G368" s="517"/>
      <c r="H368" s="517"/>
      <c r="I368" s="517"/>
      <c r="J368" s="517"/>
      <c r="K368" s="517"/>
      <c r="L368" s="517"/>
      <c r="M368" s="517"/>
      <c r="N368" s="517"/>
      <c r="O368" s="518"/>
      <c r="U368" s="188"/>
      <c r="V368" s="62"/>
    </row>
    <row r="369" spans="2:42" ht="15" customHeight="1">
      <c r="B369" s="508" t="s">
        <v>695</v>
      </c>
      <c r="C369" s="509"/>
      <c r="D369" s="509"/>
      <c r="E369" s="176"/>
      <c r="F369" s="519"/>
      <c r="G369" s="520"/>
      <c r="H369" s="520"/>
      <c r="I369" s="520"/>
      <c r="J369" s="520"/>
      <c r="K369" s="520"/>
      <c r="L369" s="520"/>
      <c r="M369" s="520"/>
      <c r="N369" s="520"/>
      <c r="O369" s="521"/>
      <c r="U369" s="188"/>
      <c r="V369" s="3" t="s">
        <v>331</v>
      </c>
      <c r="AE369" s="4" t="s">
        <v>12</v>
      </c>
      <c r="AO369" s="62" t="s">
        <v>331</v>
      </c>
      <c r="AP369"/>
    </row>
    <row r="370" spans="2:42" ht="15.75" customHeight="1" thickBot="1">
      <c r="B370" s="357" t="s">
        <v>712</v>
      </c>
      <c r="C370" s="358"/>
      <c r="D370" s="358"/>
      <c r="E370" s="358"/>
      <c r="F370" s="358"/>
      <c r="G370" s="358"/>
      <c r="H370" s="358"/>
      <c r="I370" s="358"/>
      <c r="J370" s="358"/>
      <c r="K370" s="358"/>
      <c r="L370" s="358"/>
      <c r="M370" s="358"/>
      <c r="N370" s="358"/>
      <c r="O370" s="359"/>
      <c r="U370" s="188"/>
      <c r="X370" s="4"/>
      <c r="Y370" s="4"/>
      <c r="Z370" s="59" t="s">
        <v>9</v>
      </c>
      <c r="AA370" s="59"/>
      <c r="AB370" s="59"/>
      <c r="AC370" s="59"/>
      <c r="AD370" s="4" t="s">
        <v>41</v>
      </c>
      <c r="AE370" s="3" t="s">
        <v>370</v>
      </c>
      <c r="AF370" s="4" t="s">
        <v>16</v>
      </c>
      <c r="AG370" s="4" t="s">
        <v>14</v>
      </c>
      <c r="AH370" s="4" t="s">
        <v>15</v>
      </c>
      <c r="AI370" s="4" t="s">
        <v>23</v>
      </c>
      <c r="AJ370" s="4" t="s">
        <v>18</v>
      </c>
      <c r="AK370" s="4" t="s">
        <v>59</v>
      </c>
      <c r="AL370" s="202"/>
      <c r="AM370" s="3" t="s">
        <v>69</v>
      </c>
      <c r="AO370" s="34" t="s">
        <v>310</v>
      </c>
      <c r="AP370" s="34"/>
    </row>
    <row r="371" spans="21:45" ht="20.25" customHeight="1">
      <c r="U371" s="188"/>
      <c r="V371" s="3" t="s">
        <v>377</v>
      </c>
      <c r="X371" s="4"/>
      <c r="Y371" s="4"/>
      <c r="Z371" s="59" t="s">
        <v>361</v>
      </c>
      <c r="AA371" s="59" t="s">
        <v>362</v>
      </c>
      <c r="AB371" s="59" t="s">
        <v>26</v>
      </c>
      <c r="AC371" s="59"/>
      <c r="AD371" s="4" t="s">
        <v>40</v>
      </c>
      <c r="AE371" s="3" t="s">
        <v>370</v>
      </c>
      <c r="AF371" s="4"/>
      <c r="AG371" s="4"/>
      <c r="AH371" s="4"/>
      <c r="AI371" s="4" t="s">
        <v>30</v>
      </c>
      <c r="AJ371" s="4"/>
      <c r="AK371" s="4"/>
      <c r="AL371" s="202"/>
      <c r="AO371" s="34" t="s">
        <v>538</v>
      </c>
      <c r="AP371" s="34"/>
      <c r="AR371" s="57" t="s">
        <v>372</v>
      </c>
      <c r="AS371" s="3" t="s">
        <v>371</v>
      </c>
    </row>
    <row r="372" spans="21:45" ht="20.25" customHeight="1">
      <c r="U372" s="188"/>
      <c r="V372" s="3" t="s">
        <v>381</v>
      </c>
      <c r="X372" s="4" t="s">
        <v>24</v>
      </c>
      <c r="Y372" s="5" t="s">
        <v>609</v>
      </c>
      <c r="Z372" s="60" t="s">
        <v>25</v>
      </c>
      <c r="AA372" s="60" t="s">
        <v>363</v>
      </c>
      <c r="AB372" s="60" t="s">
        <v>364</v>
      </c>
      <c r="AC372" s="60" t="s">
        <v>365</v>
      </c>
      <c r="AD372" s="4" t="s">
        <v>26</v>
      </c>
      <c r="AE372" s="4" t="s">
        <v>26</v>
      </c>
      <c r="AF372" s="4" t="s">
        <v>27</v>
      </c>
      <c r="AG372" s="4" t="s">
        <v>28</v>
      </c>
      <c r="AH372" s="4" t="s">
        <v>29</v>
      </c>
      <c r="AI372" s="3" t="s">
        <v>608</v>
      </c>
      <c r="AJ372" s="4" t="s">
        <v>664</v>
      </c>
      <c r="AK372" s="4" t="s">
        <v>60</v>
      </c>
      <c r="AL372" s="202"/>
      <c r="AM372" s="3" t="s">
        <v>70</v>
      </c>
      <c r="AO372" s="27" t="s">
        <v>72</v>
      </c>
      <c r="AP372" s="28"/>
      <c r="AR372" s="57" t="s">
        <v>782</v>
      </c>
      <c r="AS372" s="3" t="s">
        <v>549</v>
      </c>
    </row>
    <row r="373" spans="6:45" ht="15" customHeight="1">
      <c r="F373" s="351"/>
      <c r="G373" s="352"/>
      <c r="H373" s="352"/>
      <c r="U373" s="188"/>
      <c r="V373" s="3" t="s">
        <v>584</v>
      </c>
      <c r="X373" s="4" t="s">
        <v>19</v>
      </c>
      <c r="Y373" s="4" t="s">
        <v>22</v>
      </c>
      <c r="Z373" s="59" t="s">
        <v>614</v>
      </c>
      <c r="AA373" s="59" t="s">
        <v>614</v>
      </c>
      <c r="AB373" s="61" t="s">
        <v>652</v>
      </c>
      <c r="AC373" s="68" t="e">
        <f aca="true" t="shared" si="1" ref="AC373:AC379">IF($X$290="Bat",AB373,IF($X$290="Rodent or primate",AA373,Z373))</f>
        <v>#N/A</v>
      </c>
      <c r="AD373" s="4" t="s">
        <v>362</v>
      </c>
      <c r="AE373" s="4" t="s">
        <v>31</v>
      </c>
      <c r="AF373" s="4" t="s">
        <v>32</v>
      </c>
      <c r="AG373" s="4" t="s">
        <v>33</v>
      </c>
      <c r="AH373" s="4" t="s">
        <v>34</v>
      </c>
      <c r="AI373" s="4" t="s">
        <v>604</v>
      </c>
      <c r="AJ373" s="4" t="s">
        <v>665</v>
      </c>
      <c r="AK373" s="4" t="s">
        <v>61</v>
      </c>
      <c r="AL373" s="202"/>
      <c r="AM373" s="3" t="s">
        <v>71</v>
      </c>
      <c r="AO373" s="29" t="s">
        <v>73</v>
      </c>
      <c r="AP373" s="30"/>
      <c r="AR373" s="240" t="s">
        <v>717</v>
      </c>
      <c r="AS373" s="3" t="s">
        <v>557</v>
      </c>
    </row>
    <row r="374" spans="6:45" ht="15" customHeight="1">
      <c r="F374" s="351"/>
      <c r="G374" s="353"/>
      <c r="H374" s="353"/>
      <c r="U374" s="188"/>
      <c r="V374" s="3" t="s">
        <v>380</v>
      </c>
      <c r="X374" s="4" t="s">
        <v>55</v>
      </c>
      <c r="Y374" s="4" t="s">
        <v>44</v>
      </c>
      <c r="Z374" s="59" t="s">
        <v>615</v>
      </c>
      <c r="AA374" s="59" t="s">
        <v>615</v>
      </c>
      <c r="AB374" s="61" t="s">
        <v>653</v>
      </c>
      <c r="AC374" s="68" t="e">
        <f t="shared" si="1"/>
        <v>#N/A</v>
      </c>
      <c r="AD374" s="4" t="s">
        <v>42</v>
      </c>
      <c r="AE374" s="4" t="s">
        <v>31</v>
      </c>
      <c r="AF374" s="4" t="s">
        <v>35</v>
      </c>
      <c r="AG374" s="4" t="s">
        <v>36</v>
      </c>
      <c r="AH374" s="3" t="s">
        <v>563</v>
      </c>
      <c r="AI374" s="4" t="s">
        <v>603</v>
      </c>
      <c r="AJ374" s="4" t="s">
        <v>666</v>
      </c>
      <c r="AK374" s="4" t="s">
        <v>62</v>
      </c>
      <c r="AL374" s="202"/>
      <c r="AM374" s="3" t="s">
        <v>699</v>
      </c>
      <c r="AO374" s="29" t="s">
        <v>74</v>
      </c>
      <c r="AP374" s="30"/>
      <c r="AR374" s="57" t="s">
        <v>565</v>
      </c>
      <c r="AS374" s="3" t="s">
        <v>553</v>
      </c>
    </row>
    <row r="375" spans="6:45" ht="28.5" customHeight="1">
      <c r="F375" s="354"/>
      <c r="G375" s="352"/>
      <c r="H375" s="352"/>
      <c r="U375" s="187"/>
      <c r="V375" s="3" t="s">
        <v>378</v>
      </c>
      <c r="X375" s="4" t="s">
        <v>373</v>
      </c>
      <c r="Y375" s="3" t="s">
        <v>387</v>
      </c>
      <c r="Z375" s="59" t="s">
        <v>741</v>
      </c>
      <c r="AA375" s="59" t="s">
        <v>741</v>
      </c>
      <c r="AB375" s="61" t="s">
        <v>742</v>
      </c>
      <c r="AC375" s="68" t="e">
        <f t="shared" si="1"/>
        <v>#N/A</v>
      </c>
      <c r="AD375" s="4" t="s">
        <v>597</v>
      </c>
      <c r="AE375" s="4" t="s">
        <v>602</v>
      </c>
      <c r="AF375" s="4" t="s">
        <v>10</v>
      </c>
      <c r="AG375" s="4" t="s">
        <v>10</v>
      </c>
      <c r="AH375" s="3" t="s">
        <v>610</v>
      </c>
      <c r="AI375" s="4" t="s">
        <v>37</v>
      </c>
      <c r="AJ375" s="4" t="s">
        <v>10</v>
      </c>
      <c r="AK375" s="4" t="s">
        <v>63</v>
      </c>
      <c r="AL375" s="202"/>
      <c r="AM375" s="3" t="s">
        <v>700</v>
      </c>
      <c r="AO375" s="29" t="s">
        <v>75</v>
      </c>
      <c r="AP375" s="30"/>
      <c r="AR375" s="57" t="s">
        <v>592</v>
      </c>
      <c r="AS375" s="3" t="s">
        <v>552</v>
      </c>
    </row>
    <row r="376" spans="6:45" ht="15" customHeight="1">
      <c r="F376" s="29"/>
      <c r="U376" s="62"/>
      <c r="V376" s="3" t="s">
        <v>382</v>
      </c>
      <c r="X376" s="4"/>
      <c r="Y376" s="3" t="s">
        <v>545</v>
      </c>
      <c r="Z376" s="59" t="s">
        <v>740</v>
      </c>
      <c r="AA376" s="59" t="s">
        <v>740</v>
      </c>
      <c r="AB376" s="61" t="s">
        <v>743</v>
      </c>
      <c r="AC376" s="68" t="e">
        <f t="shared" si="1"/>
        <v>#N/A</v>
      </c>
      <c r="AD376" s="4" t="s">
        <v>598</v>
      </c>
      <c r="AE376" s="4" t="s">
        <v>602</v>
      </c>
      <c r="AF376" s="4"/>
      <c r="AG376" s="4"/>
      <c r="AH376" s="4" t="s">
        <v>10</v>
      </c>
      <c r="AI376" s="4" t="s">
        <v>38</v>
      </c>
      <c r="AJ376" s="4"/>
      <c r="AK376" s="4" t="s">
        <v>596</v>
      </c>
      <c r="AL376" s="202"/>
      <c r="AM376" s="3" t="s">
        <v>548</v>
      </c>
      <c r="AO376" s="29" t="s">
        <v>76</v>
      </c>
      <c r="AP376" s="30"/>
      <c r="AR376" s="57" t="s">
        <v>588</v>
      </c>
      <c r="AS376" s="3" t="s">
        <v>550</v>
      </c>
    </row>
    <row r="377" spans="6:45" ht="32.25" customHeight="1">
      <c r="F377" s="29"/>
      <c r="U377" s="186"/>
      <c r="V377" s="3" t="s">
        <v>383</v>
      </c>
      <c r="X377" s="4"/>
      <c r="Y377" s="4" t="s">
        <v>68</v>
      </c>
      <c r="Z377" s="59" t="s">
        <v>656</v>
      </c>
      <c r="AA377" s="59" t="s">
        <v>656</v>
      </c>
      <c r="AB377" s="61" t="s">
        <v>692</v>
      </c>
      <c r="AC377" s="68" t="e">
        <f t="shared" si="1"/>
        <v>#N/A</v>
      </c>
      <c r="AD377" s="4" t="s">
        <v>599</v>
      </c>
      <c r="AE377" s="4" t="s">
        <v>602</v>
      </c>
      <c r="AF377" s="4"/>
      <c r="AG377" s="4"/>
      <c r="AH377" s="4"/>
      <c r="AI377" s="3" t="s">
        <v>374</v>
      </c>
      <c r="AJ377" s="4"/>
      <c r="AK377" s="4" t="s">
        <v>64</v>
      </c>
      <c r="AO377" s="29" t="s">
        <v>77</v>
      </c>
      <c r="AP377" s="30"/>
      <c r="AR377" s="57" t="s">
        <v>794</v>
      </c>
      <c r="AS377" s="3" t="s">
        <v>554</v>
      </c>
    </row>
    <row r="378" spans="6:45" ht="17.25" customHeight="1">
      <c r="F378" s="29"/>
      <c r="Q378" s="6"/>
      <c r="U378"/>
      <c r="V378" s="3" t="s">
        <v>384</v>
      </c>
      <c r="X378" s="4"/>
      <c r="Y378" s="4"/>
      <c r="Z378" s="59" t="s">
        <v>616</v>
      </c>
      <c r="AA378" s="59" t="s">
        <v>616</v>
      </c>
      <c r="AB378" s="61" t="s">
        <v>661</v>
      </c>
      <c r="AC378" s="68" t="e">
        <f t="shared" si="1"/>
        <v>#N/A</v>
      </c>
      <c r="AD378" s="4" t="s">
        <v>6</v>
      </c>
      <c r="AE378" s="3" t="s">
        <v>370</v>
      </c>
      <c r="AF378" s="4"/>
      <c r="AG378" s="4"/>
      <c r="AH378" s="4"/>
      <c r="AI378" s="4" t="s">
        <v>10</v>
      </c>
      <c r="AJ378" s="4"/>
      <c r="AK378" s="4" t="s">
        <v>55</v>
      </c>
      <c r="AM378" s="3" t="s">
        <v>491</v>
      </c>
      <c r="AO378" s="29" t="s">
        <v>78</v>
      </c>
      <c r="AP378" s="30"/>
      <c r="AR378" s="170" t="s">
        <v>487</v>
      </c>
      <c r="AS378" s="3" t="s">
        <v>551</v>
      </c>
    </row>
    <row r="379" spans="6:45" ht="20.25" customHeight="1">
      <c r="F379" s="29"/>
      <c r="U379" s="125"/>
      <c r="V379" s="3" t="s">
        <v>379</v>
      </c>
      <c r="X379" s="4"/>
      <c r="Y379" s="4"/>
      <c r="Z379" s="59" t="s">
        <v>651</v>
      </c>
      <c r="AA379" s="59" t="s">
        <v>651</v>
      </c>
      <c r="AB379" s="61" t="s">
        <v>612</v>
      </c>
      <c r="AC379" s="68" t="e">
        <f t="shared" si="1"/>
        <v>#N/A</v>
      </c>
      <c r="AD379" s="4"/>
      <c r="AE379" s="4"/>
      <c r="AF379" s="4"/>
      <c r="AG379" s="4"/>
      <c r="AH379" s="4"/>
      <c r="AI379" s="4"/>
      <c r="AJ379" s="4"/>
      <c r="AK379" s="4"/>
      <c r="AO379" s="29" t="s">
        <v>79</v>
      </c>
      <c r="AP379" s="30"/>
      <c r="AR379" s="57" t="s">
        <v>737</v>
      </c>
      <c r="AS379" s="124" t="s">
        <v>555</v>
      </c>
    </row>
    <row r="380" spans="6:45" ht="20.25" customHeight="1">
      <c r="F380" s="29"/>
      <c r="U380" s="125"/>
      <c r="V380" s="3" t="s">
        <v>385</v>
      </c>
      <c r="X380" s="4"/>
      <c r="Y380" s="4"/>
      <c r="Z380" s="59" t="s">
        <v>13</v>
      </c>
      <c r="AA380" s="57" t="s">
        <v>13</v>
      </c>
      <c r="AB380" s="57" t="s">
        <v>13</v>
      </c>
      <c r="AC380" s="57" t="s">
        <v>331</v>
      </c>
      <c r="AD380" s="4" t="s">
        <v>6</v>
      </c>
      <c r="AE380" s="4"/>
      <c r="AF380" s="4"/>
      <c r="AG380" s="4"/>
      <c r="AH380" s="4"/>
      <c r="AI380" s="4"/>
      <c r="AJ380" s="4"/>
      <c r="AK380" s="4"/>
      <c r="AO380" s="29" t="s">
        <v>80</v>
      </c>
      <c r="AP380" s="30"/>
      <c r="AR380" s="57" t="s">
        <v>662</v>
      </c>
      <c r="AS380" s="3" t="s">
        <v>385</v>
      </c>
    </row>
    <row r="381" spans="6:45" ht="20.25" customHeight="1">
      <c r="F381" s="29"/>
      <c r="V381" s="3" t="s">
        <v>6</v>
      </c>
      <c r="AA381" s="61"/>
      <c r="AB381" s="61"/>
      <c r="AC381" s="68"/>
      <c r="AD381" s="4" t="s">
        <v>13</v>
      </c>
      <c r="AO381" s="29" t="s">
        <v>81</v>
      </c>
      <c r="AP381" s="30"/>
      <c r="AR381" s="57" t="s">
        <v>802</v>
      </c>
      <c r="AS381" s="3" t="s">
        <v>556</v>
      </c>
    </row>
    <row r="382" spans="6:44" ht="20.25" customHeight="1">
      <c r="F382" s="29"/>
      <c r="V382" s="3" t="s">
        <v>331</v>
      </c>
      <c r="AO382" s="29" t="s">
        <v>82</v>
      </c>
      <c r="AP382" s="30"/>
      <c r="AR382" s="57" t="s">
        <v>747</v>
      </c>
    </row>
    <row r="383" spans="6:44" ht="20.25" customHeight="1">
      <c r="F383" s="29"/>
      <c r="AO383" s="29" t="s">
        <v>83</v>
      </c>
      <c r="AP383" s="30"/>
      <c r="AR383" s="57" t="s">
        <v>663</v>
      </c>
    </row>
    <row r="384" spans="6:44" ht="18.75" customHeight="1">
      <c r="F384" s="29"/>
      <c r="AO384" s="29" t="s">
        <v>84</v>
      </c>
      <c r="AP384" s="30"/>
      <c r="AR384" s="57" t="s">
        <v>788</v>
      </c>
    </row>
    <row r="385" spans="6:44" ht="15" customHeight="1">
      <c r="F385" s="29"/>
      <c r="AO385" s="29" t="s">
        <v>85</v>
      </c>
      <c r="AP385" s="30"/>
      <c r="AR385" s="57" t="s">
        <v>654</v>
      </c>
    </row>
    <row r="386" spans="6:44" ht="15.75" customHeight="1">
      <c r="F386" s="29"/>
      <c r="AO386" s="29" t="s">
        <v>86</v>
      </c>
      <c r="AP386" s="30"/>
      <c r="AR386" s="57" t="s">
        <v>326</v>
      </c>
    </row>
    <row r="387" spans="6:44" ht="15">
      <c r="F387" s="29"/>
      <c r="AO387" s="29" t="s">
        <v>87</v>
      </c>
      <c r="AP387" s="30"/>
      <c r="AR387" s="57" t="s">
        <v>589</v>
      </c>
    </row>
    <row r="388" spans="6:44" ht="16.5" customHeight="1">
      <c r="F388" s="29"/>
      <c r="AO388" s="29" t="s">
        <v>88</v>
      </c>
      <c r="AP388" s="30"/>
      <c r="AR388" s="57" t="s">
        <v>793</v>
      </c>
    </row>
    <row r="389" spans="6:44" ht="15">
      <c r="F389" s="29"/>
      <c r="AO389" s="31" t="s">
        <v>89</v>
      </c>
      <c r="AP389" s="32"/>
      <c r="AR389" s="57" t="s">
        <v>739</v>
      </c>
    </row>
    <row r="390" spans="6:44" ht="15">
      <c r="F390" s="29"/>
      <c r="AO390" s="70" t="s">
        <v>473</v>
      </c>
      <c r="AP390" s="32"/>
      <c r="AR390" s="57" t="s">
        <v>785</v>
      </c>
    </row>
    <row r="391" spans="6:44" ht="13.5" customHeight="1">
      <c r="F391" s="29"/>
      <c r="AO391" s="27" t="s">
        <v>90</v>
      </c>
      <c r="AP391" s="28"/>
      <c r="AR391" s="57" t="s">
        <v>809</v>
      </c>
    </row>
    <row r="392" spans="6:44" ht="15.75" customHeight="1">
      <c r="F392" s="31"/>
      <c r="AO392" s="33" t="s">
        <v>91</v>
      </c>
      <c r="AP392" s="33"/>
      <c r="AR392" s="57" t="s">
        <v>591</v>
      </c>
    </row>
    <row r="393" spans="6:44" ht="15" customHeight="1">
      <c r="F393" s="70"/>
      <c r="AO393" s="29" t="s">
        <v>92</v>
      </c>
      <c r="AP393" s="30"/>
      <c r="AR393" s="57"/>
    </row>
    <row r="394" spans="6:42" ht="15">
      <c r="F394" s="27"/>
      <c r="AO394" s="29" t="s">
        <v>93</v>
      </c>
      <c r="AP394" s="30"/>
    </row>
    <row r="395" spans="6:42" ht="13.5" customHeight="1">
      <c r="F395" s="33"/>
      <c r="AO395" s="29" t="s">
        <v>94</v>
      </c>
      <c r="AP395" s="30"/>
    </row>
    <row r="396" spans="6:42" ht="15">
      <c r="F396" s="29"/>
      <c r="AO396" s="29" t="s">
        <v>95</v>
      </c>
      <c r="AP396" s="30"/>
    </row>
    <row r="397" spans="6:42" ht="36.75" customHeight="1">
      <c r="F397" s="29"/>
      <c r="AO397" s="29" t="s">
        <v>96</v>
      </c>
      <c r="AP397" s="30"/>
    </row>
    <row r="398" spans="6:42" ht="15">
      <c r="F398" s="29"/>
      <c r="AO398" s="29" t="s">
        <v>97</v>
      </c>
      <c r="AP398" s="30"/>
    </row>
    <row r="399" spans="6:42" ht="15">
      <c r="F399" s="29"/>
      <c r="AO399" s="29" t="s">
        <v>98</v>
      </c>
      <c r="AP399" s="30"/>
    </row>
    <row r="400" spans="6:42" ht="37.5" customHeight="1">
      <c r="F400" s="29"/>
      <c r="AO400" s="29" t="s">
        <v>99</v>
      </c>
      <c r="AP400" s="30"/>
    </row>
    <row r="401" spans="6:42" ht="16.5" customHeight="1">
      <c r="F401" s="29"/>
      <c r="AO401" s="29" t="s">
        <v>100</v>
      </c>
      <c r="AP401" s="30"/>
    </row>
    <row r="402" spans="6:42" ht="16.5" customHeight="1">
      <c r="F402" s="29"/>
      <c r="AO402" s="29" t="s">
        <v>101</v>
      </c>
      <c r="AP402" s="30"/>
    </row>
    <row r="403" spans="6:42" ht="15.75" customHeight="1">
      <c r="F403" s="29"/>
      <c r="AO403" s="29" t="s">
        <v>102</v>
      </c>
      <c r="AP403" s="30"/>
    </row>
    <row r="404" spans="6:42" ht="16.5" customHeight="1">
      <c r="F404" s="29"/>
      <c r="AO404" s="29" t="s">
        <v>103</v>
      </c>
      <c r="AP404" s="30"/>
    </row>
    <row r="405" spans="6:42" ht="15" customHeight="1">
      <c r="F405" s="29"/>
      <c r="AO405" s="29" t="s">
        <v>104</v>
      </c>
      <c r="AP405" s="30"/>
    </row>
    <row r="406" spans="6:42" ht="15.75" customHeight="1">
      <c r="F406" s="29"/>
      <c r="AO406" s="29" t="s">
        <v>105</v>
      </c>
      <c r="AP406" s="30"/>
    </row>
    <row r="407" spans="6:42" ht="15">
      <c r="F407" s="29"/>
      <c r="AO407" s="29" t="s">
        <v>106</v>
      </c>
      <c r="AP407" s="30"/>
    </row>
    <row r="408" spans="6:42" ht="54" customHeight="1">
      <c r="F408" s="29"/>
      <c r="AO408" s="29" t="s">
        <v>107</v>
      </c>
      <c r="AP408" s="30"/>
    </row>
    <row r="409" spans="6:42" ht="15">
      <c r="F409" s="29"/>
      <c r="AO409" s="29" t="s">
        <v>108</v>
      </c>
      <c r="AP409" s="30"/>
    </row>
    <row r="410" spans="6:42" ht="15">
      <c r="F410" s="29"/>
      <c r="AO410" s="29" t="s">
        <v>109</v>
      </c>
      <c r="AP410" s="30"/>
    </row>
    <row r="411" spans="6:42" ht="15" customHeight="1">
      <c r="F411" s="29"/>
      <c r="AO411" s="29" t="s">
        <v>110</v>
      </c>
      <c r="AP411" s="30"/>
    </row>
    <row r="412" spans="6:42" ht="15" customHeight="1">
      <c r="F412" s="29"/>
      <c r="AO412" s="33" t="s">
        <v>111</v>
      </c>
      <c r="AP412" s="33"/>
    </row>
    <row r="413" spans="6:42" ht="15" customHeight="1">
      <c r="F413" s="29"/>
      <c r="AO413" s="34" t="s">
        <v>112</v>
      </c>
      <c r="AP413" s="34"/>
    </row>
    <row r="414" spans="6:42" ht="15" customHeight="1">
      <c r="F414" s="29"/>
      <c r="AO414" s="34" t="s">
        <v>113</v>
      </c>
      <c r="AP414" s="34"/>
    </row>
    <row r="415" spans="6:42" ht="15" customHeight="1">
      <c r="F415" s="33"/>
      <c r="AO415" s="34" t="s">
        <v>504</v>
      </c>
      <c r="AP415" s="34"/>
    </row>
    <row r="416" spans="6:42" ht="15.75" customHeight="1">
      <c r="F416" s="34"/>
      <c r="AO416" s="34" t="s">
        <v>114</v>
      </c>
      <c r="AP416" s="34"/>
    </row>
    <row r="417" spans="6:42" ht="15">
      <c r="F417" s="34"/>
      <c r="AO417" s="34" t="s">
        <v>115</v>
      </c>
      <c r="AP417" s="34"/>
    </row>
    <row r="418" spans="6:42" ht="15">
      <c r="F418" s="34"/>
      <c r="AO418" s="34" t="s">
        <v>116</v>
      </c>
      <c r="AP418" s="34"/>
    </row>
    <row r="419" spans="6:42" ht="15">
      <c r="F419" s="34"/>
      <c r="AO419" s="34" t="s">
        <v>117</v>
      </c>
      <c r="AP419" s="34"/>
    </row>
    <row r="420" spans="6:42" ht="15">
      <c r="F420" s="34"/>
      <c r="AO420" s="34" t="s">
        <v>118</v>
      </c>
      <c r="AP420" s="34"/>
    </row>
    <row r="421" spans="6:42" ht="15">
      <c r="F421" s="34"/>
      <c r="AO421" s="34" t="s">
        <v>119</v>
      </c>
      <c r="AP421" s="34"/>
    </row>
    <row r="422" spans="6:42" ht="15">
      <c r="F422" s="34"/>
      <c r="AO422" s="34" t="s">
        <v>558</v>
      </c>
      <c r="AP422" s="34"/>
    </row>
    <row r="423" spans="6:42" ht="15">
      <c r="F423" s="34"/>
      <c r="AO423" s="34" t="s">
        <v>120</v>
      </c>
      <c r="AP423" s="34"/>
    </row>
    <row r="424" spans="6:42" ht="15">
      <c r="F424" s="34"/>
      <c r="AO424" s="34" t="s">
        <v>121</v>
      </c>
      <c r="AP424" s="34"/>
    </row>
    <row r="425" spans="6:42" ht="15">
      <c r="F425" s="34"/>
      <c r="AO425" s="34" t="s">
        <v>122</v>
      </c>
      <c r="AP425" s="34"/>
    </row>
    <row r="426" spans="6:42" ht="15">
      <c r="F426" s="34"/>
      <c r="AO426" s="34" t="s">
        <v>123</v>
      </c>
      <c r="AP426" s="34"/>
    </row>
    <row r="427" spans="6:42" ht="15">
      <c r="F427" s="34"/>
      <c r="AO427" s="34" t="s">
        <v>124</v>
      </c>
      <c r="AP427" s="34"/>
    </row>
    <row r="428" spans="6:42" ht="15">
      <c r="F428" s="34"/>
      <c r="AO428" s="34" t="s">
        <v>125</v>
      </c>
      <c r="AP428" s="34"/>
    </row>
    <row r="429" spans="6:42" ht="15">
      <c r="F429" s="34"/>
      <c r="AO429" s="34" t="s">
        <v>126</v>
      </c>
      <c r="AP429" s="34"/>
    </row>
    <row r="430" spans="6:42" ht="25.5">
      <c r="F430" s="34"/>
      <c r="AO430" s="34" t="s">
        <v>127</v>
      </c>
      <c r="AP430" s="34"/>
    </row>
    <row r="431" spans="6:42" ht="15">
      <c r="F431" s="34"/>
      <c r="AO431" s="34" t="s">
        <v>128</v>
      </c>
      <c r="AP431" s="34"/>
    </row>
    <row r="432" spans="6:42" ht="15">
      <c r="F432" s="34"/>
      <c r="AO432" s="34" t="s">
        <v>129</v>
      </c>
      <c r="AP432" s="34"/>
    </row>
    <row r="433" spans="6:42" ht="15">
      <c r="F433" s="34"/>
      <c r="AO433" s="34" t="s">
        <v>130</v>
      </c>
      <c r="AP433" s="34"/>
    </row>
    <row r="434" spans="6:42" ht="15">
      <c r="F434" s="34"/>
      <c r="AO434" s="34" t="s">
        <v>131</v>
      </c>
      <c r="AP434" s="34"/>
    </row>
    <row r="435" spans="6:42" ht="15">
      <c r="F435" s="34"/>
      <c r="AO435" s="34" t="s">
        <v>132</v>
      </c>
      <c r="AP435" s="34"/>
    </row>
    <row r="436" spans="6:42" ht="15">
      <c r="F436" s="34"/>
      <c r="AO436" s="34" t="s">
        <v>133</v>
      </c>
      <c r="AP436" s="34"/>
    </row>
    <row r="437" spans="6:42" ht="15">
      <c r="F437" s="34"/>
      <c r="AO437" s="34" t="s">
        <v>134</v>
      </c>
      <c r="AP437" s="34"/>
    </row>
    <row r="438" spans="6:42" ht="15">
      <c r="F438" s="34"/>
      <c r="AO438" s="34" t="s">
        <v>135</v>
      </c>
      <c r="AP438" s="34"/>
    </row>
    <row r="439" spans="6:42" ht="25.5">
      <c r="F439" s="34"/>
      <c r="AO439" s="34" t="s">
        <v>505</v>
      </c>
      <c r="AP439" s="34"/>
    </row>
    <row r="440" spans="6:42" ht="25.5">
      <c r="F440" s="34"/>
      <c r="AO440" s="34" t="s">
        <v>136</v>
      </c>
      <c r="AP440" s="34"/>
    </row>
    <row r="441" spans="6:42" ht="15">
      <c r="F441" s="34"/>
      <c r="AO441" s="34" t="s">
        <v>137</v>
      </c>
      <c r="AP441" s="34"/>
    </row>
    <row r="442" spans="6:42" ht="15">
      <c r="F442" s="34"/>
      <c r="AO442" s="34" t="s">
        <v>138</v>
      </c>
      <c r="AP442" s="34"/>
    </row>
    <row r="443" spans="6:42" ht="15">
      <c r="F443" s="34"/>
      <c r="AO443" s="34" t="s">
        <v>139</v>
      </c>
      <c r="AP443" s="34"/>
    </row>
    <row r="444" spans="6:42" ht="15">
      <c r="F444" s="34"/>
      <c r="AO444" s="34" t="s">
        <v>140</v>
      </c>
      <c r="AP444" s="34"/>
    </row>
    <row r="445" spans="6:42" ht="15">
      <c r="F445" s="34"/>
      <c r="AO445" s="34" t="s">
        <v>141</v>
      </c>
      <c r="AP445" s="34"/>
    </row>
    <row r="446" spans="6:42" ht="15">
      <c r="F446" s="34"/>
      <c r="AO446" s="34" t="s">
        <v>142</v>
      </c>
      <c r="AP446" s="34"/>
    </row>
    <row r="447" spans="6:42" ht="15">
      <c r="F447" s="34"/>
      <c r="AO447" s="34" t="s">
        <v>143</v>
      </c>
      <c r="AP447" s="34"/>
    </row>
    <row r="448" spans="6:42" ht="15">
      <c r="F448" s="34"/>
      <c r="AO448" s="34" t="s">
        <v>144</v>
      </c>
      <c r="AP448" s="34"/>
    </row>
    <row r="449" spans="6:42" ht="15">
      <c r="F449" s="34"/>
      <c r="AO449" s="34" t="s">
        <v>145</v>
      </c>
      <c r="AP449" s="34"/>
    </row>
    <row r="450" spans="6:42" ht="15">
      <c r="F450" s="34"/>
      <c r="AO450" s="34" t="s">
        <v>146</v>
      </c>
      <c r="AP450" s="34"/>
    </row>
    <row r="451" spans="6:42" ht="15">
      <c r="F451" s="34"/>
      <c r="AO451" s="34" t="s">
        <v>147</v>
      </c>
      <c r="AP451" s="34"/>
    </row>
    <row r="452" spans="6:42" ht="15">
      <c r="F452" s="34"/>
      <c r="AO452" s="34" t="s">
        <v>148</v>
      </c>
      <c r="AP452" s="34"/>
    </row>
    <row r="453" spans="6:42" ht="15">
      <c r="F453" s="34"/>
      <c r="AO453" s="34" t="s">
        <v>149</v>
      </c>
      <c r="AP453" s="34"/>
    </row>
    <row r="454" spans="6:42" ht="15">
      <c r="F454" s="34"/>
      <c r="AO454" s="34" t="s">
        <v>150</v>
      </c>
      <c r="AP454" s="34"/>
    </row>
    <row r="455" spans="6:42" ht="15">
      <c r="F455" s="34"/>
      <c r="AO455" s="34" t="s">
        <v>151</v>
      </c>
      <c r="AP455" s="34"/>
    </row>
    <row r="456" spans="6:42" ht="15">
      <c r="F456" s="34"/>
      <c r="AO456" s="34" t="s">
        <v>152</v>
      </c>
      <c r="AP456" s="34"/>
    </row>
    <row r="457" spans="6:42" ht="15">
      <c r="F457" s="34"/>
      <c r="AO457" s="34" t="s">
        <v>153</v>
      </c>
      <c r="AP457" s="34"/>
    </row>
    <row r="458" spans="6:42" ht="15">
      <c r="F458" s="34"/>
      <c r="AO458" s="34" t="s">
        <v>154</v>
      </c>
      <c r="AP458" s="34"/>
    </row>
    <row r="459" spans="6:42" ht="15">
      <c r="F459" s="34"/>
      <c r="AO459" s="34" t="s">
        <v>155</v>
      </c>
      <c r="AP459" s="62"/>
    </row>
    <row r="460" spans="6:42" ht="15">
      <c r="F460" s="34"/>
      <c r="AO460" s="34" t="s">
        <v>156</v>
      </c>
      <c r="AP460" s="34"/>
    </row>
    <row r="461" spans="6:42" ht="15">
      <c r="F461" s="34"/>
      <c r="AO461" s="34" t="s">
        <v>157</v>
      </c>
      <c r="AP461" s="34"/>
    </row>
    <row r="462" spans="6:42" ht="15">
      <c r="F462" s="34"/>
      <c r="AO462" s="34" t="s">
        <v>158</v>
      </c>
      <c r="AP462" s="34"/>
    </row>
    <row r="463" spans="6:42" ht="15">
      <c r="F463" s="34"/>
      <c r="AO463" s="34" t="s">
        <v>159</v>
      </c>
      <c r="AP463" s="34"/>
    </row>
    <row r="464" spans="6:42" ht="15">
      <c r="F464" s="34"/>
      <c r="AO464" s="34" t="s">
        <v>160</v>
      </c>
      <c r="AP464" s="34"/>
    </row>
    <row r="465" spans="6:42" ht="15">
      <c r="F465" s="34"/>
      <c r="AO465" s="34" t="s">
        <v>161</v>
      </c>
      <c r="AP465" s="34"/>
    </row>
    <row r="466" spans="6:42" ht="15">
      <c r="F466" s="34"/>
      <c r="AO466" s="34" t="s">
        <v>162</v>
      </c>
      <c r="AP466" s="34"/>
    </row>
    <row r="467" spans="6:42" ht="15">
      <c r="F467" s="34"/>
      <c r="AO467" s="34" t="s">
        <v>163</v>
      </c>
      <c r="AP467" s="34"/>
    </row>
    <row r="468" spans="6:42" ht="15">
      <c r="F468" s="34"/>
      <c r="AO468" s="34" t="s">
        <v>164</v>
      </c>
      <c r="AP468" s="34"/>
    </row>
    <row r="469" spans="6:42" ht="15">
      <c r="F469" s="34"/>
      <c r="AO469" s="62" t="s">
        <v>544</v>
      </c>
      <c r="AP469" s="34"/>
    </row>
    <row r="470" spans="6:42" ht="15">
      <c r="F470" s="34"/>
      <c r="AO470" s="34" t="s">
        <v>165</v>
      </c>
      <c r="AP470" s="34"/>
    </row>
    <row r="471" spans="6:42" ht="15">
      <c r="F471" s="34"/>
      <c r="AO471" s="34" t="s">
        <v>166</v>
      </c>
      <c r="AP471" s="34"/>
    </row>
    <row r="472" spans="6:42" ht="15">
      <c r="F472" s="62"/>
      <c r="AO472" s="34" t="s">
        <v>167</v>
      </c>
      <c r="AP472" s="34"/>
    </row>
    <row r="473" spans="6:42" ht="15">
      <c r="F473" s="34"/>
      <c r="AO473" s="34" t="s">
        <v>168</v>
      </c>
      <c r="AP473" s="34"/>
    </row>
    <row r="474" spans="6:42" ht="15">
      <c r="F474" s="34"/>
      <c r="AO474" s="34" t="s">
        <v>169</v>
      </c>
      <c r="AP474" s="34"/>
    </row>
    <row r="475" spans="6:42" ht="15">
      <c r="F475" s="34"/>
      <c r="AO475" s="34" t="s">
        <v>170</v>
      </c>
      <c r="AP475" s="34"/>
    </row>
    <row r="476" spans="6:42" ht="15">
      <c r="F476" s="34"/>
      <c r="AO476" s="34" t="s">
        <v>171</v>
      </c>
      <c r="AP476" s="34"/>
    </row>
    <row r="477" spans="6:42" ht="15">
      <c r="F477" s="34"/>
      <c r="AO477" s="34" t="s">
        <v>172</v>
      </c>
      <c r="AP477" s="34"/>
    </row>
    <row r="478" spans="6:42" ht="15">
      <c r="F478" s="34"/>
      <c r="AO478" s="34" t="s">
        <v>173</v>
      </c>
      <c r="AP478" s="34"/>
    </row>
    <row r="479" spans="6:42" ht="15">
      <c r="F479" s="34"/>
      <c r="AO479" s="34" t="s">
        <v>174</v>
      </c>
      <c r="AP479" s="34"/>
    </row>
    <row r="480" spans="6:42" ht="15">
      <c r="F480" s="34"/>
      <c r="AO480" s="34" t="s">
        <v>175</v>
      </c>
      <c r="AP480" s="34"/>
    </row>
    <row r="481" spans="6:42" ht="15">
      <c r="F481" s="34"/>
      <c r="AO481" s="34" t="s">
        <v>176</v>
      </c>
      <c r="AP481" s="34"/>
    </row>
    <row r="482" spans="6:42" ht="15">
      <c r="F482" s="34"/>
      <c r="AO482" s="34" t="s">
        <v>177</v>
      </c>
      <c r="AP482" s="34"/>
    </row>
    <row r="483" spans="6:42" ht="15">
      <c r="F483" s="34"/>
      <c r="AO483" s="34" t="s">
        <v>178</v>
      </c>
      <c r="AP483" s="34"/>
    </row>
    <row r="484" spans="6:42" ht="15">
      <c r="F484" s="34"/>
      <c r="AO484" s="34" t="s">
        <v>179</v>
      </c>
      <c r="AP484" s="34"/>
    </row>
    <row r="485" spans="6:42" ht="15">
      <c r="F485" s="34"/>
      <c r="AO485" s="34" t="s">
        <v>180</v>
      </c>
      <c r="AP485" s="34"/>
    </row>
    <row r="486" spans="6:42" ht="15">
      <c r="F486" s="34"/>
      <c r="AO486" s="34" t="s">
        <v>181</v>
      </c>
      <c r="AP486" s="34"/>
    </row>
    <row r="487" spans="6:42" ht="15">
      <c r="F487" s="34"/>
      <c r="AO487" s="34" t="s">
        <v>182</v>
      </c>
      <c r="AP487" s="34"/>
    </row>
    <row r="488" spans="6:42" ht="15">
      <c r="F488" s="34"/>
      <c r="AO488" s="34" t="s">
        <v>183</v>
      </c>
      <c r="AP488" s="34"/>
    </row>
    <row r="489" spans="6:42" ht="15">
      <c r="F489" s="34"/>
      <c r="AO489" s="34" t="s">
        <v>184</v>
      </c>
      <c r="AP489" s="34"/>
    </row>
    <row r="490" spans="6:42" ht="15">
      <c r="F490" s="34"/>
      <c r="AO490" s="34" t="s">
        <v>559</v>
      </c>
      <c r="AP490" s="34"/>
    </row>
    <row r="491" spans="6:42" ht="15">
      <c r="F491" s="34"/>
      <c r="AO491" s="34" t="s">
        <v>185</v>
      </c>
      <c r="AP491" s="34"/>
    </row>
    <row r="492" spans="6:42" ht="15">
      <c r="F492" s="34"/>
      <c r="AO492" s="34" t="s">
        <v>690</v>
      </c>
      <c r="AP492" s="34"/>
    </row>
    <row r="493" spans="6:42" ht="15">
      <c r="F493" s="34"/>
      <c r="AO493" s="34" t="s">
        <v>186</v>
      </c>
      <c r="AP493" s="34"/>
    </row>
    <row r="494" spans="6:42" ht="25.5">
      <c r="F494" s="34"/>
      <c r="AO494" s="34" t="s">
        <v>187</v>
      </c>
      <c r="AP494" s="34"/>
    </row>
    <row r="495" spans="6:42" ht="15">
      <c r="F495" s="34"/>
      <c r="AO495" s="34" t="s">
        <v>188</v>
      </c>
      <c r="AP495" s="34"/>
    </row>
    <row r="496" spans="6:42" ht="15">
      <c r="F496" s="34"/>
      <c r="AO496" s="34" t="s">
        <v>189</v>
      </c>
      <c r="AP496" s="34"/>
    </row>
    <row r="497" spans="6:42" ht="15">
      <c r="F497" s="34"/>
      <c r="AO497" s="34" t="s">
        <v>190</v>
      </c>
      <c r="AP497" s="34"/>
    </row>
    <row r="498" spans="6:42" ht="15">
      <c r="F498" s="34"/>
      <c r="AO498" s="34" t="s">
        <v>191</v>
      </c>
      <c r="AP498" s="34"/>
    </row>
    <row r="499" spans="6:42" ht="15">
      <c r="F499" s="34"/>
      <c r="AO499" s="34" t="s">
        <v>192</v>
      </c>
      <c r="AP499" s="34"/>
    </row>
    <row r="500" spans="6:42" ht="15">
      <c r="F500" s="34"/>
      <c r="AO500" s="34" t="s">
        <v>193</v>
      </c>
      <c r="AP500" s="34"/>
    </row>
    <row r="501" spans="6:42" ht="15">
      <c r="F501" s="34"/>
      <c r="AO501" s="34" t="s">
        <v>194</v>
      </c>
      <c r="AP501" s="34"/>
    </row>
    <row r="502" spans="6:42" ht="15">
      <c r="F502" s="34"/>
      <c r="AO502" s="34" t="s">
        <v>195</v>
      </c>
      <c r="AP502" s="34"/>
    </row>
    <row r="503" spans="6:42" ht="15">
      <c r="F503" s="34"/>
      <c r="AO503" s="34" t="s">
        <v>196</v>
      </c>
      <c r="AP503" s="34"/>
    </row>
    <row r="504" spans="6:42" ht="15">
      <c r="F504" s="34"/>
      <c r="AO504" s="34" t="s">
        <v>197</v>
      </c>
      <c r="AP504" s="34"/>
    </row>
    <row r="505" spans="6:42" ht="15">
      <c r="F505" s="34"/>
      <c r="AO505" s="34" t="s">
        <v>198</v>
      </c>
      <c r="AP505" s="34"/>
    </row>
    <row r="506" spans="6:42" ht="15">
      <c r="F506" s="34"/>
      <c r="AO506" s="34" t="s">
        <v>562</v>
      </c>
      <c r="AP506" s="34"/>
    </row>
    <row r="507" spans="6:42" ht="15">
      <c r="F507" s="34"/>
      <c r="AO507" s="34" t="s">
        <v>199</v>
      </c>
      <c r="AP507" s="34"/>
    </row>
    <row r="508" spans="6:42" ht="15">
      <c r="F508" s="34"/>
      <c r="AO508" s="34" t="s">
        <v>200</v>
      </c>
      <c r="AP508" s="34"/>
    </row>
    <row r="509" spans="6:42" ht="15">
      <c r="F509" s="34"/>
      <c r="AO509" s="34" t="s">
        <v>201</v>
      </c>
      <c r="AP509" s="34"/>
    </row>
    <row r="510" spans="6:42" ht="15">
      <c r="F510" s="34"/>
      <c r="AO510" s="34" t="s">
        <v>202</v>
      </c>
      <c r="AP510" s="34"/>
    </row>
    <row r="511" spans="6:42" ht="15">
      <c r="F511" s="34"/>
      <c r="AO511" s="34" t="s">
        <v>203</v>
      </c>
      <c r="AP511" s="34"/>
    </row>
    <row r="512" spans="6:42" ht="15">
      <c r="F512" s="34"/>
      <c r="AO512" s="34" t="s">
        <v>204</v>
      </c>
      <c r="AP512" s="34"/>
    </row>
    <row r="513" spans="6:42" ht="15">
      <c r="F513" s="34"/>
      <c r="AO513" s="34" t="s">
        <v>205</v>
      </c>
      <c r="AP513" s="34"/>
    </row>
    <row r="514" spans="6:42" ht="15">
      <c r="F514" s="34"/>
      <c r="AO514" s="34" t="s">
        <v>206</v>
      </c>
      <c r="AP514" s="34"/>
    </row>
    <row r="515" spans="6:42" ht="15">
      <c r="F515" s="34"/>
      <c r="AO515" s="34" t="s">
        <v>207</v>
      </c>
      <c r="AP515" s="34"/>
    </row>
    <row r="516" spans="6:42" ht="15">
      <c r="F516" s="34"/>
      <c r="AO516" s="34" t="s">
        <v>208</v>
      </c>
      <c r="AP516" s="34"/>
    </row>
    <row r="517" spans="6:42" ht="15">
      <c r="F517" s="34"/>
      <c r="AO517" s="34" t="s">
        <v>209</v>
      </c>
      <c r="AP517" s="34"/>
    </row>
    <row r="518" spans="6:42" ht="15">
      <c r="F518" s="34"/>
      <c r="AO518" s="34" t="s">
        <v>210</v>
      </c>
      <c r="AP518" s="34"/>
    </row>
    <row r="519" spans="6:42" ht="15">
      <c r="F519" s="34"/>
      <c r="AO519" s="34" t="s">
        <v>211</v>
      </c>
      <c r="AP519" s="34"/>
    </row>
    <row r="520" spans="6:42" ht="15">
      <c r="F520" s="34"/>
      <c r="AO520" s="34" t="s">
        <v>212</v>
      </c>
      <c r="AP520" s="34"/>
    </row>
    <row r="521" spans="6:42" ht="15">
      <c r="F521" s="34"/>
      <c r="AO521" s="34" t="s">
        <v>213</v>
      </c>
      <c r="AP521" s="34"/>
    </row>
    <row r="522" spans="6:42" ht="15">
      <c r="F522" s="34"/>
      <c r="AO522" s="34" t="s">
        <v>214</v>
      </c>
      <c r="AP522" s="34"/>
    </row>
    <row r="523" spans="6:42" ht="15">
      <c r="F523" s="34"/>
      <c r="AO523" s="34" t="s">
        <v>215</v>
      </c>
      <c r="AP523" s="34"/>
    </row>
    <row r="524" spans="6:42" ht="15">
      <c r="F524" s="34"/>
      <c r="AO524" s="34" t="s">
        <v>216</v>
      </c>
      <c r="AP524" s="34"/>
    </row>
    <row r="525" spans="6:42" ht="15">
      <c r="F525" s="34"/>
      <c r="AO525" s="34" t="s">
        <v>217</v>
      </c>
      <c r="AP525" s="34"/>
    </row>
    <row r="526" spans="6:42" ht="15">
      <c r="F526" s="34"/>
      <c r="AO526" s="34" t="s">
        <v>218</v>
      </c>
      <c r="AP526" s="34"/>
    </row>
    <row r="527" spans="6:42" ht="15">
      <c r="F527" s="34"/>
      <c r="AO527" s="34" t="s">
        <v>219</v>
      </c>
      <c r="AP527" s="34"/>
    </row>
    <row r="528" spans="6:42" ht="15">
      <c r="F528" s="34"/>
      <c r="AO528" s="34" t="s">
        <v>220</v>
      </c>
      <c r="AP528" s="34"/>
    </row>
    <row r="529" spans="6:42" ht="15">
      <c r="F529" s="34"/>
      <c r="AO529" s="34" t="s">
        <v>221</v>
      </c>
      <c r="AP529" s="34"/>
    </row>
    <row r="530" spans="6:42" ht="15">
      <c r="F530" s="34"/>
      <c r="AO530" s="34" t="s">
        <v>222</v>
      </c>
      <c r="AP530" s="34"/>
    </row>
    <row r="531" spans="6:42" ht="15">
      <c r="F531" s="34"/>
      <c r="AO531" s="34" t="s">
        <v>223</v>
      </c>
      <c r="AP531" s="34"/>
    </row>
    <row r="532" spans="6:42" ht="15">
      <c r="F532" s="34"/>
      <c r="AO532" s="34" t="s">
        <v>224</v>
      </c>
      <c r="AP532" s="34"/>
    </row>
    <row r="533" spans="6:42" ht="15">
      <c r="F533" s="34"/>
      <c r="AO533" s="34" t="s">
        <v>225</v>
      </c>
      <c r="AP533" s="34"/>
    </row>
    <row r="534" spans="6:42" ht="15">
      <c r="F534" s="34"/>
      <c r="AO534" s="34" t="s">
        <v>226</v>
      </c>
      <c r="AP534" s="34"/>
    </row>
    <row r="535" spans="6:42" ht="15">
      <c r="F535" s="34"/>
      <c r="AO535" s="34" t="s">
        <v>227</v>
      </c>
      <c r="AP535" s="34"/>
    </row>
    <row r="536" spans="2:42" ht="15">
      <c r="B536" s="34"/>
      <c r="C536" s="34"/>
      <c r="D536" s="34"/>
      <c r="E536" s="34"/>
      <c r="F536" s="34"/>
      <c r="G536" s="34"/>
      <c r="H536" s="34"/>
      <c r="I536" s="34"/>
      <c r="J536" s="34"/>
      <c r="K536" s="34"/>
      <c r="L536" s="34"/>
      <c r="M536" s="34"/>
      <c r="N536" s="34"/>
      <c r="O536" s="34"/>
      <c r="AO536" s="34" t="s">
        <v>228</v>
      </c>
      <c r="AP536" s="34"/>
    </row>
    <row r="537" spans="6:42" ht="15">
      <c r="F537" s="34"/>
      <c r="AO537" s="34" t="s">
        <v>229</v>
      </c>
      <c r="AP537" s="34"/>
    </row>
    <row r="538" spans="6:42" ht="15">
      <c r="F538" s="34"/>
      <c r="AO538" s="34" t="s">
        <v>230</v>
      </c>
      <c r="AP538" s="34"/>
    </row>
    <row r="539" spans="6:42" ht="15">
      <c r="F539" s="34"/>
      <c r="AO539" s="34" t="s">
        <v>231</v>
      </c>
      <c r="AP539" s="34"/>
    </row>
    <row r="540" spans="6:42" ht="15">
      <c r="F540" s="34"/>
      <c r="AO540" s="34" t="s">
        <v>232</v>
      </c>
      <c r="AP540" s="34"/>
    </row>
    <row r="541" spans="6:42" ht="15">
      <c r="F541" s="34"/>
      <c r="AO541" s="34" t="s">
        <v>233</v>
      </c>
      <c r="AP541" s="34"/>
    </row>
    <row r="542" spans="6:42" ht="15">
      <c r="F542" s="34"/>
      <c r="AO542" s="34" t="s">
        <v>234</v>
      </c>
      <c r="AP542" s="34"/>
    </row>
    <row r="543" spans="6:42" ht="15">
      <c r="F543" s="34"/>
      <c r="AO543" s="34" t="s">
        <v>235</v>
      </c>
      <c r="AP543" s="34"/>
    </row>
    <row r="544" spans="6:42" ht="15">
      <c r="F544" s="34"/>
      <c r="AO544" s="34" t="s">
        <v>236</v>
      </c>
      <c r="AP544" s="34"/>
    </row>
    <row r="545" spans="6:42" ht="15">
      <c r="F545" s="34"/>
      <c r="AO545" s="34" t="s">
        <v>237</v>
      </c>
      <c r="AP545" s="34"/>
    </row>
    <row r="546" spans="6:42" ht="15">
      <c r="F546" s="34"/>
      <c r="AO546" s="34" t="s">
        <v>238</v>
      </c>
      <c r="AP546" s="34"/>
    </row>
    <row r="547" spans="6:42" ht="15">
      <c r="F547" s="34"/>
      <c r="AO547" s="34" t="s">
        <v>239</v>
      </c>
      <c r="AP547" s="34"/>
    </row>
    <row r="548" spans="6:42" ht="15">
      <c r="F548" s="34"/>
      <c r="AO548" s="34" t="s">
        <v>240</v>
      </c>
      <c r="AP548" s="34"/>
    </row>
    <row r="549" spans="6:42" ht="15">
      <c r="F549" s="34"/>
      <c r="AO549" s="34" t="s">
        <v>241</v>
      </c>
      <c r="AP549" s="34"/>
    </row>
    <row r="550" spans="6:42" ht="15">
      <c r="F550" s="34"/>
      <c r="AO550" s="34" t="s">
        <v>242</v>
      </c>
      <c r="AP550" s="34"/>
    </row>
    <row r="551" spans="6:42" ht="15">
      <c r="F551" s="34"/>
      <c r="AO551" s="34" t="s">
        <v>243</v>
      </c>
      <c r="AP551" s="34"/>
    </row>
    <row r="552" spans="6:42" ht="15">
      <c r="F552" s="34"/>
      <c r="AO552" s="34" t="s">
        <v>244</v>
      </c>
      <c r="AP552" s="34"/>
    </row>
    <row r="553" spans="6:42" ht="15">
      <c r="F553" s="34"/>
      <c r="AO553" s="34" t="s">
        <v>245</v>
      </c>
      <c r="AP553" s="34"/>
    </row>
    <row r="554" spans="6:42" ht="15">
      <c r="F554" s="34"/>
      <c r="AO554" s="34" t="s">
        <v>246</v>
      </c>
      <c r="AP554" s="34"/>
    </row>
    <row r="555" spans="6:42" ht="15">
      <c r="F555" s="34"/>
      <c r="AO555" s="34" t="s">
        <v>375</v>
      </c>
      <c r="AP555" s="34"/>
    </row>
    <row r="556" spans="6:42" ht="15">
      <c r="F556" s="34"/>
      <c r="AO556" s="34" t="s">
        <v>247</v>
      </c>
      <c r="AP556" s="34"/>
    </row>
    <row r="557" spans="6:42" ht="15">
      <c r="F557" s="34"/>
      <c r="AO557" s="34" t="s">
        <v>248</v>
      </c>
      <c r="AP557" s="34"/>
    </row>
    <row r="558" spans="6:42" ht="15">
      <c r="F558" s="34"/>
      <c r="AO558" s="34" t="s">
        <v>249</v>
      </c>
      <c r="AP558" s="34"/>
    </row>
    <row r="559" spans="6:42" ht="15">
      <c r="F559" s="34"/>
      <c r="AO559" s="34" t="s">
        <v>250</v>
      </c>
      <c r="AP559" s="34"/>
    </row>
    <row r="560" spans="6:42" ht="15">
      <c r="F560" s="34"/>
      <c r="AO560" s="34" t="s">
        <v>251</v>
      </c>
      <c r="AP560" s="34"/>
    </row>
    <row r="561" spans="6:42" ht="15">
      <c r="F561" s="34"/>
      <c r="AO561" s="34" t="s">
        <v>252</v>
      </c>
      <c r="AP561" s="34"/>
    </row>
    <row r="562" spans="6:42" ht="15">
      <c r="F562" s="34"/>
      <c r="AO562" s="34" t="s">
        <v>253</v>
      </c>
      <c r="AP562" s="34"/>
    </row>
    <row r="563" spans="6:42" ht="15">
      <c r="F563" s="34"/>
      <c r="AO563" s="34" t="s">
        <v>254</v>
      </c>
      <c r="AP563" s="34"/>
    </row>
    <row r="564" spans="6:42" ht="15">
      <c r="F564" s="34"/>
      <c r="AO564" s="34" t="s">
        <v>255</v>
      </c>
      <c r="AP564" s="34"/>
    </row>
    <row r="565" spans="6:42" ht="15">
      <c r="F565" s="34"/>
      <c r="AO565" s="34" t="s">
        <v>256</v>
      </c>
      <c r="AP565" s="34"/>
    </row>
    <row r="566" spans="6:42" ht="15">
      <c r="F566" s="34"/>
      <c r="AO566" s="34" t="s">
        <v>257</v>
      </c>
      <c r="AP566" s="34"/>
    </row>
    <row r="567" spans="6:42" ht="15">
      <c r="F567" s="34"/>
      <c r="AO567" s="34" t="s">
        <v>258</v>
      </c>
      <c r="AP567" s="34"/>
    </row>
    <row r="568" spans="6:42" ht="15">
      <c r="F568" s="34"/>
      <c r="AO568" s="34" t="s">
        <v>259</v>
      </c>
      <c r="AP568" s="34"/>
    </row>
    <row r="569" spans="6:42" ht="15">
      <c r="F569" s="34"/>
      <c r="AO569" s="34" t="s">
        <v>260</v>
      </c>
      <c r="AP569" s="34"/>
    </row>
    <row r="570" spans="6:42" ht="15">
      <c r="F570" s="34"/>
      <c r="AO570" s="34" t="s">
        <v>261</v>
      </c>
      <c r="AP570" s="34"/>
    </row>
    <row r="571" spans="6:42" ht="15">
      <c r="F571" s="34"/>
      <c r="AO571" s="34" t="s">
        <v>262</v>
      </c>
      <c r="AP571" s="34"/>
    </row>
    <row r="572" spans="6:42" ht="15">
      <c r="F572" s="34"/>
      <c r="AO572" s="34" t="s">
        <v>263</v>
      </c>
      <c r="AP572" s="34"/>
    </row>
    <row r="573" spans="6:42" ht="15">
      <c r="F573" s="34"/>
      <c r="AO573" s="34" t="s">
        <v>264</v>
      </c>
      <c r="AP573" s="34"/>
    </row>
    <row r="574" spans="6:42" ht="15">
      <c r="F574" s="34"/>
      <c r="AO574" s="34" t="s">
        <v>265</v>
      </c>
      <c r="AP574" s="34"/>
    </row>
    <row r="575" spans="6:42" ht="15">
      <c r="F575" s="34"/>
      <c r="AO575" s="34" t="s">
        <v>266</v>
      </c>
      <c r="AP575" s="34"/>
    </row>
    <row r="576" spans="6:42" ht="15">
      <c r="F576" s="34"/>
      <c r="AO576" s="34" t="s">
        <v>267</v>
      </c>
      <c r="AP576" s="34"/>
    </row>
    <row r="577" spans="6:42" ht="15">
      <c r="F577" s="34"/>
      <c r="AO577" s="34" t="s">
        <v>268</v>
      </c>
      <c r="AP577" s="34"/>
    </row>
    <row r="578" spans="6:42" ht="15">
      <c r="F578" s="34"/>
      <c r="AO578" s="34" t="s">
        <v>560</v>
      </c>
      <c r="AP578" s="34"/>
    </row>
    <row r="579" spans="6:42" ht="15">
      <c r="F579" s="34"/>
      <c r="AO579" s="34" t="s">
        <v>269</v>
      </c>
      <c r="AP579" s="34"/>
    </row>
    <row r="580" spans="6:42" ht="25.5">
      <c r="F580" s="34"/>
      <c r="AO580" s="34" t="s">
        <v>270</v>
      </c>
      <c r="AP580" s="34"/>
    </row>
    <row r="581" spans="6:42" ht="15">
      <c r="F581" s="34"/>
      <c r="AO581" s="34" t="s">
        <v>271</v>
      </c>
      <c r="AP581" s="34"/>
    </row>
    <row r="582" spans="6:42" ht="15">
      <c r="F582" s="34"/>
      <c r="AO582" s="34" t="s">
        <v>272</v>
      </c>
      <c r="AP582" s="34"/>
    </row>
    <row r="583" spans="6:42" ht="15">
      <c r="F583" s="34"/>
      <c r="AO583" s="34" t="s">
        <v>273</v>
      </c>
      <c r="AP583" s="34"/>
    </row>
    <row r="584" spans="6:42" ht="15">
      <c r="F584" s="34"/>
      <c r="AO584" s="34" t="s">
        <v>274</v>
      </c>
      <c r="AP584" s="34"/>
    </row>
    <row r="585" spans="6:42" ht="15">
      <c r="F585" s="34"/>
      <c r="AO585" s="34" t="s">
        <v>275</v>
      </c>
      <c r="AP585" s="34"/>
    </row>
    <row r="586" spans="6:42" ht="15">
      <c r="F586" s="34"/>
      <c r="AO586" s="34" t="s">
        <v>276</v>
      </c>
      <c r="AP586" s="34"/>
    </row>
    <row r="587" spans="6:42" ht="15">
      <c r="F587" s="34"/>
      <c r="AO587" s="34" t="s">
        <v>277</v>
      </c>
      <c r="AP587" s="34"/>
    </row>
    <row r="588" spans="6:42" ht="15">
      <c r="F588" s="34"/>
      <c r="AO588" s="34" t="s">
        <v>278</v>
      </c>
      <c r="AP588" s="34"/>
    </row>
    <row r="589" spans="6:42" ht="15">
      <c r="F589" s="34"/>
      <c r="AO589" s="34" t="s">
        <v>279</v>
      </c>
      <c r="AP589" s="34"/>
    </row>
    <row r="590" spans="6:42" ht="15">
      <c r="F590" s="34"/>
      <c r="AO590" s="34" t="s">
        <v>280</v>
      </c>
      <c r="AP590" s="34"/>
    </row>
    <row r="591" spans="6:42" ht="15">
      <c r="F591" s="34"/>
      <c r="AO591" s="34" t="s">
        <v>281</v>
      </c>
      <c r="AP591" s="34"/>
    </row>
    <row r="592" spans="6:42" ht="15">
      <c r="F592" s="34"/>
      <c r="AO592" s="34" t="s">
        <v>282</v>
      </c>
      <c r="AP592" s="34"/>
    </row>
    <row r="593" spans="6:222" ht="15">
      <c r="F593" s="34"/>
      <c r="Q593" s="34"/>
      <c r="R593" s="34"/>
      <c r="S593" s="34"/>
      <c r="T593" s="34"/>
      <c r="U593" s="34"/>
      <c r="V593" s="34"/>
      <c r="W593" s="34"/>
      <c r="X593" s="34"/>
      <c r="Y593" s="34"/>
      <c r="Z593" s="34"/>
      <c r="AA593" s="34"/>
      <c r="AB593" s="34"/>
      <c r="AC593" s="69"/>
      <c r="AD593" s="34"/>
      <c r="AE593" s="34"/>
      <c r="AF593" s="34"/>
      <c r="AG593" s="34"/>
      <c r="AH593" s="34"/>
      <c r="AI593" s="34"/>
      <c r="AJ593" s="34"/>
      <c r="AK593" s="34"/>
      <c r="AL593" s="34"/>
      <c r="AM593" s="34"/>
      <c r="AN593" s="34"/>
      <c r="AO593" s="34" t="s">
        <v>283</v>
      </c>
      <c r="AP593" s="34"/>
      <c r="AQ593" s="34"/>
      <c r="AR593" s="34"/>
      <c r="AS593" s="34"/>
      <c r="AT593" s="34"/>
      <c r="AU593" s="34"/>
      <c r="AV593" s="34"/>
      <c r="AW593" s="34"/>
      <c r="AX593" s="34"/>
      <c r="AY593" s="34"/>
      <c r="AZ593" s="34"/>
      <c r="BA593" s="34"/>
      <c r="BB593" s="34"/>
      <c r="BC593" s="34"/>
      <c r="BD593" s="34"/>
      <c r="BE593" s="34"/>
      <c r="BF593" s="34"/>
      <c r="BG593" s="34"/>
      <c r="BH593" s="34"/>
      <c r="BI593" s="34"/>
      <c r="BJ593" s="34"/>
      <c r="BK593" s="34"/>
      <c r="BL593" s="34"/>
      <c r="BM593" s="34"/>
      <c r="BN593" s="34"/>
      <c r="BO593" s="34"/>
      <c r="BP593" s="34"/>
      <c r="BQ593" s="34"/>
      <c r="BR593" s="34"/>
      <c r="BS593" s="34"/>
      <c r="BT593" s="34"/>
      <c r="BU593" s="34"/>
      <c r="BV593" s="34"/>
      <c r="BW593" s="34"/>
      <c r="BX593" s="34"/>
      <c r="BY593" s="34"/>
      <c r="BZ593" s="34"/>
      <c r="CA593" s="34"/>
      <c r="CB593" s="34"/>
      <c r="CC593" s="34"/>
      <c r="CD593" s="34"/>
      <c r="CE593" s="34"/>
      <c r="CF593" s="34"/>
      <c r="CG593" s="34"/>
      <c r="CH593" s="34"/>
      <c r="CI593" s="34"/>
      <c r="CJ593" s="34"/>
      <c r="CK593" s="34"/>
      <c r="CL593" s="34"/>
      <c r="CM593" s="34"/>
      <c r="CN593" s="34"/>
      <c r="CO593" s="34"/>
      <c r="CP593" s="34"/>
      <c r="CQ593" s="34"/>
      <c r="CR593" s="34"/>
      <c r="CS593" s="34"/>
      <c r="CT593" s="34"/>
      <c r="CU593" s="34"/>
      <c r="CV593" s="34"/>
      <c r="CW593" s="34"/>
      <c r="CX593" s="34"/>
      <c r="CY593" s="34"/>
      <c r="CZ593" s="34"/>
      <c r="DA593" s="34"/>
      <c r="DB593" s="34"/>
      <c r="DC593" s="34"/>
      <c r="DD593" s="34"/>
      <c r="DE593" s="34"/>
      <c r="DF593" s="34"/>
      <c r="DG593" s="34"/>
      <c r="DH593" s="34"/>
      <c r="DI593" s="34"/>
      <c r="DJ593" s="34"/>
      <c r="DK593" s="34"/>
      <c r="DL593" s="34"/>
      <c r="DM593" s="34"/>
      <c r="DN593" s="34"/>
      <c r="DO593" s="34"/>
      <c r="DP593" s="34"/>
      <c r="DQ593" s="34"/>
      <c r="DR593" s="34"/>
      <c r="DS593" s="34"/>
      <c r="DT593" s="34"/>
      <c r="DU593" s="34"/>
      <c r="DV593" s="34"/>
      <c r="DW593" s="34"/>
      <c r="DX593" s="34"/>
      <c r="DY593" s="34"/>
      <c r="DZ593" s="34"/>
      <c r="EA593" s="34"/>
      <c r="EB593" s="34"/>
      <c r="EC593" s="34"/>
      <c r="ED593" s="34"/>
      <c r="EE593" s="34"/>
      <c r="EF593" s="34"/>
      <c r="EG593" s="34"/>
      <c r="EH593" s="34"/>
      <c r="EI593" s="34"/>
      <c r="EJ593" s="34"/>
      <c r="EK593" s="34"/>
      <c r="EL593" s="34"/>
      <c r="EM593" s="34"/>
      <c r="EN593" s="34"/>
      <c r="EO593" s="34"/>
      <c r="EP593" s="34"/>
      <c r="EQ593" s="34"/>
      <c r="ER593" s="34"/>
      <c r="ES593" s="34"/>
      <c r="ET593" s="34"/>
      <c r="EU593" s="34"/>
      <c r="EV593" s="34"/>
      <c r="EW593" s="34"/>
      <c r="EX593" s="34"/>
      <c r="EY593" s="34"/>
      <c r="EZ593" s="34"/>
      <c r="FA593" s="34"/>
      <c r="FB593" s="34"/>
      <c r="FC593" s="34"/>
      <c r="FD593" s="34"/>
      <c r="FE593" s="34"/>
      <c r="FF593" s="34"/>
      <c r="FG593" s="34"/>
      <c r="FH593" s="34"/>
      <c r="FI593" s="34"/>
      <c r="FJ593" s="34"/>
      <c r="FK593" s="34"/>
      <c r="FL593" s="34"/>
      <c r="FM593" s="34"/>
      <c r="FN593" s="34"/>
      <c r="FO593" s="34"/>
      <c r="FP593" s="34"/>
      <c r="FQ593" s="34"/>
      <c r="FR593" s="34"/>
      <c r="FS593" s="34"/>
      <c r="FT593" s="34"/>
      <c r="FU593" s="34"/>
      <c r="FV593" s="34"/>
      <c r="FW593" s="34"/>
      <c r="FX593" s="34"/>
      <c r="FY593" s="34"/>
      <c r="FZ593" s="34"/>
      <c r="GA593" s="34"/>
      <c r="GB593" s="34"/>
      <c r="GC593" s="34"/>
      <c r="GD593" s="34"/>
      <c r="GE593" s="34"/>
      <c r="GF593" s="34"/>
      <c r="GG593" s="34"/>
      <c r="GH593" s="34"/>
      <c r="GI593" s="34"/>
      <c r="GJ593" s="34"/>
      <c r="GK593" s="34"/>
      <c r="GL593" s="34"/>
      <c r="GM593" s="34"/>
      <c r="GN593" s="34"/>
      <c r="GO593" s="34"/>
      <c r="GP593" s="34"/>
      <c r="GQ593" s="34"/>
      <c r="GR593" s="34"/>
      <c r="GS593" s="34"/>
      <c r="GT593" s="34"/>
      <c r="GU593" s="34"/>
      <c r="GV593" s="34"/>
      <c r="GW593" s="34"/>
      <c r="GX593" s="34"/>
      <c r="GY593" s="34"/>
      <c r="GZ593" s="34"/>
      <c r="HA593" s="34"/>
      <c r="HB593" s="34"/>
      <c r="HC593" s="34"/>
      <c r="HD593" s="34"/>
      <c r="HE593" s="34"/>
      <c r="HF593" s="34"/>
      <c r="HG593" s="34"/>
      <c r="HH593" s="34"/>
      <c r="HI593" s="34"/>
      <c r="HJ593" s="34"/>
      <c r="HK593" s="34"/>
      <c r="HL593" s="34"/>
      <c r="HM593" s="34"/>
      <c r="HN593" s="34"/>
    </row>
    <row r="594" spans="1:42" ht="15">
      <c r="A594" s="34"/>
      <c r="F594" s="34"/>
      <c r="P594" s="34"/>
      <c r="AO594" s="34" t="s">
        <v>284</v>
      </c>
      <c r="AP594" s="34"/>
    </row>
    <row r="595" spans="6:42" ht="25.5">
      <c r="F595" s="34"/>
      <c r="AO595" s="34" t="s">
        <v>285</v>
      </c>
      <c r="AP595" s="34"/>
    </row>
    <row r="596" spans="6:42" ht="15">
      <c r="F596" s="34"/>
      <c r="AO596" s="34" t="s">
        <v>734</v>
      </c>
      <c r="AP596" s="34"/>
    </row>
    <row r="597" spans="6:42" ht="25.5">
      <c r="F597" s="34"/>
      <c r="AO597" s="34" t="s">
        <v>543</v>
      </c>
      <c r="AP597" s="34"/>
    </row>
    <row r="598" spans="6:42" ht="25.5">
      <c r="F598" s="34"/>
      <c r="AO598" s="34" t="s">
        <v>286</v>
      </c>
      <c r="AP598" s="34"/>
    </row>
    <row r="599" spans="6:42" ht="15">
      <c r="F599" s="34"/>
      <c r="AO599" s="34" t="s">
        <v>287</v>
      </c>
      <c r="AP599" s="34"/>
    </row>
    <row r="600" spans="6:42" ht="15">
      <c r="F600" s="34"/>
      <c r="AO600" s="34" t="s">
        <v>735</v>
      </c>
      <c r="AP600" s="34"/>
    </row>
    <row r="601" spans="6:42" ht="15">
      <c r="F601" s="34"/>
      <c r="AO601" s="34" t="s">
        <v>288</v>
      </c>
      <c r="AP601" s="34"/>
    </row>
    <row r="602" spans="6:42" ht="15">
      <c r="F602" s="34"/>
      <c r="AO602" s="34" t="s">
        <v>376</v>
      </c>
      <c r="AP602" s="34"/>
    </row>
    <row r="603" spans="6:42" ht="15">
      <c r="F603" s="34"/>
      <c r="AO603" s="34" t="s">
        <v>289</v>
      </c>
      <c r="AP603" s="34"/>
    </row>
    <row r="604" spans="6:42" ht="15">
      <c r="F604" s="34"/>
      <c r="AO604" s="34" t="s">
        <v>290</v>
      </c>
      <c r="AP604" s="34"/>
    </row>
    <row r="605" spans="6:42" ht="15">
      <c r="F605" s="34"/>
      <c r="AO605" s="34" t="s">
        <v>291</v>
      </c>
      <c r="AP605" s="34"/>
    </row>
    <row r="606" spans="6:42" ht="15">
      <c r="F606" s="34"/>
      <c r="AO606" s="34" t="s">
        <v>292</v>
      </c>
      <c r="AP606" s="34"/>
    </row>
    <row r="607" spans="6:42" ht="15">
      <c r="F607" s="34"/>
      <c r="AO607" s="34" t="s">
        <v>293</v>
      </c>
      <c r="AP607" s="34"/>
    </row>
    <row r="608" spans="6:42" ht="15">
      <c r="F608" s="34"/>
      <c r="AO608" s="34" t="s">
        <v>294</v>
      </c>
      <c r="AP608" s="34"/>
    </row>
    <row r="609" spans="6:42" ht="15">
      <c r="F609" s="34"/>
      <c r="AO609" s="34" t="s">
        <v>295</v>
      </c>
      <c r="AP609" s="34"/>
    </row>
    <row r="610" spans="6:42" ht="15">
      <c r="F610" s="34"/>
      <c r="AO610" s="34" t="s">
        <v>296</v>
      </c>
      <c r="AP610" s="34"/>
    </row>
    <row r="611" spans="6:42" ht="15">
      <c r="F611" s="34"/>
      <c r="AO611" s="34" t="s">
        <v>297</v>
      </c>
      <c r="AP611" s="34"/>
    </row>
    <row r="612" spans="6:42" ht="15">
      <c r="F612" s="34"/>
      <c r="AO612" s="34" t="s">
        <v>298</v>
      </c>
      <c r="AP612" s="34"/>
    </row>
    <row r="613" spans="6:42" ht="15">
      <c r="F613" s="34"/>
      <c r="AO613" s="34" t="s">
        <v>561</v>
      </c>
      <c r="AP613" s="34"/>
    </row>
    <row r="614" spans="6:42" ht="15">
      <c r="F614" s="34"/>
      <c r="AO614" s="34" t="s">
        <v>299</v>
      </c>
      <c r="AP614" s="34"/>
    </row>
    <row r="615" spans="6:42" ht="15">
      <c r="F615" s="34"/>
      <c r="AO615" s="34" t="s">
        <v>300</v>
      </c>
      <c r="AP615" s="34"/>
    </row>
    <row r="616" spans="6:42" ht="15">
      <c r="F616" s="34"/>
      <c r="AO616" s="34" t="s">
        <v>301</v>
      </c>
      <c r="AP616" s="34"/>
    </row>
    <row r="617" spans="6:42" ht="15">
      <c r="F617" s="34"/>
      <c r="AO617" s="34" t="s">
        <v>302</v>
      </c>
      <c r="AP617" s="34"/>
    </row>
    <row r="618" spans="6:42" ht="15">
      <c r="F618" s="34"/>
      <c r="AO618" s="34" t="s">
        <v>303</v>
      </c>
      <c r="AP618" s="34"/>
    </row>
    <row r="619" spans="6:42" ht="15">
      <c r="F619" s="34"/>
      <c r="AO619" s="34" t="s">
        <v>796</v>
      </c>
      <c r="AP619" s="34"/>
    </row>
    <row r="620" spans="6:42" ht="15">
      <c r="F620" s="34"/>
      <c r="AO620" s="34" t="s">
        <v>304</v>
      </c>
      <c r="AP620" s="34"/>
    </row>
    <row r="621" spans="6:42" ht="15">
      <c r="F621" s="34"/>
      <c r="AO621" s="34" t="s">
        <v>305</v>
      </c>
      <c r="AP621" s="34"/>
    </row>
    <row r="622" spans="6:42" ht="15">
      <c r="F622" s="34"/>
      <c r="AO622" s="34" t="s">
        <v>306</v>
      </c>
      <c r="AP622" s="34"/>
    </row>
    <row r="623" spans="6:42" ht="15">
      <c r="F623" s="34"/>
      <c r="AO623" s="34" t="s">
        <v>307</v>
      </c>
      <c r="AP623" s="34"/>
    </row>
    <row r="624" spans="6:42" ht="15">
      <c r="F624" s="34"/>
      <c r="AO624" s="34" t="s">
        <v>308</v>
      </c>
      <c r="AP624" s="34"/>
    </row>
    <row r="625" spans="6:42" ht="15">
      <c r="F625" s="34"/>
      <c r="AO625" s="34" t="s">
        <v>309</v>
      </c>
      <c r="AP625" s="34"/>
    </row>
    <row r="626" spans="6:42" ht="15">
      <c r="F626" s="34"/>
      <c r="AO626" s="34" t="s">
        <v>310</v>
      </c>
      <c r="AP626" s="34"/>
    </row>
    <row r="627" spans="6:42" ht="25.5">
      <c r="F627" s="34"/>
      <c r="AO627" s="34" t="s">
        <v>538</v>
      </c>
      <c r="AP627" s="34"/>
    </row>
    <row r="628" spans="6:42" ht="15">
      <c r="F628" s="34"/>
      <c r="AO628" s="34" t="s">
        <v>311</v>
      </c>
      <c r="AP628" s="34"/>
    </row>
    <row r="629" spans="6:42" ht="15">
      <c r="F629" s="34"/>
      <c r="AO629" s="34" t="s">
        <v>312</v>
      </c>
      <c r="AP629" s="34"/>
    </row>
    <row r="630" spans="6:42" ht="15">
      <c r="F630" s="34"/>
      <c r="AO630" s="34" t="s">
        <v>313</v>
      </c>
      <c r="AP630" s="34"/>
    </row>
    <row r="631" spans="6:42" ht="15">
      <c r="F631" s="34"/>
      <c r="AO631" s="34" t="s">
        <v>314</v>
      </c>
      <c r="AP631" s="34"/>
    </row>
    <row r="632" spans="6:42" ht="15">
      <c r="F632" s="34"/>
      <c r="AO632" s="34" t="s">
        <v>315</v>
      </c>
      <c r="AP632" s="34"/>
    </row>
    <row r="633" spans="6:42" ht="15">
      <c r="F633" s="34"/>
      <c r="AO633" s="34" t="s">
        <v>316</v>
      </c>
      <c r="AP633" s="34"/>
    </row>
    <row r="634" spans="6:42" ht="15">
      <c r="F634" s="34"/>
      <c r="AO634" s="34" t="s">
        <v>317</v>
      </c>
      <c r="AP634" s="34"/>
    </row>
    <row r="635" spans="6:42" ht="25.5">
      <c r="F635" s="34"/>
      <c r="AO635" s="34" t="s">
        <v>318</v>
      </c>
      <c r="AP635" s="34"/>
    </row>
    <row r="636" spans="6:42" ht="15">
      <c r="F636" s="34"/>
      <c r="AO636" s="34" t="s">
        <v>319</v>
      </c>
      <c r="AP636" s="34"/>
    </row>
    <row r="637" spans="6:42" ht="15">
      <c r="F637" s="34"/>
      <c r="AO637" s="34" t="s">
        <v>320</v>
      </c>
      <c r="AP637" s="34"/>
    </row>
    <row r="638" spans="6:42" ht="15">
      <c r="F638" s="34"/>
      <c r="AO638" s="34" t="s">
        <v>321</v>
      </c>
      <c r="AP638" s="34"/>
    </row>
    <row r="639" spans="6:42" ht="15">
      <c r="F639" s="34"/>
      <c r="AO639" s="34" t="s">
        <v>322</v>
      </c>
      <c r="AP639" s="34"/>
    </row>
    <row r="640" spans="6:42" ht="15">
      <c r="F640" s="34"/>
      <c r="AO640" s="34" t="s">
        <v>323</v>
      </c>
      <c r="AP640" s="34"/>
    </row>
    <row r="641" spans="6:41" ht="15">
      <c r="F641" s="34"/>
      <c r="AO641" s="34" t="s">
        <v>324</v>
      </c>
    </row>
    <row r="642" ht="15">
      <c r="F642" s="34"/>
    </row>
    <row r="643" ht="15">
      <c r="F643" s="34"/>
    </row>
    <row r="644" ht="15">
      <c r="F644" s="34"/>
    </row>
  </sheetData>
  <sheetProtection password="CC4C" sheet="1" formatCells="0" selectLockedCells="1"/>
  <mergeCells count="213">
    <mergeCell ref="B332:D332"/>
    <mergeCell ref="B337:D338"/>
    <mergeCell ref="N334:O334"/>
    <mergeCell ref="K336:O336"/>
    <mergeCell ref="B345:F345"/>
    <mergeCell ref="M345:O345"/>
    <mergeCell ref="I336:J336"/>
    <mergeCell ref="E333:K333"/>
    <mergeCell ref="L333:O333"/>
    <mergeCell ref="C341:E341"/>
    <mergeCell ref="B347:D347"/>
    <mergeCell ref="B348:D348"/>
    <mergeCell ref="I348:K348"/>
    <mergeCell ref="G345:J345"/>
    <mergeCell ref="G350:H350"/>
    <mergeCell ref="K345:L345"/>
    <mergeCell ref="L347:O347"/>
    <mergeCell ref="L349:O349"/>
    <mergeCell ref="N350:O350"/>
    <mergeCell ref="K351:O351"/>
    <mergeCell ref="K352:O352"/>
    <mergeCell ref="E335:E336"/>
    <mergeCell ref="I352:J352"/>
    <mergeCell ref="E350:F350"/>
    <mergeCell ref="E349:K349"/>
    <mergeCell ref="F335:H336"/>
    <mergeCell ref="I337:J338"/>
    <mergeCell ref="K337:O338"/>
    <mergeCell ref="I335:J335"/>
    <mergeCell ref="E332:H332"/>
    <mergeCell ref="E347:G347"/>
    <mergeCell ref="I347:K347"/>
    <mergeCell ref="I332:K332"/>
    <mergeCell ref="G334:H334"/>
    <mergeCell ref="L332:O332"/>
    <mergeCell ref="K335:O335"/>
    <mergeCell ref="E334:F334"/>
    <mergeCell ref="F337:H338"/>
    <mergeCell ref="K341:L342"/>
    <mergeCell ref="H284:J284"/>
    <mergeCell ref="E284:G284"/>
    <mergeCell ref="B353:D354"/>
    <mergeCell ref="I353:J354"/>
    <mergeCell ref="K353:O354"/>
    <mergeCell ref="E337:E338"/>
    <mergeCell ref="L348:O348"/>
    <mergeCell ref="F289:H289"/>
    <mergeCell ref="E319:G319"/>
    <mergeCell ref="L319:M319"/>
    <mergeCell ref="E287:F287"/>
    <mergeCell ref="J295:O295"/>
    <mergeCell ref="K299:O299"/>
    <mergeCell ref="B300:H300"/>
    <mergeCell ref="B295:G295"/>
    <mergeCell ref="F298:J298"/>
    <mergeCell ref="I300:O300"/>
    <mergeCell ref="L291:O291"/>
    <mergeCell ref="B288:O288"/>
    <mergeCell ref="B291:E291"/>
    <mergeCell ref="B279:O279"/>
    <mergeCell ref="F290:H290"/>
    <mergeCell ref="B286:D287"/>
    <mergeCell ref="E285:F285"/>
    <mergeCell ref="E286:O286"/>
    <mergeCell ref="B285:D285"/>
    <mergeCell ref="K282:L282"/>
    <mergeCell ref="M284:O284"/>
    <mergeCell ref="K284:L284"/>
    <mergeCell ref="K285:L285"/>
    <mergeCell ref="I285:J285"/>
    <mergeCell ref="L278:O278"/>
    <mergeCell ref="B282:D282"/>
    <mergeCell ref="F281:J281"/>
    <mergeCell ref="B284:D284"/>
    <mergeCell ref="E282:J282"/>
    <mergeCell ref="B283:O283"/>
    <mergeCell ref="K281:L281"/>
    <mergeCell ref="I278:K278"/>
    <mergeCell ref="B280:D280"/>
    <mergeCell ref="B273:O274"/>
    <mergeCell ref="B278:D278"/>
    <mergeCell ref="E278:H278"/>
    <mergeCell ref="K280:L280"/>
    <mergeCell ref="M280:O280"/>
    <mergeCell ref="L277:M277"/>
    <mergeCell ref="F275:N275"/>
    <mergeCell ref="N277:O277"/>
    <mergeCell ref="E280:F280"/>
    <mergeCell ref="D277:E277"/>
    <mergeCell ref="I289:K289"/>
    <mergeCell ref="B296:G296"/>
    <mergeCell ref="J308:K308"/>
    <mergeCell ref="H305:O307"/>
    <mergeCell ref="B293:E293"/>
    <mergeCell ref="B306:D306"/>
    <mergeCell ref="B304:O304"/>
    <mergeCell ref="B299:J299"/>
    <mergeCell ref="F302:O302"/>
    <mergeCell ref="B302:E303"/>
    <mergeCell ref="B309:E309"/>
    <mergeCell ref="B277:C277"/>
    <mergeCell ref="M282:O282"/>
    <mergeCell ref="M285:O285"/>
    <mergeCell ref="B281:D281"/>
    <mergeCell ref="M281:O281"/>
    <mergeCell ref="B301:E301"/>
    <mergeCell ref="H296:O296"/>
    <mergeCell ref="B297:O297"/>
    <mergeCell ref="B298:E298"/>
    <mergeCell ref="B290:E290"/>
    <mergeCell ref="I291:K291"/>
    <mergeCell ref="I290:K290"/>
    <mergeCell ref="F292:H292"/>
    <mergeCell ref="H301:J301"/>
    <mergeCell ref="B292:E292"/>
    <mergeCell ref="I292:O292"/>
    <mergeCell ref="N298:O298"/>
    <mergeCell ref="G342:J342"/>
    <mergeCell ref="L289:O289"/>
    <mergeCell ref="B289:E289"/>
    <mergeCell ref="F293:O293"/>
    <mergeCell ref="N301:O301"/>
    <mergeCell ref="F291:H291"/>
    <mergeCell ref="L301:M301"/>
    <mergeCell ref="B294:O294"/>
    <mergeCell ref="K298:M298"/>
    <mergeCell ref="L290:O290"/>
    <mergeCell ref="F351:H352"/>
    <mergeCell ref="F353:H354"/>
    <mergeCell ref="B364:O364"/>
    <mergeCell ref="E353:E354"/>
    <mergeCell ref="B361:O361"/>
    <mergeCell ref="B324:O324"/>
    <mergeCell ref="L327:M327"/>
    <mergeCell ref="N327:O327"/>
    <mergeCell ref="B328:O328"/>
    <mergeCell ref="M329:O329"/>
    <mergeCell ref="N313:O313"/>
    <mergeCell ref="B368:D368"/>
    <mergeCell ref="B362:O362"/>
    <mergeCell ref="B369:D369"/>
    <mergeCell ref="F366:O369"/>
    <mergeCell ref="I351:J351"/>
    <mergeCell ref="B367:D367"/>
    <mergeCell ref="B366:E366"/>
    <mergeCell ref="B351:D352"/>
    <mergeCell ref="E351:E352"/>
    <mergeCell ref="M321:O321"/>
    <mergeCell ref="B312:E312"/>
    <mergeCell ref="H310:O312"/>
    <mergeCell ref="B311:E311"/>
    <mergeCell ref="M318:O318"/>
    <mergeCell ref="E315:O316"/>
    <mergeCell ref="B318:H318"/>
    <mergeCell ref="I318:K318"/>
    <mergeCell ref="B313:G313"/>
    <mergeCell ref="B310:E310"/>
    <mergeCell ref="B322:D322"/>
    <mergeCell ref="G329:J329"/>
    <mergeCell ref="B325:E325"/>
    <mergeCell ref="H325:K325"/>
    <mergeCell ref="K329:L329"/>
    <mergeCell ref="H322:O322"/>
    <mergeCell ref="B308:E308"/>
    <mergeCell ref="B319:D319"/>
    <mergeCell ref="H319:K319"/>
    <mergeCell ref="H327:J327"/>
    <mergeCell ref="E322:G322"/>
    <mergeCell ref="E317:H317"/>
    <mergeCell ref="B314:O314"/>
    <mergeCell ref="J309:K309"/>
    <mergeCell ref="B315:D317"/>
    <mergeCell ref="N319:O319"/>
    <mergeCell ref="B335:D336"/>
    <mergeCell ref="H313:L313"/>
    <mergeCell ref="L331:O331"/>
    <mergeCell ref="I331:K331"/>
    <mergeCell ref="B330:O330"/>
    <mergeCell ref="B320:O320"/>
    <mergeCell ref="B327:D327"/>
    <mergeCell ref="E331:G331"/>
    <mergeCell ref="B331:D331"/>
    <mergeCell ref="E321:G321"/>
    <mergeCell ref="I355:L355"/>
    <mergeCell ref="G358:J358"/>
    <mergeCell ref="C359:E359"/>
    <mergeCell ref="B329:F329"/>
    <mergeCell ref="C357:E357"/>
    <mergeCell ref="G357:J357"/>
    <mergeCell ref="K357:L358"/>
    <mergeCell ref="C343:E343"/>
    <mergeCell ref="G343:J343"/>
    <mergeCell ref="E348:H348"/>
    <mergeCell ref="M355:O355"/>
    <mergeCell ref="M357:O359"/>
    <mergeCell ref="G359:J359"/>
    <mergeCell ref="M341:O344"/>
    <mergeCell ref="B339:E339"/>
    <mergeCell ref="F339:H339"/>
    <mergeCell ref="M339:O339"/>
    <mergeCell ref="I339:L339"/>
    <mergeCell ref="B355:E355"/>
    <mergeCell ref="F355:H355"/>
    <mergeCell ref="F373:H373"/>
    <mergeCell ref="F374:H374"/>
    <mergeCell ref="F375:H375"/>
    <mergeCell ref="F1:H1"/>
    <mergeCell ref="F2:H2"/>
    <mergeCell ref="F3:H3"/>
    <mergeCell ref="G341:J341"/>
    <mergeCell ref="B370:O370"/>
    <mergeCell ref="B363:O363"/>
    <mergeCell ref="B365:O365"/>
  </mergeCells>
  <conditionalFormatting sqref="F291:H291">
    <cfRule type="cellIs" priority="12" dxfId="13" operator="equal" stopIfTrue="1">
      <formula>"""High risk"""</formula>
    </cfRule>
  </conditionalFormatting>
  <conditionalFormatting sqref="L289:O289">
    <cfRule type="cellIs" priority="4" dxfId="15" operator="equal" stopIfTrue="1">
      <formula>"Green"</formula>
    </cfRule>
    <cfRule type="cellIs" priority="5" dxfId="14" operator="equal" stopIfTrue="1">
      <formula>"Amber"</formula>
    </cfRule>
    <cfRule type="cellIs" priority="6" dxfId="13" operator="equal" stopIfTrue="1">
      <formula>"Red"</formula>
    </cfRule>
  </conditionalFormatting>
  <conditionalFormatting sqref="K299:O299">
    <cfRule type="containsText" priority="1" dxfId="7" operator="containsText" stopIfTrue="1" text="RIG">
      <formula>NOT(ISERROR(SEARCH("RIG",K299)))</formula>
    </cfRule>
    <cfRule type="containsText" priority="2" dxfId="11" operator="containsText" stopIfTrue="1" text="vaccine">
      <formula>NOT(ISERROR(SEARCH("vaccine",K299)))</formula>
    </cfRule>
    <cfRule type="containsText" priority="3" dxfId="8" operator="containsText" stopIfTrue="1" text="No">
      <formula>NOT(ISERROR(SEARCH("No",K299)))</formula>
    </cfRule>
  </conditionalFormatting>
  <dataValidations count="38">
    <dataValidation errorStyle="warning" type="whole" allowBlank="1" showInputMessage="1" showErrorMessage="1" error="Are you sure" sqref="E335:E336 E351:E352">
      <formula1>0</formula1>
      <formula2>10</formula2>
    </dataValidation>
    <dataValidation errorStyle="warning" type="whole" allowBlank="1" showInputMessage="1" showErrorMessage="1" error="Are you sure?" sqref="E337:E338 E353:E354">
      <formula1>0</formula1>
      <formula2>5</formula2>
    </dataValidation>
    <dataValidation type="list" allowBlank="1" showInputMessage="1" showErrorMessage="1" sqref="N334:O334 I317 E327 N350:O350">
      <formula1>$X$372:$X$373</formula1>
    </dataValidation>
    <dataValidation errorStyle="warning" type="list" allowBlank="1" showInputMessage="1" showErrorMessage="1" prompt="This must be answered" error="Why not?" sqref="Q364">
      <formula1>$X$372</formula1>
    </dataValidation>
    <dataValidation allowBlank="1" showInputMessage="1" sqref="Z372:AB372"/>
    <dataValidation type="list" allowBlank="1" showInputMessage="1" showErrorMessage="1" sqref="G301 F305">
      <formula1>$X$372:$X$374</formula1>
    </dataValidation>
    <dataValidation errorStyle="warning" type="whole" showInputMessage="1" showErrorMessage="1" prompt="Enter no of doses of vaccine to be issued" error="Are you sure?" sqref="F306">
      <formula1>0</formula1>
      <formula2>5</formula2>
    </dataValidation>
    <dataValidation type="list" allowBlank="1" showInputMessage="1" showErrorMessage="1" sqref="F307">
      <formula1>$AK$372:$AK$377</formula1>
    </dataValidation>
    <dataValidation errorStyle="warning" type="list" allowBlank="1" showInputMessage="1" showErrorMessage="1" prompt="Enter species.  If not in list please use other, and put information in 'Additional Information' box below" error="Are you sure?" sqref="F291:H291">
      <formula1>$AD$370:$AD$378</formula1>
    </dataValidation>
    <dataValidation allowBlank="1" showInputMessage="1" showErrorMessage="1" prompt="Enter weight.  There is the ability to convert stones to kg on next page if necessary" sqref="F309"/>
    <dataValidation type="list" allowBlank="1" showInputMessage="1" prompt="Choose from list.  If not in list, please type in." sqref="N301:O301">
      <formula1>$V$372:$V$382</formula1>
    </dataValidation>
    <dataValidation errorStyle="warning" type="custom" allowBlank="1" showInputMessage="1" showErrorMessage="1" error="Are you sure?" sqref="F312">
      <formula1>"Roundup(f33/2,0)"</formula1>
    </dataValidation>
    <dataValidation allowBlank="1" showInputMessage="1" showErrorMessage="1" prompt="Please enter NHS no, especially if issuing vaccine/HRIG" sqref="I285:J285"/>
    <dataValidation operator="greaterThan" showInputMessage="1" showErrorMessage="1" prompt="Enter title if appropriate" sqref="E281"/>
    <dataValidation allowBlank="1" showInputMessage="1" showErrorMessage="1" prompt="Data can be entered into all the pink and yellow boxes.  The pink boxes on the form are mandatory and must be completed.  If there is too much information, change the font size so that all recorded information is visible." sqref="D277:E277"/>
    <dataValidation type="date" operator="greaterThan" allowBlank="1" showInputMessage="1" showErrorMessage="1" sqref="J287">
      <formula1>1</formula1>
    </dataValidation>
    <dataValidation type="list" allowBlank="1" showInputMessage="1" showErrorMessage="1" prompt="Choose from list" sqref="E280">
      <formula1>$Y$372:$Y$377</formula1>
    </dataValidation>
    <dataValidation type="list" allowBlank="1" showInputMessage="1" sqref="F292:H292">
      <formula1>$AS$371:$AS$381</formula1>
    </dataValidation>
    <dataValidation allowBlank="1" showErrorMessage="1" sqref="N319:O319"/>
    <dataValidation type="date" allowBlank="1" showInputMessage="1" showErrorMessage="1" prompt="Enter dates in format dd/mm/yyyy" sqref="G303 I303 K303 M303">
      <formula1>36526</formula1>
      <formula2>47848</formula2>
    </dataValidation>
    <dataValidation allowBlank="1" showInputMessage="1" showErrorMessage="1" prompt="Enter first name (or initial) and surname" sqref="F281:J281"/>
    <dataValidation type="list" allowBlank="1" showInputMessage="1" showErrorMessage="1" sqref="F308">
      <formula1>$X$372:$X$375</formula1>
    </dataValidation>
    <dataValidation type="list" allowBlank="1" showInputMessage="1" showErrorMessage="1" promptTitle="Y or N" sqref="H295">
      <formula1>$X$295:$X$296</formula1>
    </dataValidation>
    <dataValidation type="list" allowBlank="1" showInputMessage="1" sqref="I300">
      <formula1>$AI$371:$AI$378</formula1>
    </dataValidation>
    <dataValidation errorStyle="warning" type="list" allowBlank="1" showInputMessage="1" showErrorMessage="1" prompt="Enter time of phone call" error="Are you sure" sqref="L278:O278">
      <formula1>$W$278</formula1>
    </dataValidation>
    <dataValidation errorStyle="warning" type="list" allowBlank="1" showInputMessage="1" showErrorMessage="1" prompt="Enter date" error="Are you sure" sqref="M321:O321">
      <formula1>$V$278</formula1>
    </dataValidation>
    <dataValidation errorStyle="information" type="list" operator="greaterThan" allowBlank="1" showInputMessage="1" showErrorMessage="1" promptTitle="Insert date" prompt="dd/mm/yyyy" error="Are you sure this date is correct?" sqref="E278:H278">
      <formula1>$V$278</formula1>
    </dataValidation>
    <dataValidation type="list" showInputMessage="1" promptTitle="Date of next vaccine" prompt="This is a required field" sqref="N313:O313">
      <formula1>$V$278:$V$280</formula1>
    </dataValidation>
    <dataValidation type="list" allowBlank="1" showInputMessage="1" showErrorMessage="1" sqref="L291:O291">
      <formula1>$AC$373:$AC$380</formula1>
    </dataValidation>
    <dataValidation type="list" allowBlank="1" showInputMessage="1" showErrorMessage="1" sqref="N298">
      <formula1>$AH$372:$AH$376</formula1>
    </dataValidation>
    <dataValidation errorStyle="information" type="date" operator="greaterThan" allowBlank="1" showInputMessage="1" showErrorMessage="1" sqref="E285:F285">
      <formula1>1</formula1>
    </dataValidation>
    <dataValidation type="date" allowBlank="1" showInputMessage="1" showErrorMessage="1" prompt="Complete this box if 4th dose of vaccine given before d21, or if requires a 5 dose schedule. Enter dates in format dd/mm/yyyy" sqref="O303">
      <formula1>36526</formula1>
      <formula2>47848</formula2>
    </dataValidation>
    <dataValidation type="list" allowBlank="1" showInputMessage="1" sqref="H313:L313">
      <formula1>$AJ$372:$AJ$375</formula1>
    </dataValidation>
    <dataValidation errorStyle="warning" type="list" allowBlank="1" showInputMessage="1" prompt="Choose country from list:&#10;&#10;No risk countries - no indigenous rabies in terrestrial animals&#10;Low risk countries - rabies occurs in wild animals only. &#10;High risk countries - rabies occurs in wild animals and companion animals, or there is lack of data&#10;" sqref="F290:H290">
      <formula1>$AO$369:$AO$641</formula1>
    </dataValidation>
    <dataValidation type="list" allowBlank="1" showInputMessage="1" showErrorMessage="1" sqref="G346">
      <formula1>$AM$372:$AM$385</formula1>
    </dataValidation>
    <dataValidation errorStyle="warning" type="list" allowBlank="1" showInputMessage="1" showErrorMessage="1" sqref="J308:K308">
      <formula1>$V$364:$V$369</formula1>
    </dataValidation>
    <dataValidation type="list" allowBlank="1" showInputMessage="1" showErrorMessage="1" sqref="G329:J329 G345:J345">
      <formula1>$AM$372:$AM$378</formula1>
    </dataValidation>
    <dataValidation type="list" allowBlank="1" showInputMessage="1" showErrorMessage="1" sqref="E319:G319 E321:G321">
      <formula1>$AR$371:$AR$392</formula1>
    </dataValidation>
  </dataValidations>
  <hyperlinks>
    <hyperlink ref="B363:O363" r:id="rId1" display="If risk assessment required please e-mail completed form (secure e-mail only) to: RIGS@ukhsa.gov.uk "/>
    <hyperlink ref="B364:O364" r:id="rId2" display="or PHE.RIGS@nhs.net"/>
  </hyperlinks>
  <printOptions/>
  <pageMargins left="0.4724409448818898" right="0.4724409448818898" top="0.5118110236220472" bottom="0.5118110236220472" header="0.5118110236220472" footer="0.11811023622047245"/>
  <pageSetup fitToHeight="0" fitToWidth="1" horizontalDpi="600" verticalDpi="600" orientation="portrait" paperSize="9" scale="76" r:id="rId5"/>
  <headerFooter>
    <oddFooter>&amp;LIMW 115 - Rabies Post Exposure Form and Calender
Page &amp;P/4&amp;CAuthorised by: Stephen Winchester
Effective Date: January 2024&amp;RIssue: 39.1</oddFooter>
  </headerFooter>
  <drawing r:id="rId4"/>
  <tableParts>
    <tablePart r:id="rId3"/>
  </tableParts>
</worksheet>
</file>

<file path=xl/worksheets/sheet4.xml><?xml version="1.0" encoding="utf-8"?>
<worksheet xmlns="http://schemas.openxmlformats.org/spreadsheetml/2006/main" xmlns:r="http://schemas.openxmlformats.org/officeDocument/2006/relationships">
  <sheetPr codeName="Sheet3"/>
  <dimension ref="A1:IV271"/>
  <sheetViews>
    <sheetView zoomScalePageLayoutView="0" workbookViewId="0" topLeftCell="A1">
      <selection activeCell="H22" sqref="H2:H22"/>
    </sheetView>
  </sheetViews>
  <sheetFormatPr defaultColWidth="8.8515625" defaultRowHeight="18" customHeight="1"/>
  <cols>
    <col min="1" max="1" width="30.421875" style="0" customWidth="1"/>
    <col min="2" max="2" width="16.140625" style="0" customWidth="1"/>
    <col min="3" max="3" width="10.8515625" style="0" customWidth="1"/>
    <col min="4" max="4" width="17.421875" style="0" customWidth="1"/>
    <col min="5" max="5" width="16.140625" style="0" customWidth="1"/>
    <col min="6" max="6" width="31.140625" style="0" customWidth="1"/>
    <col min="7" max="7" width="20.00390625" style="0" customWidth="1"/>
    <col min="8" max="8" width="17.421875" style="57" customWidth="1"/>
    <col min="9" max="9" width="10.140625" style="57" customWidth="1"/>
  </cols>
  <sheetData>
    <row r="1" spans="1:9" ht="18" customHeight="1">
      <c r="A1" t="s">
        <v>390</v>
      </c>
      <c r="B1" s="62" t="s">
        <v>601</v>
      </c>
      <c r="C1" t="s">
        <v>593</v>
      </c>
      <c r="D1" t="s">
        <v>594</v>
      </c>
      <c r="E1" t="s">
        <v>595</v>
      </c>
      <c r="F1" t="s">
        <v>391</v>
      </c>
      <c r="H1" s="57" t="s">
        <v>372</v>
      </c>
      <c r="I1" s="198" t="s">
        <v>547</v>
      </c>
    </row>
    <row r="2" spans="1:9" ht="18" customHeight="1">
      <c r="A2" s="27" t="s">
        <v>72</v>
      </c>
      <c r="B2" s="28" t="s">
        <v>36</v>
      </c>
      <c r="C2" s="175" t="s">
        <v>36</v>
      </c>
      <c r="D2" s="175" t="s">
        <v>33</v>
      </c>
      <c r="E2" s="28" t="s">
        <v>36</v>
      </c>
      <c r="F2" t="s">
        <v>392</v>
      </c>
      <c r="H2" s="57" t="s">
        <v>782</v>
      </c>
      <c r="I2" s="57" t="s">
        <v>783</v>
      </c>
    </row>
    <row r="3" spans="1:9" ht="18" customHeight="1">
      <c r="A3" s="29" t="s">
        <v>73</v>
      </c>
      <c r="B3" s="30" t="s">
        <v>36</v>
      </c>
      <c r="C3" s="175" t="s">
        <v>36</v>
      </c>
      <c r="D3" s="175" t="s">
        <v>33</v>
      </c>
      <c r="E3" s="28" t="s">
        <v>36</v>
      </c>
      <c r="F3" t="s">
        <v>393</v>
      </c>
      <c r="H3" s="240" t="s">
        <v>717</v>
      </c>
      <c r="I3" s="57" t="s">
        <v>719</v>
      </c>
    </row>
    <row r="4" spans="1:9" ht="18" customHeight="1">
      <c r="A4" s="29" t="s">
        <v>74</v>
      </c>
      <c r="B4" s="30" t="s">
        <v>36</v>
      </c>
      <c r="C4" s="175" t="s">
        <v>36</v>
      </c>
      <c r="D4" s="175" t="s">
        <v>33</v>
      </c>
      <c r="E4" s="28" t="s">
        <v>36</v>
      </c>
      <c r="F4" t="s">
        <v>394</v>
      </c>
      <c r="H4" s="57" t="s">
        <v>565</v>
      </c>
      <c r="I4" s="196" t="s">
        <v>566</v>
      </c>
    </row>
    <row r="5" spans="1:9" ht="18" customHeight="1">
      <c r="A5" s="29" t="s">
        <v>75</v>
      </c>
      <c r="B5" s="30" t="s">
        <v>28</v>
      </c>
      <c r="C5" s="175" t="s">
        <v>36</v>
      </c>
      <c r="D5" s="175" t="s">
        <v>28</v>
      </c>
      <c r="E5" s="175" t="s">
        <v>28</v>
      </c>
      <c r="F5" t="s">
        <v>395</v>
      </c>
      <c r="H5" s="57" t="s">
        <v>592</v>
      </c>
      <c r="I5" s="197">
        <v>6128290</v>
      </c>
    </row>
    <row r="6" spans="1:9" ht="18" customHeight="1">
      <c r="A6" s="29" t="s">
        <v>76</v>
      </c>
      <c r="B6" s="30" t="s">
        <v>36</v>
      </c>
      <c r="C6" s="175" t="s">
        <v>36</v>
      </c>
      <c r="D6" s="175" t="s">
        <v>33</v>
      </c>
      <c r="E6" s="28" t="s">
        <v>36</v>
      </c>
      <c r="F6" t="s">
        <v>392</v>
      </c>
      <c r="H6" s="57" t="s">
        <v>588</v>
      </c>
      <c r="I6" s="57">
        <v>4721608</v>
      </c>
    </row>
    <row r="7" spans="1:9" ht="18" customHeight="1">
      <c r="A7" s="29" t="s">
        <v>77</v>
      </c>
      <c r="B7" s="30" t="s">
        <v>28</v>
      </c>
      <c r="C7" s="175" t="s">
        <v>36</v>
      </c>
      <c r="D7" s="30" t="s">
        <v>28</v>
      </c>
      <c r="E7" s="30" t="s">
        <v>28</v>
      </c>
      <c r="F7" t="s">
        <v>396</v>
      </c>
      <c r="H7" s="57" t="s">
        <v>794</v>
      </c>
      <c r="I7" s="57" t="s">
        <v>787</v>
      </c>
    </row>
    <row r="8" spans="1:9" ht="18" customHeight="1">
      <c r="A8" s="29" t="s">
        <v>78</v>
      </c>
      <c r="B8" s="30" t="s">
        <v>36</v>
      </c>
      <c r="C8" s="175" t="s">
        <v>36</v>
      </c>
      <c r="D8" s="175" t="s">
        <v>33</v>
      </c>
      <c r="E8" s="28" t="s">
        <v>36</v>
      </c>
      <c r="F8" t="s">
        <v>397</v>
      </c>
      <c r="H8" s="170" t="s">
        <v>487</v>
      </c>
      <c r="I8" s="57">
        <v>4488873</v>
      </c>
    </row>
    <row r="9" spans="1:9" ht="18" customHeight="1">
      <c r="A9" s="29" t="s">
        <v>79</v>
      </c>
      <c r="B9" s="30" t="s">
        <v>28</v>
      </c>
      <c r="C9" s="175" t="s">
        <v>36</v>
      </c>
      <c r="D9" s="30" t="s">
        <v>28</v>
      </c>
      <c r="E9" s="30" t="s">
        <v>28</v>
      </c>
      <c r="F9" t="s">
        <v>398</v>
      </c>
      <c r="H9" s="57" t="s">
        <v>737</v>
      </c>
      <c r="I9" s="57">
        <v>7045367</v>
      </c>
    </row>
    <row r="10" spans="1:9" ht="18" customHeight="1">
      <c r="A10" s="29" t="s">
        <v>80</v>
      </c>
      <c r="B10" s="30" t="s">
        <v>28</v>
      </c>
      <c r="C10" s="175" t="s">
        <v>36</v>
      </c>
      <c r="D10" s="30" t="s">
        <v>28</v>
      </c>
      <c r="E10" s="30" t="s">
        <v>28</v>
      </c>
      <c r="F10" t="s">
        <v>399</v>
      </c>
      <c r="H10" s="57" t="s">
        <v>662</v>
      </c>
      <c r="I10" s="57" t="s">
        <v>659</v>
      </c>
    </row>
    <row r="11" spans="1:9" ht="18" customHeight="1">
      <c r="A11" s="29" t="s">
        <v>81</v>
      </c>
      <c r="B11" s="30" t="s">
        <v>28</v>
      </c>
      <c r="C11" s="175" t="s">
        <v>36</v>
      </c>
      <c r="D11" s="30" t="s">
        <v>28</v>
      </c>
      <c r="E11" s="30" t="s">
        <v>28</v>
      </c>
      <c r="F11" t="s">
        <v>398</v>
      </c>
      <c r="H11" s="57" t="s">
        <v>802</v>
      </c>
      <c r="I11" s="57">
        <v>6103526</v>
      </c>
    </row>
    <row r="12" spans="1:9" ht="18" customHeight="1">
      <c r="A12" s="29" t="s">
        <v>82</v>
      </c>
      <c r="B12" s="30" t="s">
        <v>36</v>
      </c>
      <c r="C12" s="175" t="s">
        <v>36</v>
      </c>
      <c r="D12" s="175" t="s">
        <v>33</v>
      </c>
      <c r="E12" s="28" t="s">
        <v>36</v>
      </c>
      <c r="F12" t="s">
        <v>400</v>
      </c>
      <c r="H12" s="57" t="s">
        <v>747</v>
      </c>
      <c r="I12" s="57" t="s">
        <v>748</v>
      </c>
    </row>
    <row r="13" spans="1:9" ht="18" customHeight="1">
      <c r="A13" s="29" t="s">
        <v>83</v>
      </c>
      <c r="B13" s="30" t="s">
        <v>36</v>
      </c>
      <c r="C13" s="175" t="s">
        <v>36</v>
      </c>
      <c r="D13" s="175" t="s">
        <v>33</v>
      </c>
      <c r="E13" s="28" t="s">
        <v>36</v>
      </c>
      <c r="F13" t="s">
        <v>401</v>
      </c>
      <c r="H13" s="57" t="s">
        <v>663</v>
      </c>
      <c r="I13" s="57" t="s">
        <v>660</v>
      </c>
    </row>
    <row r="14" spans="1:9" ht="18" customHeight="1">
      <c r="A14" s="29" t="s">
        <v>84</v>
      </c>
      <c r="B14" s="30" t="s">
        <v>28</v>
      </c>
      <c r="C14" s="175" t="s">
        <v>36</v>
      </c>
      <c r="D14" s="30" t="s">
        <v>28</v>
      </c>
      <c r="E14" s="30" t="s">
        <v>28</v>
      </c>
      <c r="F14" t="s">
        <v>398</v>
      </c>
      <c r="H14" s="57" t="s">
        <v>788</v>
      </c>
      <c r="I14" s="57" t="s">
        <v>789</v>
      </c>
    </row>
    <row r="15" spans="1:9" ht="18" customHeight="1">
      <c r="A15" s="29" t="s">
        <v>85</v>
      </c>
      <c r="B15" s="30" t="s">
        <v>28</v>
      </c>
      <c r="C15" s="175" t="s">
        <v>36</v>
      </c>
      <c r="D15" s="30" t="s">
        <v>28</v>
      </c>
      <c r="E15" s="30" t="s">
        <v>28</v>
      </c>
      <c r="F15" t="s">
        <v>402</v>
      </c>
      <c r="H15" s="57" t="s">
        <v>654</v>
      </c>
      <c r="I15" s="57">
        <v>3338850</v>
      </c>
    </row>
    <row r="16" spans="1:9" ht="18" customHeight="1">
      <c r="A16" s="29" t="s">
        <v>86</v>
      </c>
      <c r="B16" s="30" t="s">
        <v>28</v>
      </c>
      <c r="C16" s="175" t="s">
        <v>36</v>
      </c>
      <c r="D16" s="30" t="s">
        <v>28</v>
      </c>
      <c r="E16" s="30" t="s">
        <v>28</v>
      </c>
      <c r="F16" t="s">
        <v>395</v>
      </c>
      <c r="H16" s="57" t="s">
        <v>326</v>
      </c>
      <c r="I16" s="57">
        <v>3076620</v>
      </c>
    </row>
    <row r="17" spans="1:9" ht="18" customHeight="1">
      <c r="A17" s="29" t="s">
        <v>87</v>
      </c>
      <c r="B17" s="30" t="s">
        <v>28</v>
      </c>
      <c r="C17" s="175" t="s">
        <v>36</v>
      </c>
      <c r="D17" s="30" t="s">
        <v>28</v>
      </c>
      <c r="E17" s="30" t="s">
        <v>28</v>
      </c>
      <c r="F17" t="s">
        <v>396</v>
      </c>
      <c r="H17" s="57" t="s">
        <v>589</v>
      </c>
      <c r="I17" s="57">
        <v>3065677</v>
      </c>
    </row>
    <row r="18" spans="1:9" ht="18" customHeight="1">
      <c r="A18" s="29" t="s">
        <v>88</v>
      </c>
      <c r="B18" s="30" t="s">
        <v>36</v>
      </c>
      <c r="C18" s="175" t="s">
        <v>36</v>
      </c>
      <c r="D18" s="175" t="s">
        <v>33</v>
      </c>
      <c r="E18" s="28" t="s">
        <v>36</v>
      </c>
      <c r="F18" t="s">
        <v>401</v>
      </c>
      <c r="H18" s="57" t="s">
        <v>793</v>
      </c>
      <c r="I18" s="57" t="s">
        <v>784</v>
      </c>
    </row>
    <row r="19" spans="1:9" ht="18" customHeight="1">
      <c r="A19" s="31" t="s">
        <v>89</v>
      </c>
      <c r="B19" s="32" t="s">
        <v>28</v>
      </c>
      <c r="C19" s="175" t="s">
        <v>36</v>
      </c>
      <c r="D19" s="30" t="s">
        <v>28</v>
      </c>
      <c r="E19" s="30" t="s">
        <v>28</v>
      </c>
      <c r="F19" t="s">
        <v>402</v>
      </c>
      <c r="H19" s="57" t="s">
        <v>739</v>
      </c>
      <c r="I19" s="57">
        <v>4114486</v>
      </c>
    </row>
    <row r="20" spans="1:9" ht="18" customHeight="1">
      <c r="A20" s="70" t="s">
        <v>473</v>
      </c>
      <c r="B20" s="32" t="s">
        <v>28</v>
      </c>
      <c r="C20" s="175" t="s">
        <v>36</v>
      </c>
      <c r="D20" s="30" t="s">
        <v>28</v>
      </c>
      <c r="E20" s="30" t="s">
        <v>28</v>
      </c>
      <c r="F20" s="62" t="s">
        <v>398</v>
      </c>
      <c r="H20" s="57" t="s">
        <v>785</v>
      </c>
      <c r="I20" s="57" t="s">
        <v>786</v>
      </c>
    </row>
    <row r="21" spans="1:9" ht="18" customHeight="1">
      <c r="A21" s="27" t="s">
        <v>90</v>
      </c>
      <c r="B21" s="28" t="s">
        <v>33</v>
      </c>
      <c r="C21" s="175" t="s">
        <v>36</v>
      </c>
      <c r="D21" s="175" t="s">
        <v>33</v>
      </c>
      <c r="E21" s="175" t="s">
        <v>33</v>
      </c>
      <c r="F21" t="s">
        <v>403</v>
      </c>
      <c r="H21" s="57" t="s">
        <v>809</v>
      </c>
      <c r="I21" s="57">
        <v>4340739</v>
      </c>
    </row>
    <row r="22" spans="1:9" ht="18" customHeight="1">
      <c r="A22" s="33" t="s">
        <v>91</v>
      </c>
      <c r="B22" s="33" t="s">
        <v>28</v>
      </c>
      <c r="C22" s="175" t="s">
        <v>36</v>
      </c>
      <c r="D22" s="30" t="s">
        <v>28</v>
      </c>
      <c r="E22" s="30" t="s">
        <v>28</v>
      </c>
      <c r="F22" t="s">
        <v>396</v>
      </c>
      <c r="H22" s="57" t="s">
        <v>591</v>
      </c>
      <c r="I22" s="57">
        <v>4443454</v>
      </c>
    </row>
    <row r="23" spans="1:6" ht="18" customHeight="1">
      <c r="A23" s="29" t="s">
        <v>92</v>
      </c>
      <c r="B23" s="30" t="s">
        <v>36</v>
      </c>
      <c r="C23" s="175" t="s">
        <v>36</v>
      </c>
      <c r="D23" s="175" t="s">
        <v>33</v>
      </c>
      <c r="E23" s="28" t="s">
        <v>36</v>
      </c>
      <c r="F23" t="s">
        <v>404</v>
      </c>
    </row>
    <row r="24" spans="1:6" ht="18" customHeight="1">
      <c r="A24" s="29" t="s">
        <v>93</v>
      </c>
      <c r="B24" s="30" t="s">
        <v>36</v>
      </c>
      <c r="C24" s="175" t="s">
        <v>36</v>
      </c>
      <c r="D24" s="175" t="s">
        <v>33</v>
      </c>
      <c r="E24" s="28" t="s">
        <v>36</v>
      </c>
      <c r="F24" t="s">
        <v>392</v>
      </c>
    </row>
    <row r="25" spans="1:6" ht="18" customHeight="1">
      <c r="A25" s="29" t="s">
        <v>94</v>
      </c>
      <c r="B25" s="30" t="s">
        <v>28</v>
      </c>
      <c r="C25" s="175" t="s">
        <v>36</v>
      </c>
      <c r="D25" s="30" t="s">
        <v>28</v>
      </c>
      <c r="E25" s="30" t="s">
        <v>28</v>
      </c>
      <c r="F25" t="s">
        <v>398</v>
      </c>
    </row>
    <row r="26" spans="1:6" ht="18" customHeight="1">
      <c r="A26" s="29" t="s">
        <v>95</v>
      </c>
      <c r="B26" s="30" t="s">
        <v>36</v>
      </c>
      <c r="C26" s="175" t="s">
        <v>36</v>
      </c>
      <c r="D26" s="175" t="s">
        <v>33</v>
      </c>
      <c r="E26" s="28" t="s">
        <v>36</v>
      </c>
      <c r="F26" t="s">
        <v>401</v>
      </c>
    </row>
    <row r="27" spans="1:6" ht="18" customHeight="1">
      <c r="A27" s="29" t="s">
        <v>96</v>
      </c>
      <c r="B27" s="30" t="s">
        <v>28</v>
      </c>
      <c r="C27" s="175" t="s">
        <v>36</v>
      </c>
      <c r="D27" s="30" t="s">
        <v>28</v>
      </c>
      <c r="E27" s="30" t="s">
        <v>28</v>
      </c>
      <c r="F27" t="s">
        <v>396</v>
      </c>
    </row>
    <row r="28" spans="1:6" ht="18" customHeight="1">
      <c r="A28" s="29" t="s">
        <v>97</v>
      </c>
      <c r="B28" s="30" t="s">
        <v>36</v>
      </c>
      <c r="C28" s="175" t="s">
        <v>36</v>
      </c>
      <c r="D28" s="175" t="s">
        <v>33</v>
      </c>
      <c r="E28" s="28" t="s">
        <v>36</v>
      </c>
      <c r="F28" t="s">
        <v>398</v>
      </c>
    </row>
    <row r="29" spans="1:6" ht="18" customHeight="1">
      <c r="A29" s="29" t="s">
        <v>98</v>
      </c>
      <c r="B29" s="30" t="s">
        <v>36</v>
      </c>
      <c r="C29" s="175" t="s">
        <v>36</v>
      </c>
      <c r="D29" s="175" t="s">
        <v>33</v>
      </c>
      <c r="E29" s="28" t="s">
        <v>36</v>
      </c>
      <c r="F29" t="s">
        <v>397</v>
      </c>
    </row>
    <row r="30" spans="1:6" ht="18" customHeight="1">
      <c r="A30" s="29" t="s">
        <v>99</v>
      </c>
      <c r="B30" s="30" t="s">
        <v>28</v>
      </c>
      <c r="C30" s="175" t="s">
        <v>36</v>
      </c>
      <c r="D30" s="30" t="s">
        <v>28</v>
      </c>
      <c r="E30" s="30" t="s">
        <v>28</v>
      </c>
      <c r="F30" t="s">
        <v>405</v>
      </c>
    </row>
    <row r="31" spans="1:6" ht="18" customHeight="1">
      <c r="A31" s="29" t="s">
        <v>100</v>
      </c>
      <c r="B31" s="30" t="s">
        <v>36</v>
      </c>
      <c r="C31" s="175" t="s">
        <v>36</v>
      </c>
      <c r="D31" s="175" t="s">
        <v>33</v>
      </c>
      <c r="E31" s="28" t="s">
        <v>36</v>
      </c>
      <c r="F31" t="s">
        <v>392</v>
      </c>
    </row>
    <row r="32" spans="1:6" ht="18" customHeight="1">
      <c r="A32" s="29" t="s">
        <v>101</v>
      </c>
      <c r="B32" s="30" t="s">
        <v>36</v>
      </c>
      <c r="C32" s="175" t="s">
        <v>36</v>
      </c>
      <c r="D32" s="175" t="s">
        <v>33</v>
      </c>
      <c r="E32" s="28" t="s">
        <v>36</v>
      </c>
      <c r="F32" t="s">
        <v>400</v>
      </c>
    </row>
    <row r="33" spans="1:6" ht="18" customHeight="1">
      <c r="A33" s="29" t="s">
        <v>102</v>
      </c>
      <c r="B33" s="30" t="s">
        <v>36</v>
      </c>
      <c r="C33" s="175" t="s">
        <v>36</v>
      </c>
      <c r="D33" s="175" t="s">
        <v>33</v>
      </c>
      <c r="E33" s="28" t="s">
        <v>36</v>
      </c>
      <c r="F33" t="s">
        <v>404</v>
      </c>
    </row>
    <row r="34" spans="1:6" ht="18" customHeight="1">
      <c r="A34" s="29" t="s">
        <v>103</v>
      </c>
      <c r="B34" s="30" t="s">
        <v>36</v>
      </c>
      <c r="C34" s="175" t="s">
        <v>36</v>
      </c>
      <c r="D34" s="175" t="s">
        <v>33</v>
      </c>
      <c r="E34" s="28" t="s">
        <v>36</v>
      </c>
      <c r="F34" t="s">
        <v>393</v>
      </c>
    </row>
    <row r="35" spans="1:6" ht="18" customHeight="1">
      <c r="A35" s="29" t="s">
        <v>104</v>
      </c>
      <c r="B35" s="30" t="s">
        <v>36</v>
      </c>
      <c r="C35" s="175" t="s">
        <v>36</v>
      </c>
      <c r="D35" s="175" t="s">
        <v>33</v>
      </c>
      <c r="E35" s="28" t="s">
        <v>36</v>
      </c>
      <c r="F35" t="s">
        <v>397</v>
      </c>
    </row>
    <row r="36" spans="1:6" ht="18" customHeight="1">
      <c r="A36" s="29" t="s">
        <v>105</v>
      </c>
      <c r="B36" s="30" t="s">
        <v>36</v>
      </c>
      <c r="C36" s="175" t="s">
        <v>36</v>
      </c>
      <c r="D36" s="175" t="s">
        <v>33</v>
      </c>
      <c r="E36" s="28" t="s">
        <v>36</v>
      </c>
      <c r="F36" t="s">
        <v>400</v>
      </c>
    </row>
    <row r="37" spans="1:6" ht="18" customHeight="1">
      <c r="A37" s="29" t="s">
        <v>106</v>
      </c>
      <c r="B37" s="30" t="s">
        <v>28</v>
      </c>
      <c r="C37" s="175" t="s">
        <v>36</v>
      </c>
      <c r="D37" s="30" t="s">
        <v>28</v>
      </c>
      <c r="E37" s="30" t="s">
        <v>28</v>
      </c>
      <c r="F37" t="s">
        <v>398</v>
      </c>
    </row>
    <row r="38" spans="1:6" ht="18" customHeight="1">
      <c r="A38" s="29" t="s">
        <v>107</v>
      </c>
      <c r="B38" s="30" t="s">
        <v>33</v>
      </c>
      <c r="C38" s="175" t="s">
        <v>36</v>
      </c>
      <c r="D38" s="175" t="s">
        <v>33</v>
      </c>
      <c r="E38" s="175" t="s">
        <v>33</v>
      </c>
      <c r="F38" t="s">
        <v>404</v>
      </c>
    </row>
    <row r="39" spans="1:6" ht="18" customHeight="1">
      <c r="A39" s="29" t="s">
        <v>108</v>
      </c>
      <c r="B39" s="30" t="s">
        <v>33</v>
      </c>
      <c r="C39" s="175" t="s">
        <v>36</v>
      </c>
      <c r="D39" s="175" t="s">
        <v>33</v>
      </c>
      <c r="E39" s="175" t="s">
        <v>36</v>
      </c>
      <c r="F39" t="s">
        <v>393</v>
      </c>
    </row>
    <row r="40" spans="1:6" ht="18" customHeight="1">
      <c r="A40" s="29" t="s">
        <v>109</v>
      </c>
      <c r="B40" s="30" t="s">
        <v>36</v>
      </c>
      <c r="C40" s="175" t="s">
        <v>36</v>
      </c>
      <c r="D40" s="175" t="s">
        <v>33</v>
      </c>
      <c r="E40" s="28" t="s">
        <v>36</v>
      </c>
      <c r="F40" t="s">
        <v>397</v>
      </c>
    </row>
    <row r="41" spans="1:6" ht="18" customHeight="1">
      <c r="A41" s="29" t="s">
        <v>110</v>
      </c>
      <c r="B41" s="30" t="s">
        <v>36</v>
      </c>
      <c r="C41" s="175" t="s">
        <v>36</v>
      </c>
      <c r="D41" s="175" t="s">
        <v>33</v>
      </c>
      <c r="E41" s="28" t="s">
        <v>36</v>
      </c>
      <c r="F41" t="s">
        <v>404</v>
      </c>
    </row>
    <row r="42" spans="1:6" ht="18" customHeight="1">
      <c r="A42" s="33" t="s">
        <v>111</v>
      </c>
      <c r="B42" s="33" t="s">
        <v>36</v>
      </c>
      <c r="C42" s="175" t="s">
        <v>36</v>
      </c>
      <c r="D42" s="175" t="s">
        <v>33</v>
      </c>
      <c r="E42" s="28" t="s">
        <v>36</v>
      </c>
      <c r="F42" t="s">
        <v>397</v>
      </c>
    </row>
    <row r="43" spans="1:6" ht="18" customHeight="1">
      <c r="A43" s="34" t="s">
        <v>112</v>
      </c>
      <c r="B43" s="34" t="s">
        <v>28</v>
      </c>
      <c r="C43" s="175" t="s">
        <v>36</v>
      </c>
      <c r="D43" s="30" t="s">
        <v>28</v>
      </c>
      <c r="E43" s="30" t="s">
        <v>28</v>
      </c>
      <c r="F43" t="s">
        <v>396</v>
      </c>
    </row>
    <row r="44" spans="1:6" ht="18" customHeight="1">
      <c r="A44" s="34" t="s">
        <v>113</v>
      </c>
      <c r="B44" s="34" t="s">
        <v>36</v>
      </c>
      <c r="C44" s="175" t="s">
        <v>36</v>
      </c>
      <c r="D44" s="175" t="s">
        <v>33</v>
      </c>
      <c r="E44" s="28" t="s">
        <v>36</v>
      </c>
      <c r="F44" t="s">
        <v>404</v>
      </c>
    </row>
    <row r="45" spans="1:6" ht="18" customHeight="1">
      <c r="A45" s="34" t="s">
        <v>504</v>
      </c>
      <c r="B45" s="34" t="s">
        <v>36</v>
      </c>
      <c r="C45" s="175" t="s">
        <v>36</v>
      </c>
      <c r="D45" s="175" t="s">
        <v>33</v>
      </c>
      <c r="E45" s="28" t="s">
        <v>36</v>
      </c>
      <c r="F45" t="s">
        <v>397</v>
      </c>
    </row>
    <row r="46" spans="1:6" ht="18" customHeight="1">
      <c r="A46" s="34" t="s">
        <v>114</v>
      </c>
      <c r="B46" s="34" t="s">
        <v>33</v>
      </c>
      <c r="C46" s="175" t="s">
        <v>36</v>
      </c>
      <c r="D46" s="175" t="s">
        <v>33</v>
      </c>
      <c r="E46" s="175" t="s">
        <v>36</v>
      </c>
      <c r="F46" t="s">
        <v>405</v>
      </c>
    </row>
    <row r="47" spans="1:6" ht="18" customHeight="1">
      <c r="A47" s="34" t="s">
        <v>115</v>
      </c>
      <c r="B47" s="34" t="s">
        <v>28</v>
      </c>
      <c r="C47" s="175" t="s">
        <v>36</v>
      </c>
      <c r="D47" s="30" t="s">
        <v>28</v>
      </c>
      <c r="E47" s="30" t="s">
        <v>28</v>
      </c>
      <c r="F47" t="s">
        <v>394</v>
      </c>
    </row>
    <row r="48" spans="1:6" ht="18" customHeight="1">
      <c r="A48" s="34" t="s">
        <v>116</v>
      </c>
      <c r="B48" s="34" t="s">
        <v>28</v>
      </c>
      <c r="C48" s="175" t="s">
        <v>36</v>
      </c>
      <c r="D48" s="30" t="s">
        <v>28</v>
      </c>
      <c r="E48" s="30" t="s">
        <v>28</v>
      </c>
      <c r="F48" t="s">
        <v>397</v>
      </c>
    </row>
    <row r="49" spans="1:6" ht="18" customHeight="1">
      <c r="A49" s="34" t="s">
        <v>117</v>
      </c>
      <c r="B49" s="34" t="s">
        <v>28</v>
      </c>
      <c r="C49" s="175" t="s">
        <v>36</v>
      </c>
      <c r="D49" s="30" t="s">
        <v>28</v>
      </c>
      <c r="E49" s="30" t="s">
        <v>28</v>
      </c>
      <c r="F49" t="s">
        <v>398</v>
      </c>
    </row>
    <row r="50" spans="1:6" ht="18" customHeight="1">
      <c r="A50" s="34" t="s">
        <v>118</v>
      </c>
      <c r="B50" s="34" t="s">
        <v>36</v>
      </c>
      <c r="C50" s="175" t="s">
        <v>36</v>
      </c>
      <c r="D50" s="175" t="s">
        <v>33</v>
      </c>
      <c r="E50" s="28" t="s">
        <v>36</v>
      </c>
      <c r="F50" t="s">
        <v>397</v>
      </c>
    </row>
    <row r="51" spans="1:6" ht="18" customHeight="1">
      <c r="A51" s="34" t="s">
        <v>119</v>
      </c>
      <c r="B51" s="34" t="s">
        <v>36</v>
      </c>
      <c r="C51" s="175" t="s">
        <v>36</v>
      </c>
      <c r="D51" s="175" t="s">
        <v>33</v>
      </c>
      <c r="E51" s="28" t="s">
        <v>36</v>
      </c>
      <c r="F51" t="s">
        <v>397</v>
      </c>
    </row>
    <row r="52" spans="1:6" ht="18" customHeight="1">
      <c r="A52" s="34" t="s">
        <v>558</v>
      </c>
      <c r="B52" s="34" t="s">
        <v>28</v>
      </c>
      <c r="C52" s="175" t="s">
        <v>36</v>
      </c>
      <c r="D52" s="30" t="s">
        <v>28</v>
      </c>
      <c r="E52" s="30" t="s">
        <v>28</v>
      </c>
      <c r="F52" s="62" t="s">
        <v>396</v>
      </c>
    </row>
    <row r="53" spans="1:6" ht="18" customHeight="1">
      <c r="A53" s="34" t="s">
        <v>120</v>
      </c>
      <c r="B53" s="34" t="s">
        <v>33</v>
      </c>
      <c r="C53" s="175" t="s">
        <v>36</v>
      </c>
      <c r="D53" s="175" t="s">
        <v>33</v>
      </c>
      <c r="E53" s="175" t="s">
        <v>33</v>
      </c>
      <c r="F53" t="s">
        <v>400</v>
      </c>
    </row>
    <row r="54" spans="1:6" ht="18" customHeight="1">
      <c r="A54" s="34" t="s">
        <v>121</v>
      </c>
      <c r="B54" s="34" t="s">
        <v>36</v>
      </c>
      <c r="C54" s="175" t="s">
        <v>36</v>
      </c>
      <c r="D54" s="175" t="s">
        <v>33</v>
      </c>
      <c r="E54" s="28" t="s">
        <v>36</v>
      </c>
      <c r="F54" t="s">
        <v>406</v>
      </c>
    </row>
    <row r="55" spans="1:6" ht="18" customHeight="1">
      <c r="A55" s="34" t="s">
        <v>122</v>
      </c>
      <c r="B55" s="34" t="s">
        <v>28</v>
      </c>
      <c r="C55" s="175" t="s">
        <v>36</v>
      </c>
      <c r="D55" s="30" t="s">
        <v>28</v>
      </c>
      <c r="E55" s="30" t="s">
        <v>28</v>
      </c>
      <c r="F55" t="s">
        <v>404</v>
      </c>
    </row>
    <row r="56" spans="1:6" ht="18" customHeight="1">
      <c r="A56" s="34" t="s">
        <v>123</v>
      </c>
      <c r="B56" s="34" t="s">
        <v>28</v>
      </c>
      <c r="C56" s="175" t="s">
        <v>36</v>
      </c>
      <c r="D56" s="30" t="s">
        <v>28</v>
      </c>
      <c r="E56" s="30" t="s">
        <v>28</v>
      </c>
      <c r="F56" t="s">
        <v>395</v>
      </c>
    </row>
    <row r="57" spans="1:6" ht="18" customHeight="1">
      <c r="A57" s="34" t="s">
        <v>124</v>
      </c>
      <c r="B57" s="34" t="s">
        <v>36</v>
      </c>
      <c r="C57" s="175" t="s">
        <v>36</v>
      </c>
      <c r="D57" s="175" t="s">
        <v>33</v>
      </c>
      <c r="E57" s="28" t="s">
        <v>36</v>
      </c>
      <c r="F57" t="s">
        <v>400</v>
      </c>
    </row>
    <row r="58" spans="1:6" ht="18" customHeight="1">
      <c r="A58" s="34" t="s">
        <v>125</v>
      </c>
      <c r="B58" s="34" t="s">
        <v>36</v>
      </c>
      <c r="C58" s="175" t="s">
        <v>36</v>
      </c>
      <c r="D58" s="175" t="s">
        <v>33</v>
      </c>
      <c r="E58" s="28" t="s">
        <v>36</v>
      </c>
      <c r="F58" t="s">
        <v>397</v>
      </c>
    </row>
    <row r="59" spans="1:6" ht="18" customHeight="1">
      <c r="A59" s="34" t="s">
        <v>126</v>
      </c>
      <c r="B59" s="34" t="s">
        <v>36</v>
      </c>
      <c r="C59" s="175" t="s">
        <v>36</v>
      </c>
      <c r="D59" s="175" t="s">
        <v>33</v>
      </c>
      <c r="E59" s="28" t="s">
        <v>36</v>
      </c>
      <c r="F59" t="s">
        <v>397</v>
      </c>
    </row>
    <row r="60" spans="1:6" ht="18" customHeight="1">
      <c r="A60" s="34" t="s">
        <v>127</v>
      </c>
      <c r="B60" s="34" t="s">
        <v>36</v>
      </c>
      <c r="C60" s="175" t="s">
        <v>36</v>
      </c>
      <c r="D60" s="175" t="s">
        <v>33</v>
      </c>
      <c r="E60" s="28" t="s">
        <v>36</v>
      </c>
      <c r="F60" t="s">
        <v>397</v>
      </c>
    </row>
    <row r="61" spans="1:6" ht="18" customHeight="1">
      <c r="A61" s="34" t="s">
        <v>128</v>
      </c>
      <c r="B61" s="34" t="s">
        <v>28</v>
      </c>
      <c r="C61" s="175" t="s">
        <v>36</v>
      </c>
      <c r="D61" s="30" t="s">
        <v>28</v>
      </c>
      <c r="E61" s="30" t="s">
        <v>28</v>
      </c>
      <c r="F61" t="s">
        <v>395</v>
      </c>
    </row>
    <row r="62" spans="1:6" ht="18" customHeight="1">
      <c r="A62" s="34" t="s">
        <v>129</v>
      </c>
      <c r="B62" s="34" t="s">
        <v>28</v>
      </c>
      <c r="C62" s="175" t="s">
        <v>36</v>
      </c>
      <c r="D62" s="30" t="s">
        <v>28</v>
      </c>
      <c r="E62" s="30" t="s">
        <v>28</v>
      </c>
      <c r="F62" t="s">
        <v>396</v>
      </c>
    </row>
    <row r="63" spans="1:6" ht="18" customHeight="1">
      <c r="A63" s="34" t="s">
        <v>130</v>
      </c>
      <c r="B63" s="34" t="s">
        <v>36</v>
      </c>
      <c r="C63" s="175" t="s">
        <v>36</v>
      </c>
      <c r="D63" s="175" t="s">
        <v>33</v>
      </c>
      <c r="E63" s="28" t="s">
        <v>36</v>
      </c>
      <c r="F63" t="s">
        <v>398</v>
      </c>
    </row>
    <row r="64" spans="1:6" ht="18" customHeight="1">
      <c r="A64" s="34" t="s">
        <v>131</v>
      </c>
      <c r="B64" s="34" t="s">
        <v>36</v>
      </c>
      <c r="C64" s="175" t="s">
        <v>36</v>
      </c>
      <c r="D64" s="175" t="s">
        <v>33</v>
      </c>
      <c r="E64" s="28" t="s">
        <v>36</v>
      </c>
      <c r="F64" t="s">
        <v>397</v>
      </c>
    </row>
    <row r="65" spans="1:6" ht="18" customHeight="1">
      <c r="A65" s="34" t="s">
        <v>132</v>
      </c>
      <c r="B65" s="34" t="s">
        <v>33</v>
      </c>
      <c r="C65" s="175" t="s">
        <v>36</v>
      </c>
      <c r="D65" s="175" t="s">
        <v>33</v>
      </c>
      <c r="E65" s="28" t="s">
        <v>36</v>
      </c>
      <c r="F65" t="s">
        <v>393</v>
      </c>
    </row>
    <row r="66" spans="1:6" ht="18" customHeight="1">
      <c r="A66" s="34" t="s">
        <v>133</v>
      </c>
      <c r="B66" s="34" t="s">
        <v>36</v>
      </c>
      <c r="C66" s="175" t="s">
        <v>36</v>
      </c>
      <c r="D66" s="175" t="s">
        <v>33</v>
      </c>
      <c r="E66" s="28" t="s">
        <v>36</v>
      </c>
      <c r="F66" t="s">
        <v>398</v>
      </c>
    </row>
    <row r="67" spans="1:6" ht="18" customHeight="1">
      <c r="A67" s="34" t="s">
        <v>134</v>
      </c>
      <c r="B67" s="34" t="s">
        <v>28</v>
      </c>
      <c r="C67" s="175" t="s">
        <v>36</v>
      </c>
      <c r="D67" s="30" t="s">
        <v>28</v>
      </c>
      <c r="E67" s="30" t="s">
        <v>28</v>
      </c>
      <c r="F67" t="s">
        <v>396</v>
      </c>
    </row>
    <row r="68" spans="1:6" ht="18" customHeight="1">
      <c r="A68" s="34" t="s">
        <v>135</v>
      </c>
      <c r="B68" s="34" t="s">
        <v>28</v>
      </c>
      <c r="C68" s="175" t="s">
        <v>36</v>
      </c>
      <c r="D68" s="30" t="s">
        <v>28</v>
      </c>
      <c r="E68" s="30" t="s">
        <v>28</v>
      </c>
      <c r="F68" t="s">
        <v>393</v>
      </c>
    </row>
    <row r="69" spans="1:6" ht="24.75" customHeight="1">
      <c r="A69" s="34" t="s">
        <v>505</v>
      </c>
      <c r="B69" s="34" t="s">
        <v>33</v>
      </c>
      <c r="C69" s="175" t="s">
        <v>36</v>
      </c>
      <c r="D69" s="175" t="s">
        <v>33</v>
      </c>
      <c r="E69" s="175" t="s">
        <v>36</v>
      </c>
      <c r="F69" t="s">
        <v>393</v>
      </c>
    </row>
    <row r="70" spans="1:6" ht="27" customHeight="1">
      <c r="A70" s="34" t="s">
        <v>136</v>
      </c>
      <c r="B70" s="34" t="s">
        <v>36</v>
      </c>
      <c r="C70" s="175" t="s">
        <v>36</v>
      </c>
      <c r="D70" s="175" t="s">
        <v>33</v>
      </c>
      <c r="E70" s="28" t="s">
        <v>36</v>
      </c>
      <c r="F70" t="s">
        <v>397</v>
      </c>
    </row>
    <row r="71" spans="1:6" ht="18" customHeight="1">
      <c r="A71" s="34" t="s">
        <v>137</v>
      </c>
      <c r="B71" s="34" t="s">
        <v>28</v>
      </c>
      <c r="C71" s="175" t="s">
        <v>36</v>
      </c>
      <c r="D71" s="30" t="s">
        <v>28</v>
      </c>
      <c r="E71" s="30" t="s">
        <v>28</v>
      </c>
      <c r="F71" t="s">
        <v>396</v>
      </c>
    </row>
    <row r="72" spans="1:6" ht="18" customHeight="1">
      <c r="A72" s="34" t="s">
        <v>138</v>
      </c>
      <c r="B72" s="34" t="s">
        <v>36</v>
      </c>
      <c r="C72" s="175" t="s">
        <v>36</v>
      </c>
      <c r="D72" s="175" t="s">
        <v>33</v>
      </c>
      <c r="E72" s="28" t="s">
        <v>36</v>
      </c>
      <c r="F72" t="s">
        <v>397</v>
      </c>
    </row>
    <row r="73" spans="1:6" ht="18" customHeight="1">
      <c r="A73" s="34" t="s">
        <v>139</v>
      </c>
      <c r="B73" s="34" t="s">
        <v>28</v>
      </c>
      <c r="C73" s="175" t="s">
        <v>36</v>
      </c>
      <c r="D73" s="30" t="s">
        <v>28</v>
      </c>
      <c r="E73" s="30" t="s">
        <v>28</v>
      </c>
      <c r="F73" t="s">
        <v>398</v>
      </c>
    </row>
    <row r="74" spans="1:6" ht="18" customHeight="1">
      <c r="A74" s="34" t="s">
        <v>140</v>
      </c>
      <c r="B74" s="34" t="s">
        <v>36</v>
      </c>
      <c r="C74" s="175" t="s">
        <v>36</v>
      </c>
      <c r="D74" s="175" t="s">
        <v>33</v>
      </c>
      <c r="E74" s="28" t="s">
        <v>36</v>
      </c>
      <c r="F74" t="s">
        <v>398</v>
      </c>
    </row>
    <row r="75" spans="1:6" ht="18" customHeight="1">
      <c r="A75" s="34" t="s">
        <v>141</v>
      </c>
      <c r="B75" s="34" t="s">
        <v>36</v>
      </c>
      <c r="C75" s="175" t="s">
        <v>36</v>
      </c>
      <c r="D75" s="175" t="s">
        <v>33</v>
      </c>
      <c r="E75" s="175" t="s">
        <v>36</v>
      </c>
      <c r="F75" t="s">
        <v>404</v>
      </c>
    </row>
    <row r="76" spans="1:6" ht="18" customHeight="1">
      <c r="A76" s="34" t="s">
        <v>142</v>
      </c>
      <c r="B76" s="34" t="s">
        <v>28</v>
      </c>
      <c r="C76" s="175" t="s">
        <v>36</v>
      </c>
      <c r="D76" s="30" t="s">
        <v>28</v>
      </c>
      <c r="E76" s="30" t="s">
        <v>28</v>
      </c>
      <c r="F76" t="s">
        <v>395</v>
      </c>
    </row>
    <row r="77" spans="1:6" ht="18" customHeight="1">
      <c r="A77" s="34" t="s">
        <v>143</v>
      </c>
      <c r="B77" s="34" t="s">
        <v>36</v>
      </c>
      <c r="C77" s="175" t="s">
        <v>36</v>
      </c>
      <c r="D77" s="175" t="s">
        <v>33</v>
      </c>
      <c r="E77" s="28" t="s">
        <v>36</v>
      </c>
      <c r="F77" t="s">
        <v>400</v>
      </c>
    </row>
    <row r="78" spans="1:6" ht="18" customHeight="1">
      <c r="A78" s="34" t="s">
        <v>144</v>
      </c>
      <c r="B78" s="34" t="s">
        <v>36</v>
      </c>
      <c r="C78" s="175" t="s">
        <v>36</v>
      </c>
      <c r="D78" s="175" t="s">
        <v>33</v>
      </c>
      <c r="E78" s="28" t="s">
        <v>36</v>
      </c>
      <c r="F78" t="s">
        <v>394</v>
      </c>
    </row>
    <row r="79" spans="1:6" ht="18" customHeight="1">
      <c r="A79" s="34" t="s">
        <v>145</v>
      </c>
      <c r="B79" s="34" t="s">
        <v>36</v>
      </c>
      <c r="C79" s="175" t="s">
        <v>36</v>
      </c>
      <c r="D79" s="175" t="s">
        <v>33</v>
      </c>
      <c r="E79" s="28" t="s">
        <v>36</v>
      </c>
      <c r="F79" t="s">
        <v>398</v>
      </c>
    </row>
    <row r="80" spans="1:6" ht="18" customHeight="1">
      <c r="A80" s="34" t="s">
        <v>146</v>
      </c>
      <c r="B80" s="34" t="s">
        <v>36</v>
      </c>
      <c r="C80" s="175" t="s">
        <v>36</v>
      </c>
      <c r="D80" s="175" t="s">
        <v>33</v>
      </c>
      <c r="E80" s="28" t="s">
        <v>36</v>
      </c>
      <c r="F80" t="s">
        <v>397</v>
      </c>
    </row>
    <row r="81" spans="1:6" ht="18" customHeight="1">
      <c r="A81" s="34" t="s">
        <v>147</v>
      </c>
      <c r="B81" s="34" t="s">
        <v>36</v>
      </c>
      <c r="C81" s="175" t="s">
        <v>36</v>
      </c>
      <c r="D81" s="175" t="s">
        <v>33</v>
      </c>
      <c r="E81" s="28" t="s">
        <v>36</v>
      </c>
      <c r="F81" t="s">
        <v>397</v>
      </c>
    </row>
    <row r="82" spans="1:6" ht="18" customHeight="1">
      <c r="A82" s="34" t="s">
        <v>148</v>
      </c>
      <c r="B82" s="34" t="s">
        <v>28</v>
      </c>
      <c r="C82" s="175" t="s">
        <v>36</v>
      </c>
      <c r="D82" s="30" t="s">
        <v>28</v>
      </c>
      <c r="E82" s="30" t="s">
        <v>28</v>
      </c>
      <c r="F82" t="s">
        <v>401</v>
      </c>
    </row>
    <row r="83" spans="1:6" ht="18" customHeight="1">
      <c r="A83" s="34" t="s">
        <v>149</v>
      </c>
      <c r="B83" s="34" t="s">
        <v>36</v>
      </c>
      <c r="C83" s="175" t="s">
        <v>36</v>
      </c>
      <c r="D83" s="175" t="s">
        <v>33</v>
      </c>
      <c r="E83" s="28" t="s">
        <v>36</v>
      </c>
      <c r="F83" t="s">
        <v>397</v>
      </c>
    </row>
    <row r="84" spans="1:6" ht="18" customHeight="1">
      <c r="A84" s="34" t="s">
        <v>150</v>
      </c>
      <c r="B84" s="34" t="s">
        <v>28</v>
      </c>
      <c r="C84" s="175" t="s">
        <v>36</v>
      </c>
      <c r="D84" s="30" t="s">
        <v>28</v>
      </c>
      <c r="E84" s="30" t="s">
        <v>28</v>
      </c>
      <c r="F84" t="s">
        <v>396</v>
      </c>
    </row>
    <row r="85" spans="1:6" ht="18" customHeight="1">
      <c r="A85" s="34" t="s">
        <v>151</v>
      </c>
      <c r="B85" s="34" t="s">
        <v>28</v>
      </c>
      <c r="C85" s="175" t="s">
        <v>36</v>
      </c>
      <c r="D85" s="30" t="s">
        <v>28</v>
      </c>
      <c r="E85" s="30" t="s">
        <v>28</v>
      </c>
      <c r="F85" t="s">
        <v>400</v>
      </c>
    </row>
    <row r="86" spans="1:6" ht="18" customHeight="1">
      <c r="A86" s="34" t="s">
        <v>152</v>
      </c>
      <c r="B86" s="34" t="s">
        <v>28</v>
      </c>
      <c r="C86" s="175" t="s">
        <v>36</v>
      </c>
      <c r="D86" s="30" t="s">
        <v>28</v>
      </c>
      <c r="E86" s="30" t="s">
        <v>28</v>
      </c>
      <c r="F86" t="s">
        <v>395</v>
      </c>
    </row>
    <row r="87" spans="1:6" ht="18" customHeight="1">
      <c r="A87" s="34" t="s">
        <v>153</v>
      </c>
      <c r="B87" s="34" t="s">
        <v>28</v>
      </c>
      <c r="C87" s="175" t="s">
        <v>36</v>
      </c>
      <c r="D87" s="30" t="s">
        <v>28</v>
      </c>
      <c r="E87" s="30" t="s">
        <v>28</v>
      </c>
      <c r="F87" t="s">
        <v>396</v>
      </c>
    </row>
    <row r="88" spans="1:6" ht="18" customHeight="1">
      <c r="A88" s="34" t="s">
        <v>154</v>
      </c>
      <c r="B88" s="34" t="s">
        <v>28</v>
      </c>
      <c r="C88" s="175" t="s">
        <v>36</v>
      </c>
      <c r="D88" s="30" t="s">
        <v>28</v>
      </c>
      <c r="E88" s="30" t="s">
        <v>28</v>
      </c>
      <c r="F88" t="s">
        <v>396</v>
      </c>
    </row>
    <row r="89" spans="1:6" ht="18" customHeight="1">
      <c r="A89" s="34" t="s">
        <v>155</v>
      </c>
      <c r="B89" s="62" t="s">
        <v>28</v>
      </c>
      <c r="C89" s="175" t="s">
        <v>36</v>
      </c>
      <c r="D89" s="30" t="s">
        <v>28</v>
      </c>
      <c r="E89" s="30" t="s">
        <v>28</v>
      </c>
      <c r="F89" t="s">
        <v>396</v>
      </c>
    </row>
    <row r="90" spans="1:6" ht="18" customHeight="1">
      <c r="A90" s="34" t="s">
        <v>156</v>
      </c>
      <c r="B90" s="34" t="s">
        <v>36</v>
      </c>
      <c r="C90" s="175" t="s">
        <v>36</v>
      </c>
      <c r="D90" s="175" t="s">
        <v>33</v>
      </c>
      <c r="E90" s="175" t="s">
        <v>36</v>
      </c>
      <c r="F90" t="s">
        <v>400</v>
      </c>
    </row>
    <row r="91" spans="1:6" ht="18" customHeight="1">
      <c r="A91" s="34" t="s">
        <v>157</v>
      </c>
      <c r="B91" s="34" t="s">
        <v>28</v>
      </c>
      <c r="C91" s="175" t="s">
        <v>36</v>
      </c>
      <c r="D91" s="30" t="s">
        <v>28</v>
      </c>
      <c r="E91" s="30" t="s">
        <v>28</v>
      </c>
      <c r="F91" t="s">
        <v>395</v>
      </c>
    </row>
    <row r="92" spans="1:6" ht="18" customHeight="1">
      <c r="A92" s="34" t="s">
        <v>158</v>
      </c>
      <c r="B92" s="34" t="s">
        <v>36</v>
      </c>
      <c r="C92" s="175" t="s">
        <v>36</v>
      </c>
      <c r="D92" s="175" t="s">
        <v>33</v>
      </c>
      <c r="E92" s="28" t="s">
        <v>36</v>
      </c>
      <c r="F92" t="s">
        <v>397</v>
      </c>
    </row>
    <row r="93" spans="1:6" ht="18" customHeight="1">
      <c r="A93" s="34" t="s">
        <v>159</v>
      </c>
      <c r="B93" s="34" t="s">
        <v>28</v>
      </c>
      <c r="C93" s="175" t="s">
        <v>36</v>
      </c>
      <c r="D93" s="30" t="s">
        <v>28</v>
      </c>
      <c r="E93" s="30" t="s">
        <v>28</v>
      </c>
      <c r="F93" t="s">
        <v>400</v>
      </c>
    </row>
    <row r="94" spans="1:6" ht="18" customHeight="1">
      <c r="A94" s="34" t="s">
        <v>160</v>
      </c>
      <c r="B94" s="34" t="s">
        <v>36</v>
      </c>
      <c r="C94" s="175" t="s">
        <v>36</v>
      </c>
      <c r="D94" s="175" t="s">
        <v>33</v>
      </c>
      <c r="E94" s="28" t="s">
        <v>36</v>
      </c>
      <c r="F94" t="s">
        <v>397</v>
      </c>
    </row>
    <row r="95" spans="1:6" ht="18" customHeight="1">
      <c r="A95" s="34" t="s">
        <v>161</v>
      </c>
      <c r="B95" s="34" t="s">
        <v>36</v>
      </c>
      <c r="C95" s="175" t="s">
        <v>36</v>
      </c>
      <c r="D95" s="175" t="s">
        <v>33</v>
      </c>
      <c r="E95" s="28" t="s">
        <v>36</v>
      </c>
      <c r="F95" t="s">
        <v>401</v>
      </c>
    </row>
    <row r="96" spans="1:6" ht="18" customHeight="1">
      <c r="A96" s="34" t="s">
        <v>162</v>
      </c>
      <c r="B96" s="34" t="s">
        <v>28</v>
      </c>
      <c r="C96" s="175" t="s">
        <v>36</v>
      </c>
      <c r="D96" s="30" t="s">
        <v>28</v>
      </c>
      <c r="E96" s="30" t="s">
        <v>28</v>
      </c>
      <c r="F96" t="s">
        <v>396</v>
      </c>
    </row>
    <row r="97" spans="1:6" ht="18" customHeight="1">
      <c r="A97" s="34" t="s">
        <v>163</v>
      </c>
      <c r="B97" s="34" t="s">
        <v>36</v>
      </c>
      <c r="C97" s="175" t="s">
        <v>36</v>
      </c>
      <c r="D97" s="175" t="s">
        <v>33</v>
      </c>
      <c r="E97" s="28" t="s">
        <v>36</v>
      </c>
      <c r="F97" t="s">
        <v>397</v>
      </c>
    </row>
    <row r="98" spans="1:6" ht="18" customHeight="1">
      <c r="A98" s="34" t="s">
        <v>164</v>
      </c>
      <c r="B98" s="34" t="s">
        <v>28</v>
      </c>
      <c r="C98" s="175" t="s">
        <v>36</v>
      </c>
      <c r="D98" s="30" t="s">
        <v>28</v>
      </c>
      <c r="E98" s="30" t="s">
        <v>28</v>
      </c>
      <c r="F98" t="s">
        <v>396</v>
      </c>
    </row>
    <row r="99" spans="1:6" ht="18" customHeight="1">
      <c r="A99" s="62" t="s">
        <v>544</v>
      </c>
      <c r="B99" s="34" t="s">
        <v>28</v>
      </c>
      <c r="C99" s="175" t="s">
        <v>36</v>
      </c>
      <c r="D99" s="30" t="s">
        <v>28</v>
      </c>
      <c r="E99" s="30" t="s">
        <v>28</v>
      </c>
      <c r="F99" t="s">
        <v>396</v>
      </c>
    </row>
    <row r="100" spans="1:6" ht="18" customHeight="1">
      <c r="A100" s="34" t="s">
        <v>165</v>
      </c>
      <c r="B100" s="34" t="s">
        <v>36</v>
      </c>
      <c r="C100" s="175" t="s">
        <v>36</v>
      </c>
      <c r="D100" s="175" t="s">
        <v>33</v>
      </c>
      <c r="E100" s="28" t="s">
        <v>36</v>
      </c>
      <c r="F100" t="s">
        <v>396</v>
      </c>
    </row>
    <row r="101" spans="1:6" ht="18" customHeight="1">
      <c r="A101" s="34" t="s">
        <v>166</v>
      </c>
      <c r="B101" s="34" t="s">
        <v>33</v>
      </c>
      <c r="C101" s="175" t="s">
        <v>36</v>
      </c>
      <c r="D101" s="175" t="s">
        <v>33</v>
      </c>
      <c r="E101" s="175" t="s">
        <v>33</v>
      </c>
      <c r="F101" t="s">
        <v>398</v>
      </c>
    </row>
    <row r="102" spans="1:6" ht="18" customHeight="1">
      <c r="A102" s="34" t="s">
        <v>167</v>
      </c>
      <c r="B102" s="34" t="s">
        <v>28</v>
      </c>
      <c r="C102" s="175" t="s">
        <v>36</v>
      </c>
      <c r="D102" s="30" t="s">
        <v>28</v>
      </c>
      <c r="E102" s="30" t="s">
        <v>28</v>
      </c>
      <c r="F102" t="s">
        <v>398</v>
      </c>
    </row>
    <row r="103" spans="1:6" ht="18" customHeight="1">
      <c r="A103" s="34" t="s">
        <v>168</v>
      </c>
      <c r="B103" s="34" t="s">
        <v>28</v>
      </c>
      <c r="C103" s="175" t="s">
        <v>36</v>
      </c>
      <c r="D103" s="30" t="s">
        <v>28</v>
      </c>
      <c r="E103" s="30" t="s">
        <v>28</v>
      </c>
      <c r="F103" t="s">
        <v>404</v>
      </c>
    </row>
    <row r="104" spans="1:6" ht="18" customHeight="1">
      <c r="A104" s="34" t="s">
        <v>169</v>
      </c>
      <c r="B104" s="34" t="s">
        <v>36</v>
      </c>
      <c r="C104" s="175" t="s">
        <v>36</v>
      </c>
      <c r="D104" s="175" t="s">
        <v>33</v>
      </c>
      <c r="E104" s="28" t="s">
        <v>36</v>
      </c>
      <c r="F104" t="s">
        <v>398</v>
      </c>
    </row>
    <row r="105" spans="1:6" ht="18" customHeight="1">
      <c r="A105" s="34" t="s">
        <v>170</v>
      </c>
      <c r="B105" s="34" t="s">
        <v>36</v>
      </c>
      <c r="C105" s="175" t="s">
        <v>36</v>
      </c>
      <c r="D105" s="175" t="s">
        <v>33</v>
      </c>
      <c r="E105" s="28" t="s">
        <v>36</v>
      </c>
      <c r="F105" t="s">
        <v>397</v>
      </c>
    </row>
    <row r="106" spans="1:6" ht="18" customHeight="1">
      <c r="A106" s="34" t="s">
        <v>171</v>
      </c>
      <c r="B106" s="34" t="s">
        <v>36</v>
      </c>
      <c r="C106" s="175" t="s">
        <v>36</v>
      </c>
      <c r="D106" s="175" t="s">
        <v>33</v>
      </c>
      <c r="E106" s="28" t="s">
        <v>36</v>
      </c>
      <c r="F106" t="s">
        <v>397</v>
      </c>
    </row>
    <row r="107" spans="1:6" ht="18" customHeight="1">
      <c r="A107" s="34" t="s">
        <v>172</v>
      </c>
      <c r="B107" s="34" t="s">
        <v>36</v>
      </c>
      <c r="C107" s="175" t="s">
        <v>36</v>
      </c>
      <c r="D107" s="175" t="s">
        <v>33</v>
      </c>
      <c r="E107" s="28" t="s">
        <v>36</v>
      </c>
      <c r="F107" t="s">
        <v>400</v>
      </c>
    </row>
    <row r="108" spans="1:6" ht="18" customHeight="1">
      <c r="A108" s="34" t="s">
        <v>173</v>
      </c>
      <c r="B108" s="34" t="s">
        <v>36</v>
      </c>
      <c r="C108" s="175" t="s">
        <v>36</v>
      </c>
      <c r="D108" s="175" t="s">
        <v>33</v>
      </c>
      <c r="E108" s="28" t="s">
        <v>36</v>
      </c>
      <c r="F108" t="s">
        <v>398</v>
      </c>
    </row>
    <row r="109" spans="1:6" ht="18" customHeight="1">
      <c r="A109" s="34" t="s">
        <v>174</v>
      </c>
      <c r="B109" s="34" t="s">
        <v>28</v>
      </c>
      <c r="C109" s="175" t="s">
        <v>36</v>
      </c>
      <c r="D109" s="30" t="s">
        <v>28</v>
      </c>
      <c r="E109" s="30" t="s">
        <v>28</v>
      </c>
      <c r="F109" t="s">
        <v>395</v>
      </c>
    </row>
    <row r="110" spans="1:6" ht="18" customHeight="1">
      <c r="A110" s="34" t="s">
        <v>175</v>
      </c>
      <c r="B110" s="34" t="s">
        <v>36</v>
      </c>
      <c r="C110" s="175" t="s">
        <v>36</v>
      </c>
      <c r="D110" s="175" t="s">
        <v>33</v>
      </c>
      <c r="E110" s="28" t="s">
        <v>36</v>
      </c>
      <c r="F110" t="s">
        <v>398</v>
      </c>
    </row>
    <row r="111" spans="1:6" ht="18" customHeight="1">
      <c r="A111" s="34" t="s">
        <v>176</v>
      </c>
      <c r="B111" s="34" t="s">
        <v>33</v>
      </c>
      <c r="C111" s="175" t="s">
        <v>36</v>
      </c>
      <c r="D111" s="175" t="s">
        <v>33</v>
      </c>
      <c r="E111" s="175" t="s">
        <v>33</v>
      </c>
      <c r="F111" t="s">
        <v>406</v>
      </c>
    </row>
    <row r="112" spans="1:6" ht="18" customHeight="1">
      <c r="A112" s="34" t="s">
        <v>177</v>
      </c>
      <c r="B112" s="34" t="s">
        <v>33</v>
      </c>
      <c r="C112" s="175" t="s">
        <v>36</v>
      </c>
      <c r="D112" s="175" t="s">
        <v>33</v>
      </c>
      <c r="E112" s="175" t="s">
        <v>36</v>
      </c>
      <c r="F112" t="s">
        <v>393</v>
      </c>
    </row>
    <row r="113" spans="1:6" ht="18" customHeight="1">
      <c r="A113" s="34" t="s">
        <v>178</v>
      </c>
      <c r="B113" s="34" t="s">
        <v>28</v>
      </c>
      <c r="C113" s="175" t="s">
        <v>36</v>
      </c>
      <c r="D113" s="30" t="s">
        <v>28</v>
      </c>
      <c r="E113" s="30" t="s">
        <v>28</v>
      </c>
      <c r="F113" t="s">
        <v>396</v>
      </c>
    </row>
    <row r="114" spans="1:6" ht="18" customHeight="1">
      <c r="A114" s="34" t="s">
        <v>179</v>
      </c>
      <c r="B114" s="34" t="s">
        <v>28</v>
      </c>
      <c r="C114" s="175" t="s">
        <v>36</v>
      </c>
      <c r="D114" s="30" t="s">
        <v>28</v>
      </c>
      <c r="E114" s="30" t="s">
        <v>28</v>
      </c>
      <c r="F114" t="s">
        <v>396</v>
      </c>
    </row>
    <row r="115" spans="1:6" ht="18" customHeight="1">
      <c r="A115" s="34" t="s">
        <v>180</v>
      </c>
      <c r="B115" s="34" t="s">
        <v>36</v>
      </c>
      <c r="C115" s="175" t="s">
        <v>36</v>
      </c>
      <c r="D115" s="175" t="s">
        <v>33</v>
      </c>
      <c r="E115" s="28" t="s">
        <v>36</v>
      </c>
      <c r="F115" t="s">
        <v>392</v>
      </c>
    </row>
    <row r="116" spans="1:6" ht="18" customHeight="1">
      <c r="A116" s="34" t="s">
        <v>181</v>
      </c>
      <c r="B116" s="34" t="s">
        <v>36</v>
      </c>
      <c r="C116" s="175" t="s">
        <v>36</v>
      </c>
      <c r="D116" s="175" t="s">
        <v>33</v>
      </c>
      <c r="E116" s="28" t="s">
        <v>36</v>
      </c>
      <c r="F116" t="s">
        <v>404</v>
      </c>
    </row>
    <row r="117" spans="1:6" ht="18" customHeight="1">
      <c r="A117" s="34" t="s">
        <v>182</v>
      </c>
      <c r="B117" s="34" t="s">
        <v>36</v>
      </c>
      <c r="C117" s="175" t="s">
        <v>36</v>
      </c>
      <c r="D117" s="175" t="s">
        <v>33</v>
      </c>
      <c r="E117" s="28" t="s">
        <v>36</v>
      </c>
      <c r="F117" t="s">
        <v>403</v>
      </c>
    </row>
    <row r="118" spans="1:6" ht="18" customHeight="1">
      <c r="A118" s="34" t="s">
        <v>183</v>
      </c>
      <c r="B118" s="34" t="s">
        <v>36</v>
      </c>
      <c r="C118" s="175" t="s">
        <v>36</v>
      </c>
      <c r="D118" s="175" t="s">
        <v>33</v>
      </c>
      <c r="E118" s="28" t="s">
        <v>36</v>
      </c>
      <c r="F118" t="s">
        <v>403</v>
      </c>
    </row>
    <row r="119" spans="1:6" ht="18" customHeight="1">
      <c r="A119" s="34" t="s">
        <v>184</v>
      </c>
      <c r="B119" s="34" t="s">
        <v>28</v>
      </c>
      <c r="C119" s="175" t="s">
        <v>33</v>
      </c>
      <c r="D119" s="30" t="s">
        <v>28</v>
      </c>
      <c r="E119" s="30" t="s">
        <v>28</v>
      </c>
      <c r="F119" t="s">
        <v>396</v>
      </c>
    </row>
    <row r="120" spans="1:6" ht="18" customHeight="1">
      <c r="A120" s="34" t="s">
        <v>559</v>
      </c>
      <c r="B120" s="34" t="s">
        <v>28</v>
      </c>
      <c r="C120" s="175" t="s">
        <v>33</v>
      </c>
      <c r="D120" s="30" t="s">
        <v>28</v>
      </c>
      <c r="E120" s="30" t="s">
        <v>28</v>
      </c>
      <c r="F120" s="62" t="s">
        <v>396</v>
      </c>
    </row>
    <row r="121" spans="1:6" ht="18" customHeight="1">
      <c r="A121" s="34" t="s">
        <v>185</v>
      </c>
      <c r="B121" s="34" t="s">
        <v>36</v>
      </c>
      <c r="C121" s="175" t="s">
        <v>36</v>
      </c>
      <c r="D121" s="175" t="s">
        <v>33</v>
      </c>
      <c r="E121" s="28" t="s">
        <v>36</v>
      </c>
      <c r="F121" t="s">
        <v>403</v>
      </c>
    </row>
    <row r="122" spans="1:6" ht="18" customHeight="1">
      <c r="A122" s="34" t="s">
        <v>690</v>
      </c>
      <c r="B122" s="34" t="s">
        <v>28</v>
      </c>
      <c r="C122" s="175" t="s">
        <v>36</v>
      </c>
      <c r="D122" s="30" t="s">
        <v>28</v>
      </c>
      <c r="E122" s="30" t="s">
        <v>28</v>
      </c>
      <c r="F122" t="s">
        <v>396</v>
      </c>
    </row>
    <row r="123" spans="1:6" ht="18" customHeight="1">
      <c r="A123" s="34" t="s">
        <v>186</v>
      </c>
      <c r="B123" s="34" t="s">
        <v>28</v>
      </c>
      <c r="C123" s="175" t="s">
        <v>36</v>
      </c>
      <c r="D123" s="30" t="s">
        <v>28</v>
      </c>
      <c r="E123" s="30" t="s">
        <v>28</v>
      </c>
      <c r="F123" t="s">
        <v>398</v>
      </c>
    </row>
    <row r="124" spans="1:6" ht="18" customHeight="1">
      <c r="A124" s="34" t="s">
        <v>187</v>
      </c>
      <c r="B124" s="34" t="s">
        <v>36</v>
      </c>
      <c r="C124" s="175" t="s">
        <v>36</v>
      </c>
      <c r="D124" s="175" t="s">
        <v>33</v>
      </c>
      <c r="E124" s="175" t="s">
        <v>36</v>
      </c>
      <c r="F124" t="s">
        <v>396</v>
      </c>
    </row>
    <row r="125" spans="1:6" ht="18" customHeight="1">
      <c r="A125" s="34" t="s">
        <v>188</v>
      </c>
      <c r="B125" s="34" t="s">
        <v>28</v>
      </c>
      <c r="C125" s="175" t="s">
        <v>36</v>
      </c>
      <c r="D125" s="30" t="s">
        <v>28</v>
      </c>
      <c r="E125" s="30" t="s">
        <v>28</v>
      </c>
      <c r="F125" t="s">
        <v>406</v>
      </c>
    </row>
    <row r="126" spans="1:6" ht="18" customHeight="1">
      <c r="A126" s="34" t="s">
        <v>189</v>
      </c>
      <c r="B126" s="34" t="s">
        <v>36</v>
      </c>
      <c r="C126" s="175" t="s">
        <v>36</v>
      </c>
      <c r="D126" s="175" t="s">
        <v>33</v>
      </c>
      <c r="E126" s="28" t="s">
        <v>36</v>
      </c>
      <c r="F126" t="s">
        <v>403</v>
      </c>
    </row>
    <row r="127" spans="1:6" ht="18" customHeight="1">
      <c r="A127" s="34" t="s">
        <v>190</v>
      </c>
      <c r="B127" s="34" t="s">
        <v>36</v>
      </c>
      <c r="C127" s="175" t="s">
        <v>36</v>
      </c>
      <c r="D127" s="175" t="s">
        <v>33</v>
      </c>
      <c r="E127" s="28" t="s">
        <v>36</v>
      </c>
      <c r="F127" t="s">
        <v>401</v>
      </c>
    </row>
    <row r="128" spans="1:6" ht="18" customHeight="1">
      <c r="A128" s="34" t="s">
        <v>191</v>
      </c>
      <c r="B128" s="34" t="s">
        <v>36</v>
      </c>
      <c r="C128" s="175" t="s">
        <v>36</v>
      </c>
      <c r="D128" s="175" t="s">
        <v>33</v>
      </c>
      <c r="E128" s="28" t="s">
        <v>36</v>
      </c>
      <c r="F128" t="s">
        <v>397</v>
      </c>
    </row>
    <row r="129" spans="1:6" ht="18" customHeight="1">
      <c r="A129" s="34" t="s">
        <v>192</v>
      </c>
      <c r="B129" s="34" t="s">
        <v>28</v>
      </c>
      <c r="C129" s="175" t="s">
        <v>36</v>
      </c>
      <c r="D129" s="175" t="s">
        <v>28</v>
      </c>
      <c r="E129" s="175" t="s">
        <v>28</v>
      </c>
      <c r="F129" t="s">
        <v>395</v>
      </c>
    </row>
    <row r="130" spans="1:6" ht="18" customHeight="1">
      <c r="A130" s="34" t="s">
        <v>193</v>
      </c>
      <c r="B130" s="34" t="s">
        <v>36</v>
      </c>
      <c r="C130" s="175" t="s">
        <v>36</v>
      </c>
      <c r="D130" s="175" t="s">
        <v>33</v>
      </c>
      <c r="E130" s="28" t="s">
        <v>36</v>
      </c>
      <c r="F130" t="s">
        <v>404</v>
      </c>
    </row>
    <row r="131" spans="1:6" ht="18" customHeight="1">
      <c r="A131" s="34" t="s">
        <v>194</v>
      </c>
      <c r="B131" s="34" t="s">
        <v>36</v>
      </c>
      <c r="C131" s="175" t="s">
        <v>36</v>
      </c>
      <c r="D131" s="175" t="s">
        <v>33</v>
      </c>
      <c r="E131" s="28" t="s">
        <v>36</v>
      </c>
      <c r="F131" t="s">
        <v>404</v>
      </c>
    </row>
    <row r="132" spans="1:6" ht="18" customHeight="1">
      <c r="A132" s="34" t="s">
        <v>195</v>
      </c>
      <c r="B132" s="34" t="s">
        <v>36</v>
      </c>
      <c r="C132" s="175" t="s">
        <v>36</v>
      </c>
      <c r="D132" s="175" t="s">
        <v>33</v>
      </c>
      <c r="E132" s="28" t="s">
        <v>36</v>
      </c>
      <c r="F132" t="s">
        <v>393</v>
      </c>
    </row>
    <row r="133" spans="1:6" ht="18" customHeight="1">
      <c r="A133" s="34" t="s">
        <v>196</v>
      </c>
      <c r="B133" s="34" t="s">
        <v>33</v>
      </c>
      <c r="C133" s="175" t="s">
        <v>36</v>
      </c>
      <c r="D133" s="175" t="s">
        <v>33</v>
      </c>
      <c r="E133" s="175" t="s">
        <v>33</v>
      </c>
      <c r="F133" t="s">
        <v>403</v>
      </c>
    </row>
    <row r="134" spans="1:6" ht="18" customHeight="1">
      <c r="A134" s="34" t="s">
        <v>197</v>
      </c>
      <c r="B134" s="34" t="s">
        <v>36</v>
      </c>
      <c r="C134" s="175" t="s">
        <v>36</v>
      </c>
      <c r="D134" s="175" t="s">
        <v>33</v>
      </c>
      <c r="E134" s="28" t="s">
        <v>36</v>
      </c>
      <c r="F134" t="s">
        <v>401</v>
      </c>
    </row>
    <row r="135" spans="1:6" ht="18" customHeight="1">
      <c r="A135" s="34" t="s">
        <v>198</v>
      </c>
      <c r="B135" s="34" t="s">
        <v>36</v>
      </c>
      <c r="C135" s="175" t="s">
        <v>36</v>
      </c>
      <c r="D135" s="175" t="s">
        <v>33</v>
      </c>
      <c r="E135" s="28" t="s">
        <v>36</v>
      </c>
      <c r="F135" t="s">
        <v>404</v>
      </c>
    </row>
    <row r="136" spans="1:6" ht="18" customHeight="1">
      <c r="A136" s="34" t="s">
        <v>562</v>
      </c>
      <c r="B136" s="34" t="s">
        <v>28</v>
      </c>
      <c r="C136" s="175" t="s">
        <v>36</v>
      </c>
      <c r="D136" s="30" t="s">
        <v>28</v>
      </c>
      <c r="E136" s="30" t="s">
        <v>28</v>
      </c>
      <c r="F136" s="62" t="s">
        <v>397</v>
      </c>
    </row>
    <row r="137" spans="1:6" ht="18" customHeight="1">
      <c r="A137" s="34" t="s">
        <v>199</v>
      </c>
      <c r="B137" s="34" t="s">
        <v>33</v>
      </c>
      <c r="C137" s="175" t="s">
        <v>36</v>
      </c>
      <c r="D137" s="175" t="s">
        <v>33</v>
      </c>
      <c r="E137" s="28" t="s">
        <v>36</v>
      </c>
      <c r="F137" t="s">
        <v>401</v>
      </c>
    </row>
    <row r="138" spans="1:6" ht="18" customHeight="1">
      <c r="A138" s="34" t="s">
        <v>200</v>
      </c>
      <c r="B138" s="34" t="s">
        <v>36</v>
      </c>
      <c r="C138" s="175" t="s">
        <v>36</v>
      </c>
      <c r="D138" s="175" t="s">
        <v>33</v>
      </c>
      <c r="E138" s="28" t="s">
        <v>36</v>
      </c>
      <c r="F138" t="s">
        <v>403</v>
      </c>
    </row>
    <row r="139" spans="1:6" ht="18" customHeight="1">
      <c r="A139" s="34" t="s">
        <v>201</v>
      </c>
      <c r="B139" s="34" t="s">
        <v>36</v>
      </c>
      <c r="C139" s="175" t="s">
        <v>36</v>
      </c>
      <c r="D139" s="175" t="s">
        <v>33</v>
      </c>
      <c r="E139" s="28" t="s">
        <v>36</v>
      </c>
      <c r="F139" t="s">
        <v>397</v>
      </c>
    </row>
    <row r="140" spans="1:6" ht="18" customHeight="1">
      <c r="A140" s="34" t="s">
        <v>202</v>
      </c>
      <c r="B140" s="34" t="s">
        <v>36</v>
      </c>
      <c r="C140" s="175" t="s">
        <v>36</v>
      </c>
      <c r="D140" s="175" t="s">
        <v>33</v>
      </c>
      <c r="E140" s="28" t="s">
        <v>36</v>
      </c>
      <c r="F140" t="s">
        <v>397</v>
      </c>
    </row>
    <row r="141" spans="1:6" ht="18" customHeight="1">
      <c r="A141" s="34" t="s">
        <v>203</v>
      </c>
      <c r="B141" s="34" t="s">
        <v>36</v>
      </c>
      <c r="C141" s="175" t="s">
        <v>36</v>
      </c>
      <c r="D141" s="175" t="s">
        <v>33</v>
      </c>
      <c r="E141" s="28" t="s">
        <v>36</v>
      </c>
      <c r="F141" t="s">
        <v>394</v>
      </c>
    </row>
    <row r="142" spans="1:6" ht="18" customHeight="1">
      <c r="A142" s="34" t="s">
        <v>204</v>
      </c>
      <c r="B142" s="34" t="s">
        <v>28</v>
      </c>
      <c r="C142" s="175" t="s">
        <v>36</v>
      </c>
      <c r="D142" s="30" t="s">
        <v>28</v>
      </c>
      <c r="E142" s="30" t="s">
        <v>28</v>
      </c>
      <c r="F142" t="s">
        <v>396</v>
      </c>
    </row>
    <row r="143" spans="1:6" ht="18" customHeight="1">
      <c r="A143" s="34" t="s">
        <v>205</v>
      </c>
      <c r="B143" s="34" t="s">
        <v>36</v>
      </c>
      <c r="C143" s="175" t="s">
        <v>36</v>
      </c>
      <c r="D143" s="175" t="s">
        <v>33</v>
      </c>
      <c r="E143" s="28" t="s">
        <v>36</v>
      </c>
      <c r="F143" t="s">
        <v>401</v>
      </c>
    </row>
    <row r="144" spans="1:6" ht="18" customHeight="1">
      <c r="A144" s="34" t="s">
        <v>206</v>
      </c>
      <c r="B144" s="34" t="s">
        <v>28</v>
      </c>
      <c r="C144" s="175" t="s">
        <v>36</v>
      </c>
      <c r="D144" s="30" t="s">
        <v>28</v>
      </c>
      <c r="E144" s="30" t="s">
        <v>28</v>
      </c>
      <c r="F144" t="s">
        <v>396</v>
      </c>
    </row>
    <row r="145" spans="1:6" ht="18" customHeight="1">
      <c r="A145" s="34" t="s">
        <v>207</v>
      </c>
      <c r="B145" s="34" t="s">
        <v>36</v>
      </c>
      <c r="C145" s="175" t="s">
        <v>36</v>
      </c>
      <c r="D145" s="175" t="s">
        <v>33</v>
      </c>
      <c r="E145" s="28" t="s">
        <v>36</v>
      </c>
      <c r="F145" t="s">
        <v>406</v>
      </c>
    </row>
    <row r="146" spans="1:6" ht="18" customHeight="1">
      <c r="A146" s="34" t="s">
        <v>208</v>
      </c>
      <c r="B146" s="34" t="s">
        <v>36</v>
      </c>
      <c r="C146" s="175" t="s">
        <v>36</v>
      </c>
      <c r="D146" s="175" t="s">
        <v>33</v>
      </c>
      <c r="E146" s="28" t="s">
        <v>36</v>
      </c>
      <c r="F146" t="s">
        <v>393</v>
      </c>
    </row>
    <row r="147" spans="1:6" ht="18" customHeight="1">
      <c r="A147" s="34" t="s">
        <v>209</v>
      </c>
      <c r="B147" s="34" t="s">
        <v>36</v>
      </c>
      <c r="C147" s="175" t="s">
        <v>36</v>
      </c>
      <c r="D147" s="175" t="s">
        <v>33</v>
      </c>
      <c r="E147" s="28" t="s">
        <v>36</v>
      </c>
      <c r="F147" t="s">
        <v>397</v>
      </c>
    </row>
    <row r="148" spans="1:6" ht="18" customHeight="1">
      <c r="A148" s="34" t="s">
        <v>210</v>
      </c>
      <c r="B148" s="34" t="s">
        <v>28</v>
      </c>
      <c r="C148" s="175" t="s">
        <v>36</v>
      </c>
      <c r="D148" s="30" t="s">
        <v>28</v>
      </c>
      <c r="E148" s="30" t="s">
        <v>28</v>
      </c>
      <c r="F148" t="s">
        <v>396</v>
      </c>
    </row>
    <row r="149" spans="1:6" ht="18" customHeight="1">
      <c r="A149" s="34" t="s">
        <v>211</v>
      </c>
      <c r="B149" s="34" t="s">
        <v>28</v>
      </c>
      <c r="C149" s="175" t="s">
        <v>36</v>
      </c>
      <c r="D149" s="30" t="s">
        <v>28</v>
      </c>
      <c r="E149" s="30" t="s">
        <v>28</v>
      </c>
      <c r="F149" t="s">
        <v>396</v>
      </c>
    </row>
    <row r="150" spans="1:6" ht="18" customHeight="1">
      <c r="A150" s="34" t="s">
        <v>212</v>
      </c>
      <c r="B150" s="34" t="s">
        <v>36</v>
      </c>
      <c r="C150" s="175" t="s">
        <v>36</v>
      </c>
      <c r="D150" s="175" t="s">
        <v>33</v>
      </c>
      <c r="E150" s="28" t="s">
        <v>36</v>
      </c>
      <c r="F150" t="s">
        <v>397</v>
      </c>
    </row>
    <row r="151" spans="1:6" ht="18" customHeight="1">
      <c r="A151" s="34" t="s">
        <v>213</v>
      </c>
      <c r="B151" s="34" t="s">
        <v>36</v>
      </c>
      <c r="C151" s="175" t="s">
        <v>36</v>
      </c>
      <c r="D151" s="175" t="s">
        <v>33</v>
      </c>
      <c r="E151" s="28" t="s">
        <v>36</v>
      </c>
      <c r="F151" t="s">
        <v>404</v>
      </c>
    </row>
    <row r="152" spans="1:6" ht="18" customHeight="1">
      <c r="A152" s="34" t="s">
        <v>214</v>
      </c>
      <c r="B152" s="34" t="s">
        <v>28</v>
      </c>
      <c r="C152" s="175" t="s">
        <v>36</v>
      </c>
      <c r="D152" s="30" t="s">
        <v>28</v>
      </c>
      <c r="E152" s="30" t="s">
        <v>28</v>
      </c>
      <c r="F152" t="s">
        <v>392</v>
      </c>
    </row>
    <row r="153" spans="1:6" ht="18" customHeight="1">
      <c r="A153" s="34" t="s">
        <v>215</v>
      </c>
      <c r="B153" s="34" t="s">
        <v>36</v>
      </c>
      <c r="C153" s="175" t="s">
        <v>36</v>
      </c>
      <c r="D153" s="175" t="s">
        <v>33</v>
      </c>
      <c r="E153" s="28" t="s">
        <v>36</v>
      </c>
      <c r="F153" t="s">
        <v>397</v>
      </c>
    </row>
    <row r="154" spans="1:6" ht="18" customHeight="1">
      <c r="A154" s="34" t="s">
        <v>216</v>
      </c>
      <c r="B154" s="34" t="s">
        <v>28</v>
      </c>
      <c r="C154" s="175" t="s">
        <v>36</v>
      </c>
      <c r="D154" s="30" t="s">
        <v>28</v>
      </c>
      <c r="E154" s="30" t="s">
        <v>28</v>
      </c>
      <c r="F154" t="s">
        <v>396</v>
      </c>
    </row>
    <row r="155" spans="1:6" ht="18" customHeight="1">
      <c r="A155" s="34" t="s">
        <v>217</v>
      </c>
      <c r="B155" s="34" t="s">
        <v>36</v>
      </c>
      <c r="C155" s="175" t="s">
        <v>36</v>
      </c>
      <c r="D155" s="175" t="s">
        <v>33</v>
      </c>
      <c r="E155" s="28" t="s">
        <v>36</v>
      </c>
      <c r="F155" t="s">
        <v>400</v>
      </c>
    </row>
    <row r="156" spans="1:6" ht="18" customHeight="1">
      <c r="A156" s="34" t="s">
        <v>218</v>
      </c>
      <c r="B156" s="34" t="s">
        <v>28</v>
      </c>
      <c r="C156" s="175" t="s">
        <v>36</v>
      </c>
      <c r="D156" s="175" t="s">
        <v>28</v>
      </c>
      <c r="E156" s="175" t="s">
        <v>28</v>
      </c>
      <c r="F156" t="s">
        <v>395</v>
      </c>
    </row>
    <row r="157" spans="1:6" ht="18" customHeight="1">
      <c r="A157" s="34" t="s">
        <v>219</v>
      </c>
      <c r="B157" s="34" t="s">
        <v>28</v>
      </c>
      <c r="C157" s="175" t="s">
        <v>36</v>
      </c>
      <c r="D157" s="30" t="s">
        <v>28</v>
      </c>
      <c r="E157" s="30" t="s">
        <v>28</v>
      </c>
      <c r="F157" t="s">
        <v>398</v>
      </c>
    </row>
    <row r="158" spans="1:6" ht="18" customHeight="1">
      <c r="A158" s="34" t="s">
        <v>220</v>
      </c>
      <c r="B158" s="34" t="s">
        <v>36</v>
      </c>
      <c r="C158" s="175" t="s">
        <v>36</v>
      </c>
      <c r="D158" s="175" t="s">
        <v>33</v>
      </c>
      <c r="E158" s="28" t="s">
        <v>36</v>
      </c>
      <c r="F158" t="s">
        <v>397</v>
      </c>
    </row>
    <row r="159" spans="1:6" ht="18" customHeight="1">
      <c r="A159" s="34" t="s">
        <v>221</v>
      </c>
      <c r="B159" s="34" t="s">
        <v>28</v>
      </c>
      <c r="C159" s="175" t="s">
        <v>36</v>
      </c>
      <c r="D159" s="30" t="s">
        <v>28</v>
      </c>
      <c r="E159" s="30" t="s">
        <v>28</v>
      </c>
      <c r="F159" t="s">
        <v>397</v>
      </c>
    </row>
    <row r="160" spans="1:6" ht="18" customHeight="1">
      <c r="A160" s="34" t="s">
        <v>222</v>
      </c>
      <c r="B160" s="34" t="s">
        <v>28</v>
      </c>
      <c r="C160" s="175" t="s">
        <v>36</v>
      </c>
      <c r="D160" s="30" t="s">
        <v>28</v>
      </c>
      <c r="E160" s="30" t="s">
        <v>28</v>
      </c>
      <c r="F160" t="s">
        <v>397</v>
      </c>
    </row>
    <row r="161" spans="1:6" ht="18" customHeight="1">
      <c r="A161" s="34" t="s">
        <v>223</v>
      </c>
      <c r="B161" s="34" t="s">
        <v>28</v>
      </c>
      <c r="C161" s="175" t="s">
        <v>36</v>
      </c>
      <c r="D161" s="30" t="s">
        <v>28</v>
      </c>
      <c r="E161" s="30" t="s">
        <v>28</v>
      </c>
      <c r="F161" t="s">
        <v>396</v>
      </c>
    </row>
    <row r="162" spans="1:6" ht="18" customHeight="1">
      <c r="A162" s="34" t="s">
        <v>224</v>
      </c>
      <c r="B162" s="34" t="s">
        <v>36</v>
      </c>
      <c r="C162" s="175" t="s">
        <v>36</v>
      </c>
      <c r="D162" s="175" t="s">
        <v>33</v>
      </c>
      <c r="E162" s="28" t="s">
        <v>36</v>
      </c>
      <c r="F162" t="s">
        <v>398</v>
      </c>
    </row>
    <row r="163" spans="1:6" ht="18" customHeight="1">
      <c r="A163" s="34" t="s">
        <v>225</v>
      </c>
      <c r="B163" s="34" t="s">
        <v>28</v>
      </c>
      <c r="C163" s="175" t="s">
        <v>36</v>
      </c>
      <c r="D163" s="175" t="s">
        <v>28</v>
      </c>
      <c r="E163" s="175" t="s">
        <v>28</v>
      </c>
      <c r="F163" t="s">
        <v>404</v>
      </c>
    </row>
    <row r="164" spans="1:6" ht="18" customHeight="1">
      <c r="A164" s="34" t="s">
        <v>226</v>
      </c>
      <c r="B164" s="34" t="s">
        <v>36</v>
      </c>
      <c r="C164" s="175" t="s">
        <v>36</v>
      </c>
      <c r="D164" s="175" t="s">
        <v>33</v>
      </c>
      <c r="E164" s="28" t="s">
        <v>36</v>
      </c>
      <c r="F164" t="s">
        <v>393</v>
      </c>
    </row>
    <row r="165" spans="1:6" ht="18" customHeight="1">
      <c r="A165" s="34" t="s">
        <v>227</v>
      </c>
      <c r="B165" s="34" t="s">
        <v>28</v>
      </c>
      <c r="C165" s="175" t="s">
        <v>36</v>
      </c>
      <c r="D165" s="30" t="s">
        <v>28</v>
      </c>
      <c r="E165" s="30" t="s">
        <v>28</v>
      </c>
      <c r="F165" t="s">
        <v>396</v>
      </c>
    </row>
    <row r="166" spans="1:6" ht="18" customHeight="1">
      <c r="A166" s="34" t="s">
        <v>228</v>
      </c>
      <c r="B166" s="34" t="s">
        <v>36</v>
      </c>
      <c r="C166" s="175" t="s">
        <v>36</v>
      </c>
      <c r="D166" s="175" t="s">
        <v>33</v>
      </c>
      <c r="E166" s="28" t="s">
        <v>36</v>
      </c>
      <c r="F166" t="s">
        <v>406</v>
      </c>
    </row>
    <row r="167" spans="1:6" ht="18" customHeight="1">
      <c r="A167" s="34" t="s">
        <v>229</v>
      </c>
      <c r="B167" s="34" t="s">
        <v>36</v>
      </c>
      <c r="C167" s="175" t="s">
        <v>36</v>
      </c>
      <c r="D167" s="175" t="s">
        <v>33</v>
      </c>
      <c r="E167" s="28" t="s">
        <v>36</v>
      </c>
      <c r="F167" t="s">
        <v>393</v>
      </c>
    </row>
    <row r="168" spans="1:6" ht="18" customHeight="1">
      <c r="A168" s="34" t="s">
        <v>230</v>
      </c>
      <c r="B168" s="34" t="s">
        <v>28</v>
      </c>
      <c r="C168" s="175" t="s">
        <v>36</v>
      </c>
      <c r="D168" s="30" t="s">
        <v>28</v>
      </c>
      <c r="E168" s="30" t="s">
        <v>28</v>
      </c>
      <c r="F168" t="s">
        <v>398</v>
      </c>
    </row>
    <row r="169" spans="1:6" ht="18" customHeight="1">
      <c r="A169" s="34" t="s">
        <v>231</v>
      </c>
      <c r="B169" s="34" t="s">
        <v>36</v>
      </c>
      <c r="C169" s="175" t="s">
        <v>36</v>
      </c>
      <c r="D169" s="175" t="s">
        <v>33</v>
      </c>
      <c r="E169" s="28" t="s">
        <v>36</v>
      </c>
      <c r="F169" t="s">
        <v>394</v>
      </c>
    </row>
    <row r="170" spans="1:6" ht="18" customHeight="1">
      <c r="A170" s="34" t="s">
        <v>232</v>
      </c>
      <c r="B170" s="34" t="s">
        <v>36</v>
      </c>
      <c r="C170" s="175" t="s">
        <v>36</v>
      </c>
      <c r="D170" s="175" t="s">
        <v>33</v>
      </c>
      <c r="E170" s="28" t="s">
        <v>36</v>
      </c>
      <c r="F170" t="s">
        <v>397</v>
      </c>
    </row>
    <row r="171" spans="1:6" ht="18" customHeight="1">
      <c r="A171" s="34" t="s">
        <v>233</v>
      </c>
      <c r="B171" s="34" t="s">
        <v>36</v>
      </c>
      <c r="C171" s="175" t="s">
        <v>36</v>
      </c>
      <c r="D171" s="175" t="s">
        <v>33</v>
      </c>
      <c r="E171" s="28" t="s">
        <v>36</v>
      </c>
      <c r="F171" t="s">
        <v>404</v>
      </c>
    </row>
    <row r="172" spans="1:6" ht="18" customHeight="1">
      <c r="A172" s="34" t="s">
        <v>234</v>
      </c>
      <c r="B172" s="34" t="s">
        <v>36</v>
      </c>
      <c r="C172" s="175" t="s">
        <v>36</v>
      </c>
      <c r="D172" s="175" t="s">
        <v>33</v>
      </c>
      <c r="E172" s="28" t="s">
        <v>36</v>
      </c>
      <c r="F172" t="s">
        <v>397</v>
      </c>
    </row>
    <row r="173" spans="1:6" ht="18" customHeight="1">
      <c r="A173" s="34" t="s">
        <v>235</v>
      </c>
      <c r="B173" s="34" t="s">
        <v>28</v>
      </c>
      <c r="C173" s="175" t="s">
        <v>36</v>
      </c>
      <c r="D173" s="175" t="s">
        <v>28</v>
      </c>
      <c r="E173" s="175" t="s">
        <v>28</v>
      </c>
      <c r="F173" t="s">
        <v>395</v>
      </c>
    </row>
    <row r="174" spans="1:6" ht="18" customHeight="1">
      <c r="A174" s="34" t="s">
        <v>236</v>
      </c>
      <c r="B174" s="34" t="s">
        <v>36</v>
      </c>
      <c r="C174" s="175" t="s">
        <v>36</v>
      </c>
      <c r="D174" s="175" t="s">
        <v>33</v>
      </c>
      <c r="E174" s="28" t="s">
        <v>36</v>
      </c>
      <c r="F174" t="s">
        <v>392</v>
      </c>
    </row>
    <row r="175" spans="1:6" ht="18" customHeight="1">
      <c r="A175" s="34" t="s">
        <v>237</v>
      </c>
      <c r="B175" s="34" t="s">
        <v>28</v>
      </c>
      <c r="C175" s="175" t="s">
        <v>36</v>
      </c>
      <c r="D175" s="30" t="s">
        <v>28</v>
      </c>
      <c r="E175" s="30" t="s">
        <v>28</v>
      </c>
      <c r="F175" t="s">
        <v>396</v>
      </c>
    </row>
    <row r="176" spans="1:6" ht="18" customHeight="1">
      <c r="A176" s="34" t="s">
        <v>238</v>
      </c>
      <c r="B176" s="34" t="s">
        <v>28</v>
      </c>
      <c r="C176" s="175" t="s">
        <v>36</v>
      </c>
      <c r="D176" s="30" t="s">
        <v>28</v>
      </c>
      <c r="E176" s="30" t="s">
        <v>28</v>
      </c>
      <c r="F176" t="s">
        <v>398</v>
      </c>
    </row>
    <row r="177" spans="1:6" ht="18" customHeight="1">
      <c r="A177" s="34" t="s">
        <v>239</v>
      </c>
      <c r="B177" s="34" t="s">
        <v>28</v>
      </c>
      <c r="C177" s="175" t="s">
        <v>36</v>
      </c>
      <c r="D177" s="30" t="s">
        <v>28</v>
      </c>
      <c r="E177" s="30" t="s">
        <v>28</v>
      </c>
      <c r="F177" t="s">
        <v>395</v>
      </c>
    </row>
    <row r="178" spans="1:6" ht="18" customHeight="1">
      <c r="A178" s="34" t="s">
        <v>240</v>
      </c>
      <c r="B178" s="34" t="s">
        <v>28</v>
      </c>
      <c r="C178" s="175" t="s">
        <v>36</v>
      </c>
      <c r="D178" s="30" t="s">
        <v>28</v>
      </c>
      <c r="E178" s="30" t="s">
        <v>28</v>
      </c>
      <c r="F178" t="s">
        <v>395</v>
      </c>
    </row>
    <row r="179" spans="1:6" ht="18" customHeight="1">
      <c r="A179" s="34" t="s">
        <v>241</v>
      </c>
      <c r="B179" s="34" t="s">
        <v>36</v>
      </c>
      <c r="C179" s="175" t="s">
        <v>36</v>
      </c>
      <c r="D179" s="175" t="s">
        <v>33</v>
      </c>
      <c r="E179" s="28" t="s">
        <v>36</v>
      </c>
      <c r="F179" t="s">
        <v>398</v>
      </c>
    </row>
    <row r="180" spans="1:6" ht="18" customHeight="1">
      <c r="A180" s="34" t="s">
        <v>242</v>
      </c>
      <c r="B180" s="34" t="s">
        <v>36</v>
      </c>
      <c r="C180" s="175" t="s">
        <v>36</v>
      </c>
      <c r="D180" s="175" t="s">
        <v>33</v>
      </c>
      <c r="E180" s="28" t="s">
        <v>36</v>
      </c>
      <c r="F180" t="s">
        <v>397</v>
      </c>
    </row>
    <row r="181" spans="1:6" ht="18" customHeight="1">
      <c r="A181" s="34" t="s">
        <v>243</v>
      </c>
      <c r="B181" s="34" t="s">
        <v>36</v>
      </c>
      <c r="C181" s="175" t="s">
        <v>36</v>
      </c>
      <c r="D181" s="175" t="s">
        <v>33</v>
      </c>
      <c r="E181" s="28" t="s">
        <v>36</v>
      </c>
      <c r="F181" t="s">
        <v>397</v>
      </c>
    </row>
    <row r="182" spans="1:6" ht="18" customHeight="1">
      <c r="A182" s="34" t="s">
        <v>244</v>
      </c>
      <c r="B182" s="34" t="s">
        <v>28</v>
      </c>
      <c r="C182" s="175" t="s">
        <v>36</v>
      </c>
      <c r="D182" s="175" t="s">
        <v>28</v>
      </c>
      <c r="E182" s="175" t="s">
        <v>28</v>
      </c>
      <c r="F182" t="s">
        <v>404</v>
      </c>
    </row>
    <row r="183" spans="1:6" ht="18" customHeight="1">
      <c r="A183" s="34" t="s">
        <v>245</v>
      </c>
      <c r="B183" s="34" t="s">
        <v>28</v>
      </c>
      <c r="C183" s="175" t="s">
        <v>36</v>
      </c>
      <c r="D183" s="30" t="s">
        <v>28</v>
      </c>
      <c r="E183" s="30" t="s">
        <v>28</v>
      </c>
      <c r="F183" t="s">
        <v>395</v>
      </c>
    </row>
    <row r="184" spans="1:6" ht="18" customHeight="1">
      <c r="A184" s="34" t="s">
        <v>246</v>
      </c>
      <c r="B184" s="34" t="s">
        <v>28</v>
      </c>
      <c r="C184" s="175" t="s">
        <v>36</v>
      </c>
      <c r="D184" s="30" t="s">
        <v>28</v>
      </c>
      <c r="E184" s="30" t="s">
        <v>28</v>
      </c>
      <c r="F184" t="s">
        <v>404</v>
      </c>
    </row>
    <row r="185" spans="1:6" ht="18" customHeight="1">
      <c r="A185" s="34" t="s">
        <v>375</v>
      </c>
      <c r="B185" s="34" t="s">
        <v>28</v>
      </c>
      <c r="C185" s="175" t="s">
        <v>36</v>
      </c>
      <c r="D185" s="30" t="s">
        <v>28</v>
      </c>
      <c r="E185" s="30" t="s">
        <v>28</v>
      </c>
      <c r="F185" t="s">
        <v>396</v>
      </c>
    </row>
    <row r="186" spans="1:6" ht="18" customHeight="1">
      <c r="A186" s="34" t="s">
        <v>247</v>
      </c>
      <c r="B186" s="34" t="s">
        <v>36</v>
      </c>
      <c r="C186" s="175" t="s">
        <v>36</v>
      </c>
      <c r="D186" s="175" t="s">
        <v>33</v>
      </c>
      <c r="E186" s="28" t="s">
        <v>36</v>
      </c>
      <c r="F186" t="s">
        <v>403</v>
      </c>
    </row>
    <row r="187" spans="1:6" ht="18" customHeight="1">
      <c r="A187" s="34" t="s">
        <v>248</v>
      </c>
      <c r="B187" s="34" t="s">
        <v>36</v>
      </c>
      <c r="C187" s="175" t="s">
        <v>36</v>
      </c>
      <c r="D187" s="175" t="s">
        <v>33</v>
      </c>
      <c r="E187" s="28" t="s">
        <v>36</v>
      </c>
      <c r="F187" t="s">
        <v>392</v>
      </c>
    </row>
    <row r="188" spans="1:6" ht="18" customHeight="1">
      <c r="A188" s="34" t="s">
        <v>249</v>
      </c>
      <c r="B188" s="34" t="s">
        <v>28</v>
      </c>
      <c r="C188" s="175" t="s">
        <v>36</v>
      </c>
      <c r="D188" s="30" t="s">
        <v>28</v>
      </c>
      <c r="E188" s="30" t="s">
        <v>28</v>
      </c>
      <c r="F188" t="s">
        <v>395</v>
      </c>
    </row>
    <row r="189" spans="1:6" ht="18" customHeight="1">
      <c r="A189" s="34" t="s">
        <v>250</v>
      </c>
      <c r="B189" s="34" t="s">
        <v>36</v>
      </c>
      <c r="C189" s="175" t="s">
        <v>36</v>
      </c>
      <c r="D189" s="175" t="s">
        <v>33</v>
      </c>
      <c r="E189" s="28" t="s">
        <v>36</v>
      </c>
      <c r="F189" t="s">
        <v>403</v>
      </c>
    </row>
    <row r="190" spans="1:6" ht="18" customHeight="1">
      <c r="A190" s="34" t="s">
        <v>251</v>
      </c>
      <c r="B190" s="34" t="s">
        <v>36</v>
      </c>
      <c r="C190" s="175" t="s">
        <v>36</v>
      </c>
      <c r="D190" s="175" t="s">
        <v>33</v>
      </c>
      <c r="E190" s="28" t="s">
        <v>36</v>
      </c>
      <c r="F190" t="s">
        <v>398</v>
      </c>
    </row>
    <row r="191" spans="1:6" ht="18" customHeight="1">
      <c r="A191" s="34" t="s">
        <v>252</v>
      </c>
      <c r="B191" s="34" t="s">
        <v>28</v>
      </c>
      <c r="C191" s="175" t="s">
        <v>36</v>
      </c>
      <c r="D191" s="175" t="s">
        <v>28</v>
      </c>
      <c r="E191" s="175" t="s">
        <v>28</v>
      </c>
      <c r="F191" t="s">
        <v>395</v>
      </c>
    </row>
    <row r="192" spans="1:6" ht="18" customHeight="1">
      <c r="A192" s="34" t="s">
        <v>253</v>
      </c>
      <c r="B192" s="34" t="s">
        <v>36</v>
      </c>
      <c r="C192" s="175" t="s">
        <v>36</v>
      </c>
      <c r="D192" s="175" t="s">
        <v>33</v>
      </c>
      <c r="E192" s="28" t="s">
        <v>36</v>
      </c>
      <c r="F192" t="s">
        <v>400</v>
      </c>
    </row>
    <row r="193" spans="1:6" ht="18" customHeight="1">
      <c r="A193" s="34" t="s">
        <v>254</v>
      </c>
      <c r="B193" s="34" t="s">
        <v>36</v>
      </c>
      <c r="C193" s="175" t="s">
        <v>36</v>
      </c>
      <c r="D193" s="175" t="s">
        <v>33</v>
      </c>
      <c r="E193" s="28" t="s">
        <v>36</v>
      </c>
      <c r="F193" t="s">
        <v>400</v>
      </c>
    </row>
    <row r="194" spans="1:6" ht="18" customHeight="1">
      <c r="A194" s="34" t="s">
        <v>255</v>
      </c>
      <c r="B194" s="34" t="s">
        <v>36</v>
      </c>
      <c r="C194" s="175" t="s">
        <v>36</v>
      </c>
      <c r="D194" s="175" t="s">
        <v>33</v>
      </c>
      <c r="E194" s="28" t="s">
        <v>36</v>
      </c>
      <c r="F194" t="s">
        <v>404</v>
      </c>
    </row>
    <row r="195" spans="1:6" ht="18" customHeight="1">
      <c r="A195" s="34" t="s">
        <v>256</v>
      </c>
      <c r="B195" s="34" t="s">
        <v>28</v>
      </c>
      <c r="C195" s="175" t="s">
        <v>36</v>
      </c>
      <c r="D195" s="30" t="s">
        <v>28</v>
      </c>
      <c r="E195" s="30" t="s">
        <v>28</v>
      </c>
      <c r="F195" t="s">
        <v>395</v>
      </c>
    </row>
    <row r="196" spans="1:6" ht="18" customHeight="1">
      <c r="A196" s="34" t="s">
        <v>257</v>
      </c>
      <c r="B196" s="34" t="s">
        <v>36</v>
      </c>
      <c r="C196" s="175" t="s">
        <v>36</v>
      </c>
      <c r="D196" s="175" t="s">
        <v>33</v>
      </c>
      <c r="E196" s="28" t="s">
        <v>36</v>
      </c>
      <c r="F196" t="s">
        <v>393</v>
      </c>
    </row>
    <row r="197" spans="1:6" ht="18" customHeight="1">
      <c r="A197" s="34" t="s">
        <v>258</v>
      </c>
      <c r="B197" s="34" t="s">
        <v>28</v>
      </c>
      <c r="C197" s="175" t="s">
        <v>36</v>
      </c>
      <c r="D197" s="30" t="s">
        <v>28</v>
      </c>
      <c r="E197" s="30" t="s">
        <v>28</v>
      </c>
      <c r="F197" t="s">
        <v>396</v>
      </c>
    </row>
    <row r="198" spans="1:6" ht="18" customHeight="1">
      <c r="A198" s="34" t="s">
        <v>259</v>
      </c>
      <c r="B198" s="34" t="s">
        <v>36</v>
      </c>
      <c r="C198" s="175" t="s">
        <v>36</v>
      </c>
      <c r="D198" s="175" t="s">
        <v>33</v>
      </c>
      <c r="E198" s="28" t="s">
        <v>36</v>
      </c>
      <c r="F198" t="s">
        <v>398</v>
      </c>
    </row>
    <row r="199" spans="1:6" ht="18" customHeight="1">
      <c r="A199" s="34" t="s">
        <v>260</v>
      </c>
      <c r="B199" s="34" t="s">
        <v>33</v>
      </c>
      <c r="C199" s="175" t="s">
        <v>36</v>
      </c>
      <c r="D199" s="175" t="s">
        <v>33</v>
      </c>
      <c r="E199" s="175" t="s">
        <v>33</v>
      </c>
      <c r="F199" t="s">
        <v>403</v>
      </c>
    </row>
    <row r="200" spans="1:6" ht="18" customHeight="1">
      <c r="A200" s="34" t="s">
        <v>261</v>
      </c>
      <c r="B200" s="34" t="s">
        <v>36</v>
      </c>
      <c r="C200" s="175" t="s">
        <v>36</v>
      </c>
      <c r="D200" s="175" t="s">
        <v>33</v>
      </c>
      <c r="E200" s="28" t="s">
        <v>36</v>
      </c>
      <c r="F200" t="s">
        <v>404</v>
      </c>
    </row>
    <row r="201" spans="1:6" ht="18" customHeight="1">
      <c r="A201" s="34" t="s">
        <v>262</v>
      </c>
      <c r="B201" s="34" t="s">
        <v>28</v>
      </c>
      <c r="C201" s="175" t="s">
        <v>36</v>
      </c>
      <c r="D201" s="30" t="s">
        <v>28</v>
      </c>
      <c r="E201" s="30" t="s">
        <v>28</v>
      </c>
      <c r="F201" t="s">
        <v>397</v>
      </c>
    </row>
    <row r="202" spans="1:6" ht="18" customHeight="1">
      <c r="A202" s="34" t="s">
        <v>263</v>
      </c>
      <c r="B202" s="34" t="s">
        <v>36</v>
      </c>
      <c r="C202" s="175" t="s">
        <v>36</v>
      </c>
      <c r="D202" s="175" t="s">
        <v>33</v>
      </c>
      <c r="E202" s="28" t="s">
        <v>36</v>
      </c>
      <c r="F202" t="s">
        <v>393</v>
      </c>
    </row>
    <row r="203" spans="1:6" ht="18" customHeight="1">
      <c r="A203" s="34" t="s">
        <v>264</v>
      </c>
      <c r="B203" s="34" t="s">
        <v>36</v>
      </c>
      <c r="C203" s="175" t="s">
        <v>36</v>
      </c>
      <c r="D203" s="175" t="s">
        <v>33</v>
      </c>
      <c r="E203" s="28" t="s">
        <v>36</v>
      </c>
      <c r="F203" t="s">
        <v>401</v>
      </c>
    </row>
    <row r="204" spans="1:6" ht="18" customHeight="1">
      <c r="A204" s="34" t="s">
        <v>265</v>
      </c>
      <c r="B204" s="34" t="s">
        <v>36</v>
      </c>
      <c r="C204" s="175" t="s">
        <v>36</v>
      </c>
      <c r="D204" s="175" t="s">
        <v>33</v>
      </c>
      <c r="E204" s="28" t="s">
        <v>36</v>
      </c>
      <c r="F204" t="s">
        <v>397</v>
      </c>
    </row>
    <row r="205" spans="1:6" ht="18" customHeight="1">
      <c r="A205" s="34" t="s">
        <v>266</v>
      </c>
      <c r="B205" s="34" t="s">
        <v>28</v>
      </c>
      <c r="C205" s="175" t="s">
        <v>36</v>
      </c>
      <c r="D205" s="30" t="s">
        <v>28</v>
      </c>
      <c r="E205" s="30" t="s">
        <v>28</v>
      </c>
      <c r="F205" t="s">
        <v>398</v>
      </c>
    </row>
    <row r="206" spans="1:6" ht="18" customHeight="1">
      <c r="A206" s="34" t="s">
        <v>267</v>
      </c>
      <c r="B206" s="34" t="s">
        <v>28</v>
      </c>
      <c r="C206" s="175" t="s">
        <v>36</v>
      </c>
      <c r="D206" s="30" t="s">
        <v>28</v>
      </c>
      <c r="E206" s="30" t="s">
        <v>28</v>
      </c>
      <c r="F206" t="s">
        <v>398</v>
      </c>
    </row>
    <row r="207" spans="1:6" ht="18" customHeight="1">
      <c r="A207" s="34" t="s">
        <v>268</v>
      </c>
      <c r="B207" s="34" t="s">
        <v>28</v>
      </c>
      <c r="C207" s="175" t="s">
        <v>36</v>
      </c>
      <c r="D207" s="30" t="s">
        <v>28</v>
      </c>
      <c r="E207" s="30" t="s">
        <v>28</v>
      </c>
      <c r="F207" t="s">
        <v>398</v>
      </c>
    </row>
    <row r="208" spans="1:6" ht="18" customHeight="1">
      <c r="A208" s="34" t="s">
        <v>560</v>
      </c>
      <c r="B208" s="34" t="s">
        <v>28</v>
      </c>
      <c r="C208" s="175" t="s">
        <v>36</v>
      </c>
      <c r="D208" s="30" t="s">
        <v>28</v>
      </c>
      <c r="E208" s="30" t="s">
        <v>28</v>
      </c>
      <c r="F208" t="s">
        <v>398</v>
      </c>
    </row>
    <row r="209" spans="1:6" ht="18" customHeight="1">
      <c r="A209" s="34" t="s">
        <v>269</v>
      </c>
      <c r="B209" s="34" t="s">
        <v>28</v>
      </c>
      <c r="C209" s="175" t="s">
        <v>36</v>
      </c>
      <c r="D209" s="30" t="s">
        <v>28</v>
      </c>
      <c r="E209" s="30" t="s">
        <v>28</v>
      </c>
      <c r="F209" t="s">
        <v>405</v>
      </c>
    </row>
    <row r="210" spans="1:6" ht="18" customHeight="1">
      <c r="A210" s="34" t="s">
        <v>270</v>
      </c>
      <c r="B210" s="34" t="s">
        <v>28</v>
      </c>
      <c r="C210" s="175" t="s">
        <v>36</v>
      </c>
      <c r="D210" s="30" t="s">
        <v>28</v>
      </c>
      <c r="E210" s="30" t="s">
        <v>28</v>
      </c>
      <c r="F210" t="s">
        <v>398</v>
      </c>
    </row>
    <row r="211" spans="1:6" ht="18" customHeight="1">
      <c r="A211" s="34" t="s">
        <v>271</v>
      </c>
      <c r="B211" s="34" t="s">
        <v>28</v>
      </c>
      <c r="C211" s="175" t="s">
        <v>36</v>
      </c>
      <c r="D211" s="30" t="s">
        <v>28</v>
      </c>
      <c r="E211" s="30" t="s">
        <v>28</v>
      </c>
      <c r="F211" t="s">
        <v>395</v>
      </c>
    </row>
    <row r="212" spans="1:6" ht="18" customHeight="1">
      <c r="A212" s="34" t="s">
        <v>272</v>
      </c>
      <c r="B212" s="34" t="s">
        <v>28</v>
      </c>
      <c r="C212" s="175" t="s">
        <v>36</v>
      </c>
      <c r="D212" s="30" t="s">
        <v>28</v>
      </c>
      <c r="E212" s="30" t="s">
        <v>28</v>
      </c>
      <c r="F212" t="s">
        <v>396</v>
      </c>
    </row>
    <row r="213" spans="1:6" ht="18" customHeight="1">
      <c r="A213" s="34" t="s">
        <v>273</v>
      </c>
      <c r="B213" s="34" t="s">
        <v>33</v>
      </c>
      <c r="C213" s="175" t="s">
        <v>36</v>
      </c>
      <c r="D213" s="175" t="s">
        <v>33</v>
      </c>
      <c r="E213" s="175" t="s">
        <v>33</v>
      </c>
      <c r="F213" t="s">
        <v>397</v>
      </c>
    </row>
    <row r="214" spans="1:6" ht="18" customHeight="1">
      <c r="A214" s="34" t="s">
        <v>274</v>
      </c>
      <c r="B214" s="34" t="s">
        <v>36</v>
      </c>
      <c r="C214" s="175" t="s">
        <v>36</v>
      </c>
      <c r="D214" s="175" t="s">
        <v>33</v>
      </c>
      <c r="E214" s="28" t="s">
        <v>36</v>
      </c>
      <c r="F214" t="s">
        <v>403</v>
      </c>
    </row>
    <row r="215" spans="1:6" ht="18" customHeight="1">
      <c r="A215" s="34" t="s">
        <v>275</v>
      </c>
      <c r="B215" s="34" t="s">
        <v>36</v>
      </c>
      <c r="C215" s="175" t="s">
        <v>36</v>
      </c>
      <c r="D215" s="175" t="s">
        <v>33</v>
      </c>
      <c r="E215" s="28" t="s">
        <v>36</v>
      </c>
      <c r="F215" t="s">
        <v>397</v>
      </c>
    </row>
    <row r="216" spans="1:6" ht="18" customHeight="1">
      <c r="A216" s="34" t="s">
        <v>276</v>
      </c>
      <c r="B216" s="34" t="s">
        <v>36</v>
      </c>
      <c r="C216" s="175" t="s">
        <v>36</v>
      </c>
      <c r="D216" s="175" t="s">
        <v>33</v>
      </c>
      <c r="E216" s="28" t="s">
        <v>36</v>
      </c>
      <c r="F216" t="s">
        <v>401</v>
      </c>
    </row>
    <row r="217" spans="1:6" ht="18" customHeight="1">
      <c r="A217" s="34" t="s">
        <v>277</v>
      </c>
      <c r="B217" s="34" t="s">
        <v>28</v>
      </c>
      <c r="C217" s="175" t="s">
        <v>36</v>
      </c>
      <c r="D217" s="30" t="s">
        <v>28</v>
      </c>
      <c r="E217" s="30" t="s">
        <v>28</v>
      </c>
      <c r="F217" t="s">
        <v>397</v>
      </c>
    </row>
    <row r="218" spans="1:6" ht="18" customHeight="1">
      <c r="A218" s="34" t="s">
        <v>278</v>
      </c>
      <c r="B218" s="34" t="s">
        <v>36</v>
      </c>
      <c r="C218" s="175" t="s">
        <v>36</v>
      </c>
      <c r="D218" s="175" t="s">
        <v>33</v>
      </c>
      <c r="E218" s="28" t="s">
        <v>36</v>
      </c>
      <c r="F218" t="s">
        <v>397</v>
      </c>
    </row>
    <row r="219" spans="1:6" ht="18" customHeight="1">
      <c r="A219" s="34" t="s">
        <v>279</v>
      </c>
      <c r="B219" s="34" t="s">
        <v>28</v>
      </c>
      <c r="C219" s="175" t="s">
        <v>36</v>
      </c>
      <c r="D219" s="30" t="s">
        <v>28</v>
      </c>
      <c r="E219" s="30" t="s">
        <v>28</v>
      </c>
      <c r="F219" t="s">
        <v>404</v>
      </c>
    </row>
    <row r="220" spans="1:6" ht="18" customHeight="1">
      <c r="A220" s="34" t="s">
        <v>280</v>
      </c>
      <c r="B220" s="34" t="s">
        <v>33</v>
      </c>
      <c r="C220" s="175" t="s">
        <v>36</v>
      </c>
      <c r="D220" s="175" t="s">
        <v>33</v>
      </c>
      <c r="E220" s="175" t="s">
        <v>36</v>
      </c>
      <c r="F220" t="s">
        <v>393</v>
      </c>
    </row>
    <row r="221" spans="1:6" ht="18" customHeight="1">
      <c r="A221" s="34" t="s">
        <v>281</v>
      </c>
      <c r="B221" s="34" t="s">
        <v>33</v>
      </c>
      <c r="C221" s="175" t="s">
        <v>36</v>
      </c>
      <c r="D221" s="175" t="s">
        <v>33</v>
      </c>
      <c r="E221" s="28" t="s">
        <v>36</v>
      </c>
      <c r="F221" t="s">
        <v>393</v>
      </c>
    </row>
    <row r="222" spans="1:6" ht="18" customHeight="1">
      <c r="A222" s="34" t="s">
        <v>282</v>
      </c>
      <c r="B222" s="34" t="s">
        <v>28</v>
      </c>
      <c r="C222" s="175" t="s">
        <v>36</v>
      </c>
      <c r="D222" s="175" t="s">
        <v>28</v>
      </c>
      <c r="E222" s="175" t="s">
        <v>28</v>
      </c>
      <c r="F222" t="s">
        <v>395</v>
      </c>
    </row>
    <row r="223" spans="1:6" ht="18" customHeight="1">
      <c r="A223" s="34" t="s">
        <v>283</v>
      </c>
      <c r="B223" s="34" t="s">
        <v>36</v>
      </c>
      <c r="C223" s="175" t="s">
        <v>36</v>
      </c>
      <c r="D223" s="175" t="s">
        <v>33</v>
      </c>
      <c r="E223" s="28" t="s">
        <v>36</v>
      </c>
      <c r="F223" t="s">
        <v>397</v>
      </c>
    </row>
    <row r="224" spans="1:6" ht="18" customHeight="1">
      <c r="A224" s="34" t="s">
        <v>284</v>
      </c>
      <c r="B224" s="34" t="s">
        <v>36</v>
      </c>
      <c r="C224" s="175" t="s">
        <v>36</v>
      </c>
      <c r="D224" s="175" t="s">
        <v>33</v>
      </c>
      <c r="E224" s="28" t="s">
        <v>36</v>
      </c>
      <c r="F224" t="s">
        <v>397</v>
      </c>
    </row>
    <row r="225" spans="1:6" ht="21" customHeight="1">
      <c r="A225" s="34" t="s">
        <v>285</v>
      </c>
      <c r="B225" s="34" t="s">
        <v>28</v>
      </c>
      <c r="C225" s="175" t="s">
        <v>36</v>
      </c>
      <c r="D225" s="30" t="s">
        <v>28</v>
      </c>
      <c r="E225" s="30" t="s">
        <v>28</v>
      </c>
      <c r="F225" t="s">
        <v>395</v>
      </c>
    </row>
    <row r="226" spans="1:6" ht="21" customHeight="1">
      <c r="A226" s="34" t="s">
        <v>734</v>
      </c>
      <c r="B226" s="34" t="s">
        <v>36</v>
      </c>
      <c r="C226" s="175" t="s">
        <v>36</v>
      </c>
      <c r="D226" s="175" t="s">
        <v>33</v>
      </c>
      <c r="E226" s="28" t="s">
        <v>36</v>
      </c>
      <c r="F226" t="s">
        <v>394</v>
      </c>
    </row>
    <row r="227" spans="1:6" ht="30.75" customHeight="1">
      <c r="A227" s="34" t="s">
        <v>543</v>
      </c>
      <c r="B227" s="34" t="s">
        <v>28</v>
      </c>
      <c r="C227" s="175" t="s">
        <v>36</v>
      </c>
      <c r="D227" s="30" t="s">
        <v>28</v>
      </c>
      <c r="E227" s="30" t="s">
        <v>28</v>
      </c>
      <c r="F227" s="34" t="s">
        <v>396</v>
      </c>
    </row>
    <row r="228" spans="1:256" ht="26.25" customHeight="1">
      <c r="A228" s="34" t="s">
        <v>286</v>
      </c>
      <c r="B228" s="34" t="s">
        <v>36</v>
      </c>
      <c r="C228" s="175" t="s">
        <v>36</v>
      </c>
      <c r="D228" s="175" t="s">
        <v>33</v>
      </c>
      <c r="E228" s="28" t="s">
        <v>36</v>
      </c>
      <c r="F228" s="34" t="s">
        <v>394</v>
      </c>
      <c r="G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4"/>
      <c r="EL228" s="34"/>
      <c r="EM228" s="34"/>
      <c r="EN228" s="34"/>
      <c r="EO228" s="34"/>
      <c r="EP228" s="34"/>
      <c r="EQ228" s="34"/>
      <c r="ER228" s="34"/>
      <c r="ES228" s="34"/>
      <c r="ET228" s="34"/>
      <c r="EU228" s="34"/>
      <c r="EV228" s="34"/>
      <c r="EW228" s="34"/>
      <c r="EX228" s="34"/>
      <c r="EY228" s="34"/>
      <c r="EZ228" s="34"/>
      <c r="FA228" s="34"/>
      <c r="FB228" s="34"/>
      <c r="FC228" s="34"/>
      <c r="FD228" s="34"/>
      <c r="FE228" s="34"/>
      <c r="FF228" s="34"/>
      <c r="FG228" s="34"/>
      <c r="FH228" s="34"/>
      <c r="FI228" s="34"/>
      <c r="FJ228" s="34"/>
      <c r="FK228" s="34"/>
      <c r="FL228" s="34"/>
      <c r="FM228" s="34"/>
      <c r="FN228" s="34"/>
      <c r="FO228" s="34"/>
      <c r="FP228" s="34"/>
      <c r="FQ228" s="34"/>
      <c r="FR228" s="34"/>
      <c r="FS228" s="34"/>
      <c r="FT228" s="34"/>
      <c r="FU228" s="34"/>
      <c r="FV228" s="34"/>
      <c r="FW228" s="34"/>
      <c r="FX228" s="34"/>
      <c r="FY228" s="34"/>
      <c r="FZ228" s="34"/>
      <c r="GA228" s="34"/>
      <c r="GB228" s="34"/>
      <c r="GC228" s="34"/>
      <c r="GD228" s="34"/>
      <c r="GE228" s="34"/>
      <c r="GF228" s="34"/>
      <c r="GG228" s="34"/>
      <c r="GH228" s="34"/>
      <c r="GI228" s="34"/>
      <c r="GJ228" s="34"/>
      <c r="GK228" s="34"/>
      <c r="GL228" s="34"/>
      <c r="GM228" s="34"/>
      <c r="GN228" s="34"/>
      <c r="GO228" s="34"/>
      <c r="GP228" s="34"/>
      <c r="GQ228" s="34"/>
      <c r="GR228" s="34"/>
      <c r="GS228" s="34"/>
      <c r="GT228" s="34"/>
      <c r="GU228" s="34"/>
      <c r="GV228" s="34"/>
      <c r="GW228" s="34"/>
      <c r="GX228" s="34"/>
      <c r="GY228" s="34"/>
      <c r="GZ228" s="34"/>
      <c r="HA228" s="34"/>
      <c r="HB228" s="34"/>
      <c r="HC228" s="34"/>
      <c r="HD228" s="34"/>
      <c r="HE228" s="34"/>
      <c r="HF228" s="34"/>
      <c r="HG228" s="34"/>
      <c r="HH228" s="34"/>
      <c r="HI228" s="34"/>
      <c r="HJ228" s="34"/>
      <c r="HK228" s="34"/>
      <c r="HL228" s="34"/>
      <c r="HM228" s="34"/>
      <c r="HN228" s="34"/>
      <c r="HO228" s="34"/>
      <c r="HP228" s="34"/>
      <c r="HQ228" s="34"/>
      <c r="HR228" s="34"/>
      <c r="HS228" s="34"/>
      <c r="HT228" s="34"/>
      <c r="HU228" s="34"/>
      <c r="HV228" s="34"/>
      <c r="HW228" s="34"/>
      <c r="HX228" s="34"/>
      <c r="HY228" s="34"/>
      <c r="HZ228" s="34"/>
      <c r="IA228" s="34"/>
      <c r="IB228" s="34"/>
      <c r="IC228" s="34"/>
      <c r="ID228" s="34"/>
      <c r="IE228" s="34"/>
      <c r="IF228" s="34"/>
      <c r="IG228" s="34"/>
      <c r="IH228" s="34"/>
      <c r="II228" s="34"/>
      <c r="IJ228" s="34"/>
      <c r="IK228" s="34"/>
      <c r="IL228" s="34"/>
      <c r="IM228" s="34"/>
      <c r="IN228" s="34"/>
      <c r="IO228" s="34"/>
      <c r="IP228" s="34"/>
      <c r="IQ228" s="34"/>
      <c r="IR228" s="34"/>
      <c r="IS228" s="34"/>
      <c r="IT228" s="34"/>
      <c r="IU228" s="34"/>
      <c r="IV228" s="34"/>
    </row>
    <row r="229" spans="1:256" ht="26.25" customHeight="1">
      <c r="A229" s="34" t="s">
        <v>287</v>
      </c>
      <c r="B229" s="34" t="s">
        <v>36</v>
      </c>
      <c r="C229" s="175" t="s">
        <v>36</v>
      </c>
      <c r="D229" s="175" t="s">
        <v>33</v>
      </c>
      <c r="E229" s="28" t="s">
        <v>36</v>
      </c>
      <c r="F229" t="s">
        <v>392</v>
      </c>
      <c r="G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c r="DU229" s="34"/>
      <c r="DV229" s="34"/>
      <c r="DW229" s="34"/>
      <c r="DX229" s="34"/>
      <c r="DY229" s="34"/>
      <c r="DZ229" s="34"/>
      <c r="EA229" s="34"/>
      <c r="EB229" s="34"/>
      <c r="EC229" s="34"/>
      <c r="ED229" s="34"/>
      <c r="EE229" s="34"/>
      <c r="EF229" s="34"/>
      <c r="EG229" s="34"/>
      <c r="EH229" s="34"/>
      <c r="EI229" s="34"/>
      <c r="EJ229" s="34"/>
      <c r="EK229" s="34"/>
      <c r="EL229" s="34"/>
      <c r="EM229" s="34"/>
      <c r="EN229" s="34"/>
      <c r="EO229" s="34"/>
      <c r="EP229" s="34"/>
      <c r="EQ229" s="34"/>
      <c r="ER229" s="34"/>
      <c r="ES229" s="34"/>
      <c r="ET229" s="34"/>
      <c r="EU229" s="34"/>
      <c r="EV229" s="34"/>
      <c r="EW229" s="34"/>
      <c r="EX229" s="34"/>
      <c r="EY229" s="34"/>
      <c r="EZ229" s="34"/>
      <c r="FA229" s="34"/>
      <c r="FB229" s="34"/>
      <c r="FC229" s="34"/>
      <c r="FD229" s="34"/>
      <c r="FE229" s="34"/>
      <c r="FF229" s="34"/>
      <c r="FG229" s="34"/>
      <c r="FH229" s="34"/>
      <c r="FI229" s="34"/>
      <c r="FJ229" s="34"/>
      <c r="FK229" s="34"/>
      <c r="FL229" s="34"/>
      <c r="FM229" s="34"/>
      <c r="FN229" s="34"/>
      <c r="FO229" s="34"/>
      <c r="FP229" s="34"/>
      <c r="FQ229" s="34"/>
      <c r="FR229" s="34"/>
      <c r="FS229" s="34"/>
      <c r="FT229" s="34"/>
      <c r="FU229" s="34"/>
      <c r="FV229" s="34"/>
      <c r="FW229" s="34"/>
      <c r="FX229" s="34"/>
      <c r="FY229" s="34"/>
      <c r="FZ229" s="34"/>
      <c r="GA229" s="34"/>
      <c r="GB229" s="34"/>
      <c r="GC229" s="34"/>
      <c r="GD229" s="34"/>
      <c r="GE229" s="34"/>
      <c r="GF229" s="34"/>
      <c r="GG229" s="34"/>
      <c r="GH229" s="34"/>
      <c r="GI229" s="34"/>
      <c r="GJ229" s="34"/>
      <c r="GK229" s="34"/>
      <c r="GL229" s="34"/>
      <c r="GM229" s="34"/>
      <c r="GN229" s="34"/>
      <c r="GO229" s="34"/>
      <c r="GP229" s="34"/>
      <c r="GQ229" s="34"/>
      <c r="GR229" s="34"/>
      <c r="GS229" s="34"/>
      <c r="GT229" s="34"/>
      <c r="GU229" s="34"/>
      <c r="GV229" s="34"/>
      <c r="GW229" s="34"/>
      <c r="GX229" s="34"/>
      <c r="GY229" s="34"/>
      <c r="GZ229" s="34"/>
      <c r="HA229" s="34"/>
      <c r="HB229" s="34"/>
      <c r="HC229" s="34"/>
      <c r="HD229" s="34"/>
      <c r="HE229" s="34"/>
      <c r="HF229" s="34"/>
      <c r="HG229" s="34"/>
      <c r="HH229" s="34"/>
      <c r="HI229" s="34"/>
      <c r="HJ229" s="34"/>
      <c r="HK229" s="34"/>
      <c r="HL229" s="34"/>
      <c r="HM229" s="34"/>
      <c r="HN229" s="34"/>
      <c r="HO229" s="34"/>
      <c r="HP229" s="34"/>
      <c r="HQ229" s="34"/>
      <c r="HR229" s="34"/>
      <c r="HS229" s="34"/>
      <c r="HT229" s="34"/>
      <c r="HU229" s="34"/>
      <c r="HV229" s="34"/>
      <c r="HW229" s="34"/>
      <c r="HX229" s="34"/>
      <c r="HY229" s="34"/>
      <c r="HZ229" s="34"/>
      <c r="IA229" s="34"/>
      <c r="IB229" s="34"/>
      <c r="IC229" s="34"/>
      <c r="ID229" s="34"/>
      <c r="IE229" s="34"/>
      <c r="IF229" s="34"/>
      <c r="IG229" s="34"/>
      <c r="IH229" s="34"/>
      <c r="II229" s="34"/>
      <c r="IJ229" s="34"/>
      <c r="IK229" s="34"/>
      <c r="IL229" s="34"/>
      <c r="IM229" s="34"/>
      <c r="IN229" s="34"/>
      <c r="IO229" s="34"/>
      <c r="IP229" s="34"/>
      <c r="IQ229" s="34"/>
      <c r="IR229" s="34"/>
      <c r="IS229" s="34"/>
      <c r="IT229" s="34"/>
      <c r="IU229" s="34"/>
      <c r="IV229" s="34"/>
    </row>
    <row r="230" spans="1:6" ht="18" customHeight="1">
      <c r="A230" s="34" t="s">
        <v>735</v>
      </c>
      <c r="B230" s="34" t="s">
        <v>36</v>
      </c>
      <c r="C230" s="175" t="s">
        <v>36</v>
      </c>
      <c r="D230" s="175" t="s">
        <v>33</v>
      </c>
      <c r="E230" s="28" t="s">
        <v>36</v>
      </c>
      <c r="F230" t="s">
        <v>394</v>
      </c>
    </row>
    <row r="231" spans="1:6" ht="18" customHeight="1">
      <c r="A231" s="34" t="s">
        <v>288</v>
      </c>
      <c r="B231" s="34" t="s">
        <v>36</v>
      </c>
      <c r="C231" s="175" t="s">
        <v>36</v>
      </c>
      <c r="D231" s="175" t="s">
        <v>33</v>
      </c>
      <c r="E231" s="28" t="s">
        <v>36</v>
      </c>
      <c r="F231" t="s">
        <v>400</v>
      </c>
    </row>
    <row r="232" spans="1:6" ht="18" customHeight="1">
      <c r="A232" s="34" t="s">
        <v>376</v>
      </c>
      <c r="B232" s="34" t="s">
        <v>36</v>
      </c>
      <c r="C232" s="175" t="s">
        <v>36</v>
      </c>
      <c r="D232" s="175" t="s">
        <v>33</v>
      </c>
      <c r="E232" s="175" t="s">
        <v>36</v>
      </c>
      <c r="F232" t="s">
        <v>396</v>
      </c>
    </row>
    <row r="233" spans="1:6" ht="18" customHeight="1">
      <c r="A233" s="34" t="s">
        <v>289</v>
      </c>
      <c r="B233" s="34" t="s">
        <v>36</v>
      </c>
      <c r="C233" s="175" t="s">
        <v>36</v>
      </c>
      <c r="D233" s="175" t="s">
        <v>33</v>
      </c>
      <c r="E233" s="28" t="s">
        <v>36</v>
      </c>
      <c r="F233" t="s">
        <v>397</v>
      </c>
    </row>
    <row r="234" spans="1:6" ht="18" customHeight="1">
      <c r="A234" s="34" t="s">
        <v>290</v>
      </c>
      <c r="B234" s="34" t="s">
        <v>28</v>
      </c>
      <c r="C234" s="175" t="s">
        <v>36</v>
      </c>
      <c r="D234" s="30" t="s">
        <v>28</v>
      </c>
      <c r="E234" s="30" t="s">
        <v>28</v>
      </c>
      <c r="F234" t="s">
        <v>396</v>
      </c>
    </row>
    <row r="235" spans="1:6" ht="18" customHeight="1">
      <c r="A235" s="34" t="s">
        <v>291</v>
      </c>
      <c r="B235" s="34" t="s">
        <v>28</v>
      </c>
      <c r="C235" s="175" t="s">
        <v>36</v>
      </c>
      <c r="D235" s="30" t="s">
        <v>28</v>
      </c>
      <c r="E235" s="30" t="s">
        <v>28</v>
      </c>
      <c r="F235" t="s">
        <v>396</v>
      </c>
    </row>
    <row r="236" spans="1:6" ht="18" customHeight="1">
      <c r="A236" s="34" t="s">
        <v>292</v>
      </c>
      <c r="B236" s="34" t="s">
        <v>36</v>
      </c>
      <c r="C236" s="175" t="s">
        <v>36</v>
      </c>
      <c r="D236" s="175" t="s">
        <v>33</v>
      </c>
      <c r="E236" s="28" t="s">
        <v>36</v>
      </c>
      <c r="F236" t="s">
        <v>403</v>
      </c>
    </row>
    <row r="237" spans="1:6" ht="18" customHeight="1">
      <c r="A237" s="34" t="s">
        <v>293</v>
      </c>
      <c r="B237" s="34" t="s">
        <v>28</v>
      </c>
      <c r="C237" s="175" t="s">
        <v>36</v>
      </c>
      <c r="D237" s="30" t="s">
        <v>28</v>
      </c>
      <c r="E237" s="30" t="s">
        <v>28</v>
      </c>
      <c r="F237" t="s">
        <v>395</v>
      </c>
    </row>
    <row r="238" spans="1:6" ht="18" customHeight="1">
      <c r="A238" s="34" t="s">
        <v>294</v>
      </c>
      <c r="B238" s="34" t="s">
        <v>33</v>
      </c>
      <c r="C238" s="175" t="s">
        <v>36</v>
      </c>
      <c r="D238" s="175" t="s">
        <v>33</v>
      </c>
      <c r="E238" s="175" t="s">
        <v>33</v>
      </c>
      <c r="F238" t="s">
        <v>404</v>
      </c>
    </row>
    <row r="239" spans="1:6" ht="18" customHeight="1">
      <c r="A239" s="34" t="s">
        <v>295</v>
      </c>
      <c r="B239" s="34" t="s">
        <v>36</v>
      </c>
      <c r="C239" s="175" t="s">
        <v>36</v>
      </c>
      <c r="D239" s="175" t="s">
        <v>33</v>
      </c>
      <c r="E239" s="28" t="s">
        <v>36</v>
      </c>
      <c r="F239" t="s">
        <v>401</v>
      </c>
    </row>
    <row r="240" spans="1:6" ht="18" customHeight="1">
      <c r="A240" s="34" t="s">
        <v>296</v>
      </c>
      <c r="B240" s="34" t="s">
        <v>36</v>
      </c>
      <c r="C240" s="175" t="s">
        <v>36</v>
      </c>
      <c r="D240" s="175" t="s">
        <v>33</v>
      </c>
      <c r="E240" s="28" t="s">
        <v>36</v>
      </c>
      <c r="F240" t="s">
        <v>397</v>
      </c>
    </row>
    <row r="241" spans="1:6" ht="18" customHeight="1">
      <c r="A241" s="34" t="s">
        <v>297</v>
      </c>
      <c r="B241" s="34" t="s">
        <v>36</v>
      </c>
      <c r="C241" s="175" t="s">
        <v>36</v>
      </c>
      <c r="D241" s="175" t="s">
        <v>33</v>
      </c>
      <c r="E241" s="28" t="s">
        <v>36</v>
      </c>
      <c r="F241" t="s">
        <v>404</v>
      </c>
    </row>
    <row r="242" spans="1:6" ht="18" customHeight="1">
      <c r="A242" s="34" t="s">
        <v>298</v>
      </c>
      <c r="B242" s="34" t="s">
        <v>36</v>
      </c>
      <c r="C242" s="175" t="s">
        <v>36</v>
      </c>
      <c r="D242" s="175" t="s">
        <v>33</v>
      </c>
      <c r="E242" s="28" t="s">
        <v>36</v>
      </c>
      <c r="F242" t="s">
        <v>406</v>
      </c>
    </row>
    <row r="243" spans="1:6" ht="18" customHeight="1">
      <c r="A243" s="34" t="s">
        <v>561</v>
      </c>
      <c r="B243" s="34" t="s">
        <v>36</v>
      </c>
      <c r="C243" s="175" t="s">
        <v>36</v>
      </c>
      <c r="D243" s="175" t="s">
        <v>33</v>
      </c>
      <c r="E243" s="175" t="s">
        <v>36</v>
      </c>
      <c r="F243" s="62" t="s">
        <v>404</v>
      </c>
    </row>
    <row r="244" spans="1:6" ht="18" customHeight="1">
      <c r="A244" s="34" t="s">
        <v>299</v>
      </c>
      <c r="B244" s="34" t="s">
        <v>36</v>
      </c>
      <c r="C244" s="175" t="s">
        <v>36</v>
      </c>
      <c r="D244" s="175" t="s">
        <v>33</v>
      </c>
      <c r="E244" s="28" t="s">
        <v>36</v>
      </c>
      <c r="F244" t="s">
        <v>397</v>
      </c>
    </row>
    <row r="245" spans="1:6" ht="18" customHeight="1">
      <c r="A245" s="34" t="s">
        <v>300</v>
      </c>
      <c r="B245" s="34" t="s">
        <v>28</v>
      </c>
      <c r="C245" s="175" t="s">
        <v>36</v>
      </c>
      <c r="D245" s="30" t="s">
        <v>28</v>
      </c>
      <c r="E245" s="30" t="s">
        <v>28</v>
      </c>
      <c r="F245" t="s">
        <v>395</v>
      </c>
    </row>
    <row r="246" spans="1:6" ht="18" customHeight="1">
      <c r="A246" s="34" t="s">
        <v>301</v>
      </c>
      <c r="B246" s="34" t="s">
        <v>28</v>
      </c>
      <c r="C246" s="175" t="s">
        <v>36</v>
      </c>
      <c r="D246" s="175" t="s">
        <v>28</v>
      </c>
      <c r="E246" s="175" t="s">
        <v>28</v>
      </c>
      <c r="F246" t="s">
        <v>395</v>
      </c>
    </row>
    <row r="247" spans="1:6" ht="18" customHeight="1">
      <c r="A247" s="34" t="s">
        <v>302</v>
      </c>
      <c r="B247" s="34" t="s">
        <v>33</v>
      </c>
      <c r="C247" s="175" t="s">
        <v>36</v>
      </c>
      <c r="D247" s="175" t="s">
        <v>33</v>
      </c>
      <c r="E247" s="175" t="s">
        <v>33</v>
      </c>
      <c r="F247" t="s">
        <v>398</v>
      </c>
    </row>
    <row r="248" spans="1:6" ht="18" customHeight="1">
      <c r="A248" s="34" t="s">
        <v>303</v>
      </c>
      <c r="B248" s="34" t="s">
        <v>36</v>
      </c>
      <c r="C248" s="175" t="s">
        <v>36</v>
      </c>
      <c r="D248" s="175" t="s">
        <v>33</v>
      </c>
      <c r="E248" s="28" t="s">
        <v>36</v>
      </c>
      <c r="F248" t="s">
        <v>394</v>
      </c>
    </row>
    <row r="249" spans="1:6" ht="18" customHeight="1">
      <c r="A249" s="34" t="s">
        <v>796</v>
      </c>
      <c r="B249" s="34" t="s">
        <v>36</v>
      </c>
      <c r="C249" s="175" t="s">
        <v>36</v>
      </c>
      <c r="D249" s="175" t="s">
        <v>33</v>
      </c>
      <c r="E249" s="28" t="s">
        <v>36</v>
      </c>
      <c r="F249" t="s">
        <v>393</v>
      </c>
    </row>
    <row r="250" spans="1:6" ht="18" customHeight="1">
      <c r="A250" s="34" t="s">
        <v>304</v>
      </c>
      <c r="B250" s="34" t="s">
        <v>36</v>
      </c>
      <c r="C250" s="175" t="s">
        <v>36</v>
      </c>
      <c r="D250" s="175" t="s">
        <v>33</v>
      </c>
      <c r="E250" s="28" t="s">
        <v>36</v>
      </c>
      <c r="F250" t="s">
        <v>401</v>
      </c>
    </row>
    <row r="251" spans="1:6" ht="18" customHeight="1">
      <c r="A251" s="34" t="s">
        <v>305</v>
      </c>
      <c r="B251" s="34" t="s">
        <v>28</v>
      </c>
      <c r="C251" s="175" t="s">
        <v>36</v>
      </c>
      <c r="D251" s="30" t="s">
        <v>28</v>
      </c>
      <c r="E251" s="30" t="s">
        <v>28</v>
      </c>
      <c r="F251" t="s">
        <v>398</v>
      </c>
    </row>
    <row r="252" spans="1:6" ht="18" customHeight="1">
      <c r="A252" s="34" t="s">
        <v>306</v>
      </c>
      <c r="B252" s="34" t="s">
        <v>28</v>
      </c>
      <c r="C252" s="175" t="s">
        <v>36</v>
      </c>
      <c r="D252" s="175" t="s">
        <v>28</v>
      </c>
      <c r="E252" s="175" t="s">
        <v>28</v>
      </c>
      <c r="F252" t="s">
        <v>395</v>
      </c>
    </row>
    <row r="253" spans="1:6" ht="18" customHeight="1">
      <c r="A253" s="34" t="s">
        <v>307</v>
      </c>
      <c r="B253" s="34" t="s">
        <v>36</v>
      </c>
      <c r="C253" s="175" t="s">
        <v>36</v>
      </c>
      <c r="D253" s="175" t="s">
        <v>33</v>
      </c>
      <c r="E253" s="28" t="s">
        <v>36</v>
      </c>
      <c r="F253" t="s">
        <v>397</v>
      </c>
    </row>
    <row r="254" spans="1:6" ht="18" customHeight="1">
      <c r="A254" s="34" t="s">
        <v>308</v>
      </c>
      <c r="B254" s="34" t="s">
        <v>36</v>
      </c>
      <c r="C254" s="175" t="s">
        <v>36</v>
      </c>
      <c r="D254" s="175" t="s">
        <v>33</v>
      </c>
      <c r="E254" s="28" t="s">
        <v>36</v>
      </c>
      <c r="F254" t="s">
        <v>401</v>
      </c>
    </row>
    <row r="255" spans="1:6" ht="18" customHeight="1">
      <c r="A255" s="34" t="s">
        <v>309</v>
      </c>
      <c r="B255" s="34" t="s">
        <v>33</v>
      </c>
      <c r="C255" s="175" t="s">
        <v>36</v>
      </c>
      <c r="D255" s="175" t="s">
        <v>33</v>
      </c>
      <c r="E255" s="175" t="s">
        <v>33</v>
      </c>
      <c r="F255" t="s">
        <v>403</v>
      </c>
    </row>
    <row r="256" spans="1:6" ht="18" customHeight="1">
      <c r="A256" s="34" t="s">
        <v>310</v>
      </c>
      <c r="B256" s="34" t="s">
        <v>28</v>
      </c>
      <c r="C256" s="34" t="s">
        <v>33</v>
      </c>
      <c r="D256" s="30" t="s">
        <v>28</v>
      </c>
      <c r="E256" s="30" t="s">
        <v>28</v>
      </c>
      <c r="F256" t="s">
        <v>396</v>
      </c>
    </row>
    <row r="257" spans="1:6" ht="18" customHeight="1">
      <c r="A257" s="34" t="s">
        <v>538</v>
      </c>
      <c r="B257" s="34" t="s">
        <v>539</v>
      </c>
      <c r="C257" s="34" t="s">
        <v>539</v>
      </c>
      <c r="D257" s="34" t="s">
        <v>539</v>
      </c>
      <c r="E257" s="34" t="s">
        <v>539</v>
      </c>
      <c r="F257" t="s">
        <v>396</v>
      </c>
    </row>
    <row r="258" spans="1:6" ht="18" customHeight="1">
      <c r="A258" s="34" t="s">
        <v>311</v>
      </c>
      <c r="B258" s="34" t="s">
        <v>33</v>
      </c>
      <c r="C258" s="175" t="s">
        <v>36</v>
      </c>
      <c r="D258" s="175" t="s">
        <v>33</v>
      </c>
      <c r="E258" s="175" t="s">
        <v>36</v>
      </c>
      <c r="F258" t="s">
        <v>405</v>
      </c>
    </row>
    <row r="259" spans="1:6" ht="18" customHeight="1">
      <c r="A259" s="34" t="s">
        <v>312</v>
      </c>
      <c r="B259" s="34" t="s">
        <v>36</v>
      </c>
      <c r="C259" s="175" t="s">
        <v>36</v>
      </c>
      <c r="D259" s="175" t="s">
        <v>33</v>
      </c>
      <c r="E259" s="28" t="s">
        <v>36</v>
      </c>
      <c r="F259" t="s">
        <v>400</v>
      </c>
    </row>
    <row r="260" spans="1:6" ht="18" customHeight="1">
      <c r="A260" s="34" t="s">
        <v>313</v>
      </c>
      <c r="B260" s="34" t="s">
        <v>36</v>
      </c>
      <c r="C260" s="175" t="s">
        <v>36</v>
      </c>
      <c r="D260" s="175" t="s">
        <v>33</v>
      </c>
      <c r="E260" s="28" t="s">
        <v>36</v>
      </c>
      <c r="F260" t="s">
        <v>401</v>
      </c>
    </row>
    <row r="261" spans="1:6" ht="18" customHeight="1">
      <c r="A261" s="34" t="s">
        <v>314</v>
      </c>
      <c r="B261" s="34" t="s">
        <v>28</v>
      </c>
      <c r="C261" s="175" t="s">
        <v>36</v>
      </c>
      <c r="D261" s="175" t="s">
        <v>28</v>
      </c>
      <c r="E261" s="175" t="s">
        <v>28</v>
      </c>
      <c r="F261" t="s">
        <v>395</v>
      </c>
    </row>
    <row r="262" spans="1:6" ht="18" customHeight="1">
      <c r="A262" s="34" t="s">
        <v>315</v>
      </c>
      <c r="B262" s="34" t="s">
        <v>36</v>
      </c>
      <c r="C262" s="175" t="s">
        <v>36</v>
      </c>
      <c r="D262" s="175" t="s">
        <v>33</v>
      </c>
      <c r="E262" s="28" t="s">
        <v>36</v>
      </c>
      <c r="F262" t="s">
        <v>400</v>
      </c>
    </row>
    <row r="263" spans="1:6" ht="18" customHeight="1">
      <c r="A263" s="34" t="s">
        <v>316</v>
      </c>
      <c r="B263" s="34" t="s">
        <v>36</v>
      </c>
      <c r="C263" s="175" t="s">
        <v>36</v>
      </c>
      <c r="D263" s="175" t="s">
        <v>33</v>
      </c>
      <c r="E263" s="28" t="s">
        <v>36</v>
      </c>
      <c r="F263" t="s">
        <v>404</v>
      </c>
    </row>
    <row r="264" spans="1:6" ht="18" customHeight="1">
      <c r="A264" s="34" t="s">
        <v>317</v>
      </c>
      <c r="B264" s="34" t="s">
        <v>28</v>
      </c>
      <c r="C264" s="175" t="s">
        <v>36</v>
      </c>
      <c r="D264" s="30" t="s">
        <v>28</v>
      </c>
      <c r="E264" s="30" t="s">
        <v>28</v>
      </c>
      <c r="F264" t="s">
        <v>398</v>
      </c>
    </row>
    <row r="265" spans="1:6" ht="18" customHeight="1">
      <c r="A265" s="34" t="s">
        <v>318</v>
      </c>
      <c r="B265" s="34" t="s">
        <v>28</v>
      </c>
      <c r="C265" s="175" t="s">
        <v>36</v>
      </c>
      <c r="D265" s="30" t="s">
        <v>28</v>
      </c>
      <c r="E265" s="30" t="s">
        <v>28</v>
      </c>
      <c r="F265" t="s">
        <v>395</v>
      </c>
    </row>
    <row r="266" spans="1:6" ht="27.75" customHeight="1">
      <c r="A266" s="34" t="s">
        <v>319</v>
      </c>
      <c r="B266" s="34" t="s">
        <v>28</v>
      </c>
      <c r="C266" s="175" t="s">
        <v>36</v>
      </c>
      <c r="D266" s="30" t="s">
        <v>28</v>
      </c>
      <c r="E266" s="30" t="s">
        <v>28</v>
      </c>
      <c r="F266" t="s">
        <v>395</v>
      </c>
    </row>
    <row r="267" spans="1:6" ht="18" customHeight="1">
      <c r="A267" s="34" t="s">
        <v>320</v>
      </c>
      <c r="B267" s="34" t="s">
        <v>36</v>
      </c>
      <c r="C267" s="175" t="s">
        <v>36</v>
      </c>
      <c r="D267" s="175" t="s">
        <v>33</v>
      </c>
      <c r="E267" s="28" t="s">
        <v>36</v>
      </c>
      <c r="F267" t="s">
        <v>394</v>
      </c>
    </row>
    <row r="268" spans="1:6" ht="18" customHeight="1">
      <c r="A268" s="34" t="s">
        <v>321</v>
      </c>
      <c r="B268" s="34" t="s">
        <v>36</v>
      </c>
      <c r="C268" s="175" t="s">
        <v>36</v>
      </c>
      <c r="D268" s="175" t="s">
        <v>33</v>
      </c>
      <c r="E268" s="28" t="s">
        <v>36</v>
      </c>
      <c r="F268" t="s">
        <v>403</v>
      </c>
    </row>
    <row r="269" spans="1:6" ht="18" customHeight="1">
      <c r="A269" s="34" t="s">
        <v>322</v>
      </c>
      <c r="B269" s="34" t="s">
        <v>36</v>
      </c>
      <c r="C269" s="175" t="s">
        <v>36</v>
      </c>
      <c r="D269" s="175" t="s">
        <v>33</v>
      </c>
      <c r="E269" s="28" t="s">
        <v>36</v>
      </c>
      <c r="F269" t="s">
        <v>397</v>
      </c>
    </row>
    <row r="270" spans="1:6" ht="18" customHeight="1">
      <c r="A270" s="34" t="s">
        <v>323</v>
      </c>
      <c r="B270" s="34" t="s">
        <v>36</v>
      </c>
      <c r="C270" s="175" t="s">
        <v>36</v>
      </c>
      <c r="D270" s="175" t="s">
        <v>33</v>
      </c>
      <c r="E270" s="28" t="s">
        <v>36</v>
      </c>
      <c r="F270" t="s">
        <v>397</v>
      </c>
    </row>
    <row r="271" spans="1:6" ht="18" customHeight="1">
      <c r="A271" s="34" t="s">
        <v>324</v>
      </c>
      <c r="B271" s="34" t="s">
        <v>36</v>
      </c>
      <c r="C271" s="175" t="s">
        <v>36</v>
      </c>
      <c r="D271" s="175" t="s">
        <v>33</v>
      </c>
      <c r="E271" s="28" t="s">
        <v>36</v>
      </c>
      <c r="F271" t="s">
        <v>397</v>
      </c>
    </row>
  </sheetData>
  <sheetProtection password="CC4C" sheet="1"/>
  <autoFilter ref="A1:IV271"/>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codeName="Sheet7"/>
  <dimension ref="A1:S45"/>
  <sheetViews>
    <sheetView showGridLines="0" showRowColHeaders="0" zoomScalePageLayoutView="0" workbookViewId="0" topLeftCell="A19">
      <selection activeCell="G46" sqref="G46"/>
    </sheetView>
  </sheetViews>
  <sheetFormatPr defaultColWidth="11.421875" defaultRowHeight="12.75"/>
  <cols>
    <col min="1" max="1" width="9.8515625" style="127" customWidth="1"/>
    <col min="2" max="2" width="14.8515625" style="127" customWidth="1"/>
    <col min="3" max="3" width="13.140625" style="127" customWidth="1"/>
    <col min="4" max="4" width="7.421875" style="127" customWidth="1"/>
    <col min="5" max="5" width="7.8515625" style="127" customWidth="1"/>
    <col min="6" max="6" width="4.7109375" style="127" customWidth="1"/>
    <col min="7" max="7" width="11.28125" style="127" customWidth="1"/>
    <col min="8" max="8" width="11.421875" style="127" customWidth="1"/>
    <col min="9" max="9" width="10.421875" style="127" customWidth="1"/>
    <col min="10" max="11" width="11.421875" style="127" customWidth="1"/>
    <col min="12" max="12" width="9.140625" style="127" customWidth="1"/>
    <col min="13" max="13" width="10.140625" style="127" hidden="1" customWidth="1"/>
    <col min="14" max="19" width="9.140625" style="127" hidden="1" customWidth="1"/>
    <col min="20" max="20" width="0" style="127" hidden="1" customWidth="1"/>
    <col min="21" max="16384" width="11.421875" style="127" customWidth="1"/>
  </cols>
  <sheetData>
    <row r="1" ht="12">
      <c r="A1" s="153"/>
    </row>
    <row r="3" ht="12.75"/>
    <row r="4" ht="12.75"/>
    <row r="5" ht="12.75"/>
    <row r="6" ht="12.75"/>
    <row r="7" ht="9" customHeight="1"/>
    <row r="8" ht="12.75">
      <c r="G8" s="153" t="s">
        <v>572</v>
      </c>
    </row>
    <row r="9" ht="12.75">
      <c r="G9" s="153" t="s">
        <v>713</v>
      </c>
    </row>
    <row r="10" ht="12">
      <c r="G10" s="153" t="s">
        <v>573</v>
      </c>
    </row>
    <row r="11" ht="12">
      <c r="G11" s="153"/>
    </row>
    <row r="12" ht="12">
      <c r="G12" s="154">
        <f ca="1">TODAY()</f>
        <v>45411</v>
      </c>
    </row>
    <row r="13" spans="1:7" ht="13.5">
      <c r="A13" s="155" t="s">
        <v>574</v>
      </c>
      <c r="G13" s="154"/>
    </row>
    <row r="14" ht="8.25" customHeight="1"/>
    <row r="15" spans="1:10" ht="15">
      <c r="A15" s="155" t="s">
        <v>571</v>
      </c>
      <c r="B15" s="823" t="str">
        <f>Calendar!F1</f>
        <v>First name Surname</v>
      </c>
      <c r="C15" s="823"/>
      <c r="D15" s="823"/>
      <c r="E15" s="823"/>
      <c r="F15" s="156" t="s">
        <v>575</v>
      </c>
      <c r="G15" s="157">
        <f>'Rabies form'!Y284</f>
        <v>0</v>
      </c>
      <c r="H15" s="155"/>
      <c r="I15" s="158"/>
      <c r="J15" s="158"/>
    </row>
    <row r="16" spans="1:10" ht="9.75" customHeight="1">
      <c r="A16" s="158"/>
      <c r="B16" s="158"/>
      <c r="C16" s="158"/>
      <c r="D16" s="158"/>
      <c r="E16" s="158"/>
      <c r="F16" s="158"/>
      <c r="G16" s="158"/>
      <c r="H16" s="158"/>
      <c r="I16" s="158"/>
      <c r="J16" s="158"/>
    </row>
    <row r="17" spans="1:13" ht="13.5">
      <c r="A17" s="824" t="str">
        <f>CONCATENATE("Your patient has undergone a risk assessment (see attached) and requires a course of ",LEFT('Rabies form'!X300)," doses of rabies vaccine",IF('Rabies form'!F308="YES"," and a single dose of human rabies immunoglobulin (HRIG). ","."))</f>
        <v>Your patient has undergone a risk assessment (see attached) and requires a course of 0 doses of rabies vaccine.</v>
      </c>
      <c r="B17" s="824"/>
      <c r="C17" s="824"/>
      <c r="D17" s="824"/>
      <c r="E17" s="824"/>
      <c r="F17" s="824"/>
      <c r="G17" s="824"/>
      <c r="H17" s="824"/>
      <c r="I17" s="824"/>
      <c r="J17" s="159"/>
      <c r="M17" s="127">
        <v>7</v>
      </c>
    </row>
    <row r="18" spans="1:10" ht="13.5">
      <c r="A18" s="824"/>
      <c r="B18" s="824"/>
      <c r="C18" s="824"/>
      <c r="D18" s="824"/>
      <c r="E18" s="824"/>
      <c r="F18" s="824"/>
      <c r="G18" s="824"/>
      <c r="H18" s="824"/>
      <c r="I18" s="824"/>
      <c r="J18" s="159"/>
    </row>
    <row r="19" spans="1:10" ht="15">
      <c r="A19" s="155"/>
      <c r="B19" s="155"/>
      <c r="C19" s="155"/>
      <c r="D19" s="155"/>
      <c r="E19" s="155"/>
      <c r="F19" s="155"/>
      <c r="G19" s="155"/>
      <c r="H19" s="155"/>
      <c r="I19" s="155"/>
      <c r="J19" s="158"/>
    </row>
    <row r="20" spans="1:9" ht="13.5">
      <c r="A20" s="155" t="s">
        <v>583</v>
      </c>
      <c r="B20" s="155"/>
      <c r="C20" s="155"/>
      <c r="D20" s="155"/>
      <c r="E20" s="155"/>
      <c r="F20" s="155"/>
      <c r="G20" s="155"/>
      <c r="H20" s="155"/>
      <c r="I20" s="155"/>
    </row>
    <row r="21" spans="1:14" ht="13.5">
      <c r="A21" s="155"/>
      <c r="B21" s="155" t="s">
        <v>581</v>
      </c>
      <c r="C21" s="160" t="str">
        <f>IF('Rabies form'!F$307="d0",'Rabies form'!W$313,"Already given")</f>
        <v>Already given</v>
      </c>
      <c r="D21" s="155"/>
      <c r="E21" s="155"/>
      <c r="F21" s="155"/>
      <c r="G21" s="155"/>
      <c r="H21" s="155"/>
      <c r="I21" s="155"/>
      <c r="M21" s="161" t="e">
        <f>C22+4</f>
        <v>#VALUE!</v>
      </c>
      <c r="N21" s="127" t="e">
        <f>TEXT(M21,"dd/mm/yyyy")</f>
        <v>#VALUE!</v>
      </c>
    </row>
    <row r="22" spans="1:9" ht="13.5">
      <c r="A22" s="155"/>
      <c r="B22" s="155" t="s">
        <v>582</v>
      </c>
      <c r="C22" s="162" t="str">
        <f>IF('Rabies form'!F$307="d3",'Rabies form'!W$313,IF(C21="Already given","Already given",' Letter - 1'!C21+3))</f>
        <v>Already given</v>
      </c>
      <c r="D22" s="160" t="str">
        <f>IF(LEFT('Rabies form'!X300)="2",CONCATENATE("-",TEXT(C22+4,"dd/mm/yyyy")),IF(C22="Already given"," ","+/- 1 day"))</f>
        <v> </v>
      </c>
      <c r="E22" s="155"/>
      <c r="F22" s="155"/>
      <c r="G22" s="155"/>
      <c r="H22" s="155"/>
      <c r="I22" s="155"/>
    </row>
    <row r="23" spans="1:13" ht="13.5">
      <c r="A23" s="155"/>
      <c r="B23" s="155" t="str">
        <f>IF(LEFT('Rabies form'!I300,1)="2"," ","3rd dose (d7)")</f>
        <v>3rd dose (d7)</v>
      </c>
      <c r="C23" s="160" t="str">
        <f>IF(LEFT('Rabies form'!X300)="2"," ",IF('Rabies form'!F$307="d7",'Rabies form'!W$313,IF(C22="Already given","Already given",' Letter - 1'!C22+4)))</f>
        <v>Already given</v>
      </c>
      <c r="D23" s="155">
        <f>IF(C23=" ","",IF(C23="Already given","","+/- 1 day"))</f>
      </c>
      <c r="E23" s="155"/>
      <c r="F23" s="155"/>
      <c r="G23" s="155"/>
      <c r="H23" s="155"/>
      <c r="I23" s="155"/>
      <c r="M23" s="127" t="s">
        <v>703</v>
      </c>
    </row>
    <row r="24" spans="1:9" ht="13.5">
      <c r="A24" s="155"/>
      <c r="B24" s="155" t="str">
        <f>IF(LEFT('Rabies form'!I300,1)="2"," ",IF(LEFT('Rabies form'!I300,1)="4","4th dose (d21)","4th dose (d14)"))</f>
        <v>4th dose (d14)</v>
      </c>
      <c r="C24" s="160" t="e">
        <f>IF(LEFT('Rabies form'!X300)="2"," ",IF(LEFT('Rabies form'!X300)="5",IF('Rabies form'!F$307="d14",'Rabies form'!W$313,IF(C23="Already given","Already given",C23+7)),IF('Rabies form'!F307="d21",'Rabies form'!W313,C23+14)))</f>
        <v>#VALUE!</v>
      </c>
      <c r="D24" s="155" t="e">
        <f>IF(C24=" ","",IF(C24="Already given","",IF('Rabies form'!X300=5,"+/- 3 days","+7 days")))</f>
        <v>#VALUE!</v>
      </c>
      <c r="E24" s="155"/>
      <c r="F24" s="155"/>
      <c r="G24" s="155"/>
      <c r="H24" s="155"/>
      <c r="I24" s="155"/>
    </row>
    <row r="25" spans="1:19" ht="13.5">
      <c r="A25" s="155"/>
      <c r="B25" s="155" t="str">
        <f>IF(LEFT('Rabies form'!I300,1)="5","5th dose (d30)"," ")</f>
        <v> </v>
      </c>
      <c r="C25" s="160" t="str">
        <f>IF(LEFT('Rabies form'!X300)="5",IF('Rabies form'!F$307="d30",'Rabies form'!W$313,' Letter - 1'!C24+16)," ")</f>
        <v> </v>
      </c>
      <c r="D25" s="155" t="str">
        <f>IF(C25=" "," ","+/- 4 days")</f>
        <v> </v>
      </c>
      <c r="E25" s="155"/>
      <c r="F25" s="155"/>
      <c r="G25" s="155"/>
      <c r="H25" s="155"/>
      <c r="I25" s="155"/>
      <c r="M25" s="155" t="s">
        <v>650</v>
      </c>
      <c r="N25" s="155"/>
      <c r="O25" s="155"/>
      <c r="P25" s="155"/>
      <c r="Q25" s="155"/>
      <c r="R25" s="155"/>
      <c r="S25" s="155"/>
    </row>
    <row r="26" spans="1:9" ht="6.75" customHeight="1">
      <c r="A26" s="155"/>
      <c r="B26" s="155"/>
      <c r="C26" s="160"/>
      <c r="D26" s="155"/>
      <c r="E26" s="155"/>
      <c r="F26" s="155"/>
      <c r="G26" s="155"/>
      <c r="H26" s="155"/>
      <c r="I26" s="155"/>
    </row>
    <row r="27" spans="1:9" ht="13.5">
      <c r="A27" s="155" t="str">
        <f>IF('Rabies form'!F308&lt;&gt;"YES",M25,"")</f>
        <v>Further information can be found on the accompanying leaflet</v>
      </c>
      <c r="B27" s="155"/>
      <c r="C27" s="160"/>
      <c r="D27" s="155"/>
      <c r="E27" s="155"/>
      <c r="F27" s="155"/>
      <c r="G27" s="155"/>
      <c r="H27" s="155"/>
      <c r="I27" s="155"/>
    </row>
    <row r="28" spans="1:9" ht="12" customHeight="1">
      <c r="A28" s="155">
        <f>IF('Rabies form'!F308="YES",IF('Rabies form'!E335=0,M23,""),"")</f>
      </c>
      <c r="B28" s="155"/>
      <c r="C28" s="160"/>
      <c r="D28" s="155"/>
      <c r="E28" s="155"/>
      <c r="F28" s="155"/>
      <c r="G28" s="155"/>
      <c r="H28" s="155"/>
      <c r="I28" s="155"/>
    </row>
    <row r="29" spans="1:18" ht="13.5">
      <c r="A29" s="155" t="str">
        <f>IF('Rabies form'!F308&lt;&gt;"YES",IF('Rabies form'!I317="YES",M30,M29),"")</f>
        <v>There is no need to do an antibody test at the end of the course.</v>
      </c>
      <c r="M29" s="155" t="s">
        <v>576</v>
      </c>
      <c r="N29" s="155"/>
      <c r="O29" s="155"/>
      <c r="P29" s="155"/>
      <c r="Q29" s="155"/>
      <c r="R29" s="155"/>
    </row>
    <row r="30" spans="1:18" ht="13.5">
      <c r="A30" s="825">
        <f>IF('Rabies form'!E335&gt;0,CONCATENATE("The calculated dose of HRIG required is ",ROUND('Rabies form'!F311,1)," ml.   You have been supplied with ",'Rabies form'!F312," vials (a total of ",'Rabies form'!F312*'Rabies form'!N309," mls). Do NOT administer more than the calculated dose for your patient, and please dispose of the excess HRIG."),"")</f>
      </c>
      <c r="B30" s="826"/>
      <c r="C30" s="826"/>
      <c r="D30" s="826"/>
      <c r="E30" s="826"/>
      <c r="F30" s="826"/>
      <c r="G30" s="826"/>
      <c r="H30" s="826"/>
      <c r="I30" s="826"/>
      <c r="M30" s="155" t="s">
        <v>579</v>
      </c>
      <c r="N30" s="155"/>
      <c r="O30" s="155"/>
      <c r="P30" s="155"/>
      <c r="Q30" s="155"/>
      <c r="R30" s="155"/>
    </row>
    <row r="31" spans="1:9" ht="12">
      <c r="A31" s="826"/>
      <c r="B31" s="826"/>
      <c r="C31" s="826"/>
      <c r="D31" s="826"/>
      <c r="E31" s="826"/>
      <c r="F31" s="826"/>
      <c r="G31" s="826"/>
      <c r="H31" s="826"/>
      <c r="I31" s="826"/>
    </row>
    <row r="32" spans="1:13" ht="22.5" customHeight="1">
      <c r="A32" s="826"/>
      <c r="B32" s="826"/>
      <c r="C32" s="826"/>
      <c r="D32" s="826"/>
      <c r="E32" s="826"/>
      <c r="F32" s="826"/>
      <c r="G32" s="826"/>
      <c r="H32" s="826"/>
      <c r="I32" s="826"/>
      <c r="M32" s="194" t="s">
        <v>704</v>
      </c>
    </row>
    <row r="33" spans="1:13" ht="13.5">
      <c r="A33" s="155">
        <f>IF('Rabies form'!E335&gt;0,"The HRIG should be infiltrated where at all possible at the site of the bite, and administered no ","")</f>
      </c>
      <c r="B33" s="76"/>
      <c r="C33" s="76"/>
      <c r="D33" s="76"/>
      <c r="E33" s="76"/>
      <c r="F33" s="76"/>
      <c r="G33" s="76"/>
      <c r="H33" s="76"/>
      <c r="I33" s="76"/>
      <c r="M33" s="155"/>
    </row>
    <row r="34" spans="1:2" ht="18.75" customHeight="1">
      <c r="A34" s="227">
        <f>IF('Rabies form'!E335&gt;0,"later than ","")</f>
      </c>
      <c r="B34" s="228">
        <f>IF('Rabies form'!E335&gt;0,Calendar!I4+7,"")</f>
      </c>
    </row>
    <row r="35" spans="1:6" ht="13.5">
      <c r="A35" s="155">
        <f>IF('Rabies form'!F308="YES",' Letter - 1'!M25,"")</f>
      </c>
      <c r="B35" s="155"/>
      <c r="C35" s="155"/>
      <c r="D35" s="155"/>
      <c r="E35" s="155"/>
      <c r="F35" s="155"/>
    </row>
    <row r="36" spans="1:9" ht="125.25" customHeight="1">
      <c r="A36" s="824" t="str">
        <f>M32</f>
        <v>Please note the advice given is based on the available information. It remains the responsibility of registered healthcare professionals prescribing, supplying or administering medicines to check the medicine is appropriate for the patient.This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v>
      </c>
      <c r="B36" s="827"/>
      <c r="C36" s="827"/>
      <c r="D36" s="827"/>
      <c r="E36" s="827"/>
      <c r="F36" s="827"/>
      <c r="G36" s="827"/>
      <c r="H36" s="827"/>
      <c r="I36" s="827"/>
    </row>
    <row r="37" spans="1:9" ht="12.75" customHeight="1">
      <c r="A37" s="824"/>
      <c r="B37" s="827"/>
      <c r="C37" s="827"/>
      <c r="D37" s="827"/>
      <c r="E37" s="827"/>
      <c r="F37" s="827"/>
      <c r="G37" s="827"/>
      <c r="H37" s="827"/>
      <c r="I37" s="827"/>
    </row>
    <row r="38" spans="1:2" s="139" customFormat="1" ht="24.75" customHeight="1">
      <c r="A38" s="163" t="s">
        <v>578</v>
      </c>
      <c r="B38" s="164"/>
    </row>
    <row r="39" ht="12.75"/>
    <row r="40" ht="12.75"/>
    <row r="41" ht="12.75"/>
    <row r="42" spans="1:3" ht="13.5">
      <c r="A42" s="155" t="s">
        <v>799</v>
      </c>
      <c r="B42" s="155"/>
      <c r="C42" s="155"/>
    </row>
    <row r="43" spans="1:3" ht="13.5">
      <c r="A43" s="153" t="s">
        <v>800</v>
      </c>
      <c r="B43" s="155"/>
      <c r="C43" s="155"/>
    </row>
    <row r="44" spans="1:3" ht="13.5">
      <c r="A44" s="127" t="s">
        <v>801</v>
      </c>
      <c r="B44" s="155"/>
      <c r="C44" s="155"/>
    </row>
    <row r="45" spans="1:3" ht="13.5">
      <c r="A45" s="153"/>
      <c r="B45" s="155"/>
      <c r="C45" s="155"/>
    </row>
  </sheetData>
  <sheetProtection password="CC4C" sheet="1" selectLockedCells="1"/>
  <mergeCells count="5">
    <mergeCell ref="B15:E15"/>
    <mergeCell ref="A17:I18"/>
    <mergeCell ref="A30:I32"/>
    <mergeCell ref="A36:I36"/>
    <mergeCell ref="A37:I37"/>
  </mergeCells>
  <printOptions/>
  <pageMargins left="0.25" right="0.25"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2"/>
  <dimension ref="A7:S47"/>
  <sheetViews>
    <sheetView showGridLines="0" showRowColHeaders="0" zoomScalePageLayoutView="0" workbookViewId="0" topLeftCell="A4">
      <selection activeCell="B49" sqref="B49"/>
    </sheetView>
  </sheetViews>
  <sheetFormatPr defaultColWidth="11.421875" defaultRowHeight="12.75"/>
  <cols>
    <col min="1" max="1" width="9.421875" style="127" customWidth="1"/>
    <col min="2" max="2" width="14.140625" style="127" customWidth="1"/>
    <col min="3" max="3" width="13.7109375" style="127" customWidth="1"/>
    <col min="4" max="4" width="6.140625" style="127" customWidth="1"/>
    <col min="5" max="5" width="7.28125" style="127" customWidth="1"/>
    <col min="6" max="6" width="6.7109375" style="127" customWidth="1"/>
    <col min="7" max="7" width="10.421875" style="127" customWidth="1"/>
    <col min="8" max="8" width="11.421875" style="127" customWidth="1"/>
    <col min="9" max="9" width="10.421875" style="127" customWidth="1"/>
    <col min="10" max="11" width="11.421875" style="127" customWidth="1"/>
    <col min="12" max="12" width="9.140625" style="127" hidden="1" customWidth="1"/>
    <col min="13" max="13" width="10.140625" style="127" hidden="1" customWidth="1"/>
    <col min="14" max="15" width="9.140625" style="127" hidden="1" customWidth="1"/>
    <col min="16" max="19" width="0" style="127" hidden="1" customWidth="1"/>
    <col min="20" max="16384" width="11.421875" style="127" customWidth="1"/>
  </cols>
  <sheetData>
    <row r="1" ht="12.75"/>
    <row r="2" ht="12.75"/>
    <row r="3" ht="12.75"/>
    <row r="4" ht="12.75"/>
    <row r="5" ht="12.75"/>
    <row r="6" ht="9" customHeight="1"/>
    <row r="7" ht="12" customHeight="1">
      <c r="G7" s="153" t="s">
        <v>572</v>
      </c>
    </row>
    <row r="8" ht="12.75">
      <c r="G8" s="153" t="s">
        <v>713</v>
      </c>
    </row>
    <row r="9" ht="12.75">
      <c r="G9" s="153" t="s">
        <v>573</v>
      </c>
    </row>
    <row r="10" ht="12">
      <c r="G10" s="153"/>
    </row>
    <row r="11" ht="12">
      <c r="G11" s="154">
        <f ca="1">TODAY()</f>
        <v>45411</v>
      </c>
    </row>
    <row r="12" spans="1:7" ht="13.5">
      <c r="A12" s="155" t="s">
        <v>574</v>
      </c>
      <c r="G12" s="154"/>
    </row>
    <row r="14" spans="1:10" ht="15">
      <c r="A14" s="155" t="s">
        <v>571</v>
      </c>
      <c r="B14" s="823" t="str">
        <f>Calendar!F1</f>
        <v>First name Surname</v>
      </c>
      <c r="C14" s="823"/>
      <c r="D14" s="823"/>
      <c r="E14" s="823"/>
      <c r="F14" s="156" t="s">
        <v>575</v>
      </c>
      <c r="G14" s="828">
        <f>'Rabies form'!Y284</f>
        <v>0</v>
      </c>
      <c r="H14" s="829"/>
      <c r="I14" s="158"/>
      <c r="J14" s="158"/>
    </row>
    <row r="15" spans="1:10" ht="15">
      <c r="A15" s="158"/>
      <c r="B15" s="158"/>
      <c r="C15" s="158"/>
      <c r="D15" s="158"/>
      <c r="E15" s="158"/>
      <c r="F15" s="158"/>
      <c r="G15" s="158"/>
      <c r="H15" s="158"/>
      <c r="I15" s="158"/>
      <c r="J15" s="158"/>
    </row>
    <row r="16" spans="1:13" ht="13.5">
      <c r="A16" s="824" t="str">
        <f>CONCATENATE("Your patient has undergone a risk assessment (see attached) and requires to complete a course of ",'Rabies form'!X300," doses of rabies vaccine",IF('Rabies form'!F308="YES"," and a single dose of human rabies immunoglobulin (HRIG). ","."))</f>
        <v>Your patient has undergone a risk assessment (see attached) and requires to complete a course of 0 doses of rabies vaccine.</v>
      </c>
      <c r="B16" s="824"/>
      <c r="C16" s="824"/>
      <c r="D16" s="824"/>
      <c r="E16" s="824"/>
      <c r="F16" s="824"/>
      <c r="G16" s="824"/>
      <c r="H16" s="824"/>
      <c r="I16" s="824"/>
      <c r="J16" s="159"/>
      <c r="M16" s="127">
        <v>7</v>
      </c>
    </row>
    <row r="17" spans="1:10" ht="13.5">
      <c r="A17" s="824"/>
      <c r="B17" s="824"/>
      <c r="C17" s="824"/>
      <c r="D17" s="824"/>
      <c r="E17" s="824"/>
      <c r="F17" s="824"/>
      <c r="G17" s="824"/>
      <c r="H17" s="824"/>
      <c r="I17" s="824"/>
      <c r="J17" s="159"/>
    </row>
    <row r="18" spans="1:10" ht="29.25" customHeight="1">
      <c r="A18" s="824" t="e">
        <f>"The first part of the treatment, "&amp;'Rabies form'!E337&amp;" vaccine"&amp;IF('Rabies form'!F308="YES",IF('Rabies form'!E335&gt;0.5," and HRG",""),"")&amp;", has been/will be given by "&amp;'Rabies form'!E332&amp;" at "&amp;'Rabies form'!X329</f>
        <v>#VALUE!</v>
      </c>
      <c r="B18" s="353"/>
      <c r="C18" s="353"/>
      <c r="D18" s="353"/>
      <c r="E18" s="353"/>
      <c r="F18" s="353"/>
      <c r="G18" s="353"/>
      <c r="H18" s="353"/>
      <c r="I18" s="353"/>
      <c r="J18" s="159"/>
    </row>
    <row r="19" spans="1:10" ht="12.75" customHeight="1">
      <c r="A19" s="352"/>
      <c r="B19" s="352"/>
      <c r="C19" s="352"/>
      <c r="D19" s="352"/>
      <c r="E19" s="352"/>
      <c r="F19" s="352"/>
      <c r="G19" s="352"/>
      <c r="H19" s="352"/>
      <c r="I19" s="352"/>
      <c r="J19" s="159"/>
    </row>
    <row r="20" spans="1:10" ht="28.5" customHeight="1">
      <c r="A20" s="824" t="e">
        <f>CONCATENATE("Please arrange for the last ",'Rabies form'!E353," vaccine dose",IF('Rabies form'!E353&gt;1,"s","")," (starting on ",'Rabies form'!U353,")",IF('Rabies form'!E351&gt;0," and HRIG ","")," to be given according to the schedule below:")</f>
        <v>#VALUE!</v>
      </c>
      <c r="B20" s="353"/>
      <c r="C20" s="353"/>
      <c r="D20" s="353"/>
      <c r="E20" s="353"/>
      <c r="F20" s="353"/>
      <c r="G20" s="353"/>
      <c r="H20" s="353"/>
      <c r="I20" s="353"/>
      <c r="J20" s="159"/>
    </row>
    <row r="21" spans="1:10" ht="15">
      <c r="A21" s="155"/>
      <c r="B21" s="155"/>
      <c r="C21" s="155"/>
      <c r="D21" s="155"/>
      <c r="E21" s="155"/>
      <c r="F21" s="155"/>
      <c r="G21" s="155"/>
      <c r="H21" s="155"/>
      <c r="I21" s="155"/>
      <c r="J21" s="158"/>
    </row>
    <row r="22" spans="1:14" ht="13.5">
      <c r="A22" s="155"/>
      <c r="B22" s="155" t="s">
        <v>581</v>
      </c>
      <c r="C22" s="160" t="str">
        <f>IF('Rabies form'!F$307="d0",'Rabies form'!W$313,"Already given")</f>
        <v>Already given</v>
      </c>
      <c r="D22" s="155"/>
      <c r="E22" s="155"/>
      <c r="F22" s="155"/>
      <c r="G22" s="155"/>
      <c r="H22" s="155"/>
      <c r="I22" s="155"/>
      <c r="M22" s="161" t="e">
        <f>C23+4</f>
        <v>#VALUE!</v>
      </c>
      <c r="N22" s="127" t="e">
        <f>TEXT(M22,"dd/mm/yyyy")</f>
        <v>#VALUE!</v>
      </c>
    </row>
    <row r="23" spans="1:9" ht="13.5">
      <c r="A23" s="155"/>
      <c r="B23" s="155" t="s">
        <v>582</v>
      </c>
      <c r="C23" s="162" t="str">
        <f>IF('Rabies form'!F$307="d3",'Rabies form'!W$313,IF(C22="Already given","Already given",C22+3))</f>
        <v>Already given</v>
      </c>
      <c r="D23" s="160">
        <f>IF(LEFT('Rabies form'!X300,1)="2",CONCATENATE("-",TEXT(C23+4,"dd/mm/yyyy")),IF(C23="Already given","",IF(C23="Not required","","+/- 1 day")))</f>
      </c>
      <c r="E23" s="155"/>
      <c r="F23" s="155"/>
      <c r="G23" s="155"/>
      <c r="H23" s="155"/>
      <c r="I23" s="155"/>
    </row>
    <row r="24" spans="1:9" ht="13.5">
      <c r="A24" s="155"/>
      <c r="B24" s="155" t="str">
        <f>IF('Rabies form'!X300=2," ","3rd dose (d7)")</f>
        <v>3rd dose (d7)</v>
      </c>
      <c r="C24" s="160" t="str">
        <f>IF(LEFT('Rabies form'!X300)="2"," ",IF('Rabies form'!F$307="d7",'Rabies form'!W$313,IF(' Letter - 1'!C22="Already given","Already given",' Letter - 1'!C22+4)))</f>
        <v>Already given</v>
      </c>
      <c r="D24" s="155">
        <f>IF(C24=" ","",IF(C24="Already given","","+/- 1 day"))</f>
      </c>
      <c r="E24" s="155"/>
      <c r="F24" s="155"/>
      <c r="G24" s="155"/>
      <c r="H24" s="155"/>
      <c r="I24" s="155"/>
    </row>
    <row r="25" spans="1:9" ht="13.5">
      <c r="A25" s="155"/>
      <c r="B25" s="155" t="str">
        <f>IF('Rabies form'!X300=2," ",IF('Rabies form'!X300=4,"4th dose (d21)","4th dose (d14))"))</f>
        <v>4th dose (d14))</v>
      </c>
      <c r="C25" s="160" t="e">
        <f>IF(LEFT('Rabies form'!X300)="2"," ",IF(LEFT('Rabies form'!X300)="5",IF('Rabies form'!F$307="d14",'Rabies form'!W$313,IF(' Letter - 1'!C23="Already given","Already given",' Letter - 1'!C23+7)),IF('Rabies form'!F307="d21",'Rabies form'!W313,' Letter - 1'!C23+14)))</f>
        <v>#VALUE!</v>
      </c>
      <c r="D25" s="155" t="e">
        <f>IF(' Letter - 1'!C24=" ","",IF(' Letter - 1'!C24="Already given","",IF('Rabies form'!X300=5,"+/- 3 days","+7 days")))</f>
        <v>#VALUE!</v>
      </c>
      <c r="E25" s="155"/>
      <c r="F25" s="155"/>
      <c r="G25" s="155"/>
      <c r="H25" s="155"/>
      <c r="I25" s="155"/>
    </row>
    <row r="26" spans="1:19" ht="13.5">
      <c r="A26" s="155"/>
      <c r="B26" s="155" t="str">
        <f>IF(LEFT('Rabies form'!X300)="5","5th dose (d30)"," ")</f>
        <v> </v>
      </c>
      <c r="C26" s="160" t="str">
        <f>IF(LEFT('Rabies form'!X300)="5",IF('Rabies form'!F$307="d30",'Rabies form'!W$313,C25+16)," ")</f>
        <v> </v>
      </c>
      <c r="D26" s="155" t="str">
        <f>IF(C26=" "," ","+/- 4 days")</f>
        <v> </v>
      </c>
      <c r="E26" s="155"/>
      <c r="F26" s="155"/>
      <c r="G26" s="155"/>
      <c r="H26" s="155"/>
      <c r="I26" s="155"/>
      <c r="M26" s="155" t="s">
        <v>577</v>
      </c>
      <c r="N26" s="155"/>
      <c r="O26" s="155"/>
      <c r="P26" s="155"/>
      <c r="Q26" s="155"/>
      <c r="R26" s="155"/>
      <c r="S26" s="155"/>
    </row>
    <row r="27" spans="1:9" ht="6.75" customHeight="1">
      <c r="A27" s="155"/>
      <c r="B27" s="155"/>
      <c r="C27" s="160" t="str">
        <f>IF(LEFT('Rabies form'!I304,1)="5",IF('Rabies form'!F$307="d30",'Rabies form'!W$313,C26+16)," ")</f>
        <v> </v>
      </c>
      <c r="D27" s="155" t="str">
        <f>IF(C27=" "," ","+/- 4 days")</f>
        <v> </v>
      </c>
      <c r="E27" s="155"/>
      <c r="F27" s="155"/>
      <c r="G27" s="155"/>
      <c r="H27" s="155"/>
      <c r="I27" s="155"/>
    </row>
    <row r="28" spans="1:9" ht="13.5">
      <c r="A28" s="155" t="str">
        <f>IF('Rabies form'!E351&gt;0,"",M26)</f>
        <v>Further information can be found on the accompanying leaflet/letter</v>
      </c>
      <c r="B28" s="155"/>
      <c r="C28" s="160"/>
      <c r="D28" s="155"/>
      <c r="E28" s="155"/>
      <c r="F28" s="155"/>
      <c r="G28" s="155"/>
      <c r="H28" s="155"/>
      <c r="I28" s="155"/>
    </row>
    <row r="29" spans="1:9" ht="8.25" customHeight="1">
      <c r="A29" s="155"/>
      <c r="B29" s="155"/>
      <c r="C29" s="160"/>
      <c r="D29" s="155"/>
      <c r="E29" s="155"/>
      <c r="F29" s="155"/>
      <c r="G29" s="155"/>
      <c r="H29" s="155"/>
      <c r="I29" s="155"/>
    </row>
    <row r="30" spans="1:18" ht="13.5">
      <c r="A30" s="155" t="str">
        <f>IF('Rabies form'!E351&gt;0,"",IF('Rabies form'!I317="YES",M31,M30))</f>
        <v>There is no need to do an antibody test at the end of the course.</v>
      </c>
      <c r="M30" s="155" t="s">
        <v>576</v>
      </c>
      <c r="N30" s="155"/>
      <c r="O30" s="155"/>
      <c r="P30" s="155"/>
      <c r="Q30" s="155"/>
      <c r="R30" s="155"/>
    </row>
    <row r="31" spans="1:18" ht="13.5">
      <c r="A31" s="825">
        <f>IF('Rabies form'!E351&gt;0,CONCATENATE("The calculated dose of HRIG required is ",ROUND('Rabies form'!F311,1)," ml.   You have been supplied with ",'Rabies form'!F312," vials (a total of ",'Rabies form'!F312*'Rabies form'!N309," mls). Do NOT administer more than the calculated dose for your patient, and please dispose of the excess HRIG."),"")</f>
      </c>
      <c r="B31" s="826"/>
      <c r="C31" s="826"/>
      <c r="D31" s="826"/>
      <c r="E31" s="826"/>
      <c r="F31" s="826"/>
      <c r="G31" s="826"/>
      <c r="H31" s="826"/>
      <c r="I31" s="826"/>
      <c r="M31" s="155" t="s">
        <v>579</v>
      </c>
      <c r="N31" s="155"/>
      <c r="O31" s="155"/>
      <c r="P31" s="155"/>
      <c r="Q31" s="155"/>
      <c r="R31" s="155"/>
    </row>
    <row r="32" spans="1:9" ht="12">
      <c r="A32" s="826"/>
      <c r="B32" s="826"/>
      <c r="C32" s="826"/>
      <c r="D32" s="826"/>
      <c r="E32" s="826"/>
      <c r="F32" s="826"/>
      <c r="G32" s="826"/>
      <c r="H32" s="826"/>
      <c r="I32" s="826"/>
    </row>
    <row r="33" spans="1:13" ht="22.5" customHeight="1">
      <c r="A33" s="826"/>
      <c r="B33" s="826"/>
      <c r="C33" s="826"/>
      <c r="D33" s="826"/>
      <c r="E33" s="826"/>
      <c r="F33" s="826"/>
      <c r="G33" s="826"/>
      <c r="H33" s="826"/>
      <c r="I33" s="826"/>
      <c r="M33" s="194" t="s">
        <v>705</v>
      </c>
    </row>
    <row r="34" spans="1:13" ht="13.5">
      <c r="A34" s="155">
        <f>IF('Rabies form'!E351&gt;0,"The HRIG should be infiltrated where at all possible at the site of the bite, and administered no ","")</f>
      </c>
      <c r="B34" s="76"/>
      <c r="C34" s="76"/>
      <c r="D34" s="76"/>
      <c r="E34" s="76"/>
      <c r="F34" s="76"/>
      <c r="G34" s="76"/>
      <c r="H34" s="76"/>
      <c r="I34" s="76"/>
      <c r="M34" s="155"/>
    </row>
    <row r="35" spans="1:2" ht="13.5">
      <c r="A35" s="160">
        <f>IF('Rabies form'!E351&gt;0,"later than ","")</f>
      </c>
      <c r="B35" s="165">
        <f>IF('Rabies form'!E351&gt;0,Calendar!I4+7,"")</f>
      </c>
    </row>
    <row r="36" spans="1:6" ht="13.5">
      <c r="A36" s="155">
        <f>IF('Rabies form'!E351&gt;0,'Letter 2'!M26,"")</f>
      </c>
      <c r="B36" s="155"/>
      <c r="C36" s="155"/>
      <c r="D36" s="155"/>
      <c r="E36" s="155"/>
      <c r="F36" s="155"/>
    </row>
    <row r="37" spans="1:9" ht="129" customHeight="1">
      <c r="A37" s="824" t="str">
        <f>M33</f>
        <v>Please note the advice given is based on the available information. It remains the responsibility of registered healthcare professionals prescribing, supplying or administering medicines to check the medicine is appropriate for the patient. 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v>
      </c>
      <c r="B37" s="827"/>
      <c r="C37" s="827"/>
      <c r="D37" s="827"/>
      <c r="E37" s="827"/>
      <c r="F37" s="827"/>
      <c r="G37" s="827"/>
      <c r="H37" s="827"/>
      <c r="I37" s="827"/>
    </row>
    <row r="38" spans="1:7" ht="13.5">
      <c r="A38" s="155"/>
      <c r="B38" s="155"/>
      <c r="C38" s="155"/>
      <c r="D38" s="155"/>
      <c r="E38" s="155"/>
      <c r="F38" s="155"/>
      <c r="G38" s="155"/>
    </row>
    <row r="39" spans="1:2" s="139" customFormat="1" ht="16.5" customHeight="1">
      <c r="A39" s="163" t="s">
        <v>578</v>
      </c>
      <c r="B39" s="164"/>
    </row>
    <row r="40" ht="12.75"/>
    <row r="41" ht="12.75"/>
    <row r="42" ht="6" customHeight="1"/>
    <row r="43" ht="3" customHeight="1"/>
    <row r="44" spans="1:3" ht="13.5">
      <c r="A44" s="155" t="s">
        <v>799</v>
      </c>
      <c r="B44" s="155"/>
      <c r="C44" s="155"/>
    </row>
    <row r="45" spans="1:3" ht="13.5">
      <c r="A45" s="153" t="s">
        <v>800</v>
      </c>
      <c r="B45" s="155"/>
      <c r="C45" s="155"/>
    </row>
    <row r="46" spans="1:3" ht="13.5">
      <c r="A46" s="153" t="s">
        <v>801</v>
      </c>
      <c r="B46" s="155"/>
      <c r="C46" s="155"/>
    </row>
    <row r="47" spans="1:3" ht="3.75" customHeight="1">
      <c r="A47" s="153"/>
      <c r="B47" s="155"/>
      <c r="C47" s="155"/>
    </row>
  </sheetData>
  <sheetProtection password="CC4C" sheet="1" selectLockedCells="1"/>
  <mergeCells count="7">
    <mergeCell ref="B14:E14"/>
    <mergeCell ref="A16:I17"/>
    <mergeCell ref="A31:I33"/>
    <mergeCell ref="A37:I37"/>
    <mergeCell ref="A20:I20"/>
    <mergeCell ref="G14:H14"/>
    <mergeCell ref="A18:I19"/>
  </mergeCells>
  <printOptions/>
  <pageMargins left="0.25" right="0.25"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3"/>
  <dimension ref="A1:S47"/>
  <sheetViews>
    <sheetView showGridLines="0" showRowColHeaders="0" zoomScalePageLayoutView="0" workbookViewId="0" topLeftCell="A19">
      <selection activeCell="A44" sqref="A44"/>
    </sheetView>
  </sheetViews>
  <sheetFormatPr defaultColWidth="11.421875" defaultRowHeight="12.75"/>
  <cols>
    <col min="1" max="1" width="9.8515625" style="127" customWidth="1"/>
    <col min="2" max="2" width="14.8515625" style="127" customWidth="1"/>
    <col min="3" max="3" width="13.140625" style="127" customWidth="1"/>
    <col min="4" max="4" width="7.421875" style="127" customWidth="1"/>
    <col min="5" max="5" width="7.8515625" style="127" customWidth="1"/>
    <col min="6" max="6" width="4.7109375" style="127" customWidth="1"/>
    <col min="7" max="7" width="11.28125" style="127" customWidth="1"/>
    <col min="8" max="8" width="11.421875" style="127" customWidth="1"/>
    <col min="9" max="9" width="10.421875" style="127" customWidth="1"/>
    <col min="10" max="11" width="11.421875" style="127" customWidth="1"/>
    <col min="12" max="12" width="9.140625" style="127" hidden="1" customWidth="1"/>
    <col min="13" max="13" width="10.140625" style="127" hidden="1" customWidth="1"/>
    <col min="14" max="14" width="9.140625" style="127" hidden="1" customWidth="1"/>
    <col min="15" max="19" width="0" style="127" hidden="1" customWidth="1"/>
    <col min="20" max="16384" width="11.421875" style="127" customWidth="1"/>
  </cols>
  <sheetData>
    <row r="1" ht="12">
      <c r="A1" s="153"/>
    </row>
    <row r="8" spans="7:9" ht="12">
      <c r="G8" s="168" t="s">
        <v>328</v>
      </c>
      <c r="H8" s="169"/>
      <c r="I8" s="169"/>
    </row>
    <row r="9" spans="7:9" ht="12">
      <c r="G9" s="168" t="s">
        <v>585</v>
      </c>
      <c r="H9" s="169"/>
      <c r="I9" s="169"/>
    </row>
    <row r="10" spans="7:9" ht="12">
      <c r="G10" s="168" t="s">
        <v>586</v>
      </c>
      <c r="H10" s="169"/>
      <c r="I10" s="169"/>
    </row>
    <row r="11" ht="9" customHeight="1">
      <c r="G11" s="153"/>
    </row>
    <row r="12" ht="12">
      <c r="G12" s="154">
        <f ca="1">TODAY()</f>
        <v>45411</v>
      </c>
    </row>
    <row r="13" spans="1:7" ht="13.5">
      <c r="A13" s="155" t="s">
        <v>574</v>
      </c>
      <c r="G13" s="154"/>
    </row>
    <row r="15" spans="1:10" ht="15">
      <c r="A15" s="155" t="s">
        <v>571</v>
      </c>
      <c r="B15" s="823" t="str">
        <f>Calendar!F1</f>
        <v>First name Surname</v>
      </c>
      <c r="C15" s="823"/>
      <c r="D15" s="823"/>
      <c r="E15" s="823"/>
      <c r="F15" s="156" t="s">
        <v>575</v>
      </c>
      <c r="G15" s="157">
        <f>'Rabies form'!Y284</f>
        <v>0</v>
      </c>
      <c r="H15" s="155"/>
      <c r="I15" s="158"/>
      <c r="J15" s="158"/>
    </row>
    <row r="16" spans="1:10" ht="15">
      <c r="A16" s="158"/>
      <c r="B16" s="158"/>
      <c r="C16" s="158"/>
      <c r="D16" s="158"/>
      <c r="E16" s="158"/>
      <c r="F16" s="158"/>
      <c r="G16" s="158"/>
      <c r="H16" s="158"/>
      <c r="I16" s="158"/>
      <c r="J16" s="158"/>
    </row>
    <row r="17" spans="1:13" ht="13.5">
      <c r="A17" s="824" t="str">
        <f>CONCATENATE("Your patient has undergone a risk assessment (see attached) and requires a course of ",LEFT('Rabies form'!X300)," doses of rabies vaccine",IF('Rabies form'!F308="YES"," and a single dose of human rabies immunoglobulin (HRIG). ","."))</f>
        <v>Your patient has undergone a risk assessment (see attached) and requires a course of 0 doses of rabies vaccine.</v>
      </c>
      <c r="B17" s="824"/>
      <c r="C17" s="824"/>
      <c r="D17" s="824"/>
      <c r="E17" s="824"/>
      <c r="F17" s="824"/>
      <c r="G17" s="824"/>
      <c r="H17" s="824"/>
      <c r="I17" s="824"/>
      <c r="J17" s="159"/>
      <c r="M17" s="127">
        <v>7</v>
      </c>
    </row>
    <row r="18" spans="1:10" ht="13.5">
      <c r="A18" s="824"/>
      <c r="B18" s="824"/>
      <c r="C18" s="824"/>
      <c r="D18" s="824"/>
      <c r="E18" s="824"/>
      <c r="F18" s="824"/>
      <c r="G18" s="824"/>
      <c r="H18" s="824"/>
      <c r="I18" s="824"/>
      <c r="J18" s="159"/>
    </row>
    <row r="19" spans="1:10" ht="15">
      <c r="A19" s="155"/>
      <c r="B19" s="155"/>
      <c r="C19" s="155"/>
      <c r="D19" s="155"/>
      <c r="E19" s="155"/>
      <c r="F19" s="155"/>
      <c r="G19" s="155"/>
      <c r="H19" s="155"/>
      <c r="I19" s="155"/>
      <c r="J19" s="158"/>
    </row>
    <row r="20" spans="1:9" ht="13.5">
      <c r="A20" s="155" t="s">
        <v>583</v>
      </c>
      <c r="B20" s="155"/>
      <c r="C20" s="155"/>
      <c r="D20" s="155"/>
      <c r="E20" s="155"/>
      <c r="F20" s="155"/>
      <c r="G20" s="155"/>
      <c r="H20" s="155"/>
      <c r="I20" s="155"/>
    </row>
    <row r="21" spans="1:14" ht="13.5">
      <c r="A21" s="155"/>
      <c r="B21" s="155" t="s">
        <v>581</v>
      </c>
      <c r="C21" s="160" t="str">
        <f>IF('Rabies form'!F$307="d0",'Rabies form'!W$313,"Already given")</f>
        <v>Already given</v>
      </c>
      <c r="D21" s="155"/>
      <c r="E21" s="155"/>
      <c r="F21" s="155"/>
      <c r="G21" s="155"/>
      <c r="H21" s="155"/>
      <c r="I21" s="155"/>
      <c r="M21" s="161" t="e">
        <f>C22+4</f>
        <v>#VALUE!</v>
      </c>
      <c r="N21" s="127" t="e">
        <f>TEXT(M21,"dd/mm/yyyy")</f>
        <v>#VALUE!</v>
      </c>
    </row>
    <row r="22" spans="1:9" ht="13.5">
      <c r="A22" s="155"/>
      <c r="B22" s="155" t="s">
        <v>582</v>
      </c>
      <c r="C22" s="162" t="str">
        <f>IF('Rabies form'!F$307="d3",'Rabies form'!W$313,IF(C21="Already given","Already given",' Letter - 1'!C21+3))</f>
        <v>Already given</v>
      </c>
      <c r="D22" s="160" t="str">
        <f>IF(LEFT('Rabies form'!X300)="2",CONCATENATE("-",TEXT(C22+4,"dd/mm/yyyy")),IF(C22="Already given"," ","+/- 1 day"))</f>
        <v> </v>
      </c>
      <c r="E22" s="155"/>
      <c r="F22" s="155"/>
      <c r="G22" s="155"/>
      <c r="H22" s="155"/>
      <c r="I22" s="155"/>
    </row>
    <row r="23" spans="1:9" ht="13.5">
      <c r="A23" s="155"/>
      <c r="B23" s="155" t="str">
        <f>IF(LEFT('Rabies form'!I300,1)="2"," ","3rd dose (d7)")</f>
        <v>3rd dose (d7)</v>
      </c>
      <c r="C23" s="160" t="str">
        <f>IF(LEFT('Rabies form'!X300)="2"," ",IF('Rabies form'!F$307="d7",'Rabies form'!W$313,IF(C22="Already given","Already given",' Letter - 1'!C22+4)))</f>
        <v>Already given</v>
      </c>
      <c r="D23" s="155">
        <f>IF(C23=" ","",IF(C23="Already given","","+/- 1 day"))</f>
      </c>
      <c r="E23" s="155"/>
      <c r="F23" s="155"/>
      <c r="G23" s="155"/>
      <c r="H23" s="155"/>
      <c r="I23" s="155"/>
    </row>
    <row r="24" spans="1:9" ht="13.5">
      <c r="A24" s="155"/>
      <c r="B24" s="155" t="str">
        <f>IF(LEFT('Rabies form'!I300,1)="2"," ",IF(LEFT('Rabies form'!I300,1)="4","4th dose (d21)","4th dose (d14))"))</f>
        <v>4th dose (d14))</v>
      </c>
      <c r="C24" s="160" t="e">
        <f>IF(LEFT('Rabies form'!X300)="2"," ",IF(LEFT('Rabies form'!X300)="5",IF('Rabies form'!F$307="d14",'Rabies form'!W$313,IF(C23="Already given","Already given",' Letter - 1'!C23+7)),IF('Rabies form'!F307="d21",'Rabies form'!W313,' Letter - 1'!C23+14)))</f>
        <v>#VALUE!</v>
      </c>
      <c r="D24" s="155" t="e">
        <f>IF(C24=" ","",IF(C24="Already given","",IF('Rabies form'!X300=5,"+/- 3 days","+7 days")))</f>
        <v>#VALUE!</v>
      </c>
      <c r="E24" s="155"/>
      <c r="F24" s="155"/>
      <c r="G24" s="155"/>
      <c r="H24" s="155"/>
      <c r="I24" s="155"/>
    </row>
    <row r="25" spans="1:19" ht="13.5">
      <c r="A25" s="155"/>
      <c r="B25" s="155" t="str">
        <f>IF(LEFT('Rabies form'!I300,1)="5","5th dose (d30)"," ")</f>
        <v> </v>
      </c>
      <c r="C25" s="160" t="str">
        <f>IF(LEFT('Rabies form'!X300)="5",IF('Rabies form'!F$307="d30",'Rabies form'!W$313,' Letter - 1'!C24+16)," ")</f>
        <v> </v>
      </c>
      <c r="D25" s="155" t="str">
        <f>IF(C25=" "," ","+/- 4 days")</f>
        <v> </v>
      </c>
      <c r="E25" s="155"/>
      <c r="F25" s="155"/>
      <c r="G25" s="155"/>
      <c r="H25" s="155"/>
      <c r="I25" s="155"/>
      <c r="M25" s="155" t="s">
        <v>650</v>
      </c>
      <c r="N25" s="155"/>
      <c r="O25" s="155"/>
      <c r="P25" s="155"/>
      <c r="Q25" s="155"/>
      <c r="R25" s="155"/>
      <c r="S25" s="155"/>
    </row>
    <row r="26" spans="1:9" ht="6.75" customHeight="1">
      <c r="A26" s="155"/>
      <c r="B26" s="155"/>
      <c r="C26" s="160" t="str">
        <f>IF(LEFT('Rabies form'!I301,1)="5",IF('Rabies form'!F$307="d30",'Rabies form'!W$313,' Letter - 1'!C25+16)," ")</f>
        <v> </v>
      </c>
      <c r="D26" s="155"/>
      <c r="E26" s="155"/>
      <c r="F26" s="155"/>
      <c r="G26" s="155"/>
      <c r="H26" s="155"/>
      <c r="I26" s="155"/>
    </row>
    <row r="27" spans="1:9" ht="13.5">
      <c r="A27" s="155" t="str">
        <f>IF('Rabies form'!F308&lt;&gt;"YES",M25,"")</f>
        <v>Further information can be found on the accompanying leaflet</v>
      </c>
      <c r="B27" s="155"/>
      <c r="C27" s="160"/>
      <c r="D27" s="155"/>
      <c r="E27" s="155"/>
      <c r="F27" s="155"/>
      <c r="G27" s="155"/>
      <c r="H27" s="155"/>
      <c r="I27" s="155"/>
    </row>
    <row r="28" spans="1:9" ht="12" customHeight="1">
      <c r="A28" s="155"/>
      <c r="B28" s="155"/>
      <c r="C28" s="160"/>
      <c r="D28" s="155"/>
      <c r="E28" s="155"/>
      <c r="F28" s="155"/>
      <c r="G28" s="155"/>
      <c r="H28" s="155"/>
      <c r="I28" s="155"/>
    </row>
    <row r="29" spans="1:18" ht="13.5">
      <c r="A29" s="155" t="str">
        <f>IF('Rabies form'!F308&lt;&gt;"YES",IF('Rabies form'!I317="YES",M30,M29),"")</f>
        <v>There is no need to do an antibody test at the end of the course.</v>
      </c>
      <c r="M29" s="155" t="s">
        <v>576</v>
      </c>
      <c r="N29" s="155"/>
      <c r="O29" s="155"/>
      <c r="P29" s="155"/>
      <c r="Q29" s="155"/>
      <c r="R29" s="155"/>
    </row>
    <row r="30" spans="1:18" ht="13.5">
      <c r="A30" s="825">
        <f>IF('Rabies form'!F308="YES",CONCATENATE("The calculated dose of HRIG required is ",ROUND('Rabies form'!F311,1)," ml.   You have been supplied with ",'Rabies form'!F312," vials (a total of ",'Rabies form'!F312*'Rabies form'!N309," mls). Do NOT administer more than the calculated dose for your patient, and please dispose of the excess HRIG."),"")</f>
      </c>
      <c r="B30" s="826"/>
      <c r="C30" s="826"/>
      <c r="D30" s="826"/>
      <c r="E30" s="826"/>
      <c r="F30" s="826"/>
      <c r="G30" s="826"/>
      <c r="H30" s="826"/>
      <c r="I30" s="826"/>
      <c r="M30" s="155" t="s">
        <v>579</v>
      </c>
      <c r="N30" s="155"/>
      <c r="O30" s="155"/>
      <c r="P30" s="155"/>
      <c r="Q30" s="155"/>
      <c r="R30" s="155"/>
    </row>
    <row r="31" spans="1:9" ht="12">
      <c r="A31" s="826"/>
      <c r="B31" s="826"/>
      <c r="C31" s="826"/>
      <c r="D31" s="826"/>
      <c r="E31" s="826"/>
      <c r="F31" s="826"/>
      <c r="G31" s="826"/>
      <c r="H31" s="826"/>
      <c r="I31" s="826"/>
    </row>
    <row r="32" spans="1:13" ht="22.5" customHeight="1">
      <c r="A32" s="826"/>
      <c r="B32" s="826"/>
      <c r="C32" s="826"/>
      <c r="D32" s="826"/>
      <c r="E32" s="826"/>
      <c r="F32" s="826"/>
      <c r="G32" s="826"/>
      <c r="H32" s="826"/>
      <c r="I32" s="826"/>
      <c r="M32" s="194" t="s">
        <v>657</v>
      </c>
    </row>
    <row r="33" spans="1:13" ht="13.5">
      <c r="A33" s="155">
        <f>IF('Rabies form'!F308="YES","The HRIG should be infiltrated where at all possible at the site of the bite, and administered no ","")</f>
      </c>
      <c r="B33" s="76"/>
      <c r="C33" s="76"/>
      <c r="D33" s="76"/>
      <c r="E33" s="76"/>
      <c r="F33" s="76"/>
      <c r="G33" s="76"/>
      <c r="H33" s="76"/>
      <c r="I33" s="76"/>
      <c r="M33" s="155"/>
    </row>
    <row r="34" spans="1:2" ht="13.5">
      <c r="A34" s="160">
        <f>IF('Rabies form'!F308="YES","later than ","")</f>
      </c>
      <c r="B34" s="165">
        <f>IF('Rabies form'!F308="YES",Calendar!I4+7,"")</f>
      </c>
    </row>
    <row r="35" spans="1:6" ht="13.5">
      <c r="A35" s="155">
        <f>IF('Rabies form'!F308="YES",'Letter - Oth'!M25,"")</f>
      </c>
      <c r="B35" s="155"/>
      <c r="C35" s="155"/>
      <c r="D35" s="155"/>
      <c r="E35" s="155"/>
      <c r="F35" s="155"/>
    </row>
    <row r="36" spans="1:6" ht="13.5">
      <c r="A36" s="155"/>
      <c r="B36" s="155"/>
      <c r="C36" s="155"/>
      <c r="D36" s="155"/>
      <c r="E36" s="155"/>
      <c r="F36" s="155"/>
    </row>
    <row r="37" spans="1:9" ht="112.5" customHeight="1">
      <c r="A37" s="824" t="str">
        <f>M32</f>
        <v>Please note the advice given is based on the available information. It remains the responsibility of registered healthcare professionals prescribing, supplying or administering medicines to check the medicine is appropriate for the patient. This includes checking doses, contraindications and drug interactions. The clinician should be aware of potential side effects and communicate these to the patient.
The Falsified Medicine Directive (FMD) and Delegated Regulation came into force on 9 February 2019.  Vaccines and/or immunoglobulin in FMD-compliant packs are subject to the requirements of the Delegated Regulation.</v>
      </c>
      <c r="B37" s="827"/>
      <c r="C37" s="827"/>
      <c r="D37" s="827"/>
      <c r="E37" s="827"/>
      <c r="F37" s="827"/>
      <c r="G37" s="827"/>
      <c r="H37" s="827"/>
      <c r="I37" s="827"/>
    </row>
    <row r="38" spans="1:7" ht="13.5">
      <c r="A38" s="155"/>
      <c r="B38" s="155"/>
      <c r="C38" s="155"/>
      <c r="D38" s="155"/>
      <c r="E38" s="155"/>
      <c r="F38" s="155"/>
      <c r="G38" s="155"/>
    </row>
    <row r="39" spans="1:2" s="139" customFormat="1" ht="24.75" customHeight="1">
      <c r="A39" s="163" t="s">
        <v>578</v>
      </c>
      <c r="B39" s="164"/>
    </row>
    <row r="43" ht="18" customHeight="1"/>
    <row r="44" spans="1:3" ht="13.5">
      <c r="A44" s="167" t="s">
        <v>328</v>
      </c>
      <c r="B44" s="167"/>
      <c r="C44" s="155"/>
    </row>
    <row r="45" spans="1:3" ht="13.5">
      <c r="A45" s="167" t="s">
        <v>587</v>
      </c>
      <c r="B45" s="167"/>
      <c r="C45" s="155"/>
    </row>
    <row r="46" spans="1:3" ht="13.5">
      <c r="A46" s="167"/>
      <c r="B46" s="167"/>
      <c r="C46" s="155"/>
    </row>
    <row r="47" spans="1:3" ht="13.5">
      <c r="A47" s="155"/>
      <c r="B47" s="155"/>
      <c r="C47" s="155"/>
    </row>
  </sheetData>
  <sheetProtection password="CC4C" sheet="1" selectLockedCells="1"/>
  <mergeCells count="4">
    <mergeCell ref="B15:E15"/>
    <mergeCell ref="A17:I18"/>
    <mergeCell ref="A30:I32"/>
    <mergeCell ref="A37:I37"/>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codeName="Sheet4">
    <pageSetUpPr fitToPage="1"/>
  </sheetPr>
  <dimension ref="A1:W43"/>
  <sheetViews>
    <sheetView showGridLines="0" showRowColHeaders="0" workbookViewId="0" topLeftCell="A1">
      <selection activeCell="I43" sqref="I43"/>
    </sheetView>
  </sheetViews>
  <sheetFormatPr defaultColWidth="7.421875" defaultRowHeight="12.75"/>
  <cols>
    <col min="1" max="1" width="8.421875" style="0" customWidth="1"/>
    <col min="2" max="10" width="9.421875" style="0" customWidth="1"/>
    <col min="11" max="11" width="11.28125" style="0" customWidth="1"/>
    <col min="12" max="12" width="12.00390625" style="0" customWidth="1"/>
    <col min="13" max="13" width="11.421875" style="0" customWidth="1"/>
    <col min="14" max="14" width="11.28125" style="0" customWidth="1"/>
    <col min="15" max="15" width="14.00390625" style="0" customWidth="1"/>
    <col min="16" max="16" width="9.421875" style="0" customWidth="1"/>
    <col min="17" max="20" width="8.421875" style="0" customWidth="1"/>
  </cols>
  <sheetData>
    <row r="1" spans="1:21" ht="19.5">
      <c r="A1" s="44"/>
      <c r="B1" s="44"/>
      <c r="C1" s="44"/>
      <c r="D1" s="44" t="s">
        <v>337</v>
      </c>
      <c r="E1" s="44"/>
      <c r="F1" s="831" t="str">
        <f>CONCATENATE('Rabies form'!W284," ",'Rabies form'!X284)</f>
        <v>First name Surname</v>
      </c>
      <c r="G1" s="831"/>
      <c r="H1" s="831"/>
      <c r="I1" s="831"/>
      <c r="J1" s="831"/>
      <c r="K1" s="831"/>
      <c r="L1" s="44"/>
      <c r="M1" s="44" t="s">
        <v>338</v>
      </c>
      <c r="N1" s="830">
        <f>'Rabies form'!S284+CONCATENATE('Rabies form'!Y284)</f>
        <v>0</v>
      </c>
      <c r="O1" s="830"/>
      <c r="P1" s="830"/>
      <c r="Q1" s="44"/>
      <c r="R1" s="44"/>
      <c r="S1" s="44"/>
      <c r="T1" s="44"/>
      <c r="U1" s="44"/>
    </row>
    <row r="2" spans="1:21" ht="15.75" thickBot="1">
      <c r="A2" s="41"/>
      <c r="B2" s="127"/>
      <c r="C2" s="127"/>
      <c r="D2" s="132"/>
      <c r="E2" s="132"/>
      <c r="F2" s="132"/>
      <c r="G2" s="132"/>
      <c r="H2" s="132"/>
      <c r="I2" s="151"/>
      <c r="J2" s="152"/>
      <c r="K2" s="152"/>
      <c r="L2" s="132"/>
      <c r="M2" s="132"/>
      <c r="N2" s="132"/>
      <c r="O2" s="132"/>
      <c r="P2" s="132"/>
      <c r="Q2" s="132"/>
      <c r="R2" s="133"/>
      <c r="S2" s="302"/>
      <c r="T2" s="302"/>
      <c r="U2" s="41"/>
    </row>
    <row r="3" spans="2:21" ht="14.25" customHeight="1" thickBot="1">
      <c r="B3" s="844" t="s">
        <v>567</v>
      </c>
      <c r="C3" s="845"/>
      <c r="D3" s="299" t="s">
        <v>340</v>
      </c>
      <c r="E3" s="300"/>
      <c r="F3" s="299" t="s">
        <v>341</v>
      </c>
      <c r="G3" s="300"/>
      <c r="H3" s="299" t="s">
        <v>342</v>
      </c>
      <c r="I3" s="301">
        <f>IF('Rabies form'!F308&lt;&gt;"YES",1,IF('Rabies form'!F307="d0",1,2))</f>
        <v>1</v>
      </c>
      <c r="J3" s="302"/>
      <c r="K3" s="346" t="str">
        <f>IF(B4="d0",J4,"xxx")</f>
        <v>xxx</v>
      </c>
      <c r="L3" s="346" t="str">
        <f>IF(B4="d0",K3+3,IF(B4="d3",J4,"xxx"))</f>
        <v>xxx</v>
      </c>
      <c r="M3" s="346" t="str">
        <f>IF($B4="d7",$J4,IF(L3="xxx","xxx",L3+4))</f>
        <v>xxx</v>
      </c>
      <c r="N3" s="346" t="e">
        <f>IF(LEFT('Rabies form'!I300,1)="2","xxx",IF(LEFT('Rabies form'!I300,1)="4",IF(ISNUMBER(M3),M3+14,IF($B4="d21",$J4,IF(M3="xxx","xxx",M3+7))),IF($B4="d14",$J4,M3+7)))</f>
        <v>#VALUE!</v>
      </c>
      <c r="O3" s="346" t="e">
        <f>IF(O4="xxx","xxx",IF($B4="d30",$J4,IF(N3="xxx","xxx",N3+16)))</f>
        <v>#VALUE!</v>
      </c>
      <c r="P3" s="158"/>
      <c r="Q3" s="127"/>
      <c r="R3" s="133"/>
      <c r="S3" s="842" t="s">
        <v>339</v>
      </c>
      <c r="T3" s="843"/>
      <c r="U3" s="41"/>
    </row>
    <row r="4" spans="2:21" ht="14.25" customHeight="1" thickBot="1">
      <c r="B4" s="855">
        <f>'Rabies form'!F307</f>
        <v>0</v>
      </c>
      <c r="C4" s="856"/>
      <c r="D4" s="303">
        <f>DAY('Rabies form'!N313)</f>
        <v>0</v>
      </c>
      <c r="E4" s="304"/>
      <c r="F4" s="303">
        <f>MONTH('Rabies form'!N313)</f>
        <v>1</v>
      </c>
      <c r="G4" s="304"/>
      <c r="H4" s="303">
        <f>YEAR('Rabies form'!N313)</f>
        <v>1900</v>
      </c>
      <c r="I4" s="305">
        <f>IF(B4="d0",J4,'Rabies form'!I303)</f>
        <v>0</v>
      </c>
      <c r="J4" s="306" t="e">
        <f>DATEVALUE(IF($D4&lt;10,"0"&amp;$D4,$D4)&amp;"/"&amp;IF($F4&lt;10,"0"&amp;$F4,$F4)&amp;"/"&amp;$H4)</f>
        <v>#VALUE!</v>
      </c>
      <c r="K4" s="347" t="s">
        <v>344</v>
      </c>
      <c r="L4" s="347" t="s">
        <v>345</v>
      </c>
      <c r="M4" s="347" t="s">
        <v>346</v>
      </c>
      <c r="N4" s="347" t="str">
        <f>IF('Rabies form'!X300=4,"Day 21","Day 14")</f>
        <v>Day 14</v>
      </c>
      <c r="O4" s="347" t="str">
        <f>IF('Rabies form'!X300=4,"xxx","Day 30")</f>
        <v>Day 30</v>
      </c>
      <c r="P4" s="158"/>
      <c r="Q4" s="127"/>
      <c r="R4" s="133"/>
      <c r="S4" s="846">
        <f ca="1">TODAY()</f>
        <v>45411</v>
      </c>
      <c r="T4" s="847"/>
      <c r="U4" s="41"/>
    </row>
    <row r="5" spans="2:21" ht="14.25" customHeight="1">
      <c r="B5" s="158"/>
      <c r="C5" s="158"/>
      <c r="D5" s="307"/>
      <c r="E5" s="298"/>
      <c r="F5" s="308"/>
      <c r="G5" s="309"/>
      <c r="H5" s="310"/>
      <c r="I5" s="311"/>
      <c r="J5" s="310"/>
      <c r="K5" s="311"/>
      <c r="L5" s="312"/>
      <c r="M5" s="313"/>
      <c r="N5" s="314"/>
      <c r="O5" s="314"/>
      <c r="P5" s="314"/>
      <c r="Q5" s="126"/>
      <c r="R5" s="129"/>
      <c r="S5" s="345"/>
      <c r="T5" s="315"/>
      <c r="U5" s="41"/>
    </row>
    <row r="6" spans="2:21" ht="14.25" customHeight="1">
      <c r="B6" s="158"/>
      <c r="C6" s="315"/>
      <c r="D6" s="307"/>
      <c r="E6" s="298"/>
      <c r="F6" s="308"/>
      <c r="G6" s="309"/>
      <c r="H6" s="316"/>
      <c r="I6" s="309"/>
      <c r="J6" s="316"/>
      <c r="K6" s="309"/>
      <c r="L6" s="317"/>
      <c r="M6" s="314"/>
      <c r="N6" s="314"/>
      <c r="O6" s="314"/>
      <c r="P6" s="314"/>
      <c r="Q6" s="126"/>
      <c r="R6" s="129"/>
      <c r="S6" s="130"/>
      <c r="T6" s="131"/>
      <c r="U6" s="41"/>
    </row>
    <row r="7" spans="1:21" ht="13.5" customHeight="1">
      <c r="A7" s="45"/>
      <c r="B7" s="838">
        <f>DATEVALUE("01/"&amp;IF($F$4&lt;10,"0"&amp;$F$4,$F$4)&amp;"/"&amp;$H$4)</f>
        <v>1</v>
      </c>
      <c r="C7" s="839"/>
      <c r="D7" s="839"/>
      <c r="E7" s="839"/>
      <c r="F7" s="839"/>
      <c r="G7" s="839"/>
      <c r="H7" s="839"/>
      <c r="I7" s="302"/>
      <c r="J7" s="838">
        <f>DATE(YEAR($B$7),MONTH($B$7)+1,1)</f>
        <v>32</v>
      </c>
      <c r="K7" s="839"/>
      <c r="L7" s="839"/>
      <c r="M7" s="839"/>
      <c r="N7" s="839"/>
      <c r="O7" s="839"/>
      <c r="P7" s="839"/>
      <c r="Q7" s="132"/>
      <c r="R7" s="133"/>
      <c r="S7" s="134"/>
      <c r="T7" s="134"/>
      <c r="U7" s="41"/>
    </row>
    <row r="8" spans="1:21" ht="12" customHeight="1">
      <c r="A8" s="41"/>
      <c r="B8" s="302"/>
      <c r="C8" s="302"/>
      <c r="D8" s="302"/>
      <c r="E8" s="302"/>
      <c r="F8" s="302"/>
      <c r="G8" s="302"/>
      <c r="H8" s="302"/>
      <c r="I8" s="302"/>
      <c r="J8" s="302"/>
      <c r="K8" s="302"/>
      <c r="L8" s="302"/>
      <c r="M8" s="302"/>
      <c r="N8" s="302"/>
      <c r="O8" s="302"/>
      <c r="P8" s="302"/>
      <c r="Q8" s="132"/>
      <c r="R8" s="135"/>
      <c r="S8" s="865"/>
      <c r="T8" s="865"/>
      <c r="U8" s="41"/>
    </row>
    <row r="9" spans="1:21" ht="15">
      <c r="A9" s="41"/>
      <c r="B9" s="318" t="s">
        <v>349</v>
      </c>
      <c r="C9" s="319" t="s">
        <v>350</v>
      </c>
      <c r="D9" s="319" t="s">
        <v>351</v>
      </c>
      <c r="E9" s="318" t="s">
        <v>352</v>
      </c>
      <c r="F9" s="318" t="s">
        <v>353</v>
      </c>
      <c r="G9" s="318" t="s">
        <v>354</v>
      </c>
      <c r="H9" s="318" t="s">
        <v>355</v>
      </c>
      <c r="I9" s="302"/>
      <c r="J9" s="318" t="s">
        <v>349</v>
      </c>
      <c r="K9" s="318" t="s">
        <v>350</v>
      </c>
      <c r="L9" s="318" t="s">
        <v>351</v>
      </c>
      <c r="M9" s="318" t="s">
        <v>352</v>
      </c>
      <c r="N9" s="318" t="s">
        <v>353</v>
      </c>
      <c r="O9" s="318" t="s">
        <v>354</v>
      </c>
      <c r="P9" s="318" t="s">
        <v>355</v>
      </c>
      <c r="Q9" s="132"/>
      <c r="R9" s="135"/>
      <c r="S9" s="136">
        <f>IF('Rabies form'!F308="YES",2,1)</f>
        <v>1</v>
      </c>
      <c r="T9" s="137"/>
      <c r="U9" s="41"/>
    </row>
    <row r="10" spans="1:21" ht="15">
      <c r="A10" s="41"/>
      <c r="B10" s="320">
        <f>(WEEKDAY(B7)=1)*B7</f>
        <v>1</v>
      </c>
      <c r="C10" s="321">
        <f>(WEEKDAY(B7)=2)*B7+(B10&gt;0)+B10</f>
        <v>2</v>
      </c>
      <c r="D10" s="322">
        <f>(WEEKDAY(B7)=3)*B7+(C10&gt;0)+C10</f>
        <v>3</v>
      </c>
      <c r="E10" s="323">
        <f>(WEEKDAY(B7)=4)*B7+(D10&gt;0)+D10</f>
        <v>4</v>
      </c>
      <c r="F10" s="323">
        <f>(WEEKDAY(B7)=5)*B7+(E10&gt;0)+E10</f>
        <v>5</v>
      </c>
      <c r="G10" s="323">
        <f>(WEEKDAY(B7)=6)*B7+(F10&gt;0)+F10</f>
        <v>6</v>
      </c>
      <c r="H10" s="324">
        <f>(WEEKDAY(B7)=7)*B7+(G10&gt;0)+G10</f>
        <v>7</v>
      </c>
      <c r="I10" s="302"/>
      <c r="J10" s="324">
        <f>(WEEKDAY(J7)=1)*J7</f>
        <v>0</v>
      </c>
      <c r="K10" s="323">
        <f>(WEEKDAY(J7)=2)*J7+(J10&gt;0)+J10</f>
        <v>0</v>
      </c>
      <c r="L10" s="323">
        <f>(WEEKDAY(J7)=3)*J7+(K10&gt;0)+K10</f>
        <v>0</v>
      </c>
      <c r="M10" s="323">
        <f>(WEEKDAY(J7)=4)*J7+(L10&gt;0)+L10</f>
        <v>32</v>
      </c>
      <c r="N10" s="323">
        <f>(WEEKDAY(J7)=5)*J7+(M10&gt;0)+M10</f>
        <v>33</v>
      </c>
      <c r="O10" s="323">
        <f>(WEEKDAY(J7)=6)*J7+(N10&gt;0)+N10</f>
        <v>34</v>
      </c>
      <c r="P10" s="324">
        <f>(WEEKDAY(J7)=7)*J7+(O10&gt;0)+O10</f>
        <v>35</v>
      </c>
      <c r="Q10" s="132"/>
      <c r="R10" s="132"/>
      <c r="S10" s="47"/>
      <c r="T10" s="47"/>
      <c r="U10" s="41"/>
    </row>
    <row r="11" spans="1:21" ht="15">
      <c r="A11" s="41"/>
      <c r="B11" s="325" t="str">
        <f aca="true" t="shared" si="0" ref="B11:H11">IF(ISERROR(HLOOKUP(B10,$K$3:$O$4,2,FALSE))," ",HLOOKUP(B10,$K$3:$O$4,2,FALSE))</f>
        <v> </v>
      </c>
      <c r="C11" s="326" t="str">
        <f t="shared" si="0"/>
        <v> </v>
      </c>
      <c r="D11" s="327" t="str">
        <f t="shared" si="0"/>
        <v> </v>
      </c>
      <c r="E11" s="328" t="str">
        <f t="shared" si="0"/>
        <v> </v>
      </c>
      <c r="F11" s="328" t="str">
        <f t="shared" si="0"/>
        <v> </v>
      </c>
      <c r="G11" s="328" t="str">
        <f t="shared" si="0"/>
        <v> </v>
      </c>
      <c r="H11" s="329" t="str">
        <f t="shared" si="0"/>
        <v> </v>
      </c>
      <c r="I11" s="302"/>
      <c r="J11" s="329" t="str">
        <f aca="true" t="shared" si="1" ref="J11:P11">IF(ISERROR(HLOOKUP(J10,$K$3:$O$4,2,FALSE))," ",HLOOKUP(J10,$K$3:$O$4,2,FALSE))</f>
        <v> </v>
      </c>
      <c r="K11" s="328" t="str">
        <f t="shared" si="1"/>
        <v> </v>
      </c>
      <c r="L11" s="328" t="str">
        <f t="shared" si="1"/>
        <v> </v>
      </c>
      <c r="M11" s="328" t="str">
        <f t="shared" si="1"/>
        <v> </v>
      </c>
      <c r="N11" s="328" t="str">
        <f t="shared" si="1"/>
        <v> </v>
      </c>
      <c r="O11" s="328" t="str">
        <f t="shared" si="1"/>
        <v> </v>
      </c>
      <c r="P11" s="329" t="str">
        <f t="shared" si="1"/>
        <v> </v>
      </c>
      <c r="Q11" s="132"/>
      <c r="R11" s="864" t="s">
        <v>546</v>
      </c>
      <c r="S11" s="864"/>
      <c r="T11" s="864"/>
      <c r="U11" s="41"/>
    </row>
    <row r="12" spans="1:21" ht="15">
      <c r="A12" s="41"/>
      <c r="B12" s="330">
        <f aca="true" t="shared" si="2" ref="B12:H12">IF(B10=$S$4,2,"")</f>
      </c>
      <c r="C12" s="331">
        <f t="shared" si="2"/>
      </c>
      <c r="D12" s="332">
        <f t="shared" si="2"/>
      </c>
      <c r="E12" s="333">
        <f t="shared" si="2"/>
      </c>
      <c r="F12" s="333">
        <f t="shared" si="2"/>
      </c>
      <c r="G12" s="333">
        <f t="shared" si="2"/>
      </c>
      <c r="H12" s="334">
        <f t="shared" si="2"/>
      </c>
      <c r="I12" s="302"/>
      <c r="J12" s="334">
        <f aca="true" t="shared" si="3" ref="J12:P12">IF(J10=$S$4,2,"")</f>
      </c>
      <c r="K12" s="333">
        <f t="shared" si="3"/>
      </c>
      <c r="L12" s="333">
        <f t="shared" si="3"/>
      </c>
      <c r="M12" s="333">
        <f t="shared" si="3"/>
      </c>
      <c r="N12" s="333">
        <f t="shared" si="3"/>
      </c>
      <c r="O12" s="333">
        <f t="shared" si="3"/>
      </c>
      <c r="P12" s="334">
        <f t="shared" si="3"/>
      </c>
      <c r="Q12" s="132"/>
      <c r="R12" s="840" t="s">
        <v>503</v>
      </c>
      <c r="S12" s="841"/>
      <c r="T12" s="138">
        <f>'Rabies form'!F308</f>
        <v>0</v>
      </c>
      <c r="U12" s="41"/>
    </row>
    <row r="13" spans="1:21" ht="15">
      <c r="A13" s="41"/>
      <c r="B13" s="335">
        <f>H10+1</f>
        <v>8</v>
      </c>
      <c r="C13" s="336">
        <f aca="true" t="shared" si="4" ref="C13:H13">B13+1</f>
        <v>9</v>
      </c>
      <c r="D13" s="336">
        <f t="shared" si="4"/>
        <v>10</v>
      </c>
      <c r="E13" s="337">
        <f t="shared" si="4"/>
        <v>11</v>
      </c>
      <c r="F13" s="337">
        <f t="shared" si="4"/>
        <v>12</v>
      </c>
      <c r="G13" s="337">
        <f t="shared" si="4"/>
        <v>13</v>
      </c>
      <c r="H13" s="335">
        <f t="shared" si="4"/>
        <v>14</v>
      </c>
      <c r="I13" s="302"/>
      <c r="J13" s="335">
        <f>P10+1</f>
        <v>36</v>
      </c>
      <c r="K13" s="337">
        <f aca="true" t="shared" si="5" ref="K13:P13">J13+1</f>
        <v>37</v>
      </c>
      <c r="L13" s="337">
        <f t="shared" si="5"/>
        <v>38</v>
      </c>
      <c r="M13" s="337">
        <f t="shared" si="5"/>
        <v>39</v>
      </c>
      <c r="N13" s="337">
        <f t="shared" si="5"/>
        <v>40</v>
      </c>
      <c r="O13" s="337">
        <f t="shared" si="5"/>
        <v>41</v>
      </c>
      <c r="P13" s="335">
        <f t="shared" si="5"/>
        <v>42</v>
      </c>
      <c r="Q13" s="132"/>
      <c r="R13" s="862" t="s">
        <v>356</v>
      </c>
      <c r="S13" s="863"/>
      <c r="T13" s="141">
        <f>'Rabies form'!F309</f>
        <v>0</v>
      </c>
      <c r="U13" s="41"/>
    </row>
    <row r="14" spans="1:21" ht="15">
      <c r="A14" s="41"/>
      <c r="B14" s="329" t="str">
        <f aca="true" t="shared" si="6" ref="B14:H14">IF(ISERROR(HLOOKUP(B13,$K$3:$O$4,2,FALSE))," ",HLOOKUP(B13,$K$3:$O$4,2,FALSE))</f>
        <v> </v>
      </c>
      <c r="C14" s="328" t="str">
        <f t="shared" si="6"/>
        <v> </v>
      </c>
      <c r="D14" s="328" t="str">
        <f t="shared" si="6"/>
        <v> </v>
      </c>
      <c r="E14" s="328" t="str">
        <f t="shared" si="6"/>
        <v> </v>
      </c>
      <c r="F14" s="328" t="str">
        <f t="shared" si="6"/>
        <v> </v>
      </c>
      <c r="G14" s="328" t="str">
        <f t="shared" si="6"/>
        <v> </v>
      </c>
      <c r="H14" s="329" t="str">
        <f t="shared" si="6"/>
        <v> </v>
      </c>
      <c r="I14" s="302"/>
      <c r="J14" s="329" t="str">
        <f aca="true" t="shared" si="7" ref="J14:P14">IF(ISERROR(HLOOKUP(J13,$K$3:$O$4,2,FALSE))," ",HLOOKUP(J13,$K$3:$O$4,2,FALSE))</f>
        <v> </v>
      </c>
      <c r="K14" s="328" t="str">
        <f t="shared" si="7"/>
        <v> </v>
      </c>
      <c r="L14" s="328" t="str">
        <f t="shared" si="7"/>
        <v> </v>
      </c>
      <c r="M14" s="328" t="str">
        <f t="shared" si="7"/>
        <v> </v>
      </c>
      <c r="N14" s="328" t="str">
        <f t="shared" si="7"/>
        <v> </v>
      </c>
      <c r="O14" s="328" t="str">
        <f t="shared" si="7"/>
        <v> </v>
      </c>
      <c r="P14" s="329" t="str">
        <f t="shared" si="7"/>
        <v> </v>
      </c>
      <c r="Q14" s="132"/>
      <c r="R14" s="862" t="s">
        <v>357</v>
      </c>
      <c r="S14" s="862"/>
      <c r="T14" s="89">
        <f>'Rabies form'!M308</f>
        <v>211</v>
      </c>
      <c r="U14" s="41"/>
    </row>
    <row r="15" spans="1:21" ht="15">
      <c r="A15" s="41"/>
      <c r="B15" s="334">
        <f aca="true" t="shared" si="8" ref="B15:H15">IF(B13=$S$4,2,"")</f>
      </c>
      <c r="C15" s="333">
        <f t="shared" si="8"/>
      </c>
      <c r="D15" s="333">
        <f t="shared" si="8"/>
      </c>
      <c r="E15" s="333">
        <f t="shared" si="8"/>
      </c>
      <c r="F15" s="333">
        <f t="shared" si="8"/>
      </c>
      <c r="G15" s="333">
        <f t="shared" si="8"/>
      </c>
      <c r="H15" s="334">
        <f t="shared" si="8"/>
      </c>
      <c r="I15" s="302"/>
      <c r="J15" s="334">
        <f aca="true" t="shared" si="9" ref="J15:P15">IF(J13=$S$4,2,"")</f>
      </c>
      <c r="K15" s="333">
        <f t="shared" si="9"/>
      </c>
      <c r="L15" s="333">
        <f t="shared" si="9"/>
      </c>
      <c r="M15" s="333">
        <f t="shared" si="9"/>
      </c>
      <c r="N15" s="333">
        <f t="shared" si="9"/>
      </c>
      <c r="O15" s="333">
        <f t="shared" si="9"/>
      </c>
      <c r="P15" s="334">
        <f t="shared" si="9"/>
      </c>
      <c r="Q15" s="132"/>
      <c r="R15" s="862" t="s">
        <v>358</v>
      </c>
      <c r="S15" s="863"/>
      <c r="T15" s="90">
        <f>T13*20</f>
        <v>0</v>
      </c>
      <c r="U15" s="41"/>
    </row>
    <row r="16" spans="1:21" ht="15">
      <c r="A16" s="41"/>
      <c r="B16" s="335">
        <f>H13+1</f>
        <v>15</v>
      </c>
      <c r="C16" s="337">
        <f aca="true" t="shared" si="10" ref="C16:H16">B16+1</f>
        <v>16</v>
      </c>
      <c r="D16" s="337">
        <f t="shared" si="10"/>
        <v>17</v>
      </c>
      <c r="E16" s="337">
        <f t="shared" si="10"/>
        <v>18</v>
      </c>
      <c r="F16" s="337">
        <f t="shared" si="10"/>
        <v>19</v>
      </c>
      <c r="G16" s="337">
        <f t="shared" si="10"/>
        <v>20</v>
      </c>
      <c r="H16" s="335">
        <f t="shared" si="10"/>
        <v>21</v>
      </c>
      <c r="I16" s="302"/>
      <c r="J16" s="335">
        <f>P13+1</f>
        <v>43</v>
      </c>
      <c r="K16" s="337">
        <f aca="true" t="shared" si="11" ref="K16:P16">J16+1</f>
        <v>44</v>
      </c>
      <c r="L16" s="337">
        <f t="shared" si="11"/>
        <v>45</v>
      </c>
      <c r="M16" s="337">
        <f t="shared" si="11"/>
        <v>46</v>
      </c>
      <c r="N16" s="337">
        <f t="shared" si="11"/>
        <v>47</v>
      </c>
      <c r="O16" s="337">
        <f t="shared" si="11"/>
        <v>48</v>
      </c>
      <c r="P16" s="335">
        <f t="shared" si="11"/>
        <v>49</v>
      </c>
      <c r="Q16" s="132"/>
      <c r="R16" s="862" t="s">
        <v>359</v>
      </c>
      <c r="S16" s="863"/>
      <c r="T16" s="90">
        <f>'Rabies form'!F312</f>
        <v>0</v>
      </c>
      <c r="U16" s="41"/>
    </row>
    <row r="17" spans="1:21" ht="15">
      <c r="A17" s="41"/>
      <c r="B17" s="329" t="str">
        <f aca="true" t="shared" si="12" ref="B17:H17">IF(ISERROR(HLOOKUP(B16,$K$3:$O$4,2,FALSE))," ",HLOOKUP(B16,$K$3:$O$4,2,FALSE))</f>
        <v> </v>
      </c>
      <c r="C17" s="328" t="str">
        <f t="shared" si="12"/>
        <v> </v>
      </c>
      <c r="D17" s="328" t="str">
        <f t="shared" si="12"/>
        <v> </v>
      </c>
      <c r="E17" s="328" t="str">
        <f t="shared" si="12"/>
        <v> </v>
      </c>
      <c r="F17" s="328" t="str">
        <f t="shared" si="12"/>
        <v> </v>
      </c>
      <c r="G17" s="328" t="str">
        <f t="shared" si="12"/>
        <v> </v>
      </c>
      <c r="H17" s="329" t="str">
        <f t="shared" si="12"/>
        <v> </v>
      </c>
      <c r="I17" s="302"/>
      <c r="J17" s="329" t="str">
        <f aca="true" t="shared" si="13" ref="J17:P17">IF(ISERROR(HLOOKUP(J16,$K$3:$O$4,2,FALSE))," ",HLOOKUP(J16,$K$3:$O$4,2,FALSE))</f>
        <v> </v>
      </c>
      <c r="K17" s="328" t="str">
        <f t="shared" si="13"/>
        <v> </v>
      </c>
      <c r="L17" s="328" t="str">
        <f t="shared" si="13"/>
        <v> </v>
      </c>
      <c r="M17" s="328" t="str">
        <f t="shared" si="13"/>
        <v> </v>
      </c>
      <c r="N17" s="328" t="str">
        <f t="shared" si="13"/>
        <v> </v>
      </c>
      <c r="O17" s="328" t="str">
        <f t="shared" si="13"/>
        <v> </v>
      </c>
      <c r="P17" s="329" t="str">
        <f t="shared" si="13"/>
        <v> </v>
      </c>
      <c r="Q17" s="132"/>
      <c r="R17" s="860" t="s">
        <v>360</v>
      </c>
      <c r="S17" s="861"/>
      <c r="T17" s="142" t="str">
        <f>ROUND((T13*20/T14),1)&amp;" mL"</f>
        <v>0 mL</v>
      </c>
      <c r="U17" s="41"/>
    </row>
    <row r="18" spans="1:23" ht="12.75" customHeight="1">
      <c r="A18" s="41"/>
      <c r="B18" s="334">
        <f aca="true" t="shared" si="14" ref="B18:H18">IF(B16=$S$4,2,"")</f>
      </c>
      <c r="C18" s="333">
        <f t="shared" si="14"/>
      </c>
      <c r="D18" s="333">
        <f t="shared" si="14"/>
      </c>
      <c r="E18" s="333">
        <f t="shared" si="14"/>
      </c>
      <c r="F18" s="333">
        <f t="shared" si="14"/>
      </c>
      <c r="G18" s="333">
        <f t="shared" si="14"/>
      </c>
      <c r="H18" s="334">
        <f t="shared" si="14"/>
      </c>
      <c r="I18" s="302"/>
      <c r="J18" s="334">
        <f aca="true" t="shared" si="15" ref="J18:P18">IF(J16=$S$4,2,"")</f>
      </c>
      <c r="K18" s="333">
        <f t="shared" si="15"/>
      </c>
      <c r="L18" s="333">
        <f t="shared" si="15"/>
      </c>
      <c r="M18" s="333">
        <f t="shared" si="15"/>
      </c>
      <c r="N18" s="333">
        <f t="shared" si="15"/>
      </c>
      <c r="O18" s="333">
        <f t="shared" si="15"/>
      </c>
      <c r="P18" s="334">
        <f t="shared" si="15"/>
      </c>
      <c r="Q18" s="132"/>
      <c r="R18" s="127"/>
      <c r="S18" s="87"/>
      <c r="T18" s="87"/>
      <c r="U18" s="41"/>
      <c r="V18" s="41"/>
      <c r="W18" s="41"/>
    </row>
    <row r="19" spans="1:23" ht="15">
      <c r="A19" s="41"/>
      <c r="B19" s="335">
        <f>H16+1</f>
        <v>22</v>
      </c>
      <c r="C19" s="337">
        <f aca="true" t="shared" si="16" ref="C19:H19">B19+1</f>
        <v>23</v>
      </c>
      <c r="D19" s="337">
        <f t="shared" si="16"/>
        <v>24</v>
      </c>
      <c r="E19" s="337">
        <f t="shared" si="16"/>
        <v>25</v>
      </c>
      <c r="F19" s="337">
        <f t="shared" si="16"/>
        <v>26</v>
      </c>
      <c r="G19" s="337">
        <f t="shared" si="16"/>
        <v>27</v>
      </c>
      <c r="H19" s="335">
        <f t="shared" si="16"/>
        <v>28</v>
      </c>
      <c r="I19" s="302"/>
      <c r="J19" s="335">
        <f>P16+1</f>
        <v>50</v>
      </c>
      <c r="K19" s="337">
        <f aca="true" t="shared" si="17" ref="K19:P19">J19+1</f>
        <v>51</v>
      </c>
      <c r="L19" s="337">
        <f t="shared" si="17"/>
        <v>52</v>
      </c>
      <c r="M19" s="337">
        <f t="shared" si="17"/>
        <v>53</v>
      </c>
      <c r="N19" s="337">
        <f t="shared" si="17"/>
        <v>54</v>
      </c>
      <c r="O19" s="337">
        <f t="shared" si="17"/>
        <v>55</v>
      </c>
      <c r="P19" s="335">
        <f t="shared" si="17"/>
        <v>56</v>
      </c>
      <c r="Q19" s="132"/>
      <c r="R19" s="857" t="s">
        <v>568</v>
      </c>
      <c r="S19" s="858"/>
      <c r="T19" s="859"/>
      <c r="U19" s="41"/>
      <c r="V19" s="41"/>
      <c r="W19" s="41"/>
    </row>
    <row r="20" spans="1:23" ht="15">
      <c r="A20" s="41"/>
      <c r="B20" s="329" t="str">
        <f aca="true" t="shared" si="18" ref="B20:H20">IF(ISERROR(HLOOKUP(B19,$K$3:$O$4,2,FALSE))," ",HLOOKUP(B19,$K$3:$O$4,2,FALSE))</f>
        <v> </v>
      </c>
      <c r="C20" s="328" t="str">
        <f t="shared" si="18"/>
        <v> </v>
      </c>
      <c r="D20" s="328" t="str">
        <f t="shared" si="18"/>
        <v> </v>
      </c>
      <c r="E20" s="328" t="str">
        <f t="shared" si="18"/>
        <v> </v>
      </c>
      <c r="F20" s="328" t="str">
        <f t="shared" si="18"/>
        <v> </v>
      </c>
      <c r="G20" s="328" t="str">
        <f t="shared" si="18"/>
        <v> </v>
      </c>
      <c r="H20" s="329" t="str">
        <f t="shared" si="18"/>
        <v> </v>
      </c>
      <c r="I20" s="302"/>
      <c r="J20" s="329" t="str">
        <f aca="true" t="shared" si="19" ref="J20:P20">IF(ISERROR(HLOOKUP(J19,$K$3:$O$4,2,FALSE))," ",HLOOKUP(J19,$K$3:$O$4,2,FALSE))</f>
        <v> </v>
      </c>
      <c r="K20" s="328" t="str">
        <f t="shared" si="19"/>
        <v> </v>
      </c>
      <c r="L20" s="328" t="str">
        <f t="shared" si="19"/>
        <v> </v>
      </c>
      <c r="M20" s="328" t="str">
        <f t="shared" si="19"/>
        <v> </v>
      </c>
      <c r="N20" s="328" t="str">
        <f t="shared" si="19"/>
        <v> </v>
      </c>
      <c r="O20" s="328" t="str">
        <f t="shared" si="19"/>
        <v> </v>
      </c>
      <c r="P20" s="329" t="str">
        <f t="shared" si="19"/>
        <v> </v>
      </c>
      <c r="Q20" s="132"/>
      <c r="R20" s="851"/>
      <c r="S20" s="849"/>
      <c r="T20" s="850"/>
      <c r="U20" s="41"/>
      <c r="V20" s="41"/>
      <c r="W20" s="143"/>
    </row>
    <row r="21" spans="1:23" ht="15">
      <c r="A21" s="41"/>
      <c r="B21" s="334">
        <f aca="true" t="shared" si="20" ref="B21:H21">IF(B19=$S$4,2,"")</f>
      </c>
      <c r="C21" s="333">
        <f t="shared" si="20"/>
      </c>
      <c r="D21" s="333">
        <f t="shared" si="20"/>
      </c>
      <c r="E21" s="333">
        <f t="shared" si="20"/>
      </c>
      <c r="F21" s="333">
        <f t="shared" si="20"/>
      </c>
      <c r="G21" s="333">
        <f t="shared" si="20"/>
      </c>
      <c r="H21" s="334">
        <f t="shared" si="20"/>
      </c>
      <c r="I21" s="302"/>
      <c r="J21" s="334">
        <f aca="true" t="shared" si="21" ref="J21:P21">IF(J19=$S$4,2,"")</f>
      </c>
      <c r="K21" s="333">
        <f t="shared" si="21"/>
      </c>
      <c r="L21" s="333">
        <f t="shared" si="21"/>
      </c>
      <c r="M21" s="333">
        <f t="shared" si="21"/>
      </c>
      <c r="N21" s="333">
        <f t="shared" si="21"/>
      </c>
      <c r="O21" s="333">
        <f t="shared" si="21"/>
      </c>
      <c r="P21" s="334">
        <f t="shared" si="21"/>
      </c>
      <c r="Q21" s="132"/>
      <c r="R21" s="851"/>
      <c r="S21" s="849"/>
      <c r="T21" s="850"/>
      <c r="U21" s="41"/>
      <c r="V21" s="41"/>
      <c r="W21" s="41"/>
    </row>
    <row r="22" spans="1:23" ht="15">
      <c r="A22" s="41"/>
      <c r="B22" s="338">
        <f>(MONTH(B19+7)=MONTH(B7))*(B19+7)</f>
        <v>29</v>
      </c>
      <c r="C22" s="323">
        <f aca="true" t="shared" si="22" ref="C22:H22">(MONTH(C19+7)=MONTH($B7))*(C19+7)</f>
        <v>30</v>
      </c>
      <c r="D22" s="323">
        <f t="shared" si="22"/>
        <v>31</v>
      </c>
      <c r="E22" s="323">
        <f t="shared" si="22"/>
        <v>0</v>
      </c>
      <c r="F22" s="323">
        <f t="shared" si="22"/>
        <v>0</v>
      </c>
      <c r="G22" s="323">
        <f t="shared" si="22"/>
        <v>0</v>
      </c>
      <c r="H22" s="324">
        <f t="shared" si="22"/>
        <v>0</v>
      </c>
      <c r="I22" s="302"/>
      <c r="J22" s="338">
        <f>(MONTH(J19+7)=MONTH($J7))*(J19+7)</f>
        <v>57</v>
      </c>
      <c r="K22" s="339">
        <f aca="true" t="shared" si="23" ref="K22:P22">(MONTH(K19+7)=MONTH($J7))*(K19+7)</f>
        <v>58</v>
      </c>
      <c r="L22" s="339">
        <f t="shared" si="23"/>
        <v>59</v>
      </c>
      <c r="M22" s="339">
        <f t="shared" si="23"/>
        <v>60</v>
      </c>
      <c r="N22" s="339">
        <f t="shared" si="23"/>
        <v>0</v>
      </c>
      <c r="O22" s="339">
        <f t="shared" si="23"/>
        <v>0</v>
      </c>
      <c r="P22" s="338">
        <f t="shared" si="23"/>
        <v>0</v>
      </c>
      <c r="Q22" s="132"/>
      <c r="R22" s="851"/>
      <c r="S22" s="849"/>
      <c r="T22" s="850"/>
      <c r="U22" s="41"/>
      <c r="V22" s="41"/>
      <c r="W22" s="41"/>
    </row>
    <row r="23" spans="1:23" ht="15">
      <c r="A23" s="41"/>
      <c r="B23" s="329" t="str">
        <f aca="true" t="shared" si="24" ref="B23:H23">IF(ISERROR(HLOOKUP(B22,$K$3:$O$4,2,FALSE))," ",HLOOKUP(B22,$K$3:$O$4,2,FALSE))</f>
        <v> </v>
      </c>
      <c r="C23" s="328" t="str">
        <f t="shared" si="24"/>
        <v> </v>
      </c>
      <c r="D23" s="328" t="str">
        <f t="shared" si="24"/>
        <v> </v>
      </c>
      <c r="E23" s="328" t="str">
        <f t="shared" si="24"/>
        <v> </v>
      </c>
      <c r="F23" s="328" t="str">
        <f t="shared" si="24"/>
        <v> </v>
      </c>
      <c r="G23" s="328" t="str">
        <f t="shared" si="24"/>
        <v> </v>
      </c>
      <c r="H23" s="329" t="str">
        <f t="shared" si="24"/>
        <v> </v>
      </c>
      <c r="I23" s="302"/>
      <c r="J23" s="329" t="str">
        <f aca="true" t="shared" si="25" ref="J23:P23">IF(ISERROR(HLOOKUP(J22,$K$3:$O$4,2,FALSE))," ",HLOOKUP(J22,$K$3:$O$4,2,FALSE))</f>
        <v> </v>
      </c>
      <c r="K23" s="328" t="str">
        <f t="shared" si="25"/>
        <v> </v>
      </c>
      <c r="L23" s="328" t="str">
        <f t="shared" si="25"/>
        <v> </v>
      </c>
      <c r="M23" s="328" t="str">
        <f t="shared" si="25"/>
        <v> </v>
      </c>
      <c r="N23" s="328" t="str">
        <f t="shared" si="25"/>
        <v> </v>
      </c>
      <c r="O23" s="328" t="str">
        <f t="shared" si="25"/>
        <v> </v>
      </c>
      <c r="P23" s="329" t="str">
        <f t="shared" si="25"/>
        <v> </v>
      </c>
      <c r="Q23" s="132"/>
      <c r="R23" s="851"/>
      <c r="S23" s="849"/>
      <c r="T23" s="850"/>
      <c r="U23" s="41"/>
      <c r="V23" s="41"/>
      <c r="W23" s="41"/>
    </row>
    <row r="24" spans="1:23" ht="15">
      <c r="A24" s="41"/>
      <c r="B24" s="334">
        <f aca="true" t="shared" si="26" ref="B24:H24">IF(B22=$S$4,2,"")</f>
      </c>
      <c r="C24" s="333">
        <f t="shared" si="26"/>
      </c>
      <c r="D24" s="333">
        <f t="shared" si="26"/>
      </c>
      <c r="E24" s="333">
        <f t="shared" si="26"/>
      </c>
      <c r="F24" s="333">
        <f t="shared" si="26"/>
      </c>
      <c r="G24" s="333">
        <f t="shared" si="26"/>
      </c>
      <c r="H24" s="334">
        <f t="shared" si="26"/>
      </c>
      <c r="I24" s="302"/>
      <c r="J24" s="334">
        <f aca="true" t="shared" si="27" ref="J24:P24">IF(J22=$S$4,2,"")</f>
      </c>
      <c r="K24" s="333">
        <f t="shared" si="27"/>
      </c>
      <c r="L24" s="333">
        <f t="shared" si="27"/>
      </c>
      <c r="M24" s="333">
        <f t="shared" si="27"/>
      </c>
      <c r="N24" s="333">
        <f t="shared" si="27"/>
      </c>
      <c r="O24" s="333">
        <f t="shared" si="27"/>
      </c>
      <c r="P24" s="334">
        <f t="shared" si="27"/>
      </c>
      <c r="Q24" s="132"/>
      <c r="R24" s="851"/>
      <c r="S24" s="849"/>
      <c r="T24" s="850"/>
      <c r="U24" s="41"/>
      <c r="V24" s="41"/>
      <c r="W24" s="41"/>
    </row>
    <row r="25" spans="1:23" ht="13.5" customHeight="1">
      <c r="A25" s="41"/>
      <c r="B25" s="338">
        <f>(MONTH(B19+14)=MONTH($B7))*(B19+14)</f>
        <v>0</v>
      </c>
      <c r="C25" s="339">
        <f aca="true" t="shared" si="28" ref="C25:H25">(MONTH(C19+14)=MONTH($B7))*(C19+14)</f>
        <v>0</v>
      </c>
      <c r="D25" s="339">
        <f t="shared" si="28"/>
        <v>0</v>
      </c>
      <c r="E25" s="339">
        <f t="shared" si="28"/>
        <v>0</v>
      </c>
      <c r="F25" s="339">
        <f t="shared" si="28"/>
        <v>0</v>
      </c>
      <c r="G25" s="339">
        <f t="shared" si="28"/>
        <v>0</v>
      </c>
      <c r="H25" s="338">
        <f t="shared" si="28"/>
        <v>0</v>
      </c>
      <c r="I25" s="302"/>
      <c r="J25" s="338">
        <f>(MONTH(J19+14)=MONTH($J7))*(J19+14)</f>
        <v>0</v>
      </c>
      <c r="K25" s="339">
        <f aca="true" t="shared" si="29" ref="K25:P25">(MONTH(K19+14)=MONTH($J7))*(K19+14)</f>
        <v>0</v>
      </c>
      <c r="L25" s="339">
        <f t="shared" si="29"/>
        <v>0</v>
      </c>
      <c r="M25" s="339">
        <f t="shared" si="29"/>
        <v>0</v>
      </c>
      <c r="N25" s="339">
        <f t="shared" si="29"/>
        <v>0</v>
      </c>
      <c r="O25" s="339">
        <f t="shared" si="29"/>
        <v>0</v>
      </c>
      <c r="P25" s="338">
        <f t="shared" si="29"/>
        <v>0</v>
      </c>
      <c r="Q25" s="132"/>
      <c r="R25" s="851"/>
      <c r="S25" s="849"/>
      <c r="T25" s="850"/>
      <c r="U25" s="41"/>
      <c r="V25" s="41"/>
      <c r="W25" s="41"/>
    </row>
    <row r="26" spans="1:23" ht="15">
      <c r="A26" s="41"/>
      <c r="B26" s="329" t="str">
        <f aca="true" t="shared" si="30" ref="B26:H26">IF(ISERROR(HLOOKUP(B25,$K$3:$O$4,2,FALSE))," ",HLOOKUP(B25,$K$3:$O$4,2,FALSE))</f>
        <v> </v>
      </c>
      <c r="C26" s="328" t="str">
        <f t="shared" si="30"/>
        <v> </v>
      </c>
      <c r="D26" s="328" t="str">
        <f t="shared" si="30"/>
        <v> </v>
      </c>
      <c r="E26" s="328" t="str">
        <f t="shared" si="30"/>
        <v> </v>
      </c>
      <c r="F26" s="328" t="str">
        <f t="shared" si="30"/>
        <v> </v>
      </c>
      <c r="G26" s="328" t="str">
        <f t="shared" si="30"/>
        <v> </v>
      </c>
      <c r="H26" s="329" t="str">
        <f t="shared" si="30"/>
        <v> </v>
      </c>
      <c r="I26" s="302"/>
      <c r="J26" s="329" t="str">
        <f aca="true" t="shared" si="31" ref="J26:P26">IF(ISERROR(HLOOKUP(J25,$K$3:$O$4,2,FALSE))," ",HLOOKUP(J25,$K$3:$O$4,2,FALSE))</f>
        <v> </v>
      </c>
      <c r="K26" s="328" t="str">
        <f t="shared" si="31"/>
        <v> </v>
      </c>
      <c r="L26" s="328" t="str">
        <f t="shared" si="31"/>
        <v> </v>
      </c>
      <c r="M26" s="328" t="str">
        <f t="shared" si="31"/>
        <v> </v>
      </c>
      <c r="N26" s="328" t="str">
        <f t="shared" si="31"/>
        <v> </v>
      </c>
      <c r="O26" s="328" t="str">
        <f t="shared" si="31"/>
        <v> </v>
      </c>
      <c r="P26" s="329" t="str">
        <f t="shared" si="31"/>
        <v> </v>
      </c>
      <c r="Q26" s="132"/>
      <c r="R26" s="851"/>
      <c r="S26" s="849"/>
      <c r="T26" s="850"/>
      <c r="U26" s="41"/>
      <c r="V26" s="41"/>
      <c r="W26" s="41"/>
    </row>
    <row r="27" spans="1:23" ht="15">
      <c r="A27" s="41"/>
      <c r="B27" s="334">
        <f aca="true" t="shared" si="32" ref="B27:H27">IF(B25=$S$4,2,"")</f>
      </c>
      <c r="C27" s="333">
        <f t="shared" si="32"/>
      </c>
      <c r="D27" s="333">
        <f t="shared" si="32"/>
      </c>
      <c r="E27" s="333">
        <f t="shared" si="32"/>
      </c>
      <c r="F27" s="333">
        <f t="shared" si="32"/>
      </c>
      <c r="G27" s="333">
        <f t="shared" si="32"/>
      </c>
      <c r="H27" s="334">
        <f t="shared" si="32"/>
      </c>
      <c r="I27" s="302"/>
      <c r="J27" s="334">
        <f aca="true" t="shared" si="33" ref="J27:P27">IF(J25=$S$4,2,"")</f>
      </c>
      <c r="K27" s="333">
        <f t="shared" si="33"/>
      </c>
      <c r="L27" s="333">
        <f t="shared" si="33"/>
      </c>
      <c r="M27" s="333">
        <f t="shared" si="33"/>
      </c>
      <c r="N27" s="333">
        <f t="shared" si="33"/>
      </c>
      <c r="O27" s="333">
        <f t="shared" si="33"/>
      </c>
      <c r="P27" s="334">
        <f t="shared" si="33"/>
      </c>
      <c r="Q27" s="132"/>
      <c r="R27" s="848" t="s">
        <v>569</v>
      </c>
      <c r="S27" s="849"/>
      <c r="T27" s="850"/>
      <c r="U27" s="41"/>
      <c r="V27" s="41"/>
      <c r="W27" s="41"/>
    </row>
    <row r="28" spans="1:23" ht="15">
      <c r="A28" s="41"/>
      <c r="B28" s="340"/>
      <c r="C28" s="340"/>
      <c r="D28" s="340"/>
      <c r="E28" s="340"/>
      <c r="F28" s="340"/>
      <c r="G28" s="340"/>
      <c r="H28" s="340"/>
      <c r="I28" s="341"/>
      <c r="J28" s="340"/>
      <c r="K28" s="340"/>
      <c r="L28" s="340"/>
      <c r="M28" s="340"/>
      <c r="N28" s="340"/>
      <c r="O28" s="340"/>
      <c r="P28" s="340"/>
      <c r="Q28" s="132"/>
      <c r="R28" s="851"/>
      <c r="S28" s="849"/>
      <c r="T28" s="850"/>
      <c r="U28" s="41"/>
      <c r="V28" s="41"/>
      <c r="W28" s="41"/>
    </row>
    <row r="29" spans="1:23" ht="15.75" thickBot="1">
      <c r="A29" s="42"/>
      <c r="B29" s="342"/>
      <c r="C29" s="340"/>
      <c r="D29" s="343"/>
      <c r="E29" s="340"/>
      <c r="F29" s="340"/>
      <c r="G29" s="340"/>
      <c r="H29" s="302"/>
      <c r="I29" s="344"/>
      <c r="J29" s="344"/>
      <c r="K29" s="344"/>
      <c r="L29" s="344"/>
      <c r="M29" s="344"/>
      <c r="N29" s="344"/>
      <c r="O29" s="344"/>
      <c r="P29" s="341"/>
      <c r="Q29" s="42"/>
      <c r="R29" s="852"/>
      <c r="S29" s="853"/>
      <c r="T29" s="854"/>
      <c r="U29" s="42"/>
      <c r="V29" s="42"/>
      <c r="W29" s="42"/>
    </row>
    <row r="30" spans="1:23" ht="15" customHeight="1" thickTop="1">
      <c r="A30" s="42"/>
      <c r="B30" s="832" t="s">
        <v>570</v>
      </c>
      <c r="C30" s="833"/>
      <c r="D30" s="833"/>
      <c r="E30" s="833"/>
      <c r="F30" s="833"/>
      <c r="G30" s="833"/>
      <c r="H30" s="833"/>
      <c r="I30" s="833"/>
      <c r="J30" s="833"/>
      <c r="K30" s="833"/>
      <c r="L30" s="833"/>
      <c r="M30" s="833"/>
      <c r="N30" s="833"/>
      <c r="O30" s="833"/>
      <c r="P30" s="833"/>
      <c r="Q30" s="46"/>
      <c r="R30" s="139"/>
      <c r="S30" s="139"/>
      <c r="T30" s="139"/>
      <c r="U30" s="43"/>
      <c r="V30" s="42"/>
      <c r="W30" s="42"/>
    </row>
    <row r="31" spans="1:23" ht="12.75">
      <c r="A31" s="42"/>
      <c r="B31" s="834"/>
      <c r="C31" s="835"/>
      <c r="D31" s="835"/>
      <c r="E31" s="835"/>
      <c r="F31" s="835"/>
      <c r="G31" s="835"/>
      <c r="H31" s="835"/>
      <c r="I31" s="835"/>
      <c r="J31" s="835"/>
      <c r="K31" s="835"/>
      <c r="L31" s="835"/>
      <c r="M31" s="835"/>
      <c r="N31" s="835"/>
      <c r="O31" s="835"/>
      <c r="P31" s="835"/>
      <c r="Q31" s="46"/>
      <c r="R31" s="139"/>
      <c r="S31" s="139"/>
      <c r="T31" s="139"/>
      <c r="U31" s="43"/>
      <c r="V31" s="42"/>
      <c r="W31" s="42"/>
    </row>
    <row r="32" spans="1:23" ht="13.5" thickBot="1">
      <c r="A32" s="42"/>
      <c r="B32" s="836"/>
      <c r="C32" s="837"/>
      <c r="D32" s="837"/>
      <c r="E32" s="837"/>
      <c r="F32" s="837"/>
      <c r="G32" s="837"/>
      <c r="H32" s="837"/>
      <c r="I32" s="837"/>
      <c r="J32" s="837"/>
      <c r="K32" s="837"/>
      <c r="L32" s="837"/>
      <c r="M32" s="837"/>
      <c r="N32" s="837"/>
      <c r="O32" s="837"/>
      <c r="P32" s="837"/>
      <c r="Q32" s="46"/>
      <c r="R32" s="139"/>
      <c r="S32" s="139"/>
      <c r="T32" s="139"/>
      <c r="U32" s="43"/>
      <c r="V32" s="42"/>
      <c r="W32" s="42"/>
    </row>
    <row r="33" spans="1:23" ht="12.75" thickTop="1">
      <c r="A33" s="42"/>
      <c r="B33" s="42"/>
      <c r="C33" s="42"/>
      <c r="D33" s="42"/>
      <c r="E33" s="42"/>
      <c r="F33" s="42"/>
      <c r="G33" s="42"/>
      <c r="H33" s="42"/>
      <c r="I33" s="42"/>
      <c r="J33" s="42"/>
      <c r="K33" s="42"/>
      <c r="L33" s="42"/>
      <c r="M33" s="42"/>
      <c r="N33" s="42"/>
      <c r="O33" s="42"/>
      <c r="P33" s="42"/>
      <c r="Q33" s="42"/>
      <c r="R33" s="140"/>
      <c r="S33" s="140"/>
      <c r="T33" s="140"/>
      <c r="U33" s="42"/>
      <c r="V33" s="42"/>
      <c r="W33" s="42"/>
    </row>
    <row r="34" spans="2:20" ht="12.75">
      <c r="B34" s="132"/>
      <c r="C34" s="132"/>
      <c r="D34" s="132"/>
      <c r="E34" s="132"/>
      <c r="F34" s="132"/>
      <c r="G34" s="132"/>
      <c r="H34" s="132"/>
      <c r="I34" s="132"/>
      <c r="J34" s="132"/>
      <c r="K34" s="132"/>
      <c r="L34" s="132"/>
      <c r="M34" s="132"/>
      <c r="N34" s="132"/>
      <c r="O34" s="132"/>
      <c r="P34" s="132"/>
      <c r="Q34" s="132"/>
      <c r="R34" s="43"/>
      <c r="S34" s="43"/>
      <c r="T34" s="43"/>
    </row>
    <row r="35" spans="2:20" ht="12">
      <c r="B35" s="48" t="s">
        <v>484</v>
      </c>
      <c r="C35" s="132"/>
      <c r="D35" s="132" t="str">
        <f>'Rabies form'!J308</f>
        <v>JRC22352</v>
      </c>
      <c r="E35" s="132"/>
      <c r="F35" s="132"/>
      <c r="G35" s="132"/>
      <c r="H35" s="132"/>
      <c r="I35" s="132"/>
      <c r="J35" s="132"/>
      <c r="K35" s="132"/>
      <c r="L35" s="132"/>
      <c r="M35" s="132"/>
      <c r="N35" s="132"/>
      <c r="O35" s="132"/>
      <c r="P35" s="132"/>
      <c r="Q35" s="132"/>
      <c r="R35" s="42"/>
      <c r="S35" s="42"/>
      <c r="T35" s="127"/>
    </row>
    <row r="36" spans="2:20" ht="12">
      <c r="B36" s="48" t="s">
        <v>797</v>
      </c>
      <c r="C36" s="132"/>
      <c r="D36" s="132"/>
      <c r="E36" s="132"/>
      <c r="F36" s="132"/>
      <c r="G36" s="132"/>
      <c r="H36" s="132"/>
      <c r="I36" s="132"/>
      <c r="J36" s="132"/>
      <c r="K36" s="132"/>
      <c r="L36" s="132"/>
      <c r="M36" s="132"/>
      <c r="N36" s="132"/>
      <c r="O36" s="132"/>
      <c r="P36" s="132"/>
      <c r="Q36" s="132"/>
      <c r="R36" s="132"/>
      <c r="S36" s="42" t="s">
        <v>807</v>
      </c>
      <c r="T36" s="127"/>
    </row>
    <row r="37" spans="5:7" ht="12">
      <c r="E37" s="52"/>
      <c r="F37" s="52"/>
      <c r="G37" s="52"/>
    </row>
    <row r="38" spans="5:11" ht="14.25">
      <c r="E38" s="53"/>
      <c r="F38" s="54"/>
      <c r="G38" s="55"/>
      <c r="K38" s="49"/>
    </row>
    <row r="41" ht="12">
      <c r="F41" s="51"/>
    </row>
    <row r="43" ht="12">
      <c r="I43" s="50"/>
    </row>
  </sheetData>
  <sheetProtection password="CC4C" sheet="1" selectLockedCells="1"/>
  <mergeCells count="19">
    <mergeCell ref="B4:C4"/>
    <mergeCell ref="R19:T26"/>
    <mergeCell ref="R17:S17"/>
    <mergeCell ref="R16:S16"/>
    <mergeCell ref="R11:T11"/>
    <mergeCell ref="S8:T8"/>
    <mergeCell ref="R15:S15"/>
    <mergeCell ref="R13:S13"/>
    <mergeCell ref="R14:S14"/>
    <mergeCell ref="N1:P1"/>
    <mergeCell ref="F1:K1"/>
    <mergeCell ref="B30:P32"/>
    <mergeCell ref="B7:H7"/>
    <mergeCell ref="J7:P7"/>
    <mergeCell ref="R12:S12"/>
    <mergeCell ref="S3:T3"/>
    <mergeCell ref="B3:C3"/>
    <mergeCell ref="S4:T4"/>
    <mergeCell ref="R27:T29"/>
  </mergeCells>
  <conditionalFormatting sqref="J10:P27">
    <cfRule type="cellIs" priority="24" dxfId="9" operator="between" stopIfTrue="1">
      <formula>$I$4</formula>
      <formula>$I$4+7</formula>
    </cfRule>
  </conditionalFormatting>
  <conditionalFormatting sqref="B11:P27">
    <cfRule type="cellIs" priority="14" dxfId="8" operator="equal" stopIfTrue="1">
      <formula>2</formula>
    </cfRule>
  </conditionalFormatting>
  <conditionalFormatting sqref="B10:P27">
    <cfRule type="cellIs" priority="7" dxfId="7" operator="greaterThan" stopIfTrue="1">
      <formula>"Day"</formula>
    </cfRule>
    <cfRule type="expression" priority="15" dxfId="6" stopIfTrue="1">
      <formula>$T$12&lt;&gt;"YES"</formula>
    </cfRule>
    <cfRule type="cellIs" priority="20" dxfId="5" operator="between" stopIfTrue="1">
      <formula>$I$4</formula>
      <formula>$I$4+7</formula>
    </cfRule>
  </conditionalFormatting>
  <conditionalFormatting sqref="K10:O27 C10:G27">
    <cfRule type="expression" priority="13" dxfId="1" stopIfTrue="1">
      <formula>C10=0</formula>
    </cfRule>
  </conditionalFormatting>
  <conditionalFormatting sqref="F38">
    <cfRule type="expression" priority="10" dxfId="1" stopIfTrue="1">
      <formula>$C$10:$C$12=isblank</formula>
    </cfRule>
  </conditionalFormatting>
  <conditionalFormatting sqref="C11:G11 C14:G14 C23:G23 C26:G26 K11:O11 K23:O23 K26:O26">
    <cfRule type="expression" priority="9" dxfId="1" stopIfTrue="1">
      <formula>AND(C10=0,C12="")</formula>
    </cfRule>
  </conditionalFormatting>
  <conditionalFormatting sqref="C27:G27 C24:G24 C21:G21 C18:G18 C15:G15 C12:G12 K12:O12 K23:O24 K26:O27">
    <cfRule type="expression" priority="8" dxfId="1" stopIfTrue="1">
      <formula>AND(C10=0,C12="")</formula>
    </cfRule>
  </conditionalFormatting>
  <conditionalFormatting sqref="R10:T29">
    <cfRule type="expression" priority="1" dxfId="0" stopIfTrue="1">
      <formula>$S$9=1</formula>
    </cfRule>
  </conditionalFormatting>
  <printOptions/>
  <pageMargins left="0.4724409448818898" right="0.4724409448818898" top="0.5118110236220472" bottom="0.5118110236220472" header="0.5118110236220472" footer="0.11811023622047245"/>
  <pageSetup fitToHeight="0" fitToWidth="1" horizontalDpi="600" verticalDpi="600" orientation="landscape" paperSize="9" scale="74"/>
  <headerFooter scaleWithDoc="0" alignWithMargins="0">
    <oddFooter>&amp;LIMW 115.20 - Rabies Post Exposure Form and Calender
Page 4/4&amp;RVersion 20</oddFooter>
  </headerFooter>
</worksheet>
</file>

<file path=xl/worksheets/sheet9.xml><?xml version="1.0" encoding="utf-8"?>
<worksheet xmlns="http://schemas.openxmlformats.org/spreadsheetml/2006/main" xmlns:r="http://schemas.openxmlformats.org/officeDocument/2006/relationships">
  <sheetPr codeName="Sheet5"/>
  <dimension ref="A1:G9"/>
  <sheetViews>
    <sheetView zoomScalePageLayoutView="0" workbookViewId="0" topLeftCell="A1">
      <selection activeCell="G3" sqref="G3"/>
    </sheetView>
  </sheetViews>
  <sheetFormatPr defaultColWidth="20.421875" defaultRowHeight="12.75"/>
  <cols>
    <col min="1" max="1" width="15.140625" style="0" customWidth="1"/>
    <col min="2" max="2" width="13.7109375" style="0" customWidth="1"/>
    <col min="3" max="3" width="13.00390625" style="0" customWidth="1"/>
    <col min="4" max="4" width="16.28125" style="0" customWidth="1"/>
    <col min="5" max="5" width="10.7109375" style="114" customWidth="1"/>
    <col min="6" max="6" width="13.00390625" style="0" customWidth="1"/>
    <col min="7" max="7" width="30.140625" style="0" customWidth="1"/>
  </cols>
  <sheetData>
    <row r="1" spans="1:7" ht="12">
      <c r="A1" t="s">
        <v>369</v>
      </c>
      <c r="B1" t="s">
        <v>367</v>
      </c>
      <c r="C1" t="s">
        <v>368</v>
      </c>
      <c r="D1" s="62" t="s">
        <v>477</v>
      </c>
      <c r="E1" s="113" t="s">
        <v>475</v>
      </c>
      <c r="F1" s="62" t="s">
        <v>476</v>
      </c>
      <c r="G1" s="62" t="s">
        <v>669</v>
      </c>
    </row>
    <row r="2" spans="1:7" ht="19.5" customHeight="1">
      <c r="A2" s="62" t="s">
        <v>720</v>
      </c>
      <c r="B2" s="62" t="s">
        <v>482</v>
      </c>
      <c r="C2" s="49">
        <v>45291</v>
      </c>
      <c r="D2" s="62" t="s">
        <v>721</v>
      </c>
      <c r="E2" s="114">
        <v>262</v>
      </c>
      <c r="F2">
        <v>2.6</v>
      </c>
      <c r="G2" s="199" t="s">
        <v>722</v>
      </c>
    </row>
    <row r="3" spans="1:7" ht="18" customHeight="1">
      <c r="A3" t="s">
        <v>744</v>
      </c>
      <c r="B3" s="62" t="s">
        <v>482</v>
      </c>
      <c r="C3" s="49">
        <v>45565</v>
      </c>
      <c r="D3" t="s">
        <v>745</v>
      </c>
      <c r="E3" s="114">
        <v>211</v>
      </c>
      <c r="F3">
        <v>2.8</v>
      </c>
      <c r="G3" t="s">
        <v>746</v>
      </c>
    </row>
    <row r="5" spans="1:4" ht="12">
      <c r="A5" s="62"/>
      <c r="B5" s="62"/>
      <c r="C5" s="49"/>
      <c r="D5" s="62"/>
    </row>
    <row r="6" ht="12">
      <c r="D6" s="62"/>
    </row>
    <row r="7" ht="12">
      <c r="D7" s="62"/>
    </row>
    <row r="8" ht="12">
      <c r="D8" s="62"/>
    </row>
    <row r="9" ht="12">
      <c r="D9" s="62"/>
    </row>
    <row r="18" ht="10.5" customHeight="1"/>
  </sheetData>
  <sheetProtection password="CC4C" sheet="1"/>
  <printOptions/>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Health Protection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Rabies post-exposure form and calculator</dc:title>
  <dc:subject/>
  <dc:creator>praveen.sebastianpil</dc:creator>
  <cp:keywords/>
  <dc:description/>
  <cp:lastModifiedBy>Katherine Russell</cp:lastModifiedBy>
  <cp:lastPrinted>2024-04-17T12:21:30Z</cp:lastPrinted>
  <dcterms:created xsi:type="dcterms:W3CDTF">2010-11-16T10:26:35Z</dcterms:created>
  <dcterms:modified xsi:type="dcterms:W3CDTF">2024-04-29T14:02:34Z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