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9600" windowHeight="3558" tabRatio="833" activeTab="2"/>
  </bookViews>
  <sheets>
    <sheet name="Contents" sheetId="1" r:id="rId1"/>
    <sheet name="Highlights (old version)" sheetId="2" state="hidden" r:id="rId2"/>
    <sheet name="Highlights" sheetId="3" r:id="rId3"/>
    <sheet name="Main Table" sheetId="4" r:id="rId4"/>
    <sheet name="Annual" sheetId="5" r:id="rId5"/>
    <sheet name="Quarter" sheetId="6" r:id="rId6"/>
    <sheet name="monthbefore7july06" sheetId="7" state="hidden" r:id="rId7"/>
    <sheet name="MonthBefore14February2005" sheetId="8" state="hidden" r:id="rId8"/>
    <sheet name="Month" sheetId="9" r:id="rId9"/>
    <sheet name="Calculation" sheetId="10" state="hidden" r:id="rId10"/>
  </sheets>
  <definedNames>
    <definedName name="_xlfn.SINGLE" hidden="1">#NAME?</definedName>
    <definedName name="INPUT_BOX">'Calculation'!$T$6</definedName>
    <definedName name="_xlnm.Print_Area" localSheetId="4">'Annual'!$B$8:$P$13</definedName>
    <definedName name="_xlnm.Print_Area" localSheetId="2">'Highlights'!$A$1:$B$23</definedName>
    <definedName name="_xlnm.Print_Area" localSheetId="1">'Highlights (old version)'!$A$1:$B$14</definedName>
    <definedName name="_xlnm.Print_Area" localSheetId="3">'Main Table'!$A$1:$R$31</definedName>
    <definedName name="_xlnm.Print_Area" localSheetId="8">'Month'!$A$128:$R$148</definedName>
    <definedName name="_xlnm.Print_Area" localSheetId="7">'MonthBefore14February2005'!$C$8:$P$79</definedName>
    <definedName name="_xlnm.Print_Area" localSheetId="5">'Quarter'!$C$8:$Q$39</definedName>
    <definedName name="_xlnm.Print_Titles" localSheetId="4">'Annual'!$A:$A,'Annual'!$1:$7</definedName>
    <definedName name="_xlnm.Print_Titles" localSheetId="8">'Month'!$A:$B,'Month'!$1:$7</definedName>
    <definedName name="_xlnm.Print_Titles" localSheetId="7">'MonthBefore14February2005'!$A:$B,'MonthBefore14February2005'!$1:$7</definedName>
    <definedName name="_xlnm.Print_Titles" localSheetId="5">'Quarter'!$A:$B,'Quarter'!$1:$7</definedName>
    <definedName name="t15full">'Main Table'!$A$4:$R$27</definedName>
    <definedName name="t15short">'Main Table'!$A$32:$R$45</definedName>
    <definedName name="table_15_full">'Main Table'!$A$2:$R$27</definedName>
    <definedName name="table_15_short">'Main Table'!$A$31:$R$45</definedName>
    <definedName name="TABLE_3.4_no_footnotes">'Main Table'!$A$32:$R$43</definedName>
  </definedNames>
  <calcPr fullCalcOnLoad="1"/>
</workbook>
</file>

<file path=xl/comments7.xml><?xml version="1.0" encoding="utf-8"?>
<comments xmlns="http://schemas.openxmlformats.org/spreadsheetml/2006/main">
  <authors>
    <author>scullion</author>
    <author>jshah</author>
    <author>Greg Haigh</author>
  </authors>
  <commentList>
    <comment ref="H44" authorId="0">
      <text>
        <r>
          <rPr>
            <b/>
            <sz val="8"/>
            <rFont val="Tahoma"/>
            <family val="2"/>
          </rPr>
          <t>scullion:</t>
        </r>
        <r>
          <rPr>
            <sz val="8"/>
            <rFont val="Tahoma"/>
            <family val="2"/>
          </rPr>
          <t xml:space="preserve">
annual total needs to = 36 ethane prod +other gases prod 2924-ethane ref fuel use 36- other gases ref fuel use 2530 (from Digest internet table) = 394.  Was 2960</t>
        </r>
      </text>
    </comment>
    <comment ref="H56" authorId="0">
      <text>
        <r>
          <rPr>
            <b/>
            <sz val="8"/>
            <rFont val="Tahoma"/>
            <family val="2"/>
          </rPr>
          <t>scullion:</t>
        </r>
        <r>
          <rPr>
            <sz val="8"/>
            <rFont val="Tahoma"/>
            <family val="2"/>
          </rPr>
          <t xml:space="preserve">
annual total needs to = 33 ethane prod +other gases prod 2815-ethane ref fuel use 33- other gases ref fuel use 2454 (from Digest internet table) = 361.  Was 2848
</t>
        </r>
      </text>
    </comment>
    <comment ref="G68" authorId="1">
      <text>
        <r>
          <rPr>
            <b/>
            <sz val="8"/>
            <rFont val="Tahoma"/>
            <family val="2"/>
          </rPr>
          <t>jshah:</t>
        </r>
        <r>
          <rPr>
            <sz val="8"/>
            <rFont val="Tahoma"/>
            <family val="2"/>
          </rPr>
          <t xml:space="preserve">
there is a difference of 2.. 1917 to 1919? So I didn’t change it. Is this ok?
</t>
        </r>
      </text>
    </comment>
    <comment ref="H68" authorId="0">
      <text>
        <r>
          <rPr>
            <b/>
            <sz val="8"/>
            <rFont val="Tahoma"/>
            <family val="2"/>
          </rPr>
          <t>scullion:</t>
        </r>
        <r>
          <rPr>
            <sz val="8"/>
            <rFont val="Tahoma"/>
            <family val="2"/>
          </rPr>
          <t xml:space="preserve">
annual total needs to = 52 ethane prod +other gases prod 2821-ethane ref fuel use 53- other gases ref fuel use 2532 (from Digest internet table) = 288.  Was 2873</t>
        </r>
      </text>
    </comment>
    <comment ref="H80" authorId="0">
      <text>
        <r>
          <rPr>
            <b/>
            <sz val="8"/>
            <rFont val="Tahoma"/>
            <family val="2"/>
          </rPr>
          <t>scullion:</t>
        </r>
        <r>
          <rPr>
            <sz val="8"/>
            <rFont val="Tahoma"/>
            <family val="2"/>
          </rPr>
          <t xml:space="preserve">
annual total needs to = 83 ethane prod +other gases prod 2511-ethane ref fuel use 83- other gases ref fuel use 2239 (from Digest internet table) = 272.  Was 2594</t>
        </r>
      </text>
    </comment>
    <comment ref="H92" authorId="0">
      <text>
        <r>
          <rPr>
            <b/>
            <sz val="8"/>
            <rFont val="Tahoma"/>
            <family val="2"/>
          </rPr>
          <t>scullion:</t>
        </r>
        <r>
          <rPr>
            <sz val="8"/>
            <rFont val="Tahoma"/>
            <family val="2"/>
          </rPr>
          <t xml:space="preserve">
annual total needs to = 50 ethane prod +other gases prod 2928-ethane ref fuel use 50- other gases ref fuel use 2390 (from Digest 2005) = 538.  Was 2978</t>
        </r>
      </text>
    </comment>
    <comment ref="H104" authorId="0">
      <text>
        <r>
          <rPr>
            <b/>
            <sz val="8"/>
            <rFont val="Tahoma"/>
            <family val="2"/>
          </rPr>
          <t>scullion:</t>
        </r>
        <r>
          <rPr>
            <sz val="8"/>
            <rFont val="Tahoma"/>
            <family val="2"/>
          </rPr>
          <t xml:space="preserve">
annual total needs to = 11 ethane prod +other gases prod 2891 -ethane ref fuel use 9- other gases ref fuel use 2248 (from Digest 2005) = 645.  Was 2902</t>
        </r>
      </text>
    </comment>
    <comment ref="H116" authorId="0">
      <text>
        <r>
          <rPr>
            <b/>
            <sz val="8"/>
            <rFont val="Tahoma"/>
            <family val="2"/>
          </rPr>
          <t>scullion:</t>
        </r>
        <r>
          <rPr>
            <sz val="8"/>
            <rFont val="Tahoma"/>
            <family val="2"/>
          </rPr>
          <t xml:space="preserve">
annual total needs to = 15 ethane prod +other gases prod 3012-ethane ref fuel use 15- other gases ref fuel use 2528 (from Digest 2005) = 484.  Was 405
</t>
        </r>
      </text>
    </comment>
    <comment ref="C128" authorId="0">
      <text>
        <r>
          <rPr>
            <b/>
            <sz val="8"/>
            <rFont val="Tahoma"/>
            <family val="2"/>
          </rPr>
          <t>scullion:</t>
        </r>
        <r>
          <rPr>
            <sz val="8"/>
            <rFont val="Tahoma"/>
            <family val="2"/>
          </rPr>
          <t xml:space="preserve">
2005 linked to upstream throughput file  13/6/06
</t>
        </r>
      </text>
    </comment>
    <comment ref="D128" authorId="0">
      <text>
        <r>
          <rPr>
            <b/>
            <sz val="8"/>
            <rFont val="Tahoma"/>
            <family val="2"/>
          </rPr>
          <t>scullion:</t>
        </r>
        <r>
          <rPr>
            <sz val="8"/>
            <rFont val="Tahoma"/>
            <family val="2"/>
          </rPr>
          <t xml:space="preserve">
2004 is consumption in refineries of products
2005 is refinery fuel use
ie same as 2004
</t>
        </r>
      </text>
    </comment>
    <comment ref="E128" authorId="0">
      <text>
        <r>
          <rPr>
            <b/>
            <sz val="8"/>
            <rFont val="Tahoma"/>
            <family val="2"/>
          </rPr>
          <t>scullion:</t>
        </r>
        <r>
          <rPr>
            <sz val="8"/>
            <rFont val="Tahoma"/>
            <family val="2"/>
          </rPr>
          <t xml:space="preserve">
2004 is products production + used in refinery less crude, NGLs and process throughput
2005 is calculated.  2005 needs to = 132
</t>
        </r>
      </text>
    </comment>
    <comment ref="G128" authorId="0">
      <text>
        <r>
          <rPr>
            <b/>
            <sz val="8"/>
            <rFont val="Tahoma"/>
            <family val="2"/>
          </rPr>
          <t>scullion:</t>
        </r>
        <r>
          <rPr>
            <sz val="8"/>
            <rFont val="Tahoma"/>
            <family val="2"/>
          </rPr>
          <t xml:space="preserve">
2004: This is production net of fuel use in refinery
2005 is gross production less refinery fuel use therefore same as 2004
</t>
        </r>
      </text>
    </comment>
    <comment ref="H128" authorId="0">
      <text>
        <r>
          <rPr>
            <b/>
            <sz val="8"/>
            <rFont val="Tahoma"/>
            <family val="2"/>
          </rPr>
          <t>scullion:</t>
        </r>
        <r>
          <rPr>
            <sz val="8"/>
            <rFont val="Tahoma"/>
            <family val="2"/>
          </rPr>
          <t xml:space="preserve">
2004 - this is refinery gas only - adjusted so that total includes ethane as well.  
This has refinery use added back in to make it in trend with 2004 to 1998.  However this needs to be removed (along with 2004 to 1998 for March Trends)
There is a link to autogens and heat because refinery fuel use in petroleum products file has some autogens removed but need whole figure
 </t>
        </r>
      </text>
    </comment>
    <comment ref="M128" authorId="0">
      <text>
        <r>
          <rPr>
            <b/>
            <sz val="8"/>
            <rFont val="Tahoma"/>
            <family val="2"/>
          </rPr>
          <t>scullion:</t>
        </r>
        <r>
          <rPr>
            <sz val="8"/>
            <rFont val="Tahoma"/>
            <family val="2"/>
          </rPr>
          <t xml:space="preserve">
EXCLUDES MDF because 2004 does not include MDF.  CHANGED 13/6/06 to INCLUDE MDF to match DIGEST 06
Have removed refinery fuel use from autogens spreadsheet as petroleum products has autogens removed and need to include it
2004 is double counting diesel over .005% due to way spreadsheet is added up.  Also 2004 has not removed refinery fuel use - so amending it 
</t>
        </r>
      </text>
    </comment>
    <comment ref="H140" authorId="0">
      <text>
        <r>
          <rPr>
            <b/>
            <sz val="8"/>
            <rFont val="Tahoma"/>
            <family val="2"/>
          </rPr>
          <t>scullion:</t>
        </r>
        <r>
          <rPr>
            <sz val="8"/>
            <rFont val="Tahoma"/>
            <family val="2"/>
          </rPr>
          <t xml:space="preserve">
2004 - this is refinery gas only - adjusted so that total includes ethane as well.  
This has refinery use added back in to make it in trend with 2004 to 1998.  However this needs to be removed (along with 2004 to 1998 for March Trends)
There is a link to autogens and heat because refinery fuel use in petroleum products file has some autogens removed but need whole figure
 </t>
        </r>
      </text>
    </comment>
    <comment ref="M140" authorId="0">
      <text>
        <r>
          <rPr>
            <b/>
            <sz val="8"/>
            <rFont val="Tahoma"/>
            <family val="2"/>
          </rPr>
          <t>scullion:</t>
        </r>
        <r>
          <rPr>
            <sz val="8"/>
            <rFont val="Tahoma"/>
            <family val="2"/>
          </rPr>
          <t xml:space="preserve">
EXCLUDES MDF because 2004 does not include MDF.  CHANGED 13/6/06 to INCLUDE MDF to match DIGEST 06
Have removed refinery fuel use from autogens spreadsheet as petroleum products has autogens removed and need to include it
2004 is double counting diesel over .005% due to way spreadsheet is added up.  Also 2004 has not removed refinery fuel use - so amending it 
</t>
        </r>
      </text>
    </comment>
    <comment ref="M168" authorId="2">
      <text>
        <r>
          <rPr>
            <b/>
            <sz val="8"/>
            <rFont val="Tahoma"/>
            <family val="2"/>
          </rPr>
          <t>Greg Haigh:</t>
        </r>
        <r>
          <rPr>
            <sz val="8"/>
            <rFont val="Tahoma"/>
            <family val="2"/>
          </rPr>
          <t xml:space="preserve">
does this double count low sulphur diesel?</t>
        </r>
      </text>
    </comment>
  </commentList>
</comments>
</file>

<file path=xl/sharedStrings.xml><?xml version="1.0" encoding="utf-8"?>
<sst xmlns="http://schemas.openxmlformats.org/spreadsheetml/2006/main" count="1442" uniqueCount="224">
  <si>
    <t>Refinery use</t>
  </si>
  <si>
    <r>
      <t>Total</t>
    </r>
    <r>
      <rPr>
        <vertAlign val="superscript"/>
        <sz val="7"/>
        <rFont val="MS Sans Serif"/>
        <family val="2"/>
      </rPr>
      <t xml:space="preserve">1 </t>
    </r>
  </si>
  <si>
    <t>Gases</t>
  </si>
  <si>
    <t>Kerosene</t>
  </si>
  <si>
    <t>YEAR</t>
  </si>
  <si>
    <t xml:space="preserve">Throughput </t>
  </si>
  <si>
    <t xml:space="preserve">output of </t>
  </si>
  <si>
    <t xml:space="preserve">Butane </t>
  </si>
  <si>
    <t xml:space="preserve">Other </t>
  </si>
  <si>
    <t xml:space="preserve">Aviation </t>
  </si>
  <si>
    <t xml:space="preserve">Gas/ </t>
  </si>
  <si>
    <t xml:space="preserve">of crude and </t>
  </si>
  <si>
    <t xml:space="preserve">Fuel </t>
  </si>
  <si>
    <t xml:space="preserve">Losses/ </t>
  </si>
  <si>
    <t xml:space="preserve">petroleum </t>
  </si>
  <si>
    <t xml:space="preserve">and </t>
  </si>
  <si>
    <t xml:space="preserve">petro- </t>
  </si>
  <si>
    <t xml:space="preserve">Naphtha </t>
  </si>
  <si>
    <t xml:space="preserve">Motor </t>
  </si>
  <si>
    <t xml:space="preserve">turbine </t>
  </si>
  <si>
    <t xml:space="preserve">Burning </t>
  </si>
  <si>
    <t xml:space="preserve">diesel </t>
  </si>
  <si>
    <t xml:space="preserve">Lubricating </t>
  </si>
  <si>
    <t xml:space="preserve">Bitumen </t>
  </si>
  <si>
    <t>Year</t>
  </si>
  <si>
    <t>INPUT!</t>
  </si>
  <si>
    <t xml:space="preserve">process oil </t>
  </si>
  <si>
    <t xml:space="preserve">(gains) </t>
  </si>
  <si>
    <t xml:space="preserve">products </t>
  </si>
  <si>
    <t>propane</t>
  </si>
  <si>
    <t xml:space="preserve">leum </t>
  </si>
  <si>
    <t xml:space="preserve">(LDF) </t>
  </si>
  <si>
    <t xml:space="preserve">spirit </t>
  </si>
  <si>
    <t xml:space="preserve">fuel </t>
  </si>
  <si>
    <t xml:space="preserve">oil </t>
  </si>
  <si>
    <t xml:space="preserve">oils </t>
  </si>
  <si>
    <t>Month</t>
  </si>
  <si>
    <t>A</t>
  </si>
  <si>
    <t>C</t>
  </si>
  <si>
    <t>D</t>
  </si>
  <si>
    <t>E</t>
  </si>
  <si>
    <t>F</t>
  </si>
  <si>
    <t>G</t>
  </si>
  <si>
    <t>H</t>
  </si>
  <si>
    <t>I</t>
  </si>
  <si>
    <t>J</t>
  </si>
  <si>
    <t>K</t>
  </si>
  <si>
    <t>L</t>
  </si>
  <si>
    <t>M</t>
  </si>
  <si>
    <t>N</t>
  </si>
  <si>
    <t>O</t>
  </si>
  <si>
    <t>P</t>
  </si>
  <si>
    <t>MONTHLY DATA</t>
  </si>
  <si>
    <t>B</t>
  </si>
  <si>
    <t>MONTH</t>
  </si>
  <si>
    <t>January</t>
  </si>
  <si>
    <t>February</t>
  </si>
  <si>
    <t>March</t>
  </si>
  <si>
    <t>April</t>
  </si>
  <si>
    <t>May</t>
  </si>
  <si>
    <t>June</t>
  </si>
  <si>
    <t>July</t>
  </si>
  <si>
    <t>August</t>
  </si>
  <si>
    <t>September</t>
  </si>
  <si>
    <t>October</t>
  </si>
  <si>
    <t>November</t>
  </si>
  <si>
    <t>December</t>
  </si>
  <si>
    <t>Thousand tonnes</t>
  </si>
  <si>
    <t>Per cent change</t>
  </si>
  <si>
    <t>January -</t>
  </si>
  <si>
    <t>Total</t>
  </si>
  <si>
    <t>Quarter 1</t>
  </si>
  <si>
    <t>Quarter 2</t>
  </si>
  <si>
    <t>Quarter 3</t>
  </si>
  <si>
    <t>Quarter 4</t>
  </si>
  <si>
    <t>annual!</t>
  </si>
  <si>
    <t>Month!</t>
  </si>
  <si>
    <t>Calculation!</t>
  </si>
  <si>
    <t>c</t>
  </si>
  <si>
    <t>d</t>
  </si>
  <si>
    <t>e</t>
  </si>
  <si>
    <t>f</t>
  </si>
  <si>
    <t>g</t>
  </si>
  <si>
    <t>h</t>
  </si>
  <si>
    <t>j</t>
  </si>
  <si>
    <t>k</t>
  </si>
  <si>
    <t>l</t>
  </si>
  <si>
    <t>m</t>
  </si>
  <si>
    <t>n</t>
  </si>
  <si>
    <t>o</t>
  </si>
  <si>
    <t>p</t>
  </si>
  <si>
    <t>Table 3.12 Refinery throughput and output of petroleum products</t>
  </si>
  <si>
    <t>OIL &amp; OIL PRODUCTS</t>
  </si>
  <si>
    <t>3 OIL &amp; OIL PRODUCTS</t>
  </si>
  <si>
    <t xml:space="preserve">2002 </t>
  </si>
  <si>
    <t>links through petroleum products</t>
  </si>
  <si>
    <t>Gas diesel oil:  in this table = to gas oil and diesel and is throughput and production less refinery use.  In petroluem products file (feeds through to q balances and moil) = MDF, Gas oil and Diesel</t>
  </si>
  <si>
    <t>CHECK</t>
  </si>
  <si>
    <t>Below links through "petroleum products" file and should be the same as above!!</t>
  </si>
  <si>
    <t>Query to sort - changed in August to add in mdf</t>
  </si>
  <si>
    <t>In main balce by product, other ref f/s and mdf show fuel consumption but this is not carried through to petroleum products file (MDF is in production of gas diesel but not in fuel use!!!)</t>
  </si>
  <si>
    <t>thro'put of crude and process oils</t>
  </si>
  <si>
    <t>this includes gasoline f/s, other ref f/s and middle distillate f/s.  Not all are -ve and MDF bits are in gas/diesel oil???</t>
  </si>
  <si>
    <t xml:space="preserve">and is only refinery throughput and production (ie does not subtract fuel use).  </t>
  </si>
  <si>
    <t>Ind spirit</t>
  </si>
  <si>
    <t>White spirit</t>
  </si>
  <si>
    <t>Marine D</t>
  </si>
  <si>
    <t>Pet Waxes</t>
  </si>
  <si>
    <t>Pet coke</t>
  </si>
  <si>
    <t>Misc</t>
  </si>
  <si>
    <t>Published data comparison</t>
  </si>
  <si>
    <t>this includes MDF because pet products includes MDF but throughput of crude and process oil also includes MDF</t>
  </si>
  <si>
    <t>Check total</t>
  </si>
  <si>
    <t>Note:  ref gas, gas/diesel and fuel oil have ref fuel use from autogen as pet products have autogens removed</t>
  </si>
  <si>
    <t xml:space="preserve">December </t>
  </si>
  <si>
    <t>Check 1</t>
  </si>
  <si>
    <t>Check 2</t>
  </si>
  <si>
    <t>diff</t>
  </si>
  <si>
    <t>should be +ve number</t>
  </si>
  <si>
    <t>should be 0</t>
  </si>
  <si>
    <t xml:space="preserve"> (appear only in total)</t>
  </si>
  <si>
    <t>Other products</t>
  </si>
  <si>
    <t>2004 linked data - does not = what was published</t>
  </si>
  <si>
    <t>ck</t>
  </si>
  <si>
    <t>cl</t>
  </si>
  <si>
    <t>cp</t>
  </si>
  <si>
    <t>cu</t>
  </si>
  <si>
    <t>cv</t>
  </si>
  <si>
    <t>cw</t>
  </si>
  <si>
    <t>ch</t>
  </si>
  <si>
    <t>ind spirit</t>
  </si>
  <si>
    <t>white spirit</t>
  </si>
  <si>
    <t>Pet wax</t>
  </si>
  <si>
    <t>Other prod</t>
  </si>
  <si>
    <t>av gas</t>
  </si>
  <si>
    <t>total</t>
  </si>
  <si>
    <t>difference</t>
  </si>
  <si>
    <t xml:space="preserve">April </t>
  </si>
  <si>
    <t xml:space="preserve">November </t>
  </si>
  <si>
    <t xml:space="preserve">August </t>
  </si>
  <si>
    <t>Oil</t>
  </si>
  <si>
    <t>DERV</t>
  </si>
  <si>
    <t>Gas</t>
  </si>
  <si>
    <t>Q</t>
  </si>
  <si>
    <t>q</t>
  </si>
  <si>
    <t>Main points</t>
  </si>
  <si>
    <t xml:space="preserve"> </t>
  </si>
  <si>
    <t>2. Total production minus refinery use.</t>
  </si>
  <si>
    <t>3. Ethane and other petroleum gases (OPG).</t>
  </si>
  <si>
    <t>4. Percentage change from the most recent 3 months compared with the same period last year.</t>
  </si>
  <si>
    <t>1. Including aviation gasoline,  white spirit, petroleum wax, petroleum coke and miscellaneous products.</t>
  </si>
  <si>
    <t>In the latest three months</t>
  </si>
  <si>
    <t>Return to contents page</t>
  </si>
  <si>
    <t>e-mail:</t>
  </si>
  <si>
    <t>Contacts</t>
  </si>
  <si>
    <t>Glossary and acronyms</t>
  </si>
  <si>
    <t>Energy statistics revisions policy</t>
  </si>
  <si>
    <t>Revisions policy</t>
  </si>
  <si>
    <t>Crude oil and petroleum products: methodology note</t>
  </si>
  <si>
    <t>Data sources &amp; methodology</t>
  </si>
  <si>
    <t>Website</t>
  </si>
  <si>
    <t>Further information</t>
  </si>
  <si>
    <t xml:space="preserve">Data on UK refinery throughput and output of petroleum products. Monthly data published two months in arrears. </t>
  </si>
  <si>
    <t>Background</t>
  </si>
  <si>
    <t>Quarter</t>
  </si>
  <si>
    <t xml:space="preserve">Annual </t>
  </si>
  <si>
    <t>Historic data</t>
  </si>
  <si>
    <t>Main table</t>
  </si>
  <si>
    <t>Tables</t>
  </si>
  <si>
    <t>Highlights</t>
  </si>
  <si>
    <t>Contents</t>
  </si>
  <si>
    <t>Next Update</t>
  </si>
  <si>
    <t>Data period:</t>
  </si>
  <si>
    <t xml:space="preserve">Publication date: </t>
  </si>
  <si>
    <t>Refinery throughput and output of petroleum products</t>
  </si>
  <si>
    <t>Energy Trends: oil and oil products</t>
  </si>
  <si>
    <t>BEIS Press Office (media enquiries)</t>
  </si>
  <si>
    <t>Symbols</t>
  </si>
  <si>
    <t>provisional</t>
  </si>
  <si>
    <t>r</t>
  </si>
  <si>
    <t>revised</t>
  </si>
  <si>
    <t>Revisions</t>
  </si>
  <si>
    <t>Data marked with ‘r’ are revised from previous publications. This is due to providers restating figures or new data replacing estimates, unless otherwise stated.</t>
  </si>
  <si>
    <t>2017 data compared with 2016</t>
  </si>
  <si>
    <t>● Refinery output was relatively stable on 2016 (down just 0.4 per cent). Refinery production in the UK has been on a downward path following refinery closures and capacity reductions in some refineries. Refinery production has been relatively constant over the last few years, despite this contraction in capacity.</t>
  </si>
  <si>
    <t xml:space="preserve">● Overall refinery production was up by 3.5 per cent in the three months to November 2018. Refineries are moving out of a relatively prolonged maintenance period that has affected production this year (down 3.4 per cent in the year to date). </t>
  </si>
  <si>
    <t>tel: 020 7215 1000</t>
  </si>
  <si>
    <t>newsdesk@beis.gov.uk</t>
  </si>
  <si>
    <t>Digest of United Kingdom Energy Statistics (DUKES): Annex B</t>
  </si>
  <si>
    <t>tel: 0300 068 5101</t>
  </si>
  <si>
    <t>Oil-Gas.Statistics@beis.gov.uk</t>
  </si>
  <si>
    <t>Statistician: Stephen Rose</t>
  </si>
  <si>
    <t>For further details on demand see Table 3.13</t>
  </si>
  <si>
    <t>Losses/ (gains)</t>
  </si>
  <si>
    <t>Butane and propane</t>
  </si>
  <si>
    <t>Motor Spirit</t>
  </si>
  <si>
    <t>Aviation turbine fuel</t>
  </si>
  <si>
    <t>Burning oil</t>
  </si>
  <si>
    <t>Gas oil</t>
  </si>
  <si>
    <t>DERV oil</t>
  </si>
  <si>
    <t>Fuel oil</t>
  </si>
  <si>
    <t>Lubricating oils</t>
  </si>
  <si>
    <t>Per cent change (4)</t>
  </si>
  <si>
    <t xml:space="preserve">Other petroleum </t>
  </si>
  <si>
    <t>Throughput of primary oils</t>
  </si>
  <si>
    <t>Refinery intake</t>
  </si>
  <si>
    <t>Naphtha (LDF)</t>
  </si>
  <si>
    <t>Output</t>
  </si>
  <si>
    <t>1995 - 2020</t>
  </si>
  <si>
    <t>Q1 1995 - Q4 2020</t>
  </si>
  <si>
    <t>For further details on exports see Table 3.4</t>
  </si>
  <si>
    <t>January 1995 - January 2021</t>
  </si>
  <si>
    <t>Refinery intake and output down as third national lockdown commences</t>
  </si>
  <si>
    <t>Production of key road fuels remains down. Petrol and diesel production were down 21 and 13 per cent respectively in the three months to January compared to the same period in the previous year. Decreases in January put production at the lowest levels since August and June 2020 for petrol and diesel respectively, due to the stay at home message of the third national lockdown.</t>
  </si>
  <si>
    <t>The impact on aviation fuel production continues to be the most severe. In the three months to January production was 20 per cent of that seen in the same period last year. After an increase in December, production returned to November levels in January following the end of a brief easing of travel restrictions in December.</t>
  </si>
  <si>
    <t xml:space="preserve">Production of key transport fuels </t>
  </si>
  <si>
    <t>Refinery throughput and output were down 23 and 22 per cent, respectively, in the three months to January compared to the same period in the previous year; this follows the ongoing impact Covid-19 has had on demand and production. Due to the introduction of the third national lockdown total output in January was down by 12 per cent (0.5 million tonnes) on December, the lowest level since June 2020.</t>
  </si>
  <si>
    <t>In the three months to January, production of burning oil increased each month to meet winter demand, between December and January production increased by 11 per cent. Despite this, production levels were just over two thirds of the level seen in the same period the previous year.</t>
  </si>
  <si>
    <t>2020 data compared with 2019</t>
  </si>
  <si>
    <t>Covid 19 severely impacts demand and production, resulting in a multitude of record lows in 2020</t>
  </si>
  <si>
    <t>Whilst most product outputs fell compared with last year, there was a 6.4 per cent increase in fuel oil output. This increased output has resulted in increased exports, up two fifths in the first three quarters of 2020 when compared with the same period last year (see Table 3.4).</t>
  </si>
  <si>
    <t>Following consistent refinery production in the five years until 2019, in 2020 output decreased by 18 per cent because of reduced demand due to the Covid-19 pandemic. This has resulted in new record lows for all fuels except other petroleum gases and fuel oil. Key transport fuels have been hit the hardest, with demand for aviation fuel down almost 62 per cent on last year, and less than one-half on 2016, the previous record low, resulting in lower refinery output in 2020.</t>
  </si>
  <si>
    <t>January p</t>
  </si>
  <si>
    <t>Latest data for January 2021 and revisions to 2020 data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</si>
</sst>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
    <numFmt numFmtId="166" formatCode="@\ \p"/>
    <numFmt numFmtId="167" formatCode="#,##0\r"/>
    <numFmt numFmtId="168" formatCode="###0\ \p"/>
    <numFmt numFmtId="169" formatCode="###0"/>
    <numFmt numFmtId="170" formatCode="#,##0.000"/>
    <numFmt numFmtId="171" formatCode="#,##0.0"/>
    <numFmt numFmtId="172" formatCode="0;;;@"/>
    <numFmt numFmtId="173" formatCode="0\ \p;;;@&quot; p&quot;"/>
    <numFmt numFmtId="174" formatCode="#,##0\ ;\-#,##0\ ;&quot;-&quot;\ "/>
    <numFmt numFmtId="175" formatCode="0.0%"/>
    <numFmt numFmtId="176" formatCode="@\ "/>
    <numFmt numFmtId="177" formatCode="0\ \p;;;@"/>
    <numFmt numFmtId="178" formatCode="#,##0.0\ ;\-#,##0.0\ ;&quot;-&quot;\ "/>
    <numFmt numFmtId="179" formatCode="#,##0.00\ ;\-#,##0.00\ ;&quot;-&quot;\ "/>
    <numFmt numFmtId="180" formatCode="&quot;Yes&quot;;&quot;Yes&quot;;&quot;No&quot;"/>
    <numFmt numFmtId="181" formatCode="&quot;True&quot;;&quot;True&quot;;&quot;False&quot;"/>
    <numFmt numFmtId="182" formatCode="&quot;On&quot;;&quot;On&quot;;&quot;Off&quot;"/>
    <numFmt numFmtId="183" formatCode="[$€-2]\ #,##0.00_);[Red]\([$€-2]\ #,##0.00\)"/>
    <numFmt numFmtId="184" formatCode="dd\-mmm\-yyyy"/>
    <numFmt numFmtId="185" formatCode="#,##0\r;\-#,##0\r;&quot;-&quot;\ "/>
    <numFmt numFmtId="186" formatCode="#,##0.0\ "/>
    <numFmt numFmtId="187" formatCode="#,##0.00\ "/>
    <numFmt numFmtId="188" formatCode="#,##0.000\ "/>
    <numFmt numFmtId="189" formatCode="#,##0.0000\ "/>
    <numFmt numFmtId="190" formatCode="0\ \p;;;@&quot; e&quot;"/>
    <numFmt numFmtId="191" formatCode="#,##0_ ;\-#,##0\ "/>
    <numFmt numFmtId="192" formatCode="#,##0\e;\-#,##0\e;&quot;-&quot;\ "/>
    <numFmt numFmtId="193" formatCode="mmm\-yyyy"/>
    <numFmt numFmtId="194" formatCode="[$-809]dd\ mmmm\ yyyy"/>
    <numFmt numFmtId="195" formatCode="[$-809]dd\ mmmm\ yyyy;@"/>
    <numFmt numFmtId="196" formatCode="#,##0.00000\ "/>
    <numFmt numFmtId="197" formatCode="#,##0.000000\ "/>
    <numFmt numFmtId="198" formatCode="[$-F800]dddd\,\ mmmm\ dd\,\ yyyy"/>
    <numFmt numFmtId="199" formatCode="0.000"/>
    <numFmt numFmtId="200" formatCode="[$-809]d\ mmmm\ yyyy;@"/>
    <numFmt numFmtId="201" formatCode="#,##0.00000000000"/>
    <numFmt numFmtId="202" formatCode="#,##0.000000000000"/>
    <numFmt numFmtId="203" formatCode="#,##0.000000"/>
    <numFmt numFmtId="204" formatCode="##,##0\ "/>
    <numFmt numFmtId="205" formatCode="#,##0;\-#,##0;\-"/>
    <numFmt numFmtId="206" formatCode="#,##0\r;\-#,##0\r;\-\r"/>
    <numFmt numFmtId="207" formatCode="#,##0.0;[Red]\-#,##0.0"/>
    <numFmt numFmtId="208" formatCode="#,##0\r;[Red]\(#,##0\)"/>
    <numFmt numFmtId="209" formatCode="#,##0\ ;[Red]\(#,##0\)"/>
    <numFmt numFmtId="210" formatCode="#,##0\r;\(#,##0\)"/>
    <numFmt numFmtId="211" formatCode="#,##0.00000000000_ ;[Red]\-#,##0.00000000000\ "/>
    <numFmt numFmtId="212" formatCode="#,##0.000000000000_ ;[Red]\-#,##0.000000000000\ "/>
    <numFmt numFmtId="213" formatCode="#,##0.0_ ;[Red]\-#,##0.0\ "/>
    <numFmt numFmtId="214" formatCode="#,##0.000;[Red]\-#,##0.000"/>
    <numFmt numFmtId="215" formatCode="#,##0.0000;[Red]\-#,##0.0000"/>
    <numFmt numFmtId="216" formatCode="#,##0.00000;[Red]\-#,##0.00000"/>
    <numFmt numFmtId="217" formatCode="#,##0.000000;[Red]\-#,##0.000000"/>
    <numFmt numFmtId="218" formatCode="0.000%"/>
    <numFmt numFmtId="219" formatCode="0.0000%"/>
    <numFmt numFmtId="220" formatCode="0.00000%"/>
    <numFmt numFmtId="221" formatCode="0.000000%"/>
    <numFmt numFmtId="222" formatCode="0.0000000%"/>
    <numFmt numFmtId="223" formatCode="0.00000000%"/>
    <numFmt numFmtId="224" formatCode="#,##0.00000000000000000_ ;[Red]\-#,##0.00000000000000000\ "/>
  </numFmts>
  <fonts count="81">
    <font>
      <sz val="10"/>
      <name val="MS Sans Serif"/>
      <family val="0"/>
    </font>
    <font>
      <b/>
      <sz val="10"/>
      <name val="MS Sans Serif"/>
      <family val="0"/>
    </font>
    <font>
      <i/>
      <sz val="10"/>
      <name val="MS Sans Serif"/>
      <family val="0"/>
    </font>
    <font>
      <b/>
      <i/>
      <sz val="10"/>
      <name val="MS Sans Serif"/>
      <family val="0"/>
    </font>
    <font>
      <sz val="8"/>
      <name val="MS Sans Serif"/>
      <family val="2"/>
    </font>
    <font>
      <i/>
      <sz val="8"/>
      <name val="MS Sans Serif"/>
      <family val="2"/>
    </font>
    <font>
      <vertAlign val="superscript"/>
      <sz val="7"/>
      <name val="MS Sans Serif"/>
      <family val="2"/>
    </font>
    <font>
      <sz val="8.5"/>
      <name val="MS Sans Serif"/>
      <family val="2"/>
    </font>
    <font>
      <i/>
      <sz val="8.5"/>
      <name val="MS Sans Serif"/>
      <family val="2"/>
    </font>
    <font>
      <b/>
      <sz val="28"/>
      <name val="Antique Olive"/>
      <family val="2"/>
    </font>
    <font>
      <b/>
      <sz val="9"/>
      <name val="MS Sans Serif"/>
      <family val="2"/>
    </font>
    <font>
      <sz val="9"/>
      <name val="MS Sans Serif"/>
      <family val="2"/>
    </font>
    <font>
      <sz val="10"/>
      <color indexed="12"/>
      <name val="MS Sans Serif"/>
      <family val="2"/>
    </font>
    <font>
      <b/>
      <sz val="12"/>
      <name val="MS Sans Serif"/>
      <family val="2"/>
    </font>
    <font>
      <b/>
      <sz val="8.5"/>
      <name val="MS Sans Serif"/>
      <family val="2"/>
    </font>
    <font>
      <u val="single"/>
      <sz val="10"/>
      <color indexed="12"/>
      <name val="MS Sans Serif"/>
      <family val="2"/>
    </font>
    <font>
      <u val="single"/>
      <sz val="10"/>
      <color indexed="36"/>
      <name val="MS Sans Serif"/>
      <family val="2"/>
    </font>
    <font>
      <sz val="9"/>
      <color indexed="10"/>
      <name val="MS Sans Serif"/>
      <family val="2"/>
    </font>
    <font>
      <sz val="8"/>
      <name val="Tahoma"/>
      <family val="2"/>
    </font>
    <font>
      <b/>
      <sz val="8"/>
      <name val="Tahoma"/>
      <family val="2"/>
    </font>
    <font>
      <b/>
      <sz val="28"/>
      <name val="Arial"/>
      <family val="2"/>
    </font>
    <font>
      <b/>
      <sz val="12"/>
      <name val="Arial"/>
      <family val="2"/>
    </font>
    <font>
      <b/>
      <u val="single"/>
      <sz val="12"/>
      <name val="Arial"/>
      <family val="2"/>
    </font>
    <font>
      <sz val="12"/>
      <name val="Arial"/>
      <family val="2"/>
    </font>
    <font>
      <u val="single"/>
      <sz val="12"/>
      <color indexed="12"/>
      <name val="Arial"/>
      <family val="2"/>
    </font>
    <font>
      <u val="single"/>
      <sz val="12"/>
      <name val="Arial"/>
      <family val="2"/>
    </font>
    <font>
      <sz val="12"/>
      <name val="MS Sans Serif"/>
      <family val="2"/>
    </font>
    <font>
      <b/>
      <sz val="14"/>
      <name val="Arial"/>
      <family val="2"/>
    </font>
    <font>
      <u val="single"/>
      <sz val="10"/>
      <color indexed="12"/>
      <name val="Arial"/>
      <family val="2"/>
    </font>
    <font>
      <sz val="10"/>
      <name val="Arial"/>
      <family val="2"/>
    </font>
    <font>
      <b/>
      <sz val="22"/>
      <name val="Arial"/>
      <family val="2"/>
    </font>
    <font>
      <i/>
      <sz val="9"/>
      <name val="Arial"/>
      <family val="2"/>
    </font>
    <font>
      <sz val="8"/>
      <name val="Arial"/>
      <family val="2"/>
    </font>
    <font>
      <sz val="9"/>
      <name val="Arial"/>
      <family val="2"/>
    </font>
    <font>
      <b/>
      <sz val="9"/>
      <name val="Arial"/>
      <family val="2"/>
    </font>
    <font>
      <b/>
      <sz val="10"/>
      <name val="Arial"/>
      <family val="2"/>
    </font>
    <font>
      <i/>
      <sz val="8"/>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Arial"/>
      <family val="2"/>
    </font>
    <font>
      <sz val="10"/>
      <color indexed="10"/>
      <name val="MS Sans Serif"/>
      <family val="2"/>
    </font>
    <font>
      <b/>
      <sz val="12"/>
      <color indexed="8"/>
      <name val="Arial"/>
      <family val="2"/>
    </font>
    <font>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0"/>
      <color rgb="FFFF0000"/>
      <name val="MS Sans Serif"/>
      <family val="2"/>
    </font>
    <font>
      <b/>
      <sz val="12"/>
      <color theme="1"/>
      <name val="Arial"/>
      <family val="2"/>
    </font>
    <font>
      <sz val="12"/>
      <color theme="1"/>
      <name val="Arial"/>
      <family val="2"/>
    </font>
    <font>
      <b/>
      <sz val="8"/>
      <name val="MS Sans Serif"/>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77">
    <xf numFmtId="0" fontId="0" fillId="0" borderId="0" xfId="0" applyAlignment="1">
      <alignment/>
    </xf>
    <xf numFmtId="0" fontId="4" fillId="0" borderId="0" xfId="0" applyFont="1" applyAlignment="1">
      <alignment horizontal="right"/>
    </xf>
    <xf numFmtId="0" fontId="4" fillId="0" borderId="10" xfId="0" applyFont="1" applyBorder="1" applyAlignment="1">
      <alignment horizontal="centerContinuous"/>
    </xf>
    <xf numFmtId="0" fontId="4" fillId="0" borderId="10" xfId="0" applyFont="1" applyBorder="1" applyAlignment="1">
      <alignment horizontal="right" wrapText="1"/>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4" fillId="0" borderId="10" xfId="0" applyFont="1" applyBorder="1" applyAlignment="1">
      <alignment horizontal="right"/>
    </xf>
    <xf numFmtId="0" fontId="0" fillId="0" borderId="10" xfId="0"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3" fontId="0" fillId="0" borderId="0" xfId="0" applyNumberFormat="1" applyAlignment="1">
      <alignment/>
    </xf>
    <xf numFmtId="1" fontId="0" fillId="0" borderId="0" xfId="0" applyNumberFormat="1" applyAlignment="1">
      <alignment/>
    </xf>
    <xf numFmtId="0" fontId="7" fillId="0" borderId="0" xfId="0" applyFont="1" applyAlignment="1">
      <alignment/>
    </xf>
    <xf numFmtId="0" fontId="0" fillId="34" borderId="0" xfId="0" applyFill="1" applyAlignment="1">
      <alignment/>
    </xf>
    <xf numFmtId="0" fontId="5" fillId="34" borderId="0" xfId="0" applyFont="1" applyFill="1" applyAlignment="1">
      <alignment horizontal="right" vertical="center"/>
    </xf>
    <xf numFmtId="0" fontId="7" fillId="34" borderId="0" xfId="0" applyFont="1" applyFill="1" applyAlignment="1">
      <alignment horizontal="left" vertical="center"/>
    </xf>
    <xf numFmtId="0" fontId="0" fillId="34" borderId="0" xfId="0" applyFill="1" applyAlignment="1">
      <alignment vertical="center"/>
    </xf>
    <xf numFmtId="0" fontId="4" fillId="34" borderId="0" xfId="0" applyFont="1" applyFill="1" applyAlignment="1">
      <alignment vertical="center"/>
    </xf>
    <xf numFmtId="0" fontId="9" fillId="0" borderId="0" xfId="0" applyFont="1" applyAlignment="1">
      <alignment vertical="center"/>
    </xf>
    <xf numFmtId="0" fontId="10" fillId="34" borderId="0" xfId="0" applyFont="1" applyFill="1" applyAlignment="1">
      <alignment/>
    </xf>
    <xf numFmtId="0" fontId="12" fillId="0" borderId="0" xfId="0" applyFont="1" applyAlignment="1">
      <alignment/>
    </xf>
    <xf numFmtId="0" fontId="7" fillId="34" borderId="0" xfId="0" applyFont="1" applyFill="1" applyAlignment="1" applyProtection="1">
      <alignment horizontal="left"/>
      <protection hidden="1"/>
    </xf>
    <xf numFmtId="0" fontId="7" fillId="34" borderId="0" xfId="0" applyFont="1" applyFill="1" applyAlignment="1" applyProtection="1">
      <alignment vertical="center"/>
      <protection hidden="1"/>
    </xf>
    <xf numFmtId="165" fontId="7" fillId="34" borderId="0" xfId="0" applyNumberFormat="1" applyFont="1" applyFill="1" applyAlignment="1" applyProtection="1">
      <alignment/>
      <protection hidden="1"/>
    </xf>
    <xf numFmtId="0" fontId="1" fillId="0" borderId="16" xfId="0" applyFont="1" applyBorder="1" applyAlignment="1">
      <alignment vertical="center"/>
    </xf>
    <xf numFmtId="0" fontId="0" fillId="0" borderId="17" xfId="0" applyBorder="1" applyAlignment="1">
      <alignment vertical="center"/>
    </xf>
    <xf numFmtId="0" fontId="5" fillId="0" borderId="18" xfId="0" applyFont="1" applyBorder="1" applyAlignment="1">
      <alignment horizontal="right" vertical="center"/>
    </xf>
    <xf numFmtId="0" fontId="0" fillId="0" borderId="0" xfId="0" applyAlignment="1">
      <alignment horizontal="left"/>
    </xf>
    <xf numFmtId="0" fontId="2" fillId="0" borderId="0" xfId="0" applyFont="1" applyAlignment="1">
      <alignment horizontal="left"/>
    </xf>
    <xf numFmtId="165" fontId="11" fillId="0" borderId="0" xfId="0" applyNumberFormat="1" applyFont="1" applyAlignment="1">
      <alignment/>
    </xf>
    <xf numFmtId="0" fontId="1" fillId="0" borderId="0" xfId="0" applyFont="1" applyAlignment="1">
      <alignment horizontal="left"/>
    </xf>
    <xf numFmtId="174" fontId="11" fillId="0" borderId="0" xfId="0" applyNumberFormat="1" applyFont="1" applyAlignment="1">
      <alignment/>
    </xf>
    <xf numFmtId="174" fontId="11" fillId="0" borderId="0" xfId="0" applyNumberFormat="1" applyFont="1" applyAlignment="1">
      <alignment horizontal="right"/>
    </xf>
    <xf numFmtId="169" fontId="0" fillId="0" borderId="0" xfId="0" applyNumberFormat="1" applyAlignment="1">
      <alignment/>
    </xf>
    <xf numFmtId="3" fontId="0" fillId="0" borderId="10" xfId="0" applyNumberFormat="1" applyBorder="1" applyAlignment="1">
      <alignment/>
    </xf>
    <xf numFmtId="0" fontId="7" fillId="34" borderId="0" xfId="0" applyFont="1" applyFill="1" applyAlignment="1" applyProtection="1">
      <alignment/>
      <protection hidden="1"/>
    </xf>
    <xf numFmtId="0" fontId="7" fillId="34" borderId="0" xfId="0" applyFont="1" applyFill="1" applyAlignment="1" applyProtection="1">
      <alignment horizontal="left" vertical="center"/>
      <protection hidden="1"/>
    </xf>
    <xf numFmtId="165" fontId="7" fillId="34" borderId="0" xfId="0" applyNumberFormat="1" applyFont="1" applyFill="1" applyAlignment="1" applyProtection="1">
      <alignment vertical="center"/>
      <protection hidden="1"/>
    </xf>
    <xf numFmtId="169" fontId="7" fillId="34" borderId="0" xfId="0" applyNumberFormat="1" applyFont="1" applyFill="1" applyAlignment="1" applyProtection="1">
      <alignment horizontal="left" vertical="center"/>
      <protection hidden="1"/>
    </xf>
    <xf numFmtId="0" fontId="8" fillId="34" borderId="0" xfId="0" applyFont="1" applyFill="1" applyAlignment="1" applyProtection="1">
      <alignment horizontal="left" vertical="center"/>
      <protection hidden="1"/>
    </xf>
    <xf numFmtId="165" fontId="7" fillId="34" borderId="0" xfId="0" applyNumberFormat="1" applyFont="1" applyFill="1" applyAlignment="1" applyProtection="1">
      <alignment horizontal="right"/>
      <protection hidden="1"/>
    </xf>
    <xf numFmtId="166" fontId="7" fillId="34" borderId="0" xfId="0" applyNumberFormat="1" applyFont="1" applyFill="1" applyAlignment="1" applyProtection="1">
      <alignment horizontal="left" vertical="center"/>
      <protection hidden="1"/>
    </xf>
    <xf numFmtId="0" fontId="7" fillId="34" borderId="0" xfId="0" applyFont="1" applyFill="1" applyAlignment="1">
      <alignment/>
    </xf>
    <xf numFmtId="0" fontId="4" fillId="34" borderId="0" xfId="0" applyFont="1" applyFill="1" applyAlignment="1">
      <alignment/>
    </xf>
    <xf numFmtId="174" fontId="11" fillId="35" borderId="0" xfId="0" applyNumberFormat="1" applyFont="1" applyFill="1" applyAlignment="1">
      <alignment/>
    </xf>
    <xf numFmtId="0" fontId="1" fillId="34" borderId="0" xfId="0" applyFont="1" applyFill="1" applyAlignment="1">
      <alignment/>
    </xf>
    <xf numFmtId="15" fontId="14" fillId="34" borderId="0" xfId="0" applyNumberFormat="1" applyFont="1" applyFill="1" applyAlignment="1">
      <alignment/>
    </xf>
    <xf numFmtId="3" fontId="11" fillId="0" borderId="0" xfId="0" applyNumberFormat="1" applyFont="1" applyAlignment="1">
      <alignment/>
    </xf>
    <xf numFmtId="0" fontId="0" fillId="36" borderId="0" xfId="0" applyFill="1" applyAlignment="1">
      <alignment horizontal="left"/>
    </xf>
    <xf numFmtId="0" fontId="0" fillId="36" borderId="0" xfId="0" applyFill="1" applyAlignment="1">
      <alignment/>
    </xf>
    <xf numFmtId="174" fontId="11" fillId="36" borderId="0" xfId="0" applyNumberFormat="1" applyFont="1" applyFill="1" applyAlignment="1">
      <alignment/>
    </xf>
    <xf numFmtId="174" fontId="11" fillId="36" borderId="0" xfId="0" applyNumberFormat="1" applyFont="1" applyFill="1" applyAlignment="1">
      <alignment horizontal="right"/>
    </xf>
    <xf numFmtId="1" fontId="0" fillId="36" borderId="0" xfId="0" applyNumberFormat="1" applyFill="1" applyAlignment="1">
      <alignment horizontal="left"/>
    </xf>
    <xf numFmtId="1" fontId="0" fillId="36" borderId="0" xfId="0" applyNumberFormat="1" applyFill="1" applyAlignment="1">
      <alignment/>
    </xf>
    <xf numFmtId="172" fontId="0" fillId="36" borderId="0" xfId="0" applyNumberFormat="1" applyFill="1" applyAlignment="1">
      <alignment/>
    </xf>
    <xf numFmtId="169" fontId="0" fillId="36" borderId="0" xfId="0" applyNumberFormat="1" applyFill="1" applyAlignment="1">
      <alignment/>
    </xf>
    <xf numFmtId="3" fontId="0" fillId="36" borderId="0" xfId="0" applyNumberFormat="1" applyFill="1" applyAlignment="1">
      <alignment/>
    </xf>
    <xf numFmtId="1" fontId="11" fillId="36" borderId="0" xfId="0" applyNumberFormat="1" applyFont="1" applyFill="1" applyAlignment="1">
      <alignment/>
    </xf>
    <xf numFmtId="165" fontId="0" fillId="36" borderId="0" xfId="0" applyNumberFormat="1" applyFill="1" applyAlignment="1">
      <alignment/>
    </xf>
    <xf numFmtId="168" fontId="0" fillId="36" borderId="0" xfId="0" applyNumberFormat="1" applyFill="1" applyAlignment="1">
      <alignment/>
    </xf>
    <xf numFmtId="167" fontId="0" fillId="36" borderId="0" xfId="0" applyNumberFormat="1" applyFill="1" applyAlignment="1">
      <alignment/>
    </xf>
    <xf numFmtId="174" fontId="11" fillId="37" borderId="0" xfId="0" applyNumberFormat="1" applyFont="1" applyFill="1" applyAlignment="1">
      <alignment/>
    </xf>
    <xf numFmtId="0" fontId="0" fillId="37" borderId="0" xfId="0" applyFill="1" applyAlignment="1">
      <alignment/>
    </xf>
    <xf numFmtId="174" fontId="11" fillId="38" borderId="0" xfId="0" applyNumberFormat="1" applyFont="1" applyFill="1" applyAlignment="1">
      <alignment/>
    </xf>
    <xf numFmtId="0" fontId="0" fillId="38" borderId="0" xfId="0" applyFill="1" applyAlignment="1">
      <alignment/>
    </xf>
    <xf numFmtId="0" fontId="0" fillId="37" borderId="0" xfId="0" applyFill="1" applyAlignment="1">
      <alignment horizontal="left"/>
    </xf>
    <xf numFmtId="165" fontId="11" fillId="37" borderId="0" xfId="0" applyNumberFormat="1" applyFont="1" applyFill="1" applyAlignment="1">
      <alignment/>
    </xf>
    <xf numFmtId="174" fontId="17" fillId="0" borderId="0" xfId="0" applyNumberFormat="1" applyFont="1" applyAlignment="1">
      <alignment/>
    </xf>
    <xf numFmtId="3" fontId="11" fillId="39" borderId="0" xfId="0" applyNumberFormat="1" applyFont="1" applyFill="1" applyAlignment="1">
      <alignment/>
    </xf>
    <xf numFmtId="174" fontId="11" fillId="39" borderId="0" xfId="0" applyNumberFormat="1" applyFont="1" applyFill="1" applyAlignment="1">
      <alignment/>
    </xf>
    <xf numFmtId="174" fontId="0" fillId="0" borderId="0" xfId="0" applyNumberFormat="1" applyAlignment="1">
      <alignment/>
    </xf>
    <xf numFmtId="38" fontId="0" fillId="0" borderId="0" xfId="0" applyNumberFormat="1" applyAlignment="1">
      <alignment/>
    </xf>
    <xf numFmtId="174" fontId="11" fillId="40" borderId="0" xfId="0" applyNumberFormat="1" applyFont="1" applyFill="1" applyAlignment="1">
      <alignment/>
    </xf>
    <xf numFmtId="165" fontId="11" fillId="40" borderId="0" xfId="0" applyNumberFormat="1" applyFont="1" applyFill="1" applyAlignment="1">
      <alignment wrapText="1"/>
    </xf>
    <xf numFmtId="165" fontId="11" fillId="0" borderId="0" xfId="0" applyNumberFormat="1" applyFont="1" applyAlignment="1">
      <alignment wrapText="1"/>
    </xf>
    <xf numFmtId="0" fontId="5" fillId="0" borderId="0" xfId="0" applyFont="1" applyAlignment="1">
      <alignment horizontal="right" vertical="center"/>
    </xf>
    <xf numFmtId="0" fontId="4" fillId="0" borderId="0" xfId="0" applyFont="1" applyAlignment="1">
      <alignment horizontal="right" wrapText="1"/>
    </xf>
    <xf numFmtId="38" fontId="11" fillId="37" borderId="0" xfId="0" applyNumberFormat="1" applyFont="1" applyFill="1" applyAlignment="1">
      <alignment/>
    </xf>
    <xf numFmtId="0" fontId="0" fillId="36" borderId="19" xfId="0" applyFill="1" applyBorder="1" applyAlignment="1">
      <alignment horizontal="left"/>
    </xf>
    <xf numFmtId="172" fontId="0" fillId="36" borderId="19" xfId="0" applyNumberFormat="1" applyFill="1" applyBorder="1" applyAlignment="1">
      <alignment/>
    </xf>
    <xf numFmtId="174" fontId="11" fillId="36" borderId="19" xfId="0" applyNumberFormat="1" applyFont="1" applyFill="1" applyBorder="1" applyAlignment="1">
      <alignment/>
    </xf>
    <xf numFmtId="174" fontId="11" fillId="0" borderId="19" xfId="0" applyNumberFormat="1" applyFont="1" applyBorder="1" applyAlignment="1">
      <alignment/>
    </xf>
    <xf numFmtId="0" fontId="0" fillId="0" borderId="19" xfId="0" applyBorder="1" applyAlignment="1">
      <alignment/>
    </xf>
    <xf numFmtId="0" fontId="0" fillId="41" borderId="0" xfId="0" applyFill="1" applyAlignment="1">
      <alignment horizontal="left"/>
    </xf>
    <xf numFmtId="169" fontId="0" fillId="41" borderId="0" xfId="0" applyNumberFormat="1" applyFill="1" applyAlignment="1">
      <alignment/>
    </xf>
    <xf numFmtId="174" fontId="11" fillId="41" borderId="0" xfId="0" applyNumberFormat="1" applyFont="1" applyFill="1" applyAlignment="1">
      <alignment/>
    </xf>
    <xf numFmtId="0" fontId="0" fillId="41" borderId="19" xfId="0" applyFill="1" applyBorder="1" applyAlignment="1">
      <alignment horizontal="left"/>
    </xf>
    <xf numFmtId="0" fontId="0" fillId="41" borderId="0" xfId="0" applyFill="1" applyAlignment="1">
      <alignment wrapText="1"/>
    </xf>
    <xf numFmtId="174" fontId="11" fillId="42" borderId="0" xfId="0" applyNumberFormat="1" applyFont="1" applyFill="1" applyAlignment="1">
      <alignment/>
    </xf>
    <xf numFmtId="169" fontId="0" fillId="36" borderId="19" xfId="0" applyNumberFormat="1" applyFill="1" applyBorder="1" applyAlignment="1">
      <alignment/>
    </xf>
    <xf numFmtId="0" fontId="0" fillId="36" borderId="19" xfId="0" applyFill="1" applyBorder="1" applyAlignment="1">
      <alignment/>
    </xf>
    <xf numFmtId="174" fontId="11" fillId="36" borderId="19" xfId="0" applyNumberFormat="1" applyFont="1" applyFill="1" applyBorder="1" applyAlignment="1">
      <alignment horizontal="right"/>
    </xf>
    <xf numFmtId="0" fontId="0" fillId="0" borderId="0" xfId="0" applyAlignment="1">
      <alignment horizontal="right"/>
    </xf>
    <xf numFmtId="0" fontId="4" fillId="0" borderId="0" xfId="0" applyFont="1" applyAlignment="1">
      <alignment horizontal="centerContinuous"/>
    </xf>
    <xf numFmtId="174" fontId="11" fillId="35" borderId="0" xfId="0" applyNumberFormat="1" applyFont="1" applyFill="1" applyAlignment="1">
      <alignment horizontal="right"/>
    </xf>
    <xf numFmtId="174" fontId="11" fillId="35" borderId="19" xfId="0" applyNumberFormat="1" applyFont="1" applyFill="1" applyBorder="1" applyAlignment="1">
      <alignment/>
    </xf>
    <xf numFmtId="1" fontId="11" fillId="35" borderId="19" xfId="0" applyNumberFormat="1" applyFont="1" applyFill="1" applyBorder="1" applyAlignment="1">
      <alignment/>
    </xf>
    <xf numFmtId="174" fontId="11" fillId="38" borderId="0" xfId="0" applyNumberFormat="1" applyFont="1" applyFill="1" applyAlignment="1">
      <alignment horizontal="right"/>
    </xf>
    <xf numFmtId="174" fontId="11" fillId="38" borderId="19" xfId="0" applyNumberFormat="1" applyFont="1" applyFill="1" applyBorder="1" applyAlignment="1">
      <alignment/>
    </xf>
    <xf numFmtId="179" fontId="11" fillId="0" borderId="0" xfId="0" applyNumberFormat="1" applyFont="1" applyAlignment="1">
      <alignment/>
    </xf>
    <xf numFmtId="0" fontId="0" fillId="0" borderId="10" xfId="0" applyBorder="1" applyAlignment="1">
      <alignment horizontal="left"/>
    </xf>
    <xf numFmtId="169" fontId="0" fillId="0" borderId="10" xfId="0" applyNumberFormat="1" applyBorder="1" applyAlignment="1">
      <alignment/>
    </xf>
    <xf numFmtId="174" fontId="11" fillId="35" borderId="10" xfId="0" applyNumberFormat="1" applyFont="1" applyFill="1" applyBorder="1" applyAlignment="1">
      <alignment/>
    </xf>
    <xf numFmtId="174" fontId="11" fillId="37" borderId="10" xfId="0" applyNumberFormat="1" applyFont="1" applyFill="1" applyBorder="1" applyAlignment="1">
      <alignment/>
    </xf>
    <xf numFmtId="174" fontId="11" fillId="0" borderId="10" xfId="0" applyNumberFormat="1" applyFont="1" applyBorder="1" applyAlignment="1">
      <alignment/>
    </xf>
    <xf numFmtId="174" fontId="17" fillId="0" borderId="10" xfId="0" applyNumberFormat="1" applyFont="1" applyBorder="1" applyAlignment="1">
      <alignment/>
    </xf>
    <xf numFmtId="38" fontId="11" fillId="37" borderId="10" xfId="0" applyNumberFormat="1" applyFont="1" applyFill="1" applyBorder="1" applyAlignment="1">
      <alignment/>
    </xf>
    <xf numFmtId="174" fontId="11" fillId="42" borderId="10" xfId="0" applyNumberFormat="1" applyFont="1" applyFill="1" applyBorder="1" applyAlignment="1">
      <alignment/>
    </xf>
    <xf numFmtId="38" fontId="0" fillId="0" borderId="10" xfId="0" applyNumberFormat="1" applyBorder="1" applyAlignment="1">
      <alignment/>
    </xf>
    <xf numFmtId="174" fontId="0" fillId="0" borderId="10" xfId="0" applyNumberFormat="1" applyBorder="1" applyAlignment="1">
      <alignment/>
    </xf>
    <xf numFmtId="1" fontId="0" fillId="0" borderId="10" xfId="0" applyNumberFormat="1" applyBorder="1" applyAlignment="1">
      <alignment/>
    </xf>
    <xf numFmtId="174" fontId="0" fillId="34" borderId="0" xfId="0" applyNumberFormat="1" applyFill="1" applyAlignment="1">
      <alignment vertical="center"/>
    </xf>
    <xf numFmtId="165" fontId="5" fillId="34" borderId="0" xfId="0" applyNumberFormat="1" applyFont="1" applyFill="1" applyAlignment="1">
      <alignment horizontal="right" vertical="center"/>
    </xf>
    <xf numFmtId="0" fontId="0" fillId="0" borderId="0" xfId="0" applyFont="1" applyAlignment="1">
      <alignment/>
    </xf>
    <xf numFmtId="9" fontId="0" fillId="34" borderId="0" xfId="65" applyFont="1" applyFill="1" applyAlignment="1">
      <alignment vertical="center"/>
    </xf>
    <xf numFmtId="0" fontId="5" fillId="34" borderId="0" xfId="0" applyFont="1" applyFill="1" applyAlignment="1">
      <alignment horizontal="left" vertical="center"/>
    </xf>
    <xf numFmtId="165" fontId="8" fillId="34" borderId="0" xfId="0" applyNumberFormat="1" applyFont="1" applyFill="1" applyAlignment="1">
      <alignment horizontal="right" vertical="center"/>
    </xf>
    <xf numFmtId="0" fontId="11" fillId="34" borderId="0" xfId="0" applyFont="1" applyFill="1" applyAlignment="1">
      <alignment/>
    </xf>
    <xf numFmtId="0" fontId="11" fillId="34" borderId="0" xfId="0" applyFont="1" applyFill="1" applyAlignment="1" quotePrefix="1">
      <alignment/>
    </xf>
    <xf numFmtId="2" fontId="0" fillId="34" borderId="0" xfId="0" applyNumberFormat="1" applyFill="1" applyAlignment="1">
      <alignment vertical="center"/>
    </xf>
    <xf numFmtId="0" fontId="23" fillId="43" borderId="0" xfId="58" applyFont="1" applyFill="1">
      <alignment/>
      <protection/>
    </xf>
    <xf numFmtId="0" fontId="15" fillId="43" borderId="0" xfId="53" applyFill="1" applyAlignment="1" applyProtection="1">
      <alignment/>
      <protection/>
    </xf>
    <xf numFmtId="0" fontId="24" fillId="43" borderId="0" xfId="53" applyFont="1" applyFill="1" applyAlignment="1" applyProtection="1">
      <alignment/>
      <protection/>
    </xf>
    <xf numFmtId="0" fontId="25" fillId="43" borderId="0" xfId="58" applyFont="1" applyFill="1">
      <alignment/>
      <protection/>
    </xf>
    <xf numFmtId="0" fontId="23" fillId="43" borderId="0" xfId="58" applyFont="1" applyFill="1" applyAlignment="1">
      <alignment horizontal="left"/>
      <protection/>
    </xf>
    <xf numFmtId="0" fontId="26" fillId="43" borderId="0" xfId="58" applyFont="1" applyFill="1">
      <alignment/>
      <protection/>
    </xf>
    <xf numFmtId="0" fontId="27" fillId="43" borderId="0" xfId="58" applyFont="1" applyFill="1">
      <alignment/>
      <protection/>
    </xf>
    <xf numFmtId="174" fontId="11" fillId="34" borderId="0" xfId="0" applyNumberFormat="1" applyFont="1" applyFill="1" applyAlignment="1">
      <alignment/>
    </xf>
    <xf numFmtId="0" fontId="0" fillId="43" borderId="0" xfId="0" applyFill="1" applyAlignment="1">
      <alignment/>
    </xf>
    <xf numFmtId="0" fontId="20" fillId="43" borderId="0" xfId="0" applyFont="1" applyFill="1" applyAlignment="1">
      <alignment vertical="center" wrapText="1"/>
    </xf>
    <xf numFmtId="0" fontId="21" fillId="43" borderId="0" xfId="0" applyFont="1" applyFill="1" applyAlignment="1">
      <alignment vertical="center" wrapText="1"/>
    </xf>
    <xf numFmtId="0" fontId="13" fillId="43" borderId="0" xfId="0" applyFont="1" applyFill="1" applyAlignment="1">
      <alignment vertical="center" wrapText="1"/>
    </xf>
    <xf numFmtId="0" fontId="22" fillId="43" borderId="0" xfId="0" applyFont="1" applyFill="1" applyAlignment="1">
      <alignment vertical="center" wrapText="1"/>
    </xf>
    <xf numFmtId="0" fontId="13" fillId="43" borderId="0" xfId="0" applyFont="1" applyFill="1" applyAlignment="1">
      <alignment wrapText="1"/>
    </xf>
    <xf numFmtId="0" fontId="23" fillId="43" borderId="0" xfId="0" applyFont="1" applyFill="1" applyAlignment="1">
      <alignment vertical="top" wrapText="1"/>
    </xf>
    <xf numFmtId="0" fontId="0" fillId="43" borderId="0" xfId="0" applyFill="1" applyAlignment="1">
      <alignment wrapText="1"/>
    </xf>
    <xf numFmtId="0" fontId="76" fillId="43" borderId="0" xfId="0" applyFont="1" applyFill="1" applyAlignment="1">
      <alignment vertical="top" wrapText="1"/>
    </xf>
    <xf numFmtId="165" fontId="5" fillId="43" borderId="0" xfId="0" applyNumberFormat="1" applyFont="1" applyFill="1" applyAlignment="1">
      <alignment horizontal="right" vertical="center"/>
    </xf>
    <xf numFmtId="0" fontId="11" fillId="43" borderId="0" xfId="0" applyFont="1" applyFill="1" applyAlignment="1">
      <alignment/>
    </xf>
    <xf numFmtId="174" fontId="11" fillId="43" borderId="0" xfId="0" applyNumberFormat="1" applyFont="1" applyFill="1" applyAlignment="1">
      <alignment/>
    </xf>
    <xf numFmtId="0" fontId="23" fillId="0" borderId="0" xfId="58" applyFont="1">
      <alignment/>
      <protection/>
    </xf>
    <xf numFmtId="195" fontId="21" fillId="43" borderId="0" xfId="0" applyNumberFormat="1" applyFont="1" applyFill="1" applyAlignment="1">
      <alignment horizontal="right" wrapText="1"/>
    </xf>
    <xf numFmtId="0" fontId="23" fillId="43" borderId="0" xfId="0" applyFont="1" applyFill="1" applyAlignment="1">
      <alignment/>
    </xf>
    <xf numFmtId="0" fontId="25" fillId="43" borderId="0" xfId="0" applyFont="1" applyFill="1" applyAlignment="1">
      <alignment/>
    </xf>
    <xf numFmtId="9" fontId="11" fillId="43" borderId="0" xfId="65" applyFont="1" applyFill="1" applyAlignment="1">
      <alignment/>
    </xf>
    <xf numFmtId="0" fontId="77" fillId="43" borderId="0" xfId="0" applyFont="1" applyFill="1" applyAlignment="1">
      <alignment wrapText="1"/>
    </xf>
    <xf numFmtId="0" fontId="12" fillId="43" borderId="0" xfId="0" applyFont="1" applyFill="1" applyAlignment="1" applyProtection="1">
      <alignment/>
      <protection hidden="1"/>
    </xf>
    <xf numFmtId="0" fontId="21" fillId="43" borderId="0" xfId="0" applyFont="1" applyFill="1" applyAlignment="1" applyProtection="1">
      <alignment wrapText="1"/>
      <protection hidden="1"/>
    </xf>
    <xf numFmtId="0" fontId="23" fillId="43" borderId="0" xfId="0" applyFont="1" applyFill="1" applyAlignment="1" applyProtection="1">
      <alignment wrapText="1"/>
      <protection hidden="1"/>
    </xf>
    <xf numFmtId="175" fontId="11" fillId="43" borderId="0" xfId="65" applyNumberFormat="1" applyFont="1" applyFill="1" applyAlignment="1">
      <alignment/>
    </xf>
    <xf numFmtId="0" fontId="30" fillId="0" borderId="0" xfId="0" applyFont="1" applyAlignment="1">
      <alignment vertical="center"/>
    </xf>
    <xf numFmtId="0" fontId="32" fillId="34" borderId="0" xfId="0" applyFont="1" applyFill="1" applyAlignment="1">
      <alignment horizontal="left" vertical="center"/>
    </xf>
    <xf numFmtId="0" fontId="22" fillId="34" borderId="0" xfId="0" applyFont="1" applyFill="1" applyAlignment="1">
      <alignment wrapText="1"/>
    </xf>
    <xf numFmtId="195" fontId="78" fillId="43" borderId="0" xfId="0" applyNumberFormat="1" applyFont="1" applyFill="1" applyAlignment="1">
      <alignment horizontal="right" wrapText="1"/>
    </xf>
    <xf numFmtId="198" fontId="23" fillId="43" borderId="0" xfId="58" applyNumberFormat="1" applyFont="1" applyFill="1" applyAlignment="1">
      <alignment horizontal="left"/>
      <protection/>
    </xf>
    <xf numFmtId="0" fontId="24" fillId="0" borderId="0" xfId="54" applyFont="1" applyAlignment="1" applyProtection="1">
      <alignment horizontal="left"/>
      <protection/>
    </xf>
    <xf numFmtId="0" fontId="79" fillId="43" borderId="0" xfId="0" applyFont="1" applyFill="1" applyAlignment="1">
      <alignment vertical="top" wrapText="1"/>
    </xf>
    <xf numFmtId="0" fontId="23" fillId="43" borderId="0" xfId="60" applyFont="1" applyFill="1">
      <alignment/>
      <protection/>
    </xf>
    <xf numFmtId="0" fontId="23" fillId="43" borderId="0" xfId="61" applyFont="1" applyFill="1" applyAlignment="1">
      <alignment horizontal="right"/>
      <protection/>
    </xf>
    <xf numFmtId="0" fontId="23" fillId="43" borderId="0" xfId="59" applyFont="1" applyFill="1">
      <alignment/>
      <protection/>
    </xf>
    <xf numFmtId="0" fontId="23" fillId="0" borderId="0" xfId="59" applyFont="1">
      <alignment/>
      <protection/>
    </xf>
    <xf numFmtId="0" fontId="76" fillId="43" borderId="0" xfId="58" applyFont="1" applyFill="1">
      <alignment/>
      <protection/>
    </xf>
    <xf numFmtId="175" fontId="8" fillId="34" borderId="0" xfId="65" applyNumberFormat="1" applyFont="1" applyFill="1" applyAlignment="1">
      <alignment horizontal="right" vertical="center"/>
    </xf>
    <xf numFmtId="0" fontId="0" fillId="0" borderId="0" xfId="0" applyBorder="1" applyAlignment="1">
      <alignment vertical="center"/>
    </xf>
    <xf numFmtId="0" fontId="0" fillId="43" borderId="0" xfId="0" applyFill="1" applyBorder="1" applyAlignment="1">
      <alignment vertical="center"/>
    </xf>
    <xf numFmtId="0" fontId="31" fillId="0" borderId="0" xfId="0" applyFont="1" applyBorder="1" applyAlignment="1">
      <alignment horizontal="right" vertical="center"/>
    </xf>
    <xf numFmtId="0" fontId="33" fillId="34" borderId="0" xfId="0" applyFont="1" applyFill="1" applyAlignment="1">
      <alignment horizontal="left"/>
    </xf>
    <xf numFmtId="15" fontId="33" fillId="34" borderId="0" xfId="0" applyNumberFormat="1" applyFont="1" applyFill="1" applyAlignment="1">
      <alignment/>
    </xf>
    <xf numFmtId="0" fontId="34" fillId="34" borderId="0" xfId="0" applyFont="1" applyFill="1" applyAlignment="1">
      <alignment/>
    </xf>
    <xf numFmtId="0" fontId="33" fillId="34" borderId="20" xfId="0" applyFont="1" applyFill="1" applyBorder="1" applyAlignment="1">
      <alignment horizontal="right"/>
    </xf>
    <xf numFmtId="0" fontId="33" fillId="34" borderId="21" xfId="0" applyFont="1" applyFill="1" applyBorder="1" applyAlignment="1">
      <alignment/>
    </xf>
    <xf numFmtId="0" fontId="33" fillId="34" borderId="0" xfId="0" applyFont="1" applyFill="1" applyAlignment="1">
      <alignment/>
    </xf>
    <xf numFmtId="0" fontId="33" fillId="34" borderId="22" xfId="0" applyFont="1" applyFill="1" applyBorder="1" applyAlignment="1">
      <alignment horizontal="center" vertical="center" wrapText="1"/>
    </xf>
    <xf numFmtId="0" fontId="33" fillId="34" borderId="23"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43" borderId="23" xfId="0" applyFont="1" applyFill="1" applyBorder="1" applyAlignment="1">
      <alignment horizontal="center" vertical="center" wrapText="1"/>
    </xf>
    <xf numFmtId="0" fontId="33" fillId="34" borderId="24" xfId="0" applyFont="1" applyFill="1" applyBorder="1" applyAlignment="1">
      <alignment horizontal="right"/>
    </xf>
    <xf numFmtId="0" fontId="33" fillId="0" borderId="25" xfId="0" applyFont="1" applyBorder="1" applyAlignment="1">
      <alignment/>
    </xf>
    <xf numFmtId="0" fontId="33" fillId="34" borderId="26" xfId="0" applyFont="1" applyFill="1" applyBorder="1" applyAlignment="1">
      <alignment horizontal="right"/>
    </xf>
    <xf numFmtId="0" fontId="33" fillId="34" borderId="0" xfId="0" applyFont="1" applyFill="1" applyBorder="1" applyAlignment="1">
      <alignment horizontal="right"/>
    </xf>
    <xf numFmtId="0" fontId="33" fillId="34" borderId="25" xfId="0" applyFont="1" applyFill="1" applyBorder="1" applyAlignment="1">
      <alignment horizontal="right"/>
    </xf>
    <xf numFmtId="0" fontId="33" fillId="43" borderId="0" xfId="0" applyFont="1" applyFill="1" applyBorder="1" applyAlignment="1">
      <alignment horizontal="right"/>
    </xf>
    <xf numFmtId="0" fontId="33" fillId="0" borderId="26" xfId="0" applyFont="1" applyBorder="1" applyAlignment="1">
      <alignment/>
    </xf>
    <xf numFmtId="0" fontId="33" fillId="34" borderId="27" xfId="0" applyFont="1" applyFill="1" applyBorder="1" applyAlignment="1">
      <alignment horizontal="right"/>
    </xf>
    <xf numFmtId="0" fontId="33" fillId="34" borderId="22" xfId="0" applyFont="1" applyFill="1" applyBorder="1" applyAlignment="1">
      <alignment horizontal="right"/>
    </xf>
    <xf numFmtId="0" fontId="33" fillId="34" borderId="23" xfId="0" applyFont="1" applyFill="1" applyBorder="1" applyAlignment="1">
      <alignment horizontal="right"/>
    </xf>
    <xf numFmtId="0" fontId="33" fillId="34" borderId="10" xfId="0" applyFont="1" applyFill="1" applyBorder="1" applyAlignment="1">
      <alignment horizontal="right"/>
    </xf>
    <xf numFmtId="0" fontId="33" fillId="43" borderId="10" xfId="0" applyFont="1" applyFill="1" applyBorder="1" applyAlignment="1">
      <alignment horizontal="right" wrapText="1"/>
    </xf>
    <xf numFmtId="0" fontId="33" fillId="34" borderId="0" xfId="0" applyFont="1" applyFill="1" applyAlignment="1">
      <alignment/>
    </xf>
    <xf numFmtId="205" fontId="33" fillId="34" borderId="25" xfId="0" applyNumberFormat="1" applyFont="1" applyFill="1" applyBorder="1" applyAlignment="1">
      <alignment/>
    </xf>
    <xf numFmtId="205" fontId="33" fillId="34" borderId="26" xfId="0" applyNumberFormat="1" applyFont="1" applyFill="1" applyBorder="1" applyAlignment="1">
      <alignment/>
    </xf>
    <xf numFmtId="205" fontId="33" fillId="34" borderId="0" xfId="0" applyNumberFormat="1" applyFont="1" applyFill="1" applyBorder="1" applyAlignment="1">
      <alignment/>
    </xf>
    <xf numFmtId="0" fontId="33" fillId="34" borderId="0" xfId="0" applyFont="1" applyFill="1" applyAlignment="1">
      <alignment horizontal="left" vertical="center"/>
    </xf>
    <xf numFmtId="0" fontId="33" fillId="34" borderId="0" xfId="0" applyFont="1" applyFill="1" applyAlignment="1">
      <alignment vertical="center"/>
    </xf>
    <xf numFmtId="205" fontId="33" fillId="34" borderId="25" xfId="0" applyNumberFormat="1" applyFont="1" applyFill="1" applyBorder="1" applyAlignment="1">
      <alignment vertical="center"/>
    </xf>
    <xf numFmtId="205" fontId="33" fillId="34" borderId="26" xfId="0" applyNumberFormat="1" applyFont="1" applyFill="1" applyBorder="1" applyAlignment="1">
      <alignment vertical="center"/>
    </xf>
    <xf numFmtId="205" fontId="33" fillId="34" borderId="0" xfId="0" applyNumberFormat="1" applyFont="1" applyFill="1" applyBorder="1" applyAlignment="1">
      <alignment vertical="center"/>
    </xf>
    <xf numFmtId="0" fontId="33" fillId="34" borderId="10" xfId="0" applyFont="1" applyFill="1" applyBorder="1" applyAlignment="1">
      <alignment/>
    </xf>
    <xf numFmtId="0" fontId="33" fillId="34" borderId="10" xfId="0" applyFont="1" applyFill="1" applyBorder="1" applyAlignment="1">
      <alignment vertical="center"/>
    </xf>
    <xf numFmtId="166" fontId="33" fillId="34" borderId="0" xfId="0" applyNumberFormat="1" applyFont="1" applyFill="1" applyAlignment="1">
      <alignment horizontal="left" vertical="center"/>
    </xf>
    <xf numFmtId="172" fontId="33" fillId="34" borderId="0" xfId="0" applyNumberFormat="1" applyFont="1" applyFill="1" applyAlignment="1">
      <alignment horizontal="left" vertical="center"/>
    </xf>
    <xf numFmtId="49" fontId="33" fillId="34" borderId="0" xfId="0" applyNumberFormat="1" applyFont="1" applyFill="1" applyAlignment="1">
      <alignment horizontal="left" vertical="center"/>
    </xf>
    <xf numFmtId="38" fontId="33" fillId="34" borderId="25" xfId="42" applyNumberFormat="1" applyFont="1" applyFill="1" applyBorder="1" applyAlignment="1">
      <alignment vertical="center"/>
    </xf>
    <xf numFmtId="38" fontId="33" fillId="34" borderId="0" xfId="42" applyNumberFormat="1" applyFont="1" applyFill="1" applyBorder="1" applyAlignment="1">
      <alignment vertical="center"/>
    </xf>
    <xf numFmtId="38" fontId="33" fillId="34" borderId="26" xfId="42" applyNumberFormat="1" applyFont="1" applyFill="1" applyBorder="1" applyAlignment="1">
      <alignment vertical="center"/>
    </xf>
    <xf numFmtId="0" fontId="31" fillId="44" borderId="17" xfId="0" applyFont="1" applyFill="1" applyBorder="1" applyAlignment="1">
      <alignment horizontal="left" vertical="center"/>
    </xf>
    <xf numFmtId="0" fontId="33" fillId="44" borderId="10" xfId="0" applyFont="1" applyFill="1" applyBorder="1" applyAlignment="1">
      <alignment vertical="center"/>
    </xf>
    <xf numFmtId="165" fontId="31" fillId="44" borderId="22" xfId="0" applyNumberFormat="1" applyFont="1" applyFill="1" applyBorder="1" applyAlignment="1">
      <alignment horizontal="right" vertical="center"/>
    </xf>
    <xf numFmtId="165" fontId="31" fillId="44" borderId="23" xfId="0" applyNumberFormat="1" applyFont="1" applyFill="1" applyBorder="1" applyAlignment="1">
      <alignment horizontal="right" vertical="center"/>
    </xf>
    <xf numFmtId="165" fontId="31" fillId="44" borderId="10" xfId="0" applyNumberFormat="1" applyFont="1" applyFill="1" applyBorder="1" applyAlignment="1">
      <alignment horizontal="right" vertical="center"/>
    </xf>
    <xf numFmtId="197" fontId="31" fillId="44" borderId="10" xfId="0" applyNumberFormat="1" applyFont="1" applyFill="1" applyBorder="1" applyAlignment="1">
      <alignment horizontal="right" vertical="center"/>
    </xf>
    <xf numFmtId="0" fontId="33" fillId="44" borderId="17" xfId="0" applyFont="1" applyFill="1" applyBorder="1" applyAlignment="1">
      <alignment vertical="center"/>
    </xf>
    <xf numFmtId="165" fontId="31" fillId="44" borderId="16" xfId="0" applyNumberFormat="1" applyFont="1" applyFill="1" applyBorder="1" applyAlignment="1">
      <alignment horizontal="right" vertical="center"/>
    </xf>
    <xf numFmtId="165" fontId="31" fillId="44" borderId="18" xfId="0" applyNumberFormat="1" applyFont="1" applyFill="1" applyBorder="1" applyAlignment="1">
      <alignment horizontal="right" vertical="center"/>
    </xf>
    <xf numFmtId="165" fontId="31" fillId="44" borderId="17" xfId="0" applyNumberFormat="1" applyFont="1" applyFill="1" applyBorder="1" applyAlignment="1">
      <alignment horizontal="right" vertical="center"/>
    </xf>
    <xf numFmtId="186" fontId="31" fillId="44" borderId="17" xfId="0" applyNumberFormat="1" applyFont="1" applyFill="1" applyBorder="1" applyAlignment="1">
      <alignment horizontal="right" vertical="center"/>
    </xf>
    <xf numFmtId="0" fontId="34" fillId="34" borderId="0" xfId="0" applyFont="1" applyFill="1" applyAlignment="1">
      <alignment horizontal="left"/>
    </xf>
    <xf numFmtId="0" fontId="34" fillId="34" borderId="0" xfId="0" applyFont="1" applyFill="1" applyAlignment="1">
      <alignment horizontal="left" vertical="center"/>
    </xf>
    <xf numFmtId="0" fontId="34" fillId="34" borderId="10" xfId="0" applyFont="1" applyFill="1" applyBorder="1" applyAlignment="1">
      <alignment horizontal="left"/>
    </xf>
    <xf numFmtId="205" fontId="34" fillId="34" borderId="22" xfId="0" applyNumberFormat="1" applyFont="1" applyFill="1" applyBorder="1" applyAlignment="1">
      <alignment vertical="center"/>
    </xf>
    <xf numFmtId="205" fontId="34" fillId="34" borderId="23" xfId="0" applyNumberFormat="1" applyFont="1" applyFill="1" applyBorder="1" applyAlignment="1">
      <alignment vertical="center"/>
    </xf>
    <xf numFmtId="205" fontId="34" fillId="34" borderId="10" xfId="0" applyNumberFormat="1" applyFont="1" applyFill="1" applyBorder="1" applyAlignment="1">
      <alignment vertical="center"/>
    </xf>
    <xf numFmtId="38" fontId="34" fillId="34" borderId="25" xfId="42" applyNumberFormat="1" applyFont="1" applyFill="1" applyBorder="1" applyAlignment="1">
      <alignment vertical="center"/>
    </xf>
    <xf numFmtId="37" fontId="34" fillId="34" borderId="26" xfId="42" applyNumberFormat="1" applyFont="1" applyFill="1" applyBorder="1" applyAlignment="1">
      <alignment vertical="center"/>
    </xf>
    <xf numFmtId="38" fontId="34" fillId="34" borderId="0" xfId="42" applyNumberFormat="1" applyFont="1" applyFill="1" applyBorder="1" applyAlignment="1">
      <alignment vertical="center"/>
    </xf>
    <xf numFmtId="38" fontId="34" fillId="34" borderId="26" xfId="42" applyNumberFormat="1" applyFont="1" applyFill="1" applyBorder="1" applyAlignment="1">
      <alignment vertical="center"/>
    </xf>
    <xf numFmtId="205" fontId="34" fillId="34" borderId="0" xfId="0" applyNumberFormat="1" applyFont="1" applyFill="1" applyBorder="1" applyAlignment="1">
      <alignment/>
    </xf>
    <xf numFmtId="205" fontId="34" fillId="34" borderId="0" xfId="0" applyNumberFormat="1" applyFont="1" applyFill="1" applyBorder="1" applyAlignment="1">
      <alignment vertical="center"/>
    </xf>
    <xf numFmtId="0" fontId="31" fillId="44" borderId="10" xfId="0" applyFont="1" applyFill="1" applyBorder="1" applyAlignment="1">
      <alignment horizontal="left" vertical="center"/>
    </xf>
    <xf numFmtId="0" fontId="33" fillId="44" borderId="10" xfId="0" applyFont="1" applyFill="1" applyBorder="1" applyAlignment="1">
      <alignment vertical="center" wrapText="1"/>
    </xf>
    <xf numFmtId="0" fontId="33" fillId="34" borderId="0" xfId="0" applyFont="1" applyFill="1" applyBorder="1" applyAlignment="1">
      <alignment/>
    </xf>
    <xf numFmtId="0" fontId="33" fillId="34" borderId="0" xfId="0" applyFont="1" applyFill="1" applyBorder="1" applyAlignment="1">
      <alignment vertical="center"/>
    </xf>
    <xf numFmtId="0" fontId="9" fillId="43" borderId="0" xfId="0" applyFont="1" applyFill="1" applyAlignment="1">
      <alignment vertical="center"/>
    </xf>
    <xf numFmtId="0" fontId="0" fillId="43" borderId="0" xfId="0" applyFill="1" applyAlignment="1">
      <alignment horizontal="left"/>
    </xf>
    <xf numFmtId="0" fontId="4" fillId="43" borderId="0" xfId="0" applyFont="1" applyFill="1" applyAlignment="1">
      <alignment horizontal="right"/>
    </xf>
    <xf numFmtId="0" fontId="4" fillId="43" borderId="10" xfId="0" applyFont="1" applyFill="1" applyBorder="1" applyAlignment="1">
      <alignment horizontal="right"/>
    </xf>
    <xf numFmtId="174" fontId="10" fillId="43" borderId="0" xfId="0" applyNumberFormat="1" applyFont="1" applyFill="1" applyAlignment="1">
      <alignment vertical="center"/>
    </xf>
    <xf numFmtId="174" fontId="11" fillId="43" borderId="0" xfId="0" applyNumberFormat="1" applyFont="1" applyFill="1" applyAlignment="1">
      <alignment vertical="center"/>
    </xf>
    <xf numFmtId="9" fontId="0" fillId="43" borderId="0" xfId="65" applyFont="1" applyFill="1" applyAlignment="1">
      <alignment/>
    </xf>
    <xf numFmtId="0" fontId="12" fillId="43" borderId="0" xfId="0" applyFont="1" applyFill="1" applyAlignment="1">
      <alignment/>
    </xf>
    <xf numFmtId="165" fontId="11" fillId="43" borderId="0" xfId="0" applyNumberFormat="1" applyFont="1" applyFill="1" applyAlignment="1">
      <alignment/>
    </xf>
    <xf numFmtId="0" fontId="29" fillId="43" borderId="0" xfId="0" applyFont="1" applyFill="1" applyAlignment="1">
      <alignment horizontal="left"/>
    </xf>
    <xf numFmtId="0" fontId="29" fillId="43" borderId="0" xfId="0" applyFont="1" applyFill="1" applyAlignment="1">
      <alignment/>
    </xf>
    <xf numFmtId="174" fontId="33" fillId="43" borderId="0" xfId="0" applyNumberFormat="1" applyFont="1" applyFill="1" applyAlignment="1">
      <alignment vertical="center"/>
    </xf>
    <xf numFmtId="192" fontId="33" fillId="43" borderId="0" xfId="0" applyNumberFormat="1" applyFont="1" applyFill="1" applyAlignment="1">
      <alignment vertical="center"/>
    </xf>
    <xf numFmtId="0" fontId="29" fillId="43" borderId="0" xfId="0" applyFont="1" applyFill="1" applyBorder="1" applyAlignment="1">
      <alignment vertical="center"/>
    </xf>
    <xf numFmtId="0" fontId="31" fillId="43" borderId="0" xfId="0" applyFont="1" applyFill="1" applyBorder="1" applyAlignment="1">
      <alignment horizontal="right" vertical="center"/>
    </xf>
    <xf numFmtId="0" fontId="29" fillId="43" borderId="0" xfId="0" applyFont="1" applyFill="1" applyAlignment="1">
      <alignment horizontal="center"/>
    </xf>
    <xf numFmtId="0" fontId="29" fillId="43" borderId="0" xfId="0" applyFont="1" applyFill="1" applyBorder="1" applyAlignment="1">
      <alignment/>
    </xf>
    <xf numFmtId="0" fontId="32" fillId="43" borderId="0" xfId="0" applyFont="1" applyFill="1" applyBorder="1" applyAlignment="1">
      <alignment horizontal="centerContinuous"/>
    </xf>
    <xf numFmtId="0" fontId="32" fillId="43" borderId="0" xfId="0" applyFont="1" applyFill="1" applyBorder="1" applyAlignment="1">
      <alignment horizontal="right"/>
    </xf>
    <xf numFmtId="0" fontId="32" fillId="43" borderId="0" xfId="0" applyFont="1" applyFill="1" applyBorder="1" applyAlignment="1">
      <alignment horizontal="right" wrapText="1"/>
    </xf>
    <xf numFmtId="174" fontId="33" fillId="43" borderId="0" xfId="0" applyNumberFormat="1" applyFont="1" applyFill="1" applyBorder="1" applyAlignment="1">
      <alignment vertical="center"/>
    </xf>
    <xf numFmtId="174" fontId="33" fillId="43" borderId="26" xfId="0" applyNumberFormat="1" applyFont="1" applyFill="1" applyBorder="1" applyAlignment="1">
      <alignment vertical="center"/>
    </xf>
    <xf numFmtId="174" fontId="33" fillId="43" borderId="25" xfId="0" applyNumberFormat="1" applyFont="1" applyFill="1" applyBorder="1" applyAlignment="1">
      <alignment vertical="center"/>
    </xf>
    <xf numFmtId="192" fontId="33" fillId="43" borderId="25" xfId="0" applyNumberFormat="1" applyFont="1" applyFill="1" applyBorder="1" applyAlignment="1">
      <alignment vertical="center"/>
    </xf>
    <xf numFmtId="192" fontId="33" fillId="43" borderId="0" xfId="0" applyNumberFormat="1" applyFont="1" applyFill="1" applyBorder="1" applyAlignment="1">
      <alignment vertical="center"/>
    </xf>
    <xf numFmtId="0" fontId="11" fillId="43" borderId="0" xfId="0" applyFont="1" applyFill="1" applyAlignment="1">
      <alignment horizontal="left"/>
    </xf>
    <xf numFmtId="0" fontId="35" fillId="43" borderId="0" xfId="0" applyFont="1" applyFill="1" applyAlignment="1">
      <alignment horizontal="left"/>
    </xf>
    <xf numFmtId="0" fontId="33" fillId="43" borderId="0" xfId="0" applyFont="1" applyFill="1" applyAlignment="1">
      <alignment horizontal="left"/>
    </xf>
    <xf numFmtId="0" fontId="33" fillId="43" borderId="0" xfId="0" applyFont="1" applyFill="1" applyAlignment="1">
      <alignment/>
    </xf>
    <xf numFmtId="0" fontId="33" fillId="43" borderId="10" xfId="0" applyFont="1" applyFill="1" applyBorder="1" applyAlignment="1">
      <alignment horizontal="left"/>
    </xf>
    <xf numFmtId="0" fontId="33" fillId="43" borderId="10" xfId="0" applyFont="1" applyFill="1" applyBorder="1" applyAlignment="1">
      <alignment/>
    </xf>
    <xf numFmtId="174" fontId="34" fillId="43" borderId="10" xfId="0" applyNumberFormat="1" applyFont="1" applyFill="1" applyBorder="1" applyAlignment="1">
      <alignment vertical="center"/>
    </xf>
    <xf numFmtId="174" fontId="33" fillId="43" borderId="10" xfId="0" applyNumberFormat="1" applyFont="1" applyFill="1" applyBorder="1" applyAlignment="1">
      <alignment vertical="center"/>
    </xf>
    <xf numFmtId="192" fontId="33" fillId="43" borderId="10" xfId="0" applyNumberFormat="1" applyFont="1" applyFill="1" applyBorder="1" applyAlignment="1">
      <alignment vertical="center"/>
    </xf>
    <xf numFmtId="1" fontId="33" fillId="43" borderId="0" xfId="0" applyNumberFormat="1" applyFont="1" applyFill="1" applyAlignment="1">
      <alignment horizontal="left"/>
    </xf>
    <xf numFmtId="172" fontId="33" fillId="43" borderId="0" xfId="0" applyNumberFormat="1" applyFont="1" applyFill="1" applyAlignment="1">
      <alignment/>
    </xf>
    <xf numFmtId="176" fontId="33" fillId="43" borderId="0" xfId="0" applyNumberFormat="1" applyFont="1" applyFill="1" applyAlignment="1">
      <alignment/>
    </xf>
    <xf numFmtId="3" fontId="33" fillId="43" borderId="10" xfId="0" applyNumberFormat="1" applyFont="1" applyFill="1" applyBorder="1" applyAlignment="1">
      <alignment/>
    </xf>
    <xf numFmtId="3" fontId="33" fillId="43" borderId="0" xfId="0" applyNumberFormat="1" applyFont="1" applyFill="1" applyAlignment="1">
      <alignment/>
    </xf>
    <xf numFmtId="172" fontId="33" fillId="43" borderId="10" xfId="0" applyNumberFormat="1" applyFont="1" applyFill="1" applyBorder="1" applyAlignment="1">
      <alignment/>
    </xf>
    <xf numFmtId="0" fontId="33" fillId="43" borderId="20" xfId="0" applyFont="1" applyFill="1" applyBorder="1" applyAlignment="1">
      <alignment horizontal="left"/>
    </xf>
    <xf numFmtId="173" fontId="33" fillId="43" borderId="0" xfId="0" applyNumberFormat="1" applyFont="1" applyFill="1" applyAlignment="1">
      <alignment/>
    </xf>
    <xf numFmtId="0" fontId="29" fillId="43" borderId="21" xfId="0" applyFont="1" applyFill="1" applyBorder="1" applyAlignment="1">
      <alignment horizontal="left"/>
    </xf>
    <xf numFmtId="172" fontId="33" fillId="43" borderId="0" xfId="0" applyNumberFormat="1" applyFont="1" applyFill="1" applyAlignment="1">
      <alignment horizontal="left"/>
    </xf>
    <xf numFmtId="176" fontId="33" fillId="43" borderId="0" xfId="0" applyNumberFormat="1" applyFont="1" applyFill="1" applyAlignment="1">
      <alignment horizontal="left"/>
    </xf>
    <xf numFmtId="0" fontId="29" fillId="43" borderId="20" xfId="0" applyFont="1" applyFill="1" applyBorder="1" applyAlignment="1">
      <alignment horizontal="left"/>
    </xf>
    <xf numFmtId="0" fontId="29" fillId="43" borderId="20" xfId="0" applyFont="1" applyFill="1" applyBorder="1" applyAlignment="1">
      <alignment/>
    </xf>
    <xf numFmtId="174" fontId="33" fillId="43" borderId="22" xfId="0" applyNumberFormat="1" applyFont="1" applyFill="1" applyBorder="1" applyAlignment="1">
      <alignment vertical="center"/>
    </xf>
    <xf numFmtId="174" fontId="33" fillId="43" borderId="23" xfId="0" applyNumberFormat="1" applyFont="1" applyFill="1" applyBorder="1" applyAlignment="1">
      <alignment vertical="center"/>
    </xf>
    <xf numFmtId="185" fontId="33" fillId="43" borderId="26" xfId="0" applyNumberFormat="1" applyFont="1" applyFill="1" applyBorder="1" applyAlignment="1">
      <alignment vertical="center"/>
    </xf>
    <xf numFmtId="174" fontId="33" fillId="43" borderId="25" xfId="0" applyNumberFormat="1" applyFont="1" applyFill="1" applyBorder="1" applyAlignment="1">
      <alignment/>
    </xf>
    <xf numFmtId="174" fontId="33" fillId="43" borderId="26" xfId="0" applyNumberFormat="1" applyFont="1" applyFill="1" applyBorder="1" applyAlignment="1">
      <alignment/>
    </xf>
    <xf numFmtId="174" fontId="33" fillId="43" borderId="0" xfId="0" applyNumberFormat="1" applyFont="1" applyFill="1" applyAlignment="1">
      <alignment/>
    </xf>
    <xf numFmtId="192" fontId="33" fillId="43" borderId="0" xfId="0" applyNumberFormat="1" applyFont="1" applyFill="1" applyAlignment="1">
      <alignment/>
    </xf>
    <xf numFmtId="192" fontId="33" fillId="43" borderId="25" xfId="0" applyNumberFormat="1" applyFont="1" applyFill="1" applyBorder="1" applyAlignment="1">
      <alignment/>
    </xf>
    <xf numFmtId="192" fontId="33" fillId="43" borderId="0" xfId="0" applyNumberFormat="1" applyFont="1" applyFill="1" applyBorder="1" applyAlignment="1">
      <alignment/>
    </xf>
    <xf numFmtId="174" fontId="33" fillId="43" borderId="0" xfId="0" applyNumberFormat="1" applyFont="1" applyFill="1" applyBorder="1" applyAlignment="1">
      <alignment/>
    </xf>
    <xf numFmtId="207" fontId="0" fillId="43" borderId="0" xfId="42" applyNumberFormat="1" applyFont="1" applyFill="1" applyAlignment="1">
      <alignment/>
    </xf>
    <xf numFmtId="166" fontId="11" fillId="43" borderId="0" xfId="0" applyNumberFormat="1" applyFont="1" applyFill="1" applyAlignment="1">
      <alignment horizontal="left"/>
    </xf>
    <xf numFmtId="172" fontId="33" fillId="43" borderId="0" xfId="0" applyNumberFormat="1" applyFont="1" applyFill="1" applyAlignment="1">
      <alignment vertical="center"/>
    </xf>
    <xf numFmtId="1" fontId="33" fillId="43" borderId="0" xfId="0" applyNumberFormat="1" applyFont="1" applyFill="1" applyAlignment="1">
      <alignment/>
    </xf>
    <xf numFmtId="169" fontId="33" fillId="43" borderId="0" xfId="0" applyNumberFormat="1" applyFont="1" applyFill="1" applyAlignment="1">
      <alignment/>
    </xf>
    <xf numFmtId="169" fontId="33" fillId="43" borderId="10" xfId="0" applyNumberFormat="1" applyFont="1" applyFill="1" applyBorder="1" applyAlignment="1">
      <alignment/>
    </xf>
    <xf numFmtId="1" fontId="33" fillId="43" borderId="10" xfId="0" applyNumberFormat="1" applyFont="1" applyFill="1" applyBorder="1" applyAlignment="1">
      <alignment vertical="center"/>
    </xf>
    <xf numFmtId="165" fontId="33" fillId="43" borderId="0" xfId="0" applyNumberFormat="1" applyFont="1" applyFill="1" applyAlignment="1">
      <alignment/>
    </xf>
    <xf numFmtId="168" fontId="33" fillId="43" borderId="0" xfId="0" applyNumberFormat="1" applyFont="1" applyFill="1" applyAlignment="1">
      <alignment/>
    </xf>
    <xf numFmtId="167" fontId="33" fillId="43" borderId="0" xfId="0" applyNumberFormat="1" applyFont="1" applyFill="1" applyAlignment="1">
      <alignment/>
    </xf>
    <xf numFmtId="174" fontId="33" fillId="43" borderId="0" xfId="0" applyNumberFormat="1" applyFont="1" applyFill="1" applyAlignment="1">
      <alignment horizontal="left"/>
    </xf>
    <xf numFmtId="165" fontId="33" fillId="43" borderId="0" xfId="0" applyNumberFormat="1" applyFont="1" applyFill="1" applyAlignment="1">
      <alignment horizontal="left"/>
    </xf>
    <xf numFmtId="166" fontId="33" fillId="43" borderId="0" xfId="0" applyNumberFormat="1" applyFont="1" applyFill="1" applyAlignment="1">
      <alignment horizontal="left"/>
    </xf>
    <xf numFmtId="0" fontId="29" fillId="43" borderId="0" xfId="0" applyFont="1" applyFill="1" applyBorder="1" applyAlignment="1">
      <alignment horizontal="left"/>
    </xf>
    <xf numFmtId="0" fontId="35" fillId="43" borderId="0" xfId="0" applyFont="1" applyFill="1" applyBorder="1" applyAlignment="1">
      <alignment horizontal="left"/>
    </xf>
    <xf numFmtId="0" fontId="34" fillId="34" borderId="20" xfId="0" applyFont="1" applyFill="1" applyBorder="1" applyAlignment="1">
      <alignment horizontal="centerContinuous"/>
    </xf>
    <xf numFmtId="174" fontId="33" fillId="43" borderId="28" xfId="0" applyNumberFormat="1" applyFont="1" applyFill="1" applyBorder="1" applyAlignment="1">
      <alignment/>
    </xf>
    <xf numFmtId="174" fontId="33" fillId="43" borderId="20" xfId="0" applyNumberFormat="1" applyFont="1" applyFill="1" applyBorder="1" applyAlignment="1">
      <alignment/>
    </xf>
    <xf numFmtId="165" fontId="33" fillId="43" borderId="25" xfId="0" applyNumberFormat="1" applyFont="1" applyFill="1" applyBorder="1" applyAlignment="1">
      <alignment/>
    </xf>
    <xf numFmtId="165" fontId="33" fillId="43" borderId="0" xfId="0" applyNumberFormat="1" applyFont="1" applyFill="1" applyBorder="1" applyAlignment="1">
      <alignment/>
    </xf>
    <xf numFmtId="174" fontId="33" fillId="43" borderId="21" xfId="0" applyNumberFormat="1" applyFont="1" applyFill="1" applyBorder="1" applyAlignment="1">
      <alignment/>
    </xf>
    <xf numFmtId="165" fontId="33" fillId="43" borderId="26" xfId="0" applyNumberFormat="1" applyFont="1" applyFill="1" applyBorder="1" applyAlignment="1">
      <alignment/>
    </xf>
    <xf numFmtId="165" fontId="34" fillId="43" borderId="25" xfId="0" applyNumberFormat="1" applyFont="1" applyFill="1" applyBorder="1" applyAlignment="1">
      <alignment vertical="center"/>
    </xf>
    <xf numFmtId="0" fontId="35" fillId="43" borderId="10" xfId="0" applyFont="1" applyFill="1" applyBorder="1" applyAlignment="1">
      <alignment horizontal="center" vertical="center"/>
    </xf>
    <xf numFmtId="0" fontId="35" fillId="43" borderId="0" xfId="0" applyFont="1" applyFill="1" applyAlignment="1">
      <alignment horizontal="center" vertical="center"/>
    </xf>
    <xf numFmtId="175" fontId="7" fillId="34" borderId="0" xfId="65" applyNumberFormat="1" applyFont="1" applyFill="1" applyAlignment="1" applyProtection="1">
      <alignment/>
      <protection hidden="1"/>
    </xf>
    <xf numFmtId="0" fontId="0" fillId="43" borderId="0" xfId="0" applyFill="1" applyBorder="1" applyAlignment="1">
      <alignment horizontal="left"/>
    </xf>
    <xf numFmtId="0" fontId="0" fillId="43" borderId="0" xfId="0" applyFill="1" applyBorder="1" applyAlignment="1">
      <alignment/>
    </xf>
    <xf numFmtId="0" fontId="21" fillId="43" borderId="0" xfId="0" applyFont="1" applyFill="1" applyBorder="1" applyAlignment="1">
      <alignment vertical="center"/>
    </xf>
    <xf numFmtId="0" fontId="36" fillId="43" borderId="0" xfId="0" applyFont="1" applyFill="1" applyBorder="1" applyAlignment="1">
      <alignment horizontal="right" vertical="center"/>
    </xf>
    <xf numFmtId="0" fontId="34" fillId="34" borderId="20" xfId="0" applyFont="1" applyFill="1" applyBorder="1" applyAlignment="1">
      <alignment horizontal="left" vertical="center" indent="2"/>
    </xf>
    <xf numFmtId="0" fontId="34" fillId="34" borderId="28" xfId="0" applyFont="1" applyFill="1" applyBorder="1" applyAlignment="1">
      <alignment horizontal="left" vertical="center" indent="2"/>
    </xf>
    <xf numFmtId="0" fontId="33" fillId="34" borderId="20" xfId="0" applyFont="1" applyFill="1" applyBorder="1" applyAlignment="1">
      <alignment horizontal="centerContinuous"/>
    </xf>
    <xf numFmtId="174" fontId="34" fillId="43" borderId="25" xfId="0" applyNumberFormat="1" applyFont="1" applyFill="1" applyBorder="1" applyAlignment="1">
      <alignment/>
    </xf>
    <xf numFmtId="174" fontId="34" fillId="43" borderId="25" xfId="0" applyNumberFormat="1" applyFont="1" applyFill="1" applyBorder="1" applyAlignment="1">
      <alignment vertical="center"/>
    </xf>
    <xf numFmtId="174" fontId="34" fillId="43" borderId="22" xfId="0" applyNumberFormat="1" applyFont="1" applyFill="1" applyBorder="1" applyAlignment="1">
      <alignment vertical="center"/>
    </xf>
    <xf numFmtId="0" fontId="34" fillId="34" borderId="22" xfId="0" applyFont="1" applyFill="1" applyBorder="1" applyAlignment="1">
      <alignment horizontal="center" vertical="center" wrapText="1"/>
    </xf>
    <xf numFmtId="174" fontId="34" fillId="43" borderId="28" xfId="0" applyNumberFormat="1" applyFont="1" applyFill="1" applyBorder="1" applyAlignment="1">
      <alignment/>
    </xf>
    <xf numFmtId="3" fontId="33" fillId="43" borderId="28" xfId="0" applyNumberFormat="1" applyFont="1" applyFill="1" applyBorder="1" applyAlignment="1">
      <alignment/>
    </xf>
    <xf numFmtId="3" fontId="33" fillId="43" borderId="20" xfId="0" applyNumberFormat="1" applyFont="1" applyFill="1" applyBorder="1" applyAlignment="1">
      <alignment/>
    </xf>
    <xf numFmtId="3" fontId="33" fillId="43" borderId="25" xfId="0" applyNumberFormat="1" applyFont="1" applyFill="1" applyBorder="1" applyAlignment="1">
      <alignment vertical="center"/>
    </xf>
    <xf numFmtId="3" fontId="33" fillId="43" borderId="0" xfId="0" applyNumberFormat="1" applyFont="1" applyFill="1" applyBorder="1" applyAlignment="1">
      <alignment vertical="center"/>
    </xf>
    <xf numFmtId="3" fontId="33" fillId="43" borderId="22" xfId="0" applyNumberFormat="1" applyFont="1" applyFill="1" applyBorder="1" applyAlignment="1">
      <alignment vertical="center"/>
    </xf>
    <xf numFmtId="3" fontId="33" fillId="43" borderId="10" xfId="0" applyNumberFormat="1" applyFont="1" applyFill="1" applyBorder="1" applyAlignment="1">
      <alignment vertical="center"/>
    </xf>
    <xf numFmtId="3" fontId="33" fillId="43" borderId="25" xfId="0" applyNumberFormat="1" applyFont="1" applyFill="1" applyBorder="1" applyAlignment="1">
      <alignment/>
    </xf>
    <xf numFmtId="3" fontId="33" fillId="43" borderId="0" xfId="0" applyNumberFormat="1" applyFont="1" applyFill="1" applyBorder="1" applyAlignment="1">
      <alignment/>
    </xf>
    <xf numFmtId="174" fontId="0" fillId="43" borderId="0" xfId="0" applyNumberFormat="1" applyFill="1" applyAlignment="1">
      <alignment/>
    </xf>
    <xf numFmtId="205" fontId="33" fillId="34" borderId="28" xfId="0" applyNumberFormat="1" applyFont="1" applyFill="1" applyBorder="1" applyAlignment="1">
      <alignment/>
    </xf>
    <xf numFmtId="205" fontId="33" fillId="34" borderId="20" xfId="0" applyNumberFormat="1" applyFont="1" applyFill="1" applyBorder="1" applyAlignment="1">
      <alignment/>
    </xf>
    <xf numFmtId="174" fontId="34" fillId="43" borderId="0" xfId="0" applyNumberFormat="1" applyFont="1" applyFill="1" applyBorder="1" applyAlignment="1">
      <alignment/>
    </xf>
    <xf numFmtId="174" fontId="34" fillId="43" borderId="0" xfId="0" applyNumberFormat="1" applyFont="1" applyFill="1" applyBorder="1" applyAlignment="1">
      <alignment vertical="center"/>
    </xf>
    <xf numFmtId="185" fontId="33" fillId="43" borderId="10" xfId="0" applyNumberFormat="1" applyFont="1" applyFill="1" applyBorder="1" applyAlignment="1">
      <alignment vertical="center"/>
    </xf>
    <xf numFmtId="185" fontId="33" fillId="43" borderId="0" xfId="0" applyNumberFormat="1" applyFont="1" applyFill="1" applyBorder="1" applyAlignment="1">
      <alignment vertical="center"/>
    </xf>
    <xf numFmtId="0" fontId="37" fillId="0" borderId="0" xfId="0" applyFont="1" applyBorder="1" applyAlignment="1">
      <alignment vertical="center"/>
    </xf>
    <xf numFmtId="173" fontId="33" fillId="43" borderId="0" xfId="0" applyNumberFormat="1" applyFont="1" applyFill="1" applyAlignment="1">
      <alignment horizontal="left"/>
    </xf>
    <xf numFmtId="0" fontId="32" fillId="43" borderId="25" xfId="0" applyFont="1" applyFill="1" applyBorder="1" applyAlignment="1">
      <alignment horizontal="right"/>
    </xf>
    <xf numFmtId="0" fontId="32" fillId="43" borderId="25" xfId="0" applyFont="1" applyFill="1" applyBorder="1" applyAlignment="1">
      <alignment horizontal="right" wrapText="1"/>
    </xf>
    <xf numFmtId="0" fontId="34" fillId="34" borderId="20" xfId="0" applyFont="1" applyFill="1" applyBorder="1" applyAlignment="1">
      <alignment horizontal="center" vertical="center"/>
    </xf>
    <xf numFmtId="0" fontId="34" fillId="34" borderId="20" xfId="0" applyFont="1" applyFill="1" applyBorder="1" applyAlignment="1">
      <alignment horizontal="left" vertical="center" indent="1"/>
    </xf>
    <xf numFmtId="174" fontId="34" fillId="43" borderId="26" xfId="0" applyNumberFormat="1" applyFont="1" applyFill="1" applyBorder="1" applyAlignment="1">
      <alignment vertical="center"/>
    </xf>
    <xf numFmtId="206" fontId="33" fillId="34" borderId="0" xfId="0" applyNumberFormat="1" applyFont="1" applyFill="1" applyBorder="1" applyAlignment="1">
      <alignment vertical="center"/>
    </xf>
    <xf numFmtId="206" fontId="34" fillId="34" borderId="0" xfId="0" applyNumberFormat="1" applyFont="1" applyFill="1" applyBorder="1" applyAlignment="1">
      <alignment vertical="center"/>
    </xf>
    <xf numFmtId="175" fontId="0" fillId="34" borderId="0" xfId="65" applyNumberFormat="1" applyFont="1" applyFill="1" applyAlignment="1">
      <alignment vertical="center"/>
    </xf>
    <xf numFmtId="9" fontId="0" fillId="34" borderId="0" xfId="65" applyNumberFormat="1" applyFont="1" applyFill="1" applyAlignment="1">
      <alignment vertical="center"/>
    </xf>
    <xf numFmtId="165" fontId="11" fillId="43" borderId="0" xfId="0" applyNumberFormat="1" applyFont="1" applyFill="1" applyBorder="1" applyAlignment="1">
      <alignment/>
    </xf>
    <xf numFmtId="165" fontId="34" fillId="43" borderId="0" xfId="0" applyNumberFormat="1" applyFont="1" applyFill="1" applyBorder="1" applyAlignment="1">
      <alignment vertical="center"/>
    </xf>
    <xf numFmtId="173" fontId="34" fillId="34" borderId="0" xfId="0" applyNumberFormat="1" applyFont="1" applyFill="1" applyBorder="1" applyAlignment="1">
      <alignment horizontal="left" vertical="center"/>
    </xf>
    <xf numFmtId="198" fontId="23" fillId="0" borderId="0" xfId="58" applyNumberFormat="1" applyFont="1" applyAlignment="1">
      <alignment horizontal="left"/>
      <protection/>
    </xf>
    <xf numFmtId="0" fontId="23" fillId="43" borderId="0" xfId="0" applyFont="1" applyFill="1" applyAlignment="1">
      <alignment horizontal="left" vertical="top" wrapText="1"/>
    </xf>
    <xf numFmtId="187" fontId="31" fillId="44" borderId="17" xfId="0" applyNumberFormat="1" applyFont="1" applyFill="1" applyBorder="1" applyAlignment="1">
      <alignment horizontal="right" vertical="center"/>
    </xf>
    <xf numFmtId="223" fontId="11" fillId="43" borderId="0" xfId="65" applyNumberFormat="1" applyFont="1" applyFill="1" applyAlignment="1">
      <alignment/>
    </xf>
    <xf numFmtId="0" fontId="21" fillId="43" borderId="0" xfId="0" applyFont="1" applyFill="1" applyAlignment="1">
      <alignment horizontal="left" wrapText="1"/>
    </xf>
    <xf numFmtId="9" fontId="33" fillId="43" borderId="0" xfId="65" applyFont="1" applyFill="1" applyAlignment="1">
      <alignment/>
    </xf>
    <xf numFmtId="2" fontId="0" fillId="43" borderId="0" xfId="0" applyNumberFormat="1" applyFill="1" applyAlignment="1">
      <alignment/>
    </xf>
    <xf numFmtId="2" fontId="7" fillId="34" borderId="0" xfId="65" applyNumberFormat="1" applyFont="1" applyFill="1" applyAlignment="1" applyProtection="1">
      <alignment vertical="center"/>
      <protection hidden="1"/>
    </xf>
    <xf numFmtId="2" fontId="7" fillId="34" borderId="0" xfId="0" applyNumberFormat="1" applyFont="1" applyFill="1" applyAlignment="1" applyProtection="1">
      <alignment vertical="center"/>
      <protection hidden="1"/>
    </xf>
    <xf numFmtId="2" fontId="8" fillId="34" borderId="0" xfId="0" applyNumberFormat="1" applyFont="1" applyFill="1" applyAlignment="1" applyProtection="1">
      <alignment horizontal="right" vertical="center"/>
      <protection hidden="1"/>
    </xf>
    <xf numFmtId="9" fontId="8" fillId="34" borderId="0" xfId="65" applyFont="1" applyFill="1" applyAlignment="1">
      <alignment horizontal="right" vertical="center"/>
    </xf>
    <xf numFmtId="0" fontId="21" fillId="34" borderId="0" xfId="0" applyFont="1" applyFill="1" applyAlignment="1">
      <alignment wrapText="1"/>
    </xf>
    <xf numFmtId="0" fontId="23" fillId="43" borderId="0" xfId="58" applyFont="1" applyFill="1" applyAlignment="1">
      <alignment wrapText="1"/>
      <protection/>
    </xf>
    <xf numFmtId="0" fontId="0" fillId="0" borderId="0" xfId="58" applyAlignment="1">
      <alignment wrapText="1"/>
      <protection/>
    </xf>
    <xf numFmtId="0" fontId="24" fillId="43" borderId="0" xfId="54" applyFont="1" applyFill="1" applyAlignment="1" applyProtection="1">
      <alignment horizontal="left"/>
      <protection/>
    </xf>
    <xf numFmtId="0" fontId="24" fillId="43" borderId="0" xfId="53" applyFont="1" applyFill="1" applyAlignment="1" applyProtection="1">
      <alignment horizontal="left"/>
      <protection/>
    </xf>
    <xf numFmtId="0" fontId="24" fillId="43" borderId="0" xfId="53" applyFont="1" applyFill="1" applyAlignment="1" applyProtection="1">
      <alignment/>
      <protection/>
    </xf>
    <xf numFmtId="168" fontId="33" fillId="34" borderId="0" xfId="0" applyNumberFormat="1" applyFont="1" applyFill="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3" xfId="59"/>
    <cellStyle name="Normal 3" xfId="60"/>
    <cellStyle name="Normal 4" xfId="61"/>
    <cellStyle name="Normal 8" xfId="62"/>
    <cellStyle name="Note" xfId="63"/>
    <cellStyle name="Output" xfId="64"/>
    <cellStyle name="Percent" xfId="65"/>
    <cellStyle name="Title" xfId="66"/>
    <cellStyle name="Total" xfId="67"/>
    <cellStyle name="Warning Text" xfId="68"/>
  </cellStyles>
  <dxfs count="2">
    <dxf>
      <font>
        <color rgb="FFFF0000"/>
      </font>
      <fill>
        <patternFill>
          <bgColor theme="5" tint="0.3999499976634979"/>
        </patternFill>
      </fill>
    </dxf>
    <dxf>
      <font>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1419225</xdr:colOff>
      <xdr:row>1</xdr:row>
      <xdr:rowOff>190500</xdr:rowOff>
    </xdr:from>
    <xdr:to>
      <xdr:col>4</xdr:col>
      <xdr:colOff>1419225</xdr:colOff>
      <xdr:row>5</xdr:row>
      <xdr:rowOff>190500</xdr:rowOff>
    </xdr:to>
    <xdr:pic>
      <xdr:nvPicPr>
        <xdr:cNvPr id="1" name="Picture 2"/>
        <xdr:cNvPicPr preferRelativeResize="1">
          <a:picLocks noChangeAspect="1"/>
        </xdr:cNvPicPr>
      </xdr:nvPicPr>
      <xdr:blipFill>
        <a:blip r:embed="rId1"/>
        <a:stretch>
          <a:fillRect/>
        </a:stretch>
      </xdr:blipFill>
      <xdr:spPr>
        <a:xfrm>
          <a:off x="4114800" y="381000"/>
          <a:ext cx="0" cy="762000"/>
        </a:xfrm>
        <a:prstGeom prst="rect">
          <a:avLst/>
        </a:prstGeom>
        <a:noFill/>
        <a:ln w="9525" cmpd="sng">
          <a:noFill/>
        </a:ln>
      </xdr:spPr>
    </xdr:pic>
    <xdr:clientData/>
  </xdr:twoCellAnchor>
  <xdr:twoCellAnchor editAs="oneCell">
    <xdr:from>
      <xdr:col>1</xdr:col>
      <xdr:colOff>76200</xdr:colOff>
      <xdr:row>0</xdr:row>
      <xdr:rowOff>85725</xdr:rowOff>
    </xdr:from>
    <xdr:to>
      <xdr:col>3</xdr:col>
      <xdr:colOff>171450</xdr:colOff>
      <xdr:row>6</xdr:row>
      <xdr:rowOff>133350</xdr:rowOff>
    </xdr:to>
    <xdr:pic>
      <xdr:nvPicPr>
        <xdr:cNvPr id="2" name="Picture 3"/>
        <xdr:cNvPicPr preferRelativeResize="1">
          <a:picLocks noChangeAspect="1"/>
        </xdr:cNvPicPr>
      </xdr:nvPicPr>
      <xdr:blipFill>
        <a:blip r:embed="rId2"/>
        <a:stretch>
          <a:fillRect/>
        </a:stretch>
      </xdr:blipFill>
      <xdr:spPr>
        <a:xfrm>
          <a:off x="647700" y="85725"/>
          <a:ext cx="1552575" cy="1190625"/>
        </a:xfrm>
        <a:prstGeom prst="rect">
          <a:avLst/>
        </a:prstGeom>
        <a:noFill/>
        <a:ln w="9525" cmpd="sng">
          <a:noFill/>
        </a:ln>
      </xdr:spPr>
    </xdr:pic>
    <xdr:clientData/>
  </xdr:twoCellAnchor>
  <xdr:twoCellAnchor>
    <xdr:from>
      <xdr:col>4</xdr:col>
      <xdr:colOff>295275</xdr:colOff>
      <xdr:row>1</xdr:row>
      <xdr:rowOff>9525</xdr:rowOff>
    </xdr:from>
    <xdr:to>
      <xdr:col>4</xdr:col>
      <xdr:colOff>1247775</xdr:colOff>
      <xdr:row>6</xdr:row>
      <xdr:rowOff>38100</xdr:rowOff>
    </xdr:to>
    <xdr:pic>
      <xdr:nvPicPr>
        <xdr:cNvPr id="3" name="Picture 2"/>
        <xdr:cNvPicPr preferRelativeResize="1">
          <a:picLocks noChangeAspect="1"/>
        </xdr:cNvPicPr>
      </xdr:nvPicPr>
      <xdr:blipFill>
        <a:blip r:embed="rId1"/>
        <a:stretch>
          <a:fillRect/>
        </a:stretch>
      </xdr:blipFill>
      <xdr:spPr>
        <a:xfrm>
          <a:off x="2990850" y="200025"/>
          <a:ext cx="9525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oil-and-oil-products-section-3-energy-trends" TargetMode="External" /><Relationship Id="rId2" Type="http://schemas.openxmlformats.org/officeDocument/2006/relationships/hyperlink" Target="https://www.gov.uk/government/statistics/crude-oil-and-petroleum-products-methodology-note" TargetMode="External" /><Relationship Id="rId3" Type="http://schemas.openxmlformats.org/officeDocument/2006/relationships/hyperlink" Target="https://www.gov.uk/government/statistics/energy-statistics-revisions-policy" TargetMode="External" /><Relationship Id="rId4" Type="http://schemas.openxmlformats.org/officeDocument/2006/relationships/hyperlink" Target="https://www.gov.uk/government/statistics/energy-balance-methodology-note" TargetMode="External" /><Relationship Id="rId5" Type="http://schemas.openxmlformats.org/officeDocument/2006/relationships/hyperlink" Target="https://www.gov.uk/government/statistics/total-energy-section-1-energy-trends" TargetMode="External" /><Relationship Id="rId6" Type="http://schemas.openxmlformats.org/officeDocument/2006/relationships/hyperlink" Target="https://www.gov.uk/government/statistics/crude-oil-and-petroleum-products-methodology-note" TargetMode="External" /><Relationship Id="rId7" Type="http://schemas.openxmlformats.org/officeDocument/2006/relationships/hyperlink" Target="https://www.gov.uk/government/statistics/oil-and-oil-products-section-3-energy-trends" TargetMode="External" /><Relationship Id="rId8" Type="http://schemas.openxmlformats.org/officeDocument/2006/relationships/hyperlink" Target="https://www.gov.uk/government/publications/crude-oil-and-petroleum-products-methodology-note" TargetMode="External" /><Relationship Id="rId9" Type="http://schemas.openxmlformats.org/officeDocument/2006/relationships/hyperlink" Target="https://www.gov.uk/government/publications/beis-standards-for-official-statistics/statistical-revisions-policy#energy-statistics" TargetMode="External" /><Relationship Id="rId10" Type="http://schemas.openxmlformats.org/officeDocument/2006/relationships/hyperlink" Target="mailto:natalie.cartwright@beis.gov.uk" TargetMode="External" /><Relationship Id="rId11" Type="http://schemas.openxmlformats.org/officeDocument/2006/relationships/hyperlink" Target="mailto:newsdesk@beis.gov.uk" TargetMode="External" /><Relationship Id="rId12" Type="http://schemas.openxmlformats.org/officeDocument/2006/relationships/hyperlink" Target="https://www.gov.uk/government/uploads/system/uploads/attachment_data/file/338757/Annex_B.pdf" TargetMode="External" /><Relationship Id="rId13" Type="http://schemas.openxmlformats.org/officeDocument/2006/relationships/hyperlink" Target="https://www.gov.uk/government/uploads/system/uploads/attachment_data/file/338757/Annex_B.pdf" TargetMode="External" /><Relationship Id="rId14" Type="http://schemas.openxmlformats.org/officeDocument/2006/relationships/hyperlink" Target="https://www.gov.uk/government/uploads/system/uploads/attachment_data/file/338757/Annex_B.pdf" TargetMode="External" /><Relationship Id="rId15" Type="http://schemas.openxmlformats.org/officeDocument/2006/relationships/hyperlink" Target="https://www.gov.uk/government/statistics/digest-of-uk-energy-statistics-dukes-2019" TargetMode="External" /><Relationship Id="rId16" Type="http://schemas.openxmlformats.org/officeDocument/2006/relationships/hyperlink" Target="mailto:Oil-Gas.Statistics@beis.gov.uk" TargetMode="External" /><Relationship Id="rId17" Type="http://schemas.openxmlformats.org/officeDocument/2006/relationships/hyperlink" Target="mailto:Oil-Gas.Statistics@beis.gov.uk"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8"/>
  <dimension ref="B8:Q36"/>
  <sheetViews>
    <sheetView zoomScaleSheetLayoutView="100" workbookViewId="0" topLeftCell="A1">
      <selection activeCell="A1" sqref="A1"/>
    </sheetView>
  </sheetViews>
  <sheetFormatPr defaultColWidth="8.57421875" defaultRowHeight="12.75"/>
  <cols>
    <col min="1" max="2" width="8.57421875" style="123" customWidth="1"/>
    <col min="3" max="3" width="13.28125" style="123" customWidth="1"/>
    <col min="4" max="4" width="10.00390625" style="123" customWidth="1"/>
    <col min="5" max="5" width="21.28125" style="123" bestFit="1" customWidth="1"/>
    <col min="6" max="6" width="11.00390625" style="123" customWidth="1"/>
    <col min="7" max="16" width="8.57421875" style="123" customWidth="1"/>
    <col min="17" max="16384" width="8.57421875" style="123" customWidth="1"/>
  </cols>
  <sheetData>
    <row r="1" ht="15"/>
    <row r="2" ht="15"/>
    <row r="3" ht="15"/>
    <row r="4" ht="15"/>
    <row r="5" ht="15"/>
    <row r="6" ht="15"/>
    <row r="7" ht="15"/>
    <row r="8" ht="17.25">
      <c r="B8" s="129" t="s">
        <v>174</v>
      </c>
    </row>
    <row r="9" ht="15">
      <c r="E9" s="157"/>
    </row>
    <row r="10" spans="2:5" ht="15">
      <c r="B10" s="123" t="s">
        <v>173</v>
      </c>
      <c r="C10" s="128"/>
      <c r="D10" s="128"/>
      <c r="E10" s="157">
        <v>44280</v>
      </c>
    </row>
    <row r="11" spans="2:5" ht="15">
      <c r="B11" s="123" t="s">
        <v>172</v>
      </c>
      <c r="C11" s="128"/>
      <c r="D11" s="128"/>
      <c r="E11" s="359" t="s">
        <v>223</v>
      </c>
    </row>
    <row r="12" spans="2:5" ht="15">
      <c r="B12" s="123" t="s">
        <v>171</v>
      </c>
      <c r="C12" s="128"/>
      <c r="D12" s="128"/>
      <c r="E12" s="157">
        <v>44315</v>
      </c>
    </row>
    <row r="13" spans="2:5" ht="15">
      <c r="B13" s="128"/>
      <c r="C13" s="128"/>
      <c r="D13" s="128"/>
      <c r="E13" s="128"/>
    </row>
    <row r="14" spans="2:5" ht="15">
      <c r="B14" s="126" t="s">
        <v>170</v>
      </c>
      <c r="C14" s="128"/>
      <c r="D14" s="128"/>
      <c r="E14" s="127"/>
    </row>
    <row r="15" spans="2:5" ht="15">
      <c r="B15" s="123" t="s">
        <v>145</v>
      </c>
      <c r="E15" s="125" t="s">
        <v>169</v>
      </c>
    </row>
    <row r="16" spans="2:5" ht="15">
      <c r="B16" s="123" t="s">
        <v>168</v>
      </c>
      <c r="E16" s="125" t="s">
        <v>167</v>
      </c>
    </row>
    <row r="17" spans="2:6" ht="15">
      <c r="B17" s="123" t="s">
        <v>166</v>
      </c>
      <c r="E17" s="125" t="s">
        <v>165</v>
      </c>
      <c r="F17" s="123" t="s">
        <v>208</v>
      </c>
    </row>
    <row r="18" spans="5:6" ht="15">
      <c r="E18" s="125" t="s">
        <v>164</v>
      </c>
      <c r="F18" s="123" t="s">
        <v>209</v>
      </c>
    </row>
    <row r="19" spans="5:6" ht="15">
      <c r="E19" s="125" t="s">
        <v>36</v>
      </c>
      <c r="F19" s="123" t="s">
        <v>211</v>
      </c>
    </row>
    <row r="21" ht="15">
      <c r="B21" s="126" t="s">
        <v>163</v>
      </c>
    </row>
    <row r="22" spans="2:14" ht="17.25" customHeight="1">
      <c r="B22" s="371" t="s">
        <v>162</v>
      </c>
      <c r="C22" s="372"/>
      <c r="D22" s="372"/>
      <c r="E22" s="372"/>
      <c r="F22" s="372"/>
      <c r="G22" s="372"/>
      <c r="H22" s="372"/>
      <c r="I22" s="372"/>
      <c r="J22" s="372"/>
      <c r="K22" s="372"/>
      <c r="L22" s="372"/>
      <c r="M22" s="372"/>
      <c r="N22" s="372"/>
    </row>
    <row r="24" ht="15">
      <c r="B24" s="126" t="s">
        <v>161</v>
      </c>
    </row>
    <row r="25" spans="2:12" ht="15">
      <c r="B25" s="123" t="s">
        <v>160</v>
      </c>
      <c r="E25" s="373" t="s">
        <v>175</v>
      </c>
      <c r="F25" s="373"/>
      <c r="G25" s="373"/>
      <c r="H25" s="373"/>
      <c r="I25" s="373"/>
      <c r="J25" s="373"/>
      <c r="K25" s="373"/>
      <c r="L25" s="373"/>
    </row>
    <row r="26" spans="2:12" ht="15">
      <c r="B26" s="123" t="s">
        <v>159</v>
      </c>
      <c r="E26" s="374" t="s">
        <v>158</v>
      </c>
      <c r="F26" s="374"/>
      <c r="G26" s="374"/>
      <c r="H26" s="374"/>
      <c r="I26" s="374"/>
      <c r="J26" s="374"/>
      <c r="K26" s="374"/>
      <c r="L26" s="374"/>
    </row>
    <row r="27" spans="2:12" ht="15">
      <c r="B27" s="123" t="s">
        <v>157</v>
      </c>
      <c r="E27" s="374" t="s">
        <v>156</v>
      </c>
      <c r="F27" s="374"/>
      <c r="G27" s="374"/>
      <c r="H27" s="374"/>
      <c r="I27" s="374"/>
      <c r="J27" s="374"/>
      <c r="K27" s="374"/>
      <c r="L27" s="374"/>
    </row>
    <row r="28" spans="2:12" s="162" customFormat="1" ht="15">
      <c r="B28" s="163" t="s">
        <v>155</v>
      </c>
      <c r="E28" s="375" t="s">
        <v>188</v>
      </c>
      <c r="F28" s="375"/>
      <c r="G28" s="375"/>
      <c r="H28" s="375"/>
      <c r="I28" s="375"/>
      <c r="J28" s="375"/>
      <c r="K28" s="375"/>
      <c r="L28" s="375"/>
    </row>
    <row r="29" ht="15">
      <c r="E29" s="158"/>
    </row>
    <row r="30" s="145" customFormat="1" ht="15">
      <c r="B30" s="146" t="s">
        <v>177</v>
      </c>
    </row>
    <row r="31" spans="2:3" s="145" customFormat="1" ht="15">
      <c r="B31" s="145" t="s">
        <v>90</v>
      </c>
      <c r="C31" s="145" t="s">
        <v>178</v>
      </c>
    </row>
    <row r="32" spans="2:3" s="145" customFormat="1" ht="15">
      <c r="B32" s="145" t="s">
        <v>179</v>
      </c>
      <c r="C32" s="145" t="s">
        <v>180</v>
      </c>
    </row>
    <row r="33" spans="12:17" ht="15">
      <c r="L33" s="160"/>
      <c r="M33" s="160"/>
      <c r="N33" s="160"/>
      <c r="O33" s="160"/>
      <c r="P33" s="160"/>
      <c r="Q33" s="160"/>
    </row>
    <row r="34" spans="2:17" ht="15">
      <c r="B34" s="123" t="s">
        <v>154</v>
      </c>
      <c r="E34" s="143" t="s">
        <v>176</v>
      </c>
      <c r="I34" s="123" t="s">
        <v>186</v>
      </c>
      <c r="L34" s="161" t="s">
        <v>153</v>
      </c>
      <c r="M34" s="373" t="s">
        <v>187</v>
      </c>
      <c r="N34" s="373"/>
      <c r="O34" s="373"/>
      <c r="P34" s="373"/>
      <c r="Q34" s="373"/>
    </row>
    <row r="35" spans="5:17" ht="15">
      <c r="E35" s="123" t="s">
        <v>191</v>
      </c>
      <c r="I35" s="123" t="s">
        <v>189</v>
      </c>
      <c r="J35" s="164"/>
      <c r="K35" s="164"/>
      <c r="L35" s="161" t="s">
        <v>153</v>
      </c>
      <c r="M35" s="373" t="s">
        <v>190</v>
      </c>
      <c r="N35" s="373"/>
      <c r="O35" s="373"/>
      <c r="P35" s="373"/>
      <c r="Q35" s="373"/>
    </row>
    <row r="36" spans="12:17" ht="15">
      <c r="L36" s="160"/>
      <c r="M36" s="160"/>
      <c r="N36" s="160"/>
      <c r="O36" s="160"/>
      <c r="P36" s="160"/>
      <c r="Q36" s="160"/>
    </row>
  </sheetData>
  <sheetProtection/>
  <mergeCells count="7">
    <mergeCell ref="B22:N22"/>
    <mergeCell ref="M35:Q35"/>
    <mergeCell ref="E25:L25"/>
    <mergeCell ref="E26:L26"/>
    <mergeCell ref="E27:L27"/>
    <mergeCell ref="E28:L28"/>
    <mergeCell ref="M34:Q34"/>
  </mergeCells>
  <hyperlinks>
    <hyperlink ref="E17" location="Annual!A1" display="Annual "/>
    <hyperlink ref="E18" location="Quarter!A1" display="Quarter"/>
    <hyperlink ref="E15" location="Highlights!A1" display="Highlights"/>
    <hyperlink ref="E16" location="'Main Table'!A1" display="Main table"/>
    <hyperlink ref="E19" location="Month!A1" display="Month"/>
    <hyperlink ref="E25:H25" r:id="rId1" display="Energy trends section 3: oil and oil products"/>
    <hyperlink ref="E26:K26" r:id="rId2" display="Crude oil and petroleum products: methodology note"/>
    <hyperlink ref="E27:G27" r:id="rId3" display="Energy statistics revisions policy"/>
    <hyperlink ref="E26:J26" r:id="rId4" display="Energy balance: methodology note"/>
    <hyperlink ref="E25:G25" r:id="rId5" display="Energy trends section 1: total energy"/>
    <hyperlink ref="E26" r:id="rId6" display="Crude oil and petroleum products: methodology note"/>
    <hyperlink ref="E25" r:id="rId7" display="Energy trends section 3: oil and oil products"/>
    <hyperlink ref="E26:L26" r:id="rId8" display="Crude oil and petroleum products: methodology note"/>
    <hyperlink ref="E27:L27" r:id="rId9" display="Energy statistics revisions policy"/>
    <hyperlink ref="M34" r:id="rId10" display="natalie.cartwright@beis.gov.uk"/>
    <hyperlink ref="M34:Q34" r:id="rId11" display="newsdesk@beis.gov.uk"/>
    <hyperlink ref="E28" r:id="rId12" display="Digest of United Kingdom Energy Statistics (DUKES): glossary and acronyms"/>
    <hyperlink ref="E28:G28" r:id="rId13" display="fff"/>
    <hyperlink ref="E28:K28" r:id="rId14" display="Digest of United Kingdom Energy Statistics (DUKES): glossary and acronyms"/>
    <hyperlink ref="E28:L28" r:id="rId15" display="Digest of United Kingdom Energy Statistics (DUKES): Annex B"/>
    <hyperlink ref="M35" r:id="rId16" display="Oil-Gas.Statistics@beis.gov.uk"/>
    <hyperlink ref="M35:Q35" r:id="rId17" display="Oil-Gas.Statistics@beis.gov.uk"/>
  </hyperlinks>
  <printOptions/>
  <pageMargins left="0.7" right="0.7" top="0.75" bottom="0.75" header="0.3" footer="0.3"/>
  <pageSetup horizontalDpi="600" verticalDpi="600" orientation="portrait" paperSize="9" scale="46" r:id="rId19"/>
  <drawing r:id="rId18"/>
</worksheet>
</file>

<file path=xl/worksheets/sheet10.xml><?xml version="1.0" encoding="utf-8"?>
<worksheet xmlns="http://schemas.openxmlformats.org/spreadsheetml/2006/main" xmlns:r="http://schemas.openxmlformats.org/officeDocument/2006/relationships">
  <sheetPr codeName="Sheet6"/>
  <dimension ref="A4:AJ33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320" sqref="F320"/>
    </sheetView>
  </sheetViews>
  <sheetFormatPr defaultColWidth="9.140625" defaultRowHeight="12.75"/>
  <cols>
    <col min="2" max="2" width="11.28125" style="0" bestFit="1" customWidth="1"/>
    <col min="3" max="3" width="11.28125" style="0" customWidth="1"/>
    <col min="12" max="12" width="6.28125" style="0" customWidth="1"/>
    <col min="13" max="15" width="7.28125" style="0" customWidth="1"/>
    <col min="16" max="16" width="8.28125" style="0" bestFit="1" customWidth="1"/>
    <col min="17" max="17" width="6.28125" style="0" customWidth="1"/>
    <col min="20" max="20" width="15.00390625" style="0" bestFit="1" customWidth="1"/>
    <col min="21" max="21" width="11.28125" style="0" customWidth="1"/>
    <col min="22" max="22" width="15.28125" style="0" bestFit="1" customWidth="1"/>
    <col min="23" max="23" width="20.00390625" style="0" customWidth="1"/>
    <col min="30" max="30" width="11.28125" style="0" customWidth="1"/>
  </cols>
  <sheetData>
    <row r="4" spans="4:17" ht="12" thickBot="1">
      <c r="D4" s="2" t="s">
        <v>0</v>
      </c>
      <c r="E4" s="2"/>
      <c r="F4" s="1" t="s">
        <v>1</v>
      </c>
      <c r="G4" s="2" t="s">
        <v>2</v>
      </c>
      <c r="H4" s="2"/>
      <c r="I4" s="1"/>
      <c r="J4" s="1"/>
      <c r="K4" s="2" t="s">
        <v>3</v>
      </c>
      <c r="L4" s="2"/>
      <c r="M4" s="1"/>
      <c r="N4" s="1"/>
      <c r="O4" s="1"/>
      <c r="P4" s="1"/>
      <c r="Q4" s="1"/>
    </row>
    <row r="5" spans="1:22" ht="12">
      <c r="A5" s="4" t="s">
        <v>52</v>
      </c>
      <c r="C5" s="1" t="s">
        <v>5</v>
      </c>
      <c r="D5" s="1"/>
      <c r="E5" s="1"/>
      <c r="F5" s="1" t="s">
        <v>6</v>
      </c>
      <c r="G5" s="1" t="s">
        <v>7</v>
      </c>
      <c r="H5" s="1" t="s">
        <v>8</v>
      </c>
      <c r="I5" s="1"/>
      <c r="J5" s="1"/>
      <c r="K5" s="1" t="s">
        <v>9</v>
      </c>
      <c r="L5" s="1"/>
      <c r="M5" s="1"/>
      <c r="N5" s="1"/>
      <c r="O5" s="1"/>
      <c r="P5" s="1"/>
      <c r="Q5" s="1"/>
      <c r="S5" s="9" t="s">
        <v>24</v>
      </c>
      <c r="T5" s="10">
        <v>2021</v>
      </c>
      <c r="V5" t="s">
        <v>25</v>
      </c>
    </row>
    <row r="6" spans="3:23" ht="12" thickBot="1">
      <c r="C6" s="1" t="s">
        <v>11</v>
      </c>
      <c r="D6" s="1" t="s">
        <v>12</v>
      </c>
      <c r="E6" s="1" t="s">
        <v>13</v>
      </c>
      <c r="F6" s="1" t="s">
        <v>14</v>
      </c>
      <c r="G6" s="1" t="s">
        <v>15</v>
      </c>
      <c r="H6" s="1" t="s">
        <v>16</v>
      </c>
      <c r="I6" s="1" t="s">
        <v>17</v>
      </c>
      <c r="J6" s="1" t="s">
        <v>18</v>
      </c>
      <c r="K6" s="1" t="s">
        <v>19</v>
      </c>
      <c r="L6" s="1" t="s">
        <v>20</v>
      </c>
      <c r="M6" s="1" t="s">
        <v>142</v>
      </c>
      <c r="N6" s="1"/>
      <c r="O6" s="1" t="s">
        <v>12</v>
      </c>
      <c r="P6" s="1" t="s">
        <v>22</v>
      </c>
      <c r="Q6" s="1" t="s">
        <v>23</v>
      </c>
      <c r="S6" s="11" t="s">
        <v>36</v>
      </c>
      <c r="T6" s="12">
        <v>1</v>
      </c>
      <c r="V6" t="s">
        <v>75</v>
      </c>
      <c r="W6" t="s">
        <v>76</v>
      </c>
    </row>
    <row r="7" spans="1:17" ht="12">
      <c r="A7" s="5" t="s">
        <v>4</v>
      </c>
      <c r="B7" s="5" t="s">
        <v>54</v>
      </c>
      <c r="C7" s="7" t="s">
        <v>26</v>
      </c>
      <c r="D7" s="3"/>
      <c r="E7" s="3" t="s">
        <v>27</v>
      </c>
      <c r="F7" s="3" t="s">
        <v>28</v>
      </c>
      <c r="G7" s="3" t="s">
        <v>29</v>
      </c>
      <c r="H7" s="3" t="s">
        <v>30</v>
      </c>
      <c r="I7" s="3" t="s">
        <v>31</v>
      </c>
      <c r="J7" s="3" t="s">
        <v>32</v>
      </c>
      <c r="K7" s="3" t="s">
        <v>33</v>
      </c>
      <c r="L7" s="3" t="s">
        <v>34</v>
      </c>
      <c r="M7" s="3" t="s">
        <v>140</v>
      </c>
      <c r="N7" s="3" t="s">
        <v>141</v>
      </c>
      <c r="O7" s="3" t="s">
        <v>34</v>
      </c>
      <c r="P7" s="3" t="s">
        <v>35</v>
      </c>
      <c r="Q7" s="8"/>
    </row>
    <row r="8" spans="1:35" ht="12">
      <c r="A8">
        <v>1995</v>
      </c>
      <c r="B8" t="s">
        <v>55</v>
      </c>
      <c r="C8" s="13">
        <f>+Month!C8</f>
        <v>7729</v>
      </c>
      <c r="D8" s="13">
        <f>+Month!D8</f>
        <v>572</v>
      </c>
      <c r="E8" s="13">
        <f>+Month!E8</f>
        <v>6</v>
      </c>
      <c r="F8" s="13">
        <f>+Month!F8</f>
        <v>7150</v>
      </c>
      <c r="G8" s="13">
        <f>+Month!G8</f>
        <v>157</v>
      </c>
      <c r="H8" s="13">
        <f>+Month!H8</f>
        <v>12</v>
      </c>
      <c r="I8" s="13">
        <f>+Month!I8</f>
        <v>277</v>
      </c>
      <c r="J8" s="13">
        <f>+Month!J8</f>
        <v>2202</v>
      </c>
      <c r="K8" s="13">
        <f>+Month!K8</f>
        <v>606</v>
      </c>
      <c r="L8" s="13">
        <f>+Month!L8</f>
        <v>347</v>
      </c>
      <c r="M8" s="13">
        <f>+Month!M8</f>
        <v>915.73</v>
      </c>
      <c r="N8" s="13">
        <f>+Month!N8</f>
        <v>1431.27</v>
      </c>
      <c r="O8" s="13">
        <f>+Month!O8</f>
        <v>854</v>
      </c>
      <c r="P8" s="13">
        <f>+Month!P8</f>
        <v>108</v>
      </c>
      <c r="Q8" s="13">
        <f>+Month!Q8</f>
        <v>119</v>
      </c>
      <c r="T8" t="s">
        <v>37</v>
      </c>
      <c r="U8" t="s">
        <v>53</v>
      </c>
      <c r="V8" t="s">
        <v>38</v>
      </c>
      <c r="W8" t="s">
        <v>39</v>
      </c>
      <c r="X8" t="s">
        <v>40</v>
      </c>
      <c r="Y8" t="s">
        <v>41</v>
      </c>
      <c r="Z8" t="s">
        <v>42</v>
      </c>
      <c r="AA8" t="s">
        <v>43</v>
      </c>
      <c r="AB8" t="s">
        <v>44</v>
      </c>
      <c r="AC8" t="s">
        <v>45</v>
      </c>
      <c r="AD8" t="s">
        <v>46</v>
      </c>
      <c r="AE8" t="s">
        <v>47</v>
      </c>
      <c r="AF8" t="s">
        <v>48</v>
      </c>
      <c r="AG8" t="s">
        <v>49</v>
      </c>
      <c r="AH8" t="s">
        <v>50</v>
      </c>
      <c r="AI8" s="116" t="s">
        <v>51</v>
      </c>
    </row>
    <row r="9" spans="1:35" ht="12">
      <c r="A9">
        <v>1995</v>
      </c>
      <c r="B9" t="s">
        <v>56</v>
      </c>
      <c r="C9" s="13">
        <f>+Month!C9+C8</f>
        <v>14320</v>
      </c>
      <c r="D9" s="13">
        <f>+Month!D9+D8</f>
        <v>1051</v>
      </c>
      <c r="E9" s="13">
        <f>+Month!E9+E8</f>
        <v>6</v>
      </c>
      <c r="F9" s="13">
        <f>+Month!F9+F8</f>
        <v>13262</v>
      </c>
      <c r="G9" s="13">
        <f>+Month!G9+G8</f>
        <v>281</v>
      </c>
      <c r="H9" s="13">
        <f>+Month!H9+H8</f>
        <v>24</v>
      </c>
      <c r="I9" s="13">
        <f>+Month!I9+I8</f>
        <v>511</v>
      </c>
      <c r="J9" s="13">
        <f>+Month!J9+J8</f>
        <v>4099</v>
      </c>
      <c r="K9" s="13">
        <f>+Month!K9+K8</f>
        <v>1092</v>
      </c>
      <c r="L9" s="13">
        <f>+Month!L9+L8</f>
        <v>595</v>
      </c>
      <c r="M9" s="13">
        <f>+Month!M9+M8</f>
        <v>1749.85</v>
      </c>
      <c r="N9" s="13">
        <f>+Month!N9+N8</f>
        <v>2603.15</v>
      </c>
      <c r="O9" s="13">
        <f>+Month!O9+O8</f>
        <v>1578</v>
      </c>
      <c r="P9" s="13">
        <f>+Month!P9+P8</f>
        <v>212</v>
      </c>
      <c r="Q9" s="13">
        <f>+Month!Q9+Q8</f>
        <v>288</v>
      </c>
      <c r="S9">
        <f>T5-1995+3+ROUND(T6/23,0)</f>
        <v>29</v>
      </c>
      <c r="T9" s="6" t="str">
        <f aca="true" t="shared" si="0" ref="T9:AI13">$V$6&amp;T$8&amp;$S9</f>
        <v>annual!A29</v>
      </c>
      <c r="U9" s="6" t="str">
        <f t="shared" si="0"/>
        <v>annual!B29</v>
      </c>
      <c r="V9" s="6" t="str">
        <f t="shared" si="0"/>
        <v>annual!C29</v>
      </c>
      <c r="W9" s="6" t="str">
        <f t="shared" si="0"/>
        <v>annual!D29</v>
      </c>
      <c r="X9" s="6" t="str">
        <f t="shared" si="0"/>
        <v>annual!E29</v>
      </c>
      <c r="Y9" s="6" t="str">
        <f t="shared" si="0"/>
        <v>annual!F29</v>
      </c>
      <c r="Z9" s="6" t="str">
        <f t="shared" si="0"/>
        <v>annual!G29</v>
      </c>
      <c r="AA9" s="6" t="str">
        <f t="shared" si="0"/>
        <v>annual!H29</v>
      </c>
      <c r="AB9" s="6" t="str">
        <f t="shared" si="0"/>
        <v>annual!I29</v>
      </c>
      <c r="AC9" s="6" t="str">
        <f t="shared" si="0"/>
        <v>annual!J29</v>
      </c>
      <c r="AD9" s="6" t="str">
        <f t="shared" si="0"/>
        <v>annual!K29</v>
      </c>
      <c r="AE9" s="6" t="str">
        <f t="shared" si="0"/>
        <v>annual!L29</v>
      </c>
      <c r="AF9" s="6" t="str">
        <f t="shared" si="0"/>
        <v>annual!M29</v>
      </c>
      <c r="AG9" s="6" t="str">
        <f t="shared" si="0"/>
        <v>annual!N29</v>
      </c>
      <c r="AH9" s="6" t="str">
        <f t="shared" si="0"/>
        <v>annual!O29</v>
      </c>
      <c r="AI9" s="6" t="str">
        <f t="shared" si="0"/>
        <v>annual!P29</v>
      </c>
    </row>
    <row r="10" spans="1:35" ht="12" customHeight="1">
      <c r="A10">
        <v>1995</v>
      </c>
      <c r="B10" t="s">
        <v>57</v>
      </c>
      <c r="C10" s="13">
        <f>+Month!C10+C9</f>
        <v>22172</v>
      </c>
      <c r="D10" s="13">
        <f>+Month!D10+D9</f>
        <v>1602</v>
      </c>
      <c r="E10" s="13">
        <f>+Month!E10+E9</f>
        <v>37</v>
      </c>
      <c r="F10" s="13">
        <f>+Month!F10+F9</f>
        <v>20532</v>
      </c>
      <c r="G10" s="13">
        <f>+Month!G10+G9</f>
        <v>436</v>
      </c>
      <c r="H10" s="13">
        <f>+Month!H10+H9</f>
        <v>36</v>
      </c>
      <c r="I10" s="13">
        <f>+Month!I10+I9</f>
        <v>749</v>
      </c>
      <c r="J10" s="13">
        <f>+Month!J10+J9</f>
        <v>6373</v>
      </c>
      <c r="K10" s="13">
        <f>+Month!K10+K9</f>
        <v>1689</v>
      </c>
      <c r="L10" s="13">
        <f>+Month!L10+L9</f>
        <v>933</v>
      </c>
      <c r="M10" s="13">
        <f>+Month!M10+M9</f>
        <v>2709.98</v>
      </c>
      <c r="N10" s="13">
        <f>+Month!N10+N9</f>
        <v>3939.02</v>
      </c>
      <c r="O10" s="13">
        <f>+Month!O10+O9</f>
        <v>2445</v>
      </c>
      <c r="P10" s="13">
        <f>+Month!P10+P9</f>
        <v>331</v>
      </c>
      <c r="Q10" s="13">
        <f>+Month!Q10+Q9</f>
        <v>528</v>
      </c>
      <c r="S10">
        <f>S9+1</f>
        <v>30</v>
      </c>
      <c r="T10" s="6" t="str">
        <f t="shared" si="0"/>
        <v>annual!A30</v>
      </c>
      <c r="U10" s="6" t="str">
        <f t="shared" si="0"/>
        <v>annual!B30</v>
      </c>
      <c r="V10" s="6" t="str">
        <f t="shared" si="0"/>
        <v>annual!C30</v>
      </c>
      <c r="W10" s="6" t="str">
        <f t="shared" si="0"/>
        <v>annual!D30</v>
      </c>
      <c r="X10" s="6" t="str">
        <f t="shared" si="0"/>
        <v>annual!E30</v>
      </c>
      <c r="Y10" s="6" t="str">
        <f t="shared" si="0"/>
        <v>annual!F30</v>
      </c>
      <c r="Z10" s="6" t="str">
        <f t="shared" si="0"/>
        <v>annual!G30</v>
      </c>
      <c r="AA10" s="6" t="str">
        <f t="shared" si="0"/>
        <v>annual!H30</v>
      </c>
      <c r="AB10" s="6" t="str">
        <f t="shared" si="0"/>
        <v>annual!I30</v>
      </c>
      <c r="AC10" s="6" t="str">
        <f t="shared" si="0"/>
        <v>annual!J30</v>
      </c>
      <c r="AD10" s="6" t="str">
        <f t="shared" si="0"/>
        <v>annual!K30</v>
      </c>
      <c r="AE10" s="6" t="str">
        <f t="shared" si="0"/>
        <v>annual!L30</v>
      </c>
      <c r="AF10" s="6" t="str">
        <f t="shared" si="0"/>
        <v>annual!M30</v>
      </c>
      <c r="AG10" s="6" t="str">
        <f t="shared" si="0"/>
        <v>annual!N30</v>
      </c>
      <c r="AH10" s="6" t="str">
        <f t="shared" si="0"/>
        <v>annual!O30</v>
      </c>
      <c r="AI10" s="6" t="str">
        <f t="shared" si="0"/>
        <v>annual!P30</v>
      </c>
    </row>
    <row r="11" spans="1:35" ht="12">
      <c r="A11">
        <v>1995</v>
      </c>
      <c r="B11" t="s">
        <v>58</v>
      </c>
      <c r="C11" s="13">
        <f>+Month!C11+C10</f>
        <v>29014</v>
      </c>
      <c r="D11" s="13">
        <f>+Month!D11+D10</f>
        <v>2094</v>
      </c>
      <c r="E11" s="13">
        <f>+Month!E11+E10</f>
        <v>14</v>
      </c>
      <c r="F11" s="13">
        <f>+Month!F11+F10</f>
        <v>26906</v>
      </c>
      <c r="G11" s="13">
        <f>+Month!G11+G10</f>
        <v>594</v>
      </c>
      <c r="H11" s="13">
        <f>+Month!H11+H10</f>
        <v>49</v>
      </c>
      <c r="I11" s="13">
        <f>+Month!I11+I10</f>
        <v>977</v>
      </c>
      <c r="J11" s="13">
        <f>+Month!J11+J10</f>
        <v>8357</v>
      </c>
      <c r="K11" s="13">
        <f>+Month!K11+K10</f>
        <v>2304</v>
      </c>
      <c r="L11" s="13">
        <f>+Month!L11+L10</f>
        <v>1147</v>
      </c>
      <c r="M11" s="13">
        <f>+Month!M11+M10</f>
        <v>3456.15</v>
      </c>
      <c r="N11" s="13">
        <f>+Month!N11+N10</f>
        <v>5148.85</v>
      </c>
      <c r="O11" s="13">
        <f>+Month!O11+O10</f>
        <v>3198</v>
      </c>
      <c r="P11" s="13">
        <f>+Month!P11+P10</f>
        <v>451</v>
      </c>
      <c r="Q11" s="13">
        <f>+Month!Q11+Q10</f>
        <v>729</v>
      </c>
      <c r="S11">
        <f>S10+1</f>
        <v>31</v>
      </c>
      <c r="T11" s="6" t="str">
        <f t="shared" si="0"/>
        <v>annual!A31</v>
      </c>
      <c r="U11" s="6" t="str">
        <f t="shared" si="0"/>
        <v>annual!B31</v>
      </c>
      <c r="V11" s="6" t="str">
        <f t="shared" si="0"/>
        <v>annual!C31</v>
      </c>
      <c r="W11" s="6" t="str">
        <f t="shared" si="0"/>
        <v>annual!D31</v>
      </c>
      <c r="X11" s="6" t="str">
        <f t="shared" si="0"/>
        <v>annual!E31</v>
      </c>
      <c r="Y11" s="6" t="str">
        <f t="shared" si="0"/>
        <v>annual!F31</v>
      </c>
      <c r="Z11" s="6" t="str">
        <f t="shared" si="0"/>
        <v>annual!G31</v>
      </c>
      <c r="AA11" s="6" t="str">
        <f t="shared" si="0"/>
        <v>annual!H31</v>
      </c>
      <c r="AB11" s="6" t="str">
        <f t="shared" si="0"/>
        <v>annual!I31</v>
      </c>
      <c r="AC11" s="6" t="str">
        <f t="shared" si="0"/>
        <v>annual!J31</v>
      </c>
      <c r="AD11" s="6" t="str">
        <f t="shared" si="0"/>
        <v>annual!K31</v>
      </c>
      <c r="AE11" s="6" t="str">
        <f t="shared" si="0"/>
        <v>annual!L31</v>
      </c>
      <c r="AF11" s="6" t="str">
        <f t="shared" si="0"/>
        <v>annual!M31</v>
      </c>
      <c r="AG11" s="6" t="str">
        <f t="shared" si="0"/>
        <v>annual!N31</v>
      </c>
      <c r="AH11" s="6" t="str">
        <f t="shared" si="0"/>
        <v>annual!O31</v>
      </c>
      <c r="AI11" s="6" t="str">
        <f t="shared" si="0"/>
        <v>annual!P31</v>
      </c>
    </row>
    <row r="12" spans="1:35" ht="13.5" customHeight="1">
      <c r="A12">
        <v>1995</v>
      </c>
      <c r="B12" t="s">
        <v>59</v>
      </c>
      <c r="C12" s="13">
        <f>+Month!C12+C11</f>
        <v>36357</v>
      </c>
      <c r="D12" s="13">
        <f>+Month!D12+D11</f>
        <v>2591</v>
      </c>
      <c r="E12" s="13">
        <f>+Month!E12+E11</f>
        <v>13</v>
      </c>
      <c r="F12" s="13">
        <f>+Month!F12+F11</f>
        <v>33754</v>
      </c>
      <c r="G12" s="13">
        <f>+Month!G12+G11</f>
        <v>761</v>
      </c>
      <c r="H12" s="13">
        <f>+Month!H12+H11</f>
        <v>58</v>
      </c>
      <c r="I12" s="13">
        <f>+Month!I12+I11</f>
        <v>1187</v>
      </c>
      <c r="J12" s="13">
        <f>+Month!J12+J11</f>
        <v>10470</v>
      </c>
      <c r="K12" s="13">
        <f>+Month!K12+K11</f>
        <v>2940</v>
      </c>
      <c r="L12" s="13">
        <f>+Month!L12+L11</f>
        <v>1335</v>
      </c>
      <c r="M12" s="13">
        <f>+Month!M12+M11</f>
        <v>4230.71</v>
      </c>
      <c r="N12" s="13">
        <f>+Month!N12+N11</f>
        <v>6483.290000000001</v>
      </c>
      <c r="O12" s="13">
        <f>+Month!O12+O11</f>
        <v>4168</v>
      </c>
      <c r="P12" s="13">
        <f>+Month!P12+P11</f>
        <v>544</v>
      </c>
      <c r="Q12" s="13">
        <f>+Month!Q12+Q11</f>
        <v>948</v>
      </c>
      <c r="S12">
        <f>S11+1</f>
        <v>32</v>
      </c>
      <c r="T12" s="6" t="str">
        <f t="shared" si="0"/>
        <v>annual!A32</v>
      </c>
      <c r="U12" s="6" t="str">
        <f t="shared" si="0"/>
        <v>annual!B32</v>
      </c>
      <c r="V12" s="6" t="str">
        <f t="shared" si="0"/>
        <v>annual!C32</v>
      </c>
      <c r="W12" s="6" t="str">
        <f t="shared" si="0"/>
        <v>annual!D32</v>
      </c>
      <c r="X12" s="6" t="str">
        <f t="shared" si="0"/>
        <v>annual!E32</v>
      </c>
      <c r="Y12" s="6" t="str">
        <f t="shared" si="0"/>
        <v>annual!F32</v>
      </c>
      <c r="Z12" s="6" t="str">
        <f t="shared" si="0"/>
        <v>annual!G32</v>
      </c>
      <c r="AA12" s="6" t="str">
        <f t="shared" si="0"/>
        <v>annual!H32</v>
      </c>
      <c r="AB12" s="6" t="str">
        <f t="shared" si="0"/>
        <v>annual!I32</v>
      </c>
      <c r="AC12" s="6" t="str">
        <f t="shared" si="0"/>
        <v>annual!J32</v>
      </c>
      <c r="AD12" s="6" t="str">
        <f t="shared" si="0"/>
        <v>annual!K32</v>
      </c>
      <c r="AE12" s="6" t="str">
        <f t="shared" si="0"/>
        <v>annual!L32</v>
      </c>
      <c r="AF12" s="6" t="str">
        <f t="shared" si="0"/>
        <v>annual!M32</v>
      </c>
      <c r="AG12" s="6" t="str">
        <f t="shared" si="0"/>
        <v>annual!N32</v>
      </c>
      <c r="AH12" s="6" t="str">
        <f t="shared" si="0"/>
        <v>annual!O32</v>
      </c>
      <c r="AI12" s="6" t="str">
        <f t="shared" si="0"/>
        <v>annual!P32</v>
      </c>
    </row>
    <row r="13" spans="1:35" ht="12">
      <c r="A13">
        <v>1995</v>
      </c>
      <c r="B13" t="s">
        <v>60</v>
      </c>
      <c r="C13" s="13">
        <f>+Month!C13+C12</f>
        <v>43856</v>
      </c>
      <c r="D13" s="13">
        <f>+Month!D13+D12</f>
        <v>3125</v>
      </c>
      <c r="E13" s="13">
        <f>+Month!E13+E12</f>
        <v>31</v>
      </c>
      <c r="F13" s="13">
        <f>+Month!F13+F12</f>
        <v>40701</v>
      </c>
      <c r="G13" s="13">
        <f>+Month!G13+G12</f>
        <v>921</v>
      </c>
      <c r="H13" s="13">
        <f>+Month!H13+H12</f>
        <v>69</v>
      </c>
      <c r="I13" s="13">
        <f>+Month!I13+I12</f>
        <v>1424</v>
      </c>
      <c r="J13" s="13">
        <f>+Month!J13+J12</f>
        <v>12635</v>
      </c>
      <c r="K13" s="13">
        <f>+Month!K13+K12</f>
        <v>3619</v>
      </c>
      <c r="L13" s="13">
        <f>+Month!L13+L12</f>
        <v>1484</v>
      </c>
      <c r="M13" s="13">
        <f>+Month!M13+M12</f>
        <v>5029.3</v>
      </c>
      <c r="N13" s="13">
        <f>+Month!N13+N12</f>
        <v>7911.700000000001</v>
      </c>
      <c r="O13" s="13">
        <f>+Month!O13+O12</f>
        <v>5051</v>
      </c>
      <c r="P13" s="13">
        <f>+Month!P13+P12</f>
        <v>613</v>
      </c>
      <c r="Q13" s="13">
        <f>+Month!Q13+Q12</f>
        <v>1181</v>
      </c>
      <c r="S13">
        <f>S12+1</f>
        <v>33</v>
      </c>
      <c r="T13" s="6" t="str">
        <f t="shared" si="0"/>
        <v>annual!A33</v>
      </c>
      <c r="U13" s="6" t="str">
        <f t="shared" si="0"/>
        <v>annual!B33</v>
      </c>
      <c r="V13" s="6" t="str">
        <f t="shared" si="0"/>
        <v>annual!C33</v>
      </c>
      <c r="W13" s="6" t="str">
        <f t="shared" si="0"/>
        <v>annual!D33</v>
      </c>
      <c r="X13" s="6" t="str">
        <f t="shared" si="0"/>
        <v>annual!E33</v>
      </c>
      <c r="Y13" s="6" t="str">
        <f t="shared" si="0"/>
        <v>annual!F33</v>
      </c>
      <c r="Z13" s="6" t="str">
        <f t="shared" si="0"/>
        <v>annual!G33</v>
      </c>
      <c r="AA13" s="6" t="str">
        <f t="shared" si="0"/>
        <v>annual!H33</v>
      </c>
      <c r="AB13" s="6" t="str">
        <f t="shared" si="0"/>
        <v>annual!I33</v>
      </c>
      <c r="AC13" s="6" t="str">
        <f t="shared" si="0"/>
        <v>annual!J33</v>
      </c>
      <c r="AD13" s="6" t="str">
        <f t="shared" si="0"/>
        <v>annual!K33</v>
      </c>
      <c r="AE13" s="6" t="str">
        <f t="shared" si="0"/>
        <v>annual!L33</v>
      </c>
      <c r="AF13" s="6" t="str">
        <f t="shared" si="0"/>
        <v>annual!M33</v>
      </c>
      <c r="AG13" s="6" t="str">
        <f t="shared" si="0"/>
        <v>annual!N33</v>
      </c>
      <c r="AH13" s="6" t="str">
        <f t="shared" si="0"/>
        <v>annual!O33</v>
      </c>
      <c r="AI13" s="6" t="str">
        <f t="shared" si="0"/>
        <v>annual!P33</v>
      </c>
    </row>
    <row r="14" spans="1:18" s="15" customFormat="1" ht="13.5" customHeight="1">
      <c r="A14">
        <v>1995</v>
      </c>
      <c r="B14" t="s">
        <v>61</v>
      </c>
      <c r="C14" s="13">
        <f>+Month!C14+C13</f>
        <v>51557</v>
      </c>
      <c r="D14" s="13">
        <f>+Month!D14+D13</f>
        <v>3671</v>
      </c>
      <c r="E14" s="13">
        <f>+Month!E14+E13</f>
        <v>110</v>
      </c>
      <c r="F14" s="13">
        <f>+Month!F14+F13</f>
        <v>47776</v>
      </c>
      <c r="G14" s="13">
        <f>+Month!G14+G13</f>
        <v>1092</v>
      </c>
      <c r="H14" s="13">
        <f>+Month!H14+H13</f>
        <v>79</v>
      </c>
      <c r="I14" s="13">
        <f>+Month!I14+I13</f>
        <v>1551</v>
      </c>
      <c r="J14" s="13">
        <f>+Month!J14+J13</f>
        <v>14993</v>
      </c>
      <c r="K14" s="13">
        <f>+Month!K14+K13</f>
        <v>4311</v>
      </c>
      <c r="L14" s="13">
        <f>+Month!L14+L13</f>
        <v>1663</v>
      </c>
      <c r="M14" s="13">
        <f>+Month!M14+M13</f>
        <v>5811.08</v>
      </c>
      <c r="N14" s="13">
        <f>+Month!N14+N13</f>
        <v>9274.92</v>
      </c>
      <c r="O14" s="13">
        <f>+Month!O14+O13</f>
        <v>5956</v>
      </c>
      <c r="P14" s="13">
        <f>+Month!P14+P13</f>
        <v>707</v>
      </c>
      <c r="Q14" s="13">
        <f>+Month!Q14+Q13</f>
        <v>1433</v>
      </c>
      <c r="R14"/>
    </row>
    <row r="15" spans="1:17" ht="12">
      <c r="A15">
        <v>1995</v>
      </c>
      <c r="B15" t="s">
        <v>62</v>
      </c>
      <c r="C15" s="13">
        <f>+Month!C15+C14</f>
        <v>59654</v>
      </c>
      <c r="D15" s="13">
        <f>+Month!D15+D14</f>
        <v>4215</v>
      </c>
      <c r="E15" s="13">
        <f>+Month!E15+E14</f>
        <v>141</v>
      </c>
      <c r="F15" s="13">
        <f>+Month!F15+F14</f>
        <v>55298</v>
      </c>
      <c r="G15" s="13">
        <f>+Month!G15+G14</f>
        <v>1240</v>
      </c>
      <c r="H15" s="13">
        <f>+Month!H15+H14</f>
        <v>89</v>
      </c>
      <c r="I15" s="13">
        <f>+Month!I15+I14</f>
        <v>1745</v>
      </c>
      <c r="J15" s="13">
        <f>+Month!J15+J14</f>
        <v>17410</v>
      </c>
      <c r="K15" s="13">
        <f>+Month!K15+K14</f>
        <v>5091</v>
      </c>
      <c r="L15" s="13">
        <f>+Month!L15+L14</f>
        <v>1811</v>
      </c>
      <c r="M15" s="13">
        <f>+Month!M15+M14</f>
        <v>6699.46</v>
      </c>
      <c r="N15" s="13">
        <f>+Month!N15+N14</f>
        <v>10747.54</v>
      </c>
      <c r="O15" s="13">
        <f>+Month!O15+O14</f>
        <v>6963</v>
      </c>
      <c r="P15" s="13">
        <f>+Month!P15+P14</f>
        <v>817</v>
      </c>
      <c r="Q15" s="13">
        <f>+Month!Q15+Q14</f>
        <v>1652</v>
      </c>
    </row>
    <row r="16" spans="1:17" ht="12">
      <c r="A16">
        <v>1995</v>
      </c>
      <c r="B16" t="s">
        <v>63</v>
      </c>
      <c r="C16" s="13">
        <f>+Month!C16+C15</f>
        <v>67765</v>
      </c>
      <c r="D16" s="13">
        <f>+Month!D16+D15</f>
        <v>4771</v>
      </c>
      <c r="E16" s="13">
        <f>+Month!E16+E15</f>
        <v>86</v>
      </c>
      <c r="F16" s="13">
        <f>+Month!F16+F15</f>
        <v>62908</v>
      </c>
      <c r="G16" s="13">
        <f>+Month!G16+G15</f>
        <v>1382</v>
      </c>
      <c r="H16" s="13">
        <f>+Month!H16+H15</f>
        <v>100</v>
      </c>
      <c r="I16" s="13">
        <f>+Month!I16+I15</f>
        <v>1980</v>
      </c>
      <c r="J16" s="13">
        <f>+Month!J16+J15</f>
        <v>19854</v>
      </c>
      <c r="K16" s="13">
        <f>+Month!K16+K15</f>
        <v>5770</v>
      </c>
      <c r="L16" s="13">
        <f>+Month!L16+L15</f>
        <v>2044</v>
      </c>
      <c r="M16" s="13">
        <f>+Month!M16+M15</f>
        <v>7593.74</v>
      </c>
      <c r="N16" s="13">
        <f>+Month!N16+N15</f>
        <v>12226.26</v>
      </c>
      <c r="O16" s="13">
        <f>+Month!O16+O15</f>
        <v>7973</v>
      </c>
      <c r="P16" s="13">
        <f>+Month!P16+P15</f>
        <v>936</v>
      </c>
      <c r="Q16" s="13">
        <f>+Month!Q16+Q15</f>
        <v>1872</v>
      </c>
    </row>
    <row r="17" spans="1:17" ht="12">
      <c r="A17">
        <v>1995</v>
      </c>
      <c r="B17" t="s">
        <v>64</v>
      </c>
      <c r="C17" s="13">
        <f>+Month!C17+C16</f>
        <v>76145.11</v>
      </c>
      <c r="D17" s="13">
        <f>+Month!D17+D16</f>
        <v>5333.17</v>
      </c>
      <c r="E17" s="13">
        <f>+Month!E17+E16</f>
        <v>123.42</v>
      </c>
      <c r="F17" s="13">
        <f>+Month!F17+F16</f>
        <v>70688.53</v>
      </c>
      <c r="G17" s="13">
        <f>+Month!G17+G16</f>
        <v>1528.63</v>
      </c>
      <c r="H17" s="13">
        <f>+Month!H17+H16</f>
        <v>110.88</v>
      </c>
      <c r="I17" s="13">
        <f>+Month!I17+I16</f>
        <v>2225.37</v>
      </c>
      <c r="J17" s="13">
        <f>+Month!J17+J16</f>
        <v>22362.7</v>
      </c>
      <c r="K17" s="13">
        <f>+Month!K17+K16</f>
        <v>6467.03</v>
      </c>
      <c r="L17" s="13">
        <f>+Month!L17+L16</f>
        <v>2324.02</v>
      </c>
      <c r="M17" s="13">
        <f>+Month!M17+M16</f>
        <v>8553.74</v>
      </c>
      <c r="N17" s="13">
        <f>+Month!N17+N16</f>
        <v>13740.81</v>
      </c>
      <c r="O17" s="13">
        <f>+Month!O17+O16</f>
        <v>8962.46</v>
      </c>
      <c r="P17" s="13">
        <f>+Month!P17+P16</f>
        <v>1039.76</v>
      </c>
      <c r="Q17" s="13">
        <f>+Month!Q17+Q16</f>
        <v>2070.2</v>
      </c>
    </row>
    <row r="18" spans="1:17" ht="12">
      <c r="A18">
        <v>1995</v>
      </c>
      <c r="B18" t="s">
        <v>65</v>
      </c>
      <c r="C18" s="13">
        <f>+Month!C18+C17</f>
        <v>84431.92</v>
      </c>
      <c r="D18" s="13">
        <f>+Month!D18+D17</f>
        <v>5889.04</v>
      </c>
      <c r="E18" s="13">
        <f>+Month!E18+E17</f>
        <v>119.15</v>
      </c>
      <c r="F18" s="13">
        <f>+Month!F18+F17</f>
        <v>78423.74</v>
      </c>
      <c r="G18" s="13">
        <f>+Month!G18+G17</f>
        <v>1660.8500000000001</v>
      </c>
      <c r="H18" s="13">
        <f>+Month!H18+H17</f>
        <v>122.11</v>
      </c>
      <c r="I18" s="13">
        <f>+Month!I18+I17</f>
        <v>2457.19</v>
      </c>
      <c r="J18" s="13">
        <f>+Month!J18+J17</f>
        <v>24881.38</v>
      </c>
      <c r="K18" s="13">
        <f>+Month!K18+K17</f>
        <v>7148.389999999999</v>
      </c>
      <c r="L18" s="13">
        <f>+Month!L18+L17</f>
        <v>2592.97</v>
      </c>
      <c r="M18" s="13">
        <f>+Month!M18+M17</f>
        <v>9550.39</v>
      </c>
      <c r="N18" s="13">
        <f>+Month!N18+N17</f>
        <v>15209.96</v>
      </c>
      <c r="O18" s="13">
        <f>+Month!O18+O17</f>
        <v>9943.439999999999</v>
      </c>
      <c r="P18" s="13">
        <f>+Month!P18+P17</f>
        <v>1137.87</v>
      </c>
      <c r="Q18" s="13">
        <f>+Month!Q18+Q17</f>
        <v>2271.0299999999997</v>
      </c>
    </row>
    <row r="19" spans="1:36" ht="12">
      <c r="A19">
        <v>1995</v>
      </c>
      <c r="B19" t="s">
        <v>66</v>
      </c>
      <c r="C19" s="13">
        <f>+Month!C19+C18</f>
        <v>92742.93</v>
      </c>
      <c r="D19" s="13">
        <f>+Month!D19+D18</f>
        <v>6480.21</v>
      </c>
      <c r="E19" s="13">
        <f>+Month!E19+E18</f>
        <v>131.3</v>
      </c>
      <c r="F19" s="13">
        <f>+Month!F19+F18</f>
        <v>86131.43000000001</v>
      </c>
      <c r="G19" s="13">
        <f>+Month!G19+G18</f>
        <v>1816.41</v>
      </c>
      <c r="H19" s="13">
        <f>+Month!H19+H18</f>
        <v>133.15</v>
      </c>
      <c r="I19" s="13">
        <f>+Month!I19+I18</f>
        <v>2710.53</v>
      </c>
      <c r="J19" s="13">
        <f>+Month!J19+J18</f>
        <v>27254.79</v>
      </c>
      <c r="K19" s="13">
        <f>+Month!K19+K18</f>
        <v>7835.759999999999</v>
      </c>
      <c r="L19" s="13">
        <f>+Month!L19+L18</f>
        <v>2923.0499999999997</v>
      </c>
      <c r="M19" s="13">
        <f>+Month!M19+M18</f>
        <v>10507.67</v>
      </c>
      <c r="N19" s="13">
        <f>+Month!N19+N18</f>
        <v>16662.219999999998</v>
      </c>
      <c r="O19" s="13">
        <f>+Month!O19+O18</f>
        <v>10968.32</v>
      </c>
      <c r="P19" s="13">
        <f>+Month!P19+P18</f>
        <v>1259.9699999999998</v>
      </c>
      <c r="Q19" s="13">
        <f>+Month!Q19+Q18</f>
        <v>2458.4199999999996</v>
      </c>
      <c r="T19" t="s">
        <v>37</v>
      </c>
      <c r="U19" t="s">
        <v>53</v>
      </c>
      <c r="V19" t="s">
        <v>38</v>
      </c>
      <c r="W19" t="s">
        <v>39</v>
      </c>
      <c r="X19" t="s">
        <v>40</v>
      </c>
      <c r="Y19" t="s">
        <v>41</v>
      </c>
      <c r="Z19" t="s">
        <v>42</v>
      </c>
      <c r="AA19" t="s">
        <v>43</v>
      </c>
      <c r="AB19" t="s">
        <v>44</v>
      </c>
      <c r="AC19" t="s">
        <v>45</v>
      </c>
      <c r="AD19" t="s">
        <v>46</v>
      </c>
      <c r="AE19" t="s">
        <v>47</v>
      </c>
      <c r="AF19" t="s">
        <v>48</v>
      </c>
      <c r="AG19" t="s">
        <v>49</v>
      </c>
      <c r="AH19" t="s">
        <v>50</v>
      </c>
      <c r="AI19" t="s">
        <v>51</v>
      </c>
      <c r="AJ19" s="116" t="s">
        <v>143</v>
      </c>
    </row>
    <row r="20" spans="1:36" ht="12">
      <c r="A20">
        <v>1996</v>
      </c>
      <c r="B20" t="s">
        <v>55</v>
      </c>
      <c r="C20" s="13">
        <f>+Month!C20</f>
        <v>7783</v>
      </c>
      <c r="D20" s="13">
        <f>+Month!D20</f>
        <v>573</v>
      </c>
      <c r="E20" s="13">
        <f>+Month!E20</f>
        <v>16</v>
      </c>
      <c r="F20" s="13">
        <f>+Month!F20</f>
        <v>7194</v>
      </c>
      <c r="G20" s="13">
        <f>+Month!G20</f>
        <v>145</v>
      </c>
      <c r="H20" s="13">
        <f>+Month!H20</f>
        <v>11</v>
      </c>
      <c r="I20" s="13">
        <f>+Month!I20</f>
        <v>234</v>
      </c>
      <c r="J20" s="13">
        <f>+Month!J20</f>
        <v>2336</v>
      </c>
      <c r="K20" s="13">
        <f>+Month!K20</f>
        <v>639</v>
      </c>
      <c r="L20" s="13">
        <f>+Month!L20</f>
        <v>356</v>
      </c>
      <c r="M20" s="13">
        <f>+Month!M20</f>
        <v>873.59</v>
      </c>
      <c r="N20" s="13">
        <f>+Month!N20</f>
        <v>1365.41</v>
      </c>
      <c r="O20" s="13">
        <f>+Month!O20</f>
        <v>897</v>
      </c>
      <c r="P20" s="13">
        <f>+Month!P20</f>
        <v>102</v>
      </c>
      <c r="Q20" s="13">
        <f>+Month!Q20</f>
        <v>94</v>
      </c>
      <c r="S20">
        <f>S21-1</f>
        <v>306</v>
      </c>
      <c r="T20" s="6" t="str">
        <f aca="true" t="shared" si="1" ref="T20:AJ34">$W$6&amp;T$19&amp;$S20</f>
        <v>Month!A306</v>
      </c>
      <c r="U20" s="6" t="str">
        <f t="shared" si="1"/>
        <v>Month!B306</v>
      </c>
      <c r="V20" s="6" t="str">
        <f t="shared" si="1"/>
        <v>Month!C306</v>
      </c>
      <c r="W20" s="6" t="str">
        <f t="shared" si="1"/>
        <v>Month!D306</v>
      </c>
      <c r="X20" s="6" t="str">
        <f t="shared" si="1"/>
        <v>Month!E306</v>
      </c>
      <c r="Y20" s="6" t="str">
        <f t="shared" si="1"/>
        <v>Month!F306</v>
      </c>
      <c r="Z20" s="6" t="str">
        <f t="shared" si="1"/>
        <v>Month!G306</v>
      </c>
      <c r="AA20" s="6" t="str">
        <f t="shared" si="1"/>
        <v>Month!H306</v>
      </c>
      <c r="AB20" s="6" t="str">
        <f t="shared" si="1"/>
        <v>Month!I306</v>
      </c>
      <c r="AC20" s="6" t="str">
        <f t="shared" si="1"/>
        <v>Month!J306</v>
      </c>
      <c r="AD20" s="6" t="str">
        <f t="shared" si="1"/>
        <v>Month!K306</v>
      </c>
      <c r="AE20" s="6" t="str">
        <f t="shared" si="1"/>
        <v>Month!L306</v>
      </c>
      <c r="AF20" s="6" t="str">
        <f t="shared" si="1"/>
        <v>Month!M306</v>
      </c>
      <c r="AG20" s="6" t="str">
        <f t="shared" si="1"/>
        <v>Month!N306</v>
      </c>
      <c r="AH20" s="6" t="str">
        <f t="shared" si="1"/>
        <v>Month!O306</v>
      </c>
      <c r="AI20" s="6" t="str">
        <f t="shared" si="1"/>
        <v>Month!P306</v>
      </c>
      <c r="AJ20" s="6" t="str">
        <f t="shared" si="1"/>
        <v>Month!Q306</v>
      </c>
    </row>
    <row r="21" spans="1:36" ht="12">
      <c r="A21">
        <v>1996</v>
      </c>
      <c r="B21" t="s">
        <v>56</v>
      </c>
      <c r="C21" s="13">
        <f>+Month!C21+C20</f>
        <v>14856</v>
      </c>
      <c r="D21" s="13">
        <f>+Month!D21+D20</f>
        <v>1083</v>
      </c>
      <c r="E21" s="13">
        <f>+Month!E21+E20</f>
        <v>101</v>
      </c>
      <c r="F21" s="13">
        <f>+Month!F21+F20</f>
        <v>13672</v>
      </c>
      <c r="G21" s="13">
        <f>+Month!G21+G20</f>
        <v>260</v>
      </c>
      <c r="H21" s="13">
        <f>+Month!H21+H20</f>
        <v>20</v>
      </c>
      <c r="I21" s="13">
        <f>+Month!I21+I20</f>
        <v>480</v>
      </c>
      <c r="J21" s="13">
        <f>+Month!J21+J20</f>
        <v>4188</v>
      </c>
      <c r="K21" s="13">
        <f>+Month!K21+K20</f>
        <v>1168</v>
      </c>
      <c r="L21" s="13">
        <f>+Month!L21+L20</f>
        <v>725</v>
      </c>
      <c r="M21" s="13">
        <f>+Month!M21+M20</f>
        <v>1770.08</v>
      </c>
      <c r="N21" s="13">
        <f>+Month!N21+N20</f>
        <v>2624.92</v>
      </c>
      <c r="O21" s="13">
        <f>+Month!O21+O20</f>
        <v>1743</v>
      </c>
      <c r="P21" s="13">
        <f>+Month!P21+P20</f>
        <v>185</v>
      </c>
      <c r="Q21" s="13">
        <f>+Month!Q21+Q20</f>
        <v>232</v>
      </c>
      <c r="S21">
        <f>(((T5-1995)*12)-(12-T6))+6</f>
        <v>307</v>
      </c>
      <c r="T21" s="6" t="str">
        <f t="shared" si="1"/>
        <v>Month!A307</v>
      </c>
      <c r="U21" s="6" t="str">
        <f t="shared" si="1"/>
        <v>Month!B307</v>
      </c>
      <c r="V21" s="6" t="str">
        <f t="shared" si="1"/>
        <v>Month!C307</v>
      </c>
      <c r="W21" s="6" t="str">
        <f t="shared" si="1"/>
        <v>Month!D307</v>
      </c>
      <c r="X21" s="6" t="str">
        <f t="shared" si="1"/>
        <v>Month!E307</v>
      </c>
      <c r="Y21" s="6" t="str">
        <f t="shared" si="1"/>
        <v>Month!F307</v>
      </c>
      <c r="Z21" s="6" t="str">
        <f t="shared" si="1"/>
        <v>Month!G307</v>
      </c>
      <c r="AA21" s="6" t="str">
        <f t="shared" si="1"/>
        <v>Month!H307</v>
      </c>
      <c r="AB21" s="6" t="str">
        <f t="shared" si="1"/>
        <v>Month!I307</v>
      </c>
      <c r="AC21" s="6" t="str">
        <f t="shared" si="1"/>
        <v>Month!J307</v>
      </c>
      <c r="AD21" s="6" t="str">
        <f t="shared" si="1"/>
        <v>Month!K307</v>
      </c>
      <c r="AE21" s="6" t="str">
        <f t="shared" si="1"/>
        <v>Month!L307</v>
      </c>
      <c r="AF21" s="6" t="str">
        <f t="shared" si="1"/>
        <v>Month!M307</v>
      </c>
      <c r="AG21" s="6" t="str">
        <f t="shared" si="1"/>
        <v>Month!N307</v>
      </c>
      <c r="AH21" s="6" t="str">
        <f t="shared" si="1"/>
        <v>Month!O307</v>
      </c>
      <c r="AI21" s="6" t="str">
        <f t="shared" si="1"/>
        <v>Month!P307</v>
      </c>
      <c r="AJ21" s="6" t="str">
        <f t="shared" si="1"/>
        <v>Month!Q307</v>
      </c>
    </row>
    <row r="22" spans="1:36" ht="12">
      <c r="A22">
        <v>1996</v>
      </c>
      <c r="B22" t="s">
        <v>57</v>
      </c>
      <c r="C22" s="13">
        <f>+Month!C22+C21</f>
        <v>22788</v>
      </c>
      <c r="D22" s="13">
        <f>+Month!D22+D21</f>
        <v>1635</v>
      </c>
      <c r="E22" s="13">
        <f>+Month!E22+E21</f>
        <v>75</v>
      </c>
      <c r="F22" s="13">
        <f>+Month!F22+F21</f>
        <v>21078</v>
      </c>
      <c r="G22" s="13">
        <f>+Month!G22+G21</f>
        <v>406</v>
      </c>
      <c r="H22" s="13">
        <f>+Month!H22+H21</f>
        <v>32</v>
      </c>
      <c r="I22" s="13">
        <f>+Month!I22+I21</f>
        <v>691</v>
      </c>
      <c r="J22" s="13">
        <f>+Month!J22+J21</f>
        <v>6477</v>
      </c>
      <c r="K22" s="13">
        <f>+Month!K22+K21</f>
        <v>1824</v>
      </c>
      <c r="L22" s="13">
        <f>+Month!L22+L21</f>
        <v>1087</v>
      </c>
      <c r="M22" s="13">
        <f>+Month!M22+M21</f>
        <v>2722.68</v>
      </c>
      <c r="N22" s="13">
        <f>+Month!N22+N21</f>
        <v>3950.32</v>
      </c>
      <c r="O22" s="13">
        <f>+Month!O22+O21</f>
        <v>2724</v>
      </c>
      <c r="P22" s="13">
        <f>+Month!P22+P21</f>
        <v>295</v>
      </c>
      <c r="Q22" s="13">
        <f>+Month!Q22+Q21</f>
        <v>455</v>
      </c>
      <c r="S22">
        <f aca="true" t="shared" si="2" ref="S22:S34">S21+1</f>
        <v>308</v>
      </c>
      <c r="T22" s="6" t="str">
        <f t="shared" si="1"/>
        <v>Month!A308</v>
      </c>
      <c r="U22" s="6" t="str">
        <f t="shared" si="1"/>
        <v>Month!B308</v>
      </c>
      <c r="V22" s="6" t="str">
        <f t="shared" si="1"/>
        <v>Month!C308</v>
      </c>
      <c r="W22" s="6" t="str">
        <f t="shared" si="1"/>
        <v>Month!D308</v>
      </c>
      <c r="X22" s="6" t="str">
        <f t="shared" si="1"/>
        <v>Month!E308</v>
      </c>
      <c r="Y22" s="6" t="str">
        <f t="shared" si="1"/>
        <v>Month!F308</v>
      </c>
      <c r="Z22" s="6" t="str">
        <f t="shared" si="1"/>
        <v>Month!G308</v>
      </c>
      <c r="AA22" s="6" t="str">
        <f t="shared" si="1"/>
        <v>Month!H308</v>
      </c>
      <c r="AB22" s="6" t="str">
        <f t="shared" si="1"/>
        <v>Month!I308</v>
      </c>
      <c r="AC22" s="6" t="str">
        <f t="shared" si="1"/>
        <v>Month!J308</v>
      </c>
      <c r="AD22" s="6" t="str">
        <f t="shared" si="1"/>
        <v>Month!K308</v>
      </c>
      <c r="AE22" s="6" t="str">
        <f t="shared" si="1"/>
        <v>Month!L308</v>
      </c>
      <c r="AF22" s="6" t="str">
        <f t="shared" si="1"/>
        <v>Month!M308</v>
      </c>
      <c r="AG22" s="6" t="str">
        <f t="shared" si="1"/>
        <v>Month!N308</v>
      </c>
      <c r="AH22" s="6" t="str">
        <f t="shared" si="1"/>
        <v>Month!O308</v>
      </c>
      <c r="AI22" s="6" t="str">
        <f t="shared" si="1"/>
        <v>Month!P308</v>
      </c>
      <c r="AJ22" s="6" t="str">
        <f t="shared" si="1"/>
        <v>Month!Q308</v>
      </c>
    </row>
    <row r="23" spans="1:36" ht="12">
      <c r="A23">
        <v>1996</v>
      </c>
      <c r="B23" t="s">
        <v>58</v>
      </c>
      <c r="C23" s="13">
        <f>+Month!C23+C22</f>
        <v>30662</v>
      </c>
      <c r="D23" s="13">
        <f>+Month!D23+D22</f>
        <v>2171</v>
      </c>
      <c r="E23" s="13">
        <f>+Month!E23+E22</f>
        <v>101</v>
      </c>
      <c r="F23" s="13">
        <f>+Month!F23+F22</f>
        <v>28390</v>
      </c>
      <c r="G23" s="13">
        <f>+Month!G23+G22</f>
        <v>574</v>
      </c>
      <c r="H23" s="13">
        <f>+Month!H23+H22</f>
        <v>44</v>
      </c>
      <c r="I23" s="13">
        <f>+Month!I23+I22</f>
        <v>940</v>
      </c>
      <c r="J23" s="13">
        <f>+Month!J23+J22</f>
        <v>8613</v>
      </c>
      <c r="K23" s="13">
        <f>+Month!K23+K22</f>
        <v>2495</v>
      </c>
      <c r="L23" s="13">
        <f>+Month!L23+L22</f>
        <v>1397</v>
      </c>
      <c r="M23" s="13">
        <f>+Month!M23+M22</f>
        <v>3616.8599999999997</v>
      </c>
      <c r="N23" s="13">
        <f>+Month!N23+N22</f>
        <v>5400.14</v>
      </c>
      <c r="O23" s="13">
        <f>+Month!O23+O22</f>
        <v>3754</v>
      </c>
      <c r="P23" s="13">
        <f>+Month!P23+P22</f>
        <v>402</v>
      </c>
      <c r="Q23" s="13">
        <f>+Month!Q23+Q22</f>
        <v>613</v>
      </c>
      <c r="S23">
        <f t="shared" si="2"/>
        <v>309</v>
      </c>
      <c r="T23" s="6" t="str">
        <f t="shared" si="1"/>
        <v>Month!A309</v>
      </c>
      <c r="U23" s="6" t="str">
        <f t="shared" si="1"/>
        <v>Month!B309</v>
      </c>
      <c r="V23" s="6" t="str">
        <f t="shared" si="1"/>
        <v>Month!C309</v>
      </c>
      <c r="W23" s="6" t="str">
        <f t="shared" si="1"/>
        <v>Month!D309</v>
      </c>
      <c r="X23" s="6" t="str">
        <f t="shared" si="1"/>
        <v>Month!E309</v>
      </c>
      <c r="Y23" s="6" t="str">
        <f t="shared" si="1"/>
        <v>Month!F309</v>
      </c>
      <c r="Z23" s="6" t="str">
        <f t="shared" si="1"/>
        <v>Month!G309</v>
      </c>
      <c r="AA23" s="6" t="str">
        <f t="shared" si="1"/>
        <v>Month!H309</v>
      </c>
      <c r="AB23" s="6" t="str">
        <f t="shared" si="1"/>
        <v>Month!I309</v>
      </c>
      <c r="AC23" s="6" t="str">
        <f t="shared" si="1"/>
        <v>Month!J309</v>
      </c>
      <c r="AD23" s="6" t="str">
        <f t="shared" si="1"/>
        <v>Month!K309</v>
      </c>
      <c r="AE23" s="6" t="str">
        <f t="shared" si="1"/>
        <v>Month!L309</v>
      </c>
      <c r="AF23" s="6" t="str">
        <f t="shared" si="1"/>
        <v>Month!M309</v>
      </c>
      <c r="AG23" s="6" t="str">
        <f t="shared" si="1"/>
        <v>Month!N309</v>
      </c>
      <c r="AH23" s="6" t="str">
        <f t="shared" si="1"/>
        <v>Month!O309</v>
      </c>
      <c r="AI23" s="6" t="str">
        <f t="shared" si="1"/>
        <v>Month!P309</v>
      </c>
      <c r="AJ23" s="6" t="str">
        <f t="shared" si="1"/>
        <v>Month!Q309</v>
      </c>
    </row>
    <row r="24" spans="1:36" ht="12">
      <c r="A24">
        <v>1996</v>
      </c>
      <c r="B24" t="s">
        <v>59</v>
      </c>
      <c r="C24" s="13">
        <f>+Month!C24+C23</f>
        <v>38862</v>
      </c>
      <c r="D24" s="13">
        <f>+Month!D24+D23</f>
        <v>2716</v>
      </c>
      <c r="E24" s="13">
        <f>+Month!E24+E23</f>
        <v>130</v>
      </c>
      <c r="F24" s="13">
        <f>+Month!F24+F23</f>
        <v>36016</v>
      </c>
      <c r="G24" s="13">
        <f>+Month!G24+G23</f>
        <v>744</v>
      </c>
      <c r="H24" s="13">
        <f>+Month!H24+H23</f>
        <v>54</v>
      </c>
      <c r="I24" s="13">
        <f>+Month!I24+I23</f>
        <v>1181</v>
      </c>
      <c r="J24" s="13">
        <f>+Month!J24+J23</f>
        <v>10973</v>
      </c>
      <c r="K24" s="13">
        <f>+Month!K24+K23</f>
        <v>3284</v>
      </c>
      <c r="L24" s="13">
        <f>+Month!L24+L23</f>
        <v>1654</v>
      </c>
      <c r="M24" s="13">
        <f>+Month!M24+M23</f>
        <v>4505.2699999999995</v>
      </c>
      <c r="N24" s="13">
        <f>+Month!N24+N23</f>
        <v>6930.7300000000005</v>
      </c>
      <c r="O24" s="13">
        <f>+Month!O24+O23</f>
        <v>4715</v>
      </c>
      <c r="P24" s="13">
        <f>+Month!P24+P23</f>
        <v>498</v>
      </c>
      <c r="Q24" s="13">
        <f>+Month!Q24+Q23</f>
        <v>815</v>
      </c>
      <c r="S24">
        <f t="shared" si="2"/>
        <v>310</v>
      </c>
      <c r="T24" s="6" t="str">
        <f t="shared" si="1"/>
        <v>Month!A310</v>
      </c>
      <c r="U24" s="6" t="str">
        <f t="shared" si="1"/>
        <v>Month!B310</v>
      </c>
      <c r="V24" s="6" t="str">
        <f t="shared" si="1"/>
        <v>Month!C310</v>
      </c>
      <c r="W24" s="6" t="str">
        <f t="shared" si="1"/>
        <v>Month!D310</v>
      </c>
      <c r="X24" s="6" t="str">
        <f t="shared" si="1"/>
        <v>Month!E310</v>
      </c>
      <c r="Y24" s="6" t="str">
        <f t="shared" si="1"/>
        <v>Month!F310</v>
      </c>
      <c r="Z24" s="6" t="str">
        <f t="shared" si="1"/>
        <v>Month!G310</v>
      </c>
      <c r="AA24" s="6" t="str">
        <f t="shared" si="1"/>
        <v>Month!H310</v>
      </c>
      <c r="AB24" s="6" t="str">
        <f t="shared" si="1"/>
        <v>Month!I310</v>
      </c>
      <c r="AC24" s="6" t="str">
        <f t="shared" si="1"/>
        <v>Month!J310</v>
      </c>
      <c r="AD24" s="6" t="str">
        <f t="shared" si="1"/>
        <v>Month!K310</v>
      </c>
      <c r="AE24" s="6" t="str">
        <f t="shared" si="1"/>
        <v>Month!L310</v>
      </c>
      <c r="AF24" s="6" t="str">
        <f t="shared" si="1"/>
        <v>Month!M310</v>
      </c>
      <c r="AG24" s="6" t="str">
        <f t="shared" si="1"/>
        <v>Month!N310</v>
      </c>
      <c r="AH24" s="6" t="str">
        <f t="shared" si="1"/>
        <v>Month!O310</v>
      </c>
      <c r="AI24" s="6" t="str">
        <f t="shared" si="1"/>
        <v>Month!P310</v>
      </c>
      <c r="AJ24" s="6" t="str">
        <f t="shared" si="1"/>
        <v>Month!Q310</v>
      </c>
    </row>
    <row r="25" spans="1:36" ht="12">
      <c r="A25">
        <v>1996</v>
      </c>
      <c r="B25" t="s">
        <v>60</v>
      </c>
      <c r="C25" s="13">
        <f>+Month!C25+C24</f>
        <v>46966</v>
      </c>
      <c r="D25" s="13">
        <f>+Month!D25+D24</f>
        <v>3255</v>
      </c>
      <c r="E25" s="13">
        <f>+Month!E25+E24</f>
        <v>127</v>
      </c>
      <c r="F25" s="13">
        <f>+Month!F25+F24</f>
        <v>43584</v>
      </c>
      <c r="G25" s="13">
        <f>+Month!G25+G24</f>
        <v>919</v>
      </c>
      <c r="H25" s="13">
        <f>+Month!H25+H24</f>
        <v>65</v>
      </c>
      <c r="I25" s="13">
        <f>+Month!I25+I24</f>
        <v>1417</v>
      </c>
      <c r="J25" s="13">
        <f>+Month!J25+J24</f>
        <v>13361</v>
      </c>
      <c r="K25" s="13">
        <f>+Month!K25+K24</f>
        <v>4018</v>
      </c>
      <c r="L25" s="13">
        <f>+Month!L25+L24</f>
        <v>1886</v>
      </c>
      <c r="M25" s="13">
        <f>+Month!M25+M24</f>
        <v>5351.2</v>
      </c>
      <c r="N25" s="13">
        <f>+Month!N25+N24</f>
        <v>8443.800000000001</v>
      </c>
      <c r="O25" s="13">
        <f>+Month!O25+O24</f>
        <v>5747</v>
      </c>
      <c r="P25" s="13">
        <f>+Month!P25+P24</f>
        <v>579</v>
      </c>
      <c r="Q25" s="13">
        <f>+Month!Q25+Q24</f>
        <v>1015</v>
      </c>
      <c r="S25">
        <f t="shared" si="2"/>
        <v>311</v>
      </c>
      <c r="T25" s="6" t="str">
        <f t="shared" si="1"/>
        <v>Month!A311</v>
      </c>
      <c r="U25" s="6" t="str">
        <f t="shared" si="1"/>
        <v>Month!B311</v>
      </c>
      <c r="V25" s="6" t="str">
        <f t="shared" si="1"/>
        <v>Month!C311</v>
      </c>
      <c r="W25" s="6" t="str">
        <f t="shared" si="1"/>
        <v>Month!D311</v>
      </c>
      <c r="X25" s="6" t="str">
        <f t="shared" si="1"/>
        <v>Month!E311</v>
      </c>
      <c r="Y25" s="6" t="str">
        <f t="shared" si="1"/>
        <v>Month!F311</v>
      </c>
      <c r="Z25" s="6" t="str">
        <f t="shared" si="1"/>
        <v>Month!G311</v>
      </c>
      <c r="AA25" s="6" t="str">
        <f t="shared" si="1"/>
        <v>Month!H311</v>
      </c>
      <c r="AB25" s="6" t="str">
        <f t="shared" si="1"/>
        <v>Month!I311</v>
      </c>
      <c r="AC25" s="6" t="str">
        <f t="shared" si="1"/>
        <v>Month!J311</v>
      </c>
      <c r="AD25" s="6" t="str">
        <f t="shared" si="1"/>
        <v>Month!K311</v>
      </c>
      <c r="AE25" s="6" t="str">
        <f t="shared" si="1"/>
        <v>Month!L311</v>
      </c>
      <c r="AF25" s="6" t="str">
        <f t="shared" si="1"/>
        <v>Month!M311</v>
      </c>
      <c r="AG25" s="6" t="str">
        <f t="shared" si="1"/>
        <v>Month!N311</v>
      </c>
      <c r="AH25" s="6" t="str">
        <f t="shared" si="1"/>
        <v>Month!O311</v>
      </c>
      <c r="AI25" s="6" t="str">
        <f t="shared" si="1"/>
        <v>Month!P311</v>
      </c>
      <c r="AJ25" s="6" t="str">
        <f t="shared" si="1"/>
        <v>Month!Q311</v>
      </c>
    </row>
    <row r="26" spans="1:36" ht="12">
      <c r="A26">
        <v>1996</v>
      </c>
      <c r="B26" t="s">
        <v>61</v>
      </c>
      <c r="C26" s="13">
        <f>+Month!C26+C25</f>
        <v>55491</v>
      </c>
      <c r="D26" s="13">
        <f>+Month!D26+D25</f>
        <v>3811</v>
      </c>
      <c r="E26" s="13">
        <f>+Month!E26+E25</f>
        <v>160</v>
      </c>
      <c r="F26" s="13">
        <f>+Month!F26+F25</f>
        <v>51520</v>
      </c>
      <c r="G26" s="13">
        <f>+Month!G26+G25</f>
        <v>1095</v>
      </c>
      <c r="H26" s="13">
        <f>+Month!H26+H25</f>
        <v>79</v>
      </c>
      <c r="I26" s="13">
        <f>+Month!I26+I25</f>
        <v>1655</v>
      </c>
      <c r="J26" s="13">
        <f>+Month!J26+J25</f>
        <v>15922</v>
      </c>
      <c r="K26" s="13">
        <f>+Month!K26+K25</f>
        <v>4848</v>
      </c>
      <c r="L26" s="13">
        <f>+Month!L26+L25</f>
        <v>2078</v>
      </c>
      <c r="M26" s="13">
        <f>+Month!M26+M25</f>
        <v>6247.05</v>
      </c>
      <c r="N26" s="13">
        <f>+Month!N26+N25</f>
        <v>10005.95</v>
      </c>
      <c r="O26" s="13">
        <f>+Month!O26+O25</f>
        <v>6790</v>
      </c>
      <c r="P26" s="13">
        <f>+Month!P26+P25</f>
        <v>639</v>
      </c>
      <c r="Q26" s="13">
        <f>+Month!Q26+Q25</f>
        <v>1249</v>
      </c>
      <c r="S26">
        <f t="shared" si="2"/>
        <v>312</v>
      </c>
      <c r="T26" s="6" t="str">
        <f t="shared" si="1"/>
        <v>Month!A312</v>
      </c>
      <c r="U26" s="6" t="str">
        <f t="shared" si="1"/>
        <v>Month!B312</v>
      </c>
      <c r="V26" s="6" t="str">
        <f t="shared" si="1"/>
        <v>Month!C312</v>
      </c>
      <c r="W26" s="6" t="str">
        <f t="shared" si="1"/>
        <v>Month!D312</v>
      </c>
      <c r="X26" s="6" t="str">
        <f t="shared" si="1"/>
        <v>Month!E312</v>
      </c>
      <c r="Y26" s="6" t="str">
        <f t="shared" si="1"/>
        <v>Month!F312</v>
      </c>
      <c r="Z26" s="6" t="str">
        <f t="shared" si="1"/>
        <v>Month!G312</v>
      </c>
      <c r="AA26" s="6" t="str">
        <f t="shared" si="1"/>
        <v>Month!H312</v>
      </c>
      <c r="AB26" s="6" t="str">
        <f t="shared" si="1"/>
        <v>Month!I312</v>
      </c>
      <c r="AC26" s="6" t="str">
        <f t="shared" si="1"/>
        <v>Month!J312</v>
      </c>
      <c r="AD26" s="6" t="str">
        <f t="shared" si="1"/>
        <v>Month!K312</v>
      </c>
      <c r="AE26" s="6" t="str">
        <f t="shared" si="1"/>
        <v>Month!L312</v>
      </c>
      <c r="AF26" s="6" t="str">
        <f t="shared" si="1"/>
        <v>Month!M312</v>
      </c>
      <c r="AG26" s="6" t="str">
        <f t="shared" si="1"/>
        <v>Month!N312</v>
      </c>
      <c r="AH26" s="6" t="str">
        <f t="shared" si="1"/>
        <v>Month!O312</v>
      </c>
      <c r="AI26" s="6" t="str">
        <f t="shared" si="1"/>
        <v>Month!P312</v>
      </c>
      <c r="AJ26" s="6" t="str">
        <f t="shared" si="1"/>
        <v>Month!Q312</v>
      </c>
    </row>
    <row r="27" spans="1:36" ht="12">
      <c r="A27">
        <v>1996</v>
      </c>
      <c r="B27" t="s">
        <v>62</v>
      </c>
      <c r="C27" s="13">
        <f>+Month!C27+C26</f>
        <v>63711</v>
      </c>
      <c r="D27" s="13">
        <f>+Month!D27+D26</f>
        <v>4364</v>
      </c>
      <c r="E27" s="13">
        <f>+Month!E27+E26</f>
        <v>181</v>
      </c>
      <c r="F27" s="13">
        <f>+Month!F27+F26</f>
        <v>59166</v>
      </c>
      <c r="G27" s="13">
        <f>+Month!G27+G26</f>
        <v>1256</v>
      </c>
      <c r="H27" s="13">
        <f>+Month!H27+H26</f>
        <v>92</v>
      </c>
      <c r="I27" s="13">
        <f>+Month!I27+I26</f>
        <v>1876</v>
      </c>
      <c r="J27" s="13">
        <f>+Month!J27+J26</f>
        <v>18328</v>
      </c>
      <c r="K27" s="13">
        <f>+Month!K27+K26</f>
        <v>5633</v>
      </c>
      <c r="L27" s="13">
        <f>+Month!L27+L26</f>
        <v>2303</v>
      </c>
      <c r="M27" s="13">
        <f>+Month!M27+M26</f>
        <v>7162.150000000001</v>
      </c>
      <c r="N27" s="13">
        <f>+Month!N27+N26</f>
        <v>11522.85</v>
      </c>
      <c r="O27" s="13">
        <f>+Month!O27+O26</f>
        <v>7764</v>
      </c>
      <c r="P27" s="13">
        <f>+Month!P27+P26</f>
        <v>742</v>
      </c>
      <c r="Q27" s="13">
        <f>+Month!Q27+Q26</f>
        <v>1448</v>
      </c>
      <c r="S27">
        <f t="shared" si="2"/>
        <v>313</v>
      </c>
      <c r="T27" s="6" t="str">
        <f t="shared" si="1"/>
        <v>Month!A313</v>
      </c>
      <c r="U27" s="6" t="str">
        <f t="shared" si="1"/>
        <v>Month!B313</v>
      </c>
      <c r="V27" s="6" t="str">
        <f t="shared" si="1"/>
        <v>Month!C313</v>
      </c>
      <c r="W27" s="6" t="str">
        <f t="shared" si="1"/>
        <v>Month!D313</v>
      </c>
      <c r="X27" s="6" t="str">
        <f t="shared" si="1"/>
        <v>Month!E313</v>
      </c>
      <c r="Y27" s="6" t="str">
        <f t="shared" si="1"/>
        <v>Month!F313</v>
      </c>
      <c r="Z27" s="6" t="str">
        <f t="shared" si="1"/>
        <v>Month!G313</v>
      </c>
      <c r="AA27" s="6" t="str">
        <f t="shared" si="1"/>
        <v>Month!H313</v>
      </c>
      <c r="AB27" s="6" t="str">
        <f t="shared" si="1"/>
        <v>Month!I313</v>
      </c>
      <c r="AC27" s="6" t="str">
        <f t="shared" si="1"/>
        <v>Month!J313</v>
      </c>
      <c r="AD27" s="6" t="str">
        <f t="shared" si="1"/>
        <v>Month!K313</v>
      </c>
      <c r="AE27" s="6" t="str">
        <f t="shared" si="1"/>
        <v>Month!L313</v>
      </c>
      <c r="AF27" s="6" t="str">
        <f t="shared" si="1"/>
        <v>Month!M313</v>
      </c>
      <c r="AG27" s="6" t="str">
        <f t="shared" si="1"/>
        <v>Month!N313</v>
      </c>
      <c r="AH27" s="6" t="str">
        <f t="shared" si="1"/>
        <v>Month!O313</v>
      </c>
      <c r="AI27" s="6" t="str">
        <f t="shared" si="1"/>
        <v>Month!P313</v>
      </c>
      <c r="AJ27" s="6" t="str">
        <f t="shared" si="1"/>
        <v>Month!Q313</v>
      </c>
    </row>
    <row r="28" spans="1:36" ht="12">
      <c r="A28">
        <v>1996</v>
      </c>
      <c r="B28" t="s">
        <v>63</v>
      </c>
      <c r="C28" s="13">
        <f>+Month!C28+C27</f>
        <v>71738</v>
      </c>
      <c r="D28" s="13">
        <f>+Month!D28+D27</f>
        <v>4900</v>
      </c>
      <c r="E28" s="13">
        <f>+Month!E28+E27</f>
        <v>189</v>
      </c>
      <c r="F28" s="13">
        <f>+Month!F28+F27</f>
        <v>66649</v>
      </c>
      <c r="G28" s="13">
        <f>+Month!G28+G27</f>
        <v>1392</v>
      </c>
      <c r="H28" s="13">
        <f>+Month!H28+H27</f>
        <v>105</v>
      </c>
      <c r="I28" s="13">
        <f>+Month!I28+I27</f>
        <v>2092</v>
      </c>
      <c r="J28" s="13">
        <f>+Month!J28+J27</f>
        <v>20714</v>
      </c>
      <c r="K28" s="13">
        <f>+Month!K28+K27</f>
        <v>6341</v>
      </c>
      <c r="L28" s="13">
        <f>+Month!L28+L27</f>
        <v>2543</v>
      </c>
      <c r="M28" s="13">
        <f>+Month!M28+M27</f>
        <v>8099.77</v>
      </c>
      <c r="N28" s="13">
        <f>+Month!N28+N27</f>
        <v>13073.23</v>
      </c>
      <c r="O28" s="13">
        <f>+Month!O28+O27</f>
        <v>8650</v>
      </c>
      <c r="P28" s="13">
        <f>+Month!P28+P27</f>
        <v>821</v>
      </c>
      <c r="Q28" s="13">
        <f>+Month!Q28+Q27</f>
        <v>1648</v>
      </c>
      <c r="S28">
        <f t="shared" si="2"/>
        <v>314</v>
      </c>
      <c r="T28" s="6" t="str">
        <f t="shared" si="1"/>
        <v>Month!A314</v>
      </c>
      <c r="U28" s="6" t="str">
        <f t="shared" si="1"/>
        <v>Month!B314</v>
      </c>
      <c r="V28" s="6" t="str">
        <f t="shared" si="1"/>
        <v>Month!C314</v>
      </c>
      <c r="W28" s="6" t="str">
        <f t="shared" si="1"/>
        <v>Month!D314</v>
      </c>
      <c r="X28" s="6" t="str">
        <f t="shared" si="1"/>
        <v>Month!E314</v>
      </c>
      <c r="Y28" s="6" t="str">
        <f t="shared" si="1"/>
        <v>Month!F314</v>
      </c>
      <c r="Z28" s="6" t="str">
        <f t="shared" si="1"/>
        <v>Month!G314</v>
      </c>
      <c r="AA28" s="6" t="str">
        <f t="shared" si="1"/>
        <v>Month!H314</v>
      </c>
      <c r="AB28" s="6" t="str">
        <f t="shared" si="1"/>
        <v>Month!I314</v>
      </c>
      <c r="AC28" s="6" t="str">
        <f t="shared" si="1"/>
        <v>Month!J314</v>
      </c>
      <c r="AD28" s="6" t="str">
        <f t="shared" si="1"/>
        <v>Month!K314</v>
      </c>
      <c r="AE28" s="6" t="str">
        <f t="shared" si="1"/>
        <v>Month!L314</v>
      </c>
      <c r="AF28" s="6" t="str">
        <f t="shared" si="1"/>
        <v>Month!M314</v>
      </c>
      <c r="AG28" s="6" t="str">
        <f t="shared" si="1"/>
        <v>Month!N314</v>
      </c>
      <c r="AH28" s="6" t="str">
        <f t="shared" si="1"/>
        <v>Month!O314</v>
      </c>
      <c r="AI28" s="6" t="str">
        <f t="shared" si="1"/>
        <v>Month!P314</v>
      </c>
      <c r="AJ28" s="6" t="str">
        <f t="shared" si="1"/>
        <v>Month!Q314</v>
      </c>
    </row>
    <row r="29" spans="1:36" ht="12">
      <c r="A29">
        <v>1996</v>
      </c>
      <c r="B29" t="s">
        <v>64</v>
      </c>
      <c r="C29" s="13">
        <f>+Month!C29+C28</f>
        <v>80103</v>
      </c>
      <c r="D29" s="13">
        <f>+Month!D29+D28</f>
        <v>5457</v>
      </c>
      <c r="E29" s="13">
        <f>+Month!E29+E28</f>
        <v>172</v>
      </c>
      <c r="F29" s="13">
        <f>+Month!F29+F28</f>
        <v>74473</v>
      </c>
      <c r="G29" s="13">
        <f>+Month!G29+G28</f>
        <v>1517</v>
      </c>
      <c r="H29" s="13">
        <f>+Month!H29+H28</f>
        <v>119</v>
      </c>
      <c r="I29" s="13">
        <f>+Month!I29+I28</f>
        <v>2331</v>
      </c>
      <c r="J29" s="13">
        <f>+Month!J29+J28</f>
        <v>23241</v>
      </c>
      <c r="K29" s="13">
        <f>+Month!K29+K28</f>
        <v>7014</v>
      </c>
      <c r="L29" s="13">
        <f>+Month!L29+L28</f>
        <v>2835</v>
      </c>
      <c r="M29" s="13">
        <f>+Month!M29+M28</f>
        <v>9131.33</v>
      </c>
      <c r="N29" s="13">
        <f>+Month!N29+N28</f>
        <v>14700.67</v>
      </c>
      <c r="O29" s="13">
        <f>+Month!O29+O28</f>
        <v>9512</v>
      </c>
      <c r="P29" s="13">
        <f>+Month!P29+P28</f>
        <v>914</v>
      </c>
      <c r="Q29" s="13">
        <f>+Month!Q29+Q28</f>
        <v>1856</v>
      </c>
      <c r="S29">
        <f t="shared" si="2"/>
        <v>315</v>
      </c>
      <c r="T29" s="6" t="str">
        <f t="shared" si="1"/>
        <v>Month!A315</v>
      </c>
      <c r="U29" s="6" t="str">
        <f t="shared" si="1"/>
        <v>Month!B315</v>
      </c>
      <c r="V29" s="6" t="str">
        <f t="shared" si="1"/>
        <v>Month!C315</v>
      </c>
      <c r="W29" s="6" t="str">
        <f t="shared" si="1"/>
        <v>Month!D315</v>
      </c>
      <c r="X29" s="6" t="str">
        <f t="shared" si="1"/>
        <v>Month!E315</v>
      </c>
      <c r="Y29" s="6" t="str">
        <f t="shared" si="1"/>
        <v>Month!F315</v>
      </c>
      <c r="Z29" s="6" t="str">
        <f t="shared" si="1"/>
        <v>Month!G315</v>
      </c>
      <c r="AA29" s="6" t="str">
        <f t="shared" si="1"/>
        <v>Month!H315</v>
      </c>
      <c r="AB29" s="6" t="str">
        <f t="shared" si="1"/>
        <v>Month!I315</v>
      </c>
      <c r="AC29" s="6" t="str">
        <f t="shared" si="1"/>
        <v>Month!J315</v>
      </c>
      <c r="AD29" s="6" t="str">
        <f t="shared" si="1"/>
        <v>Month!K315</v>
      </c>
      <c r="AE29" s="6" t="str">
        <f t="shared" si="1"/>
        <v>Month!L315</v>
      </c>
      <c r="AF29" s="6" t="str">
        <f t="shared" si="1"/>
        <v>Month!M315</v>
      </c>
      <c r="AG29" s="6" t="str">
        <f t="shared" si="1"/>
        <v>Month!N315</v>
      </c>
      <c r="AH29" s="6" t="str">
        <f t="shared" si="1"/>
        <v>Month!O315</v>
      </c>
      <c r="AI29" s="6" t="str">
        <f t="shared" si="1"/>
        <v>Month!P315</v>
      </c>
      <c r="AJ29" s="6" t="str">
        <f t="shared" si="1"/>
        <v>Month!Q315</v>
      </c>
    </row>
    <row r="30" spans="1:36" ht="12">
      <c r="A30">
        <v>1996</v>
      </c>
      <c r="B30" t="s">
        <v>65</v>
      </c>
      <c r="C30" s="13">
        <f>+Month!C30+C29</f>
        <v>88297</v>
      </c>
      <c r="D30" s="13">
        <f>+Month!D30+D29</f>
        <v>6028</v>
      </c>
      <c r="E30" s="13">
        <f>+Month!E30+E29</f>
        <v>169</v>
      </c>
      <c r="F30" s="13">
        <f>+Month!F30+F29</f>
        <v>82099</v>
      </c>
      <c r="G30" s="13">
        <f>+Month!G30+G29</f>
        <v>1659</v>
      </c>
      <c r="H30" s="13">
        <f>+Month!H30+H29</f>
        <v>131</v>
      </c>
      <c r="I30" s="13">
        <f>+Month!I30+I29</f>
        <v>2571</v>
      </c>
      <c r="J30" s="13">
        <f>+Month!J30+J29</f>
        <v>25734</v>
      </c>
      <c r="K30" s="13">
        <f>+Month!K30+K29</f>
        <v>7662</v>
      </c>
      <c r="L30" s="13">
        <f>+Month!L30+L29</f>
        <v>3123</v>
      </c>
      <c r="M30" s="13">
        <f>+Month!M30+M29</f>
        <v>10143.01</v>
      </c>
      <c r="N30" s="13">
        <f>+Month!N30+N29</f>
        <v>16191.99</v>
      </c>
      <c r="O30" s="13">
        <f>+Month!O30+O29</f>
        <v>10404</v>
      </c>
      <c r="P30" s="13">
        <f>+Month!P30+P29</f>
        <v>1012</v>
      </c>
      <c r="Q30" s="13">
        <f>+Month!Q30+Q29</f>
        <v>2054</v>
      </c>
      <c r="S30">
        <f t="shared" si="2"/>
        <v>316</v>
      </c>
      <c r="T30" s="6" t="str">
        <f t="shared" si="1"/>
        <v>Month!A316</v>
      </c>
      <c r="U30" s="6" t="str">
        <f t="shared" si="1"/>
        <v>Month!B316</v>
      </c>
      <c r="V30" s="6" t="str">
        <f t="shared" si="1"/>
        <v>Month!C316</v>
      </c>
      <c r="W30" s="6" t="str">
        <f t="shared" si="1"/>
        <v>Month!D316</v>
      </c>
      <c r="X30" s="6" t="str">
        <f t="shared" si="1"/>
        <v>Month!E316</v>
      </c>
      <c r="Y30" s="6" t="str">
        <f t="shared" si="1"/>
        <v>Month!F316</v>
      </c>
      <c r="Z30" s="6" t="str">
        <f t="shared" si="1"/>
        <v>Month!G316</v>
      </c>
      <c r="AA30" s="6" t="str">
        <f t="shared" si="1"/>
        <v>Month!H316</v>
      </c>
      <c r="AB30" s="6" t="str">
        <f t="shared" si="1"/>
        <v>Month!I316</v>
      </c>
      <c r="AC30" s="6" t="str">
        <f t="shared" si="1"/>
        <v>Month!J316</v>
      </c>
      <c r="AD30" s="6" t="str">
        <f t="shared" si="1"/>
        <v>Month!K316</v>
      </c>
      <c r="AE30" s="6" t="str">
        <f t="shared" si="1"/>
        <v>Month!L316</v>
      </c>
      <c r="AF30" s="6" t="str">
        <f t="shared" si="1"/>
        <v>Month!M316</v>
      </c>
      <c r="AG30" s="6" t="str">
        <f t="shared" si="1"/>
        <v>Month!N316</v>
      </c>
      <c r="AH30" s="6" t="str">
        <f t="shared" si="1"/>
        <v>Month!O316</v>
      </c>
      <c r="AI30" s="6" t="str">
        <f t="shared" si="1"/>
        <v>Month!P316</v>
      </c>
      <c r="AJ30" s="6" t="str">
        <f t="shared" si="1"/>
        <v>Month!Q316</v>
      </c>
    </row>
    <row r="31" spans="1:36" ht="12">
      <c r="A31">
        <v>1996</v>
      </c>
      <c r="B31" t="s">
        <v>66</v>
      </c>
      <c r="C31" s="13">
        <f>+Month!C31+C30</f>
        <v>96661</v>
      </c>
      <c r="D31" s="13">
        <f>+Month!D31+D30</f>
        <v>6623</v>
      </c>
      <c r="E31" s="13">
        <f>+Month!E31+E30</f>
        <v>152</v>
      </c>
      <c r="F31" s="13">
        <f>+Month!F31+F30</f>
        <v>89885</v>
      </c>
      <c r="G31" s="13">
        <f>+Month!G31+G30</f>
        <v>1828</v>
      </c>
      <c r="H31" s="13">
        <f>+Month!H31+H30</f>
        <v>144</v>
      </c>
      <c r="I31" s="13">
        <f>+Month!I31+I30</f>
        <v>2825</v>
      </c>
      <c r="J31" s="13">
        <f>+Month!J31+J30</f>
        <v>28048</v>
      </c>
      <c r="K31" s="13">
        <f>+Month!K31+K30</f>
        <v>8305</v>
      </c>
      <c r="L31" s="13">
        <f>+Month!L31+L30</f>
        <v>3510</v>
      </c>
      <c r="M31" s="13">
        <f>+Month!M31+M30</f>
        <v>11162.45</v>
      </c>
      <c r="N31" s="13">
        <f>+Month!N31+N30</f>
        <v>17738.55</v>
      </c>
      <c r="O31" s="13">
        <f>+Month!O31+O30</f>
        <v>11478</v>
      </c>
      <c r="P31" s="13">
        <f>+Month!P31+P30</f>
        <v>1111</v>
      </c>
      <c r="Q31" s="13">
        <f>+Month!Q31+Q30</f>
        <v>2188</v>
      </c>
      <c r="S31">
        <f t="shared" si="2"/>
        <v>317</v>
      </c>
      <c r="T31" s="6" t="str">
        <f t="shared" si="1"/>
        <v>Month!A317</v>
      </c>
      <c r="U31" s="6" t="str">
        <f t="shared" si="1"/>
        <v>Month!B317</v>
      </c>
      <c r="V31" s="6" t="str">
        <f t="shared" si="1"/>
        <v>Month!C317</v>
      </c>
      <c r="W31" s="6" t="str">
        <f t="shared" si="1"/>
        <v>Month!D317</v>
      </c>
      <c r="X31" s="6" t="str">
        <f t="shared" si="1"/>
        <v>Month!E317</v>
      </c>
      <c r="Y31" s="6" t="str">
        <f t="shared" si="1"/>
        <v>Month!F317</v>
      </c>
      <c r="Z31" s="6" t="str">
        <f t="shared" si="1"/>
        <v>Month!G317</v>
      </c>
      <c r="AA31" s="6" t="str">
        <f t="shared" si="1"/>
        <v>Month!H317</v>
      </c>
      <c r="AB31" s="6" t="str">
        <f t="shared" si="1"/>
        <v>Month!I317</v>
      </c>
      <c r="AC31" s="6" t="str">
        <f t="shared" si="1"/>
        <v>Month!J317</v>
      </c>
      <c r="AD31" s="6" t="str">
        <f t="shared" si="1"/>
        <v>Month!K317</v>
      </c>
      <c r="AE31" s="6" t="str">
        <f t="shared" si="1"/>
        <v>Month!L317</v>
      </c>
      <c r="AF31" s="6" t="str">
        <f t="shared" si="1"/>
        <v>Month!M317</v>
      </c>
      <c r="AG31" s="6" t="str">
        <f t="shared" si="1"/>
        <v>Month!N317</v>
      </c>
      <c r="AH31" s="6" t="str">
        <f t="shared" si="1"/>
        <v>Month!O317</v>
      </c>
      <c r="AI31" s="6" t="str">
        <f t="shared" si="1"/>
        <v>Month!P317</v>
      </c>
      <c r="AJ31" s="6" t="str">
        <f t="shared" si="1"/>
        <v>Month!Q317</v>
      </c>
    </row>
    <row r="32" spans="1:36" ht="12">
      <c r="A32">
        <v>1997</v>
      </c>
      <c r="B32" t="s">
        <v>55</v>
      </c>
      <c r="C32" s="13">
        <f>+Month!C32</f>
        <v>7972.81</v>
      </c>
      <c r="D32" s="13">
        <f>+Month!D32</f>
        <v>565.64</v>
      </c>
      <c r="E32" s="13">
        <f>+Month!E32</f>
        <v>9.05</v>
      </c>
      <c r="F32" s="13">
        <f>+Month!F32</f>
        <v>7398.15</v>
      </c>
      <c r="G32" s="13">
        <f>+Month!G32</f>
        <v>173.26</v>
      </c>
      <c r="H32" s="13">
        <f>+Month!H32</f>
        <v>13.53</v>
      </c>
      <c r="I32" s="13">
        <f>+Month!I32</f>
        <v>251.28</v>
      </c>
      <c r="J32" s="13">
        <f>+Month!J32</f>
        <v>2323.14</v>
      </c>
      <c r="K32" s="13">
        <f>+Month!K32</f>
        <v>650.48</v>
      </c>
      <c r="L32" s="13">
        <f>+Month!L32</f>
        <v>399.44</v>
      </c>
      <c r="M32" s="13">
        <f>+Month!M32</f>
        <v>914.66</v>
      </c>
      <c r="N32" s="13">
        <f>+Month!N32</f>
        <v>1429.6</v>
      </c>
      <c r="O32" s="13">
        <f>+Month!O32</f>
        <v>940.68</v>
      </c>
      <c r="P32" s="13">
        <f>+Month!P32</f>
        <v>78.06</v>
      </c>
      <c r="Q32" s="13">
        <f>+Month!Q32</f>
        <v>86.43</v>
      </c>
      <c r="S32">
        <f t="shared" si="2"/>
        <v>318</v>
      </c>
      <c r="T32" s="6" t="str">
        <f t="shared" si="1"/>
        <v>Month!A318</v>
      </c>
      <c r="U32" s="6" t="str">
        <f t="shared" si="1"/>
        <v>Month!B318</v>
      </c>
      <c r="V32" s="6" t="str">
        <f t="shared" si="1"/>
        <v>Month!C318</v>
      </c>
      <c r="W32" s="6" t="str">
        <f t="shared" si="1"/>
        <v>Month!D318</v>
      </c>
      <c r="X32" s="6" t="str">
        <f t="shared" si="1"/>
        <v>Month!E318</v>
      </c>
      <c r="Y32" s="6" t="str">
        <f t="shared" si="1"/>
        <v>Month!F318</v>
      </c>
      <c r="Z32" s="6" t="str">
        <f t="shared" si="1"/>
        <v>Month!G318</v>
      </c>
      <c r="AA32" s="6" t="str">
        <f t="shared" si="1"/>
        <v>Month!H318</v>
      </c>
      <c r="AB32" s="6" t="str">
        <f t="shared" si="1"/>
        <v>Month!I318</v>
      </c>
      <c r="AC32" s="6" t="str">
        <f t="shared" si="1"/>
        <v>Month!J318</v>
      </c>
      <c r="AD32" s="6" t="str">
        <f t="shared" si="1"/>
        <v>Month!K318</v>
      </c>
      <c r="AE32" s="6" t="str">
        <f t="shared" si="1"/>
        <v>Month!L318</v>
      </c>
      <c r="AF32" s="6" t="str">
        <f t="shared" si="1"/>
        <v>Month!M318</v>
      </c>
      <c r="AG32" s="6" t="str">
        <f t="shared" si="1"/>
        <v>Month!N318</v>
      </c>
      <c r="AH32" s="6" t="str">
        <f t="shared" si="1"/>
        <v>Month!O318</v>
      </c>
      <c r="AI32" s="6" t="str">
        <f t="shared" si="1"/>
        <v>Month!P318</v>
      </c>
      <c r="AJ32" s="6" t="str">
        <f t="shared" si="1"/>
        <v>Month!Q318</v>
      </c>
    </row>
    <row r="33" spans="1:36" ht="12">
      <c r="A33">
        <v>1997</v>
      </c>
      <c r="B33" t="s">
        <v>56</v>
      </c>
      <c r="C33" s="13">
        <f>+Month!C33+C32</f>
        <v>15342.720000000001</v>
      </c>
      <c r="D33" s="13">
        <f>+Month!D33+D32</f>
        <v>1087.25</v>
      </c>
      <c r="E33" s="13">
        <f>+Month!E33+E32</f>
        <v>-12.029999999999998</v>
      </c>
      <c r="F33" s="13">
        <f>+Month!F33+F32</f>
        <v>14267.56</v>
      </c>
      <c r="G33" s="13">
        <f>+Month!G33+G32</f>
        <v>327.86</v>
      </c>
      <c r="H33" s="13">
        <f>+Month!H33+H32</f>
        <v>24.34</v>
      </c>
      <c r="I33" s="13">
        <f>+Month!I33+I32</f>
        <v>475.03</v>
      </c>
      <c r="J33" s="13">
        <f>+Month!J33+J32</f>
        <v>4448.93</v>
      </c>
      <c r="K33" s="13">
        <f>+Month!K33+K32</f>
        <v>1312.6100000000001</v>
      </c>
      <c r="L33" s="13">
        <f>+Month!L33+L32</f>
        <v>701.63</v>
      </c>
      <c r="M33" s="13">
        <f>+Month!M33+M32</f>
        <v>1816.23</v>
      </c>
      <c r="N33" s="13">
        <f>+Month!N33+N32</f>
        <v>2696.25</v>
      </c>
      <c r="O33" s="13">
        <f>+Month!O33+O32</f>
        <v>1783.32</v>
      </c>
      <c r="P33" s="13">
        <f>+Month!P33+P32</f>
        <v>177.39</v>
      </c>
      <c r="Q33" s="13">
        <f>+Month!Q33+Q32</f>
        <v>252.05</v>
      </c>
      <c r="S33">
        <f t="shared" si="2"/>
        <v>319</v>
      </c>
      <c r="T33" s="6" t="str">
        <f t="shared" si="1"/>
        <v>Month!A319</v>
      </c>
      <c r="U33" s="6" t="str">
        <f t="shared" si="1"/>
        <v>Month!B319</v>
      </c>
      <c r="V33" s="6" t="str">
        <f t="shared" si="1"/>
        <v>Month!C319</v>
      </c>
      <c r="W33" s="6" t="str">
        <f t="shared" si="1"/>
        <v>Month!D319</v>
      </c>
      <c r="X33" s="6" t="str">
        <f t="shared" si="1"/>
        <v>Month!E319</v>
      </c>
      <c r="Y33" s="6" t="str">
        <f t="shared" si="1"/>
        <v>Month!F319</v>
      </c>
      <c r="Z33" s="6" t="str">
        <f t="shared" si="1"/>
        <v>Month!G319</v>
      </c>
      <c r="AA33" s="6" t="str">
        <f t="shared" si="1"/>
        <v>Month!H319</v>
      </c>
      <c r="AB33" s="6" t="str">
        <f t="shared" si="1"/>
        <v>Month!I319</v>
      </c>
      <c r="AC33" s="6" t="str">
        <f t="shared" si="1"/>
        <v>Month!J319</v>
      </c>
      <c r="AD33" s="6" t="str">
        <f t="shared" si="1"/>
        <v>Month!K319</v>
      </c>
      <c r="AE33" s="6" t="str">
        <f t="shared" si="1"/>
        <v>Month!L319</v>
      </c>
      <c r="AF33" s="6" t="str">
        <f t="shared" si="1"/>
        <v>Month!M319</v>
      </c>
      <c r="AG33" s="6" t="str">
        <f t="shared" si="1"/>
        <v>Month!N319</v>
      </c>
      <c r="AH33" s="6" t="str">
        <f t="shared" si="1"/>
        <v>Month!O319</v>
      </c>
      <c r="AI33" s="6" t="str">
        <f t="shared" si="1"/>
        <v>Month!P319</v>
      </c>
      <c r="AJ33" s="6" t="str">
        <f t="shared" si="1"/>
        <v>Month!Q319</v>
      </c>
    </row>
    <row r="34" spans="1:36" ht="12">
      <c r="A34">
        <v>1997</v>
      </c>
      <c r="B34" t="s">
        <v>57</v>
      </c>
      <c r="C34" s="13">
        <f>+Month!C34+C33</f>
        <v>23352.010000000002</v>
      </c>
      <c r="D34" s="13">
        <f>+Month!D34+D33</f>
        <v>1650.52</v>
      </c>
      <c r="E34" s="13">
        <f>+Month!E34+E33</f>
        <v>-34.31999999999999</v>
      </c>
      <c r="F34" s="13">
        <f>+Month!F34+F33</f>
        <v>21735.9</v>
      </c>
      <c r="G34" s="13">
        <f>+Month!G34+G33</f>
        <v>484.22</v>
      </c>
      <c r="H34" s="13">
        <f>+Month!H34+H33</f>
        <v>34.17</v>
      </c>
      <c r="I34" s="13">
        <f>+Month!I34+I33</f>
        <v>732.8699999999999</v>
      </c>
      <c r="J34" s="13">
        <f>+Month!J34+J33</f>
        <v>6754.39</v>
      </c>
      <c r="K34" s="13">
        <f>+Month!K34+K33</f>
        <v>2038.8600000000001</v>
      </c>
      <c r="L34" s="13">
        <f>+Month!L34+L33</f>
        <v>986.48</v>
      </c>
      <c r="M34" s="13">
        <f>+Month!M34+M33</f>
        <v>2806.36</v>
      </c>
      <c r="N34" s="13">
        <f>+Month!N34+N33</f>
        <v>4073.87</v>
      </c>
      <c r="O34" s="13">
        <f>+Month!O34+O33</f>
        <v>2712.8199999999997</v>
      </c>
      <c r="P34" s="13">
        <f>+Month!P34+P33</f>
        <v>274.21</v>
      </c>
      <c r="Q34" s="13">
        <f>+Month!Q34+Q33</f>
        <v>446.52</v>
      </c>
      <c r="S34">
        <f t="shared" si="2"/>
        <v>320</v>
      </c>
      <c r="T34" s="6" t="str">
        <f t="shared" si="1"/>
        <v>Month!A320</v>
      </c>
      <c r="U34" s="6" t="str">
        <f t="shared" si="1"/>
        <v>Month!B320</v>
      </c>
      <c r="V34" s="6" t="str">
        <f t="shared" si="1"/>
        <v>Month!C320</v>
      </c>
      <c r="W34" s="6" t="str">
        <f t="shared" si="1"/>
        <v>Month!D320</v>
      </c>
      <c r="X34" s="6" t="str">
        <f t="shared" si="1"/>
        <v>Month!E320</v>
      </c>
      <c r="Y34" s="6" t="str">
        <f t="shared" si="1"/>
        <v>Month!F320</v>
      </c>
      <c r="Z34" s="6" t="str">
        <f t="shared" si="1"/>
        <v>Month!G320</v>
      </c>
      <c r="AA34" s="6" t="str">
        <f t="shared" si="1"/>
        <v>Month!H320</v>
      </c>
      <c r="AB34" s="6" t="str">
        <f t="shared" si="1"/>
        <v>Month!I320</v>
      </c>
      <c r="AC34" s="6" t="str">
        <f t="shared" si="1"/>
        <v>Month!J320</v>
      </c>
      <c r="AD34" s="6" t="str">
        <f t="shared" si="1"/>
        <v>Month!K320</v>
      </c>
      <c r="AE34" s="6" t="str">
        <f t="shared" si="1"/>
        <v>Month!L320</v>
      </c>
      <c r="AF34" s="6" t="str">
        <f t="shared" si="1"/>
        <v>Month!M320</v>
      </c>
      <c r="AG34" s="6" t="str">
        <f t="shared" si="1"/>
        <v>Month!N320</v>
      </c>
      <c r="AH34" s="6" t="str">
        <f t="shared" si="1"/>
        <v>Month!O320</v>
      </c>
      <c r="AI34" s="6" t="str">
        <f t="shared" si="1"/>
        <v>Month!P320</v>
      </c>
      <c r="AJ34" s="6" t="str">
        <f t="shared" si="1"/>
        <v>Month!Q320</v>
      </c>
    </row>
    <row r="35" spans="1:17" ht="12">
      <c r="A35">
        <v>1997</v>
      </c>
      <c r="B35" t="s">
        <v>58</v>
      </c>
      <c r="C35" s="13">
        <f>+Month!C35+C34</f>
        <v>31397.270000000004</v>
      </c>
      <c r="D35" s="13">
        <f>+Month!D35+D34</f>
        <v>2168.93</v>
      </c>
      <c r="E35" s="13">
        <f>+Month!E35+E34</f>
        <v>-11.129999999999992</v>
      </c>
      <c r="F35" s="13">
        <f>+Month!F35+F34</f>
        <v>29239.370000000003</v>
      </c>
      <c r="G35" s="13">
        <f>+Month!G35+G34</f>
        <v>636.79</v>
      </c>
      <c r="H35" s="13">
        <f>+Month!H35+H34</f>
        <v>43.36</v>
      </c>
      <c r="I35" s="13">
        <f>+Month!I35+I34</f>
        <v>982.7899999999998</v>
      </c>
      <c r="J35" s="13">
        <f>+Month!J35+J34</f>
        <v>9072.36</v>
      </c>
      <c r="K35" s="13">
        <f>+Month!K35+K34</f>
        <v>2703.1800000000003</v>
      </c>
      <c r="L35" s="13">
        <f>+Month!L35+L34</f>
        <v>1222.07</v>
      </c>
      <c r="M35" s="13">
        <f>+Month!M35+M34</f>
        <v>3759.8900000000003</v>
      </c>
      <c r="N35" s="13">
        <f>+Month!N35+N34</f>
        <v>5619.9</v>
      </c>
      <c r="O35" s="13">
        <f>+Month!O35+O34</f>
        <v>3665.9399999999996</v>
      </c>
      <c r="P35" s="13">
        <f>+Month!P35+P34</f>
        <v>383.71</v>
      </c>
      <c r="Q35" s="13">
        <f>+Month!Q35+Q34</f>
        <v>646.47</v>
      </c>
    </row>
    <row r="36" spans="1:17" ht="12">
      <c r="A36">
        <v>1997</v>
      </c>
      <c r="B36" t="s">
        <v>59</v>
      </c>
      <c r="C36" s="13">
        <f>+Month!C36+C35</f>
        <v>39288.030000000006</v>
      </c>
      <c r="D36" s="13">
        <f>+Month!D36+D35</f>
        <v>2680.6899999999996</v>
      </c>
      <c r="E36" s="13">
        <f>+Month!E36+E35</f>
        <v>3.4800000000000075</v>
      </c>
      <c r="F36" s="13">
        <f>+Month!F36+F35</f>
        <v>36603.57</v>
      </c>
      <c r="G36" s="13">
        <f>+Month!G36+G35</f>
        <v>801.3499999999999</v>
      </c>
      <c r="H36" s="13">
        <f>+Month!H36+H35</f>
        <v>50.9</v>
      </c>
      <c r="I36" s="13">
        <f>+Month!I36+I35</f>
        <v>1262.2099999999998</v>
      </c>
      <c r="J36" s="13">
        <f>+Month!J36+J35</f>
        <v>11315.18</v>
      </c>
      <c r="K36" s="13">
        <f>+Month!K36+K35</f>
        <v>3381.11</v>
      </c>
      <c r="L36" s="13">
        <f>+Month!L36+L35</f>
        <v>1473.9499999999998</v>
      </c>
      <c r="M36" s="13">
        <f>+Month!M36+M35</f>
        <v>4606.06</v>
      </c>
      <c r="N36" s="13">
        <f>+Month!N36+N35</f>
        <v>7077.709999999999</v>
      </c>
      <c r="O36" s="13">
        <f>+Month!O36+O35</f>
        <v>4698.849999999999</v>
      </c>
      <c r="P36" s="13">
        <f>+Month!P36+P35</f>
        <v>495.13</v>
      </c>
      <c r="Q36" s="13">
        <f>+Month!Q36+Q35</f>
        <v>850.5600000000001</v>
      </c>
    </row>
    <row r="37" spans="1:34" ht="12">
      <c r="A37">
        <v>1997</v>
      </c>
      <c r="B37" t="s">
        <v>60</v>
      </c>
      <c r="C37" s="13">
        <f>+Month!C37+C36</f>
        <v>47019.01000000001</v>
      </c>
      <c r="D37" s="13">
        <f>+Month!D37+D36</f>
        <v>3195.74</v>
      </c>
      <c r="E37" s="13">
        <f>+Month!E37+E36</f>
        <v>48.63000000000001</v>
      </c>
      <c r="F37" s="13">
        <f>+Month!F37+F36</f>
        <v>43774.16</v>
      </c>
      <c r="G37" s="13">
        <f>+Month!G37+G36</f>
        <v>967.78</v>
      </c>
      <c r="H37" s="13">
        <f>+Month!H37+H36</f>
        <v>60.56</v>
      </c>
      <c r="I37" s="13">
        <f>+Month!I37+I36</f>
        <v>1484.9799999999998</v>
      </c>
      <c r="J37" s="13">
        <f>+Month!J37+J36</f>
        <v>13556.02</v>
      </c>
      <c r="K37" s="13">
        <f>+Month!K37+K36</f>
        <v>4120.74</v>
      </c>
      <c r="L37" s="13">
        <f>+Month!L37+L36</f>
        <v>1659.36</v>
      </c>
      <c r="M37" s="13">
        <f>+Month!M37+M36</f>
        <v>5421.92</v>
      </c>
      <c r="N37" s="13">
        <f>+Month!N37+N36</f>
        <v>8537</v>
      </c>
      <c r="O37" s="13">
        <f>+Month!O37+O36</f>
        <v>5625.099999999999</v>
      </c>
      <c r="P37" s="13">
        <f>+Month!P37+P36</f>
        <v>586.65</v>
      </c>
      <c r="Q37" s="13">
        <f>+Month!Q37+Q36</f>
        <v>1082.3000000000002</v>
      </c>
      <c r="S37" t="s">
        <v>77</v>
      </c>
      <c r="T37" t="s">
        <v>78</v>
      </c>
      <c r="U37" t="s">
        <v>79</v>
      </c>
      <c r="V37" t="s">
        <v>80</v>
      </c>
      <c r="W37" t="s">
        <v>81</v>
      </c>
      <c r="X37" t="s">
        <v>82</v>
      </c>
      <c r="Y37" t="s">
        <v>83</v>
      </c>
      <c r="Z37" t="s">
        <v>44</v>
      </c>
      <c r="AA37" t="s">
        <v>84</v>
      </c>
      <c r="AB37" t="s">
        <v>85</v>
      </c>
      <c r="AC37" t="s">
        <v>86</v>
      </c>
      <c r="AD37" t="s">
        <v>87</v>
      </c>
      <c r="AE37" t="s">
        <v>88</v>
      </c>
      <c r="AF37" t="s">
        <v>89</v>
      </c>
      <c r="AG37" t="s">
        <v>90</v>
      </c>
      <c r="AH37" s="116" t="s">
        <v>144</v>
      </c>
    </row>
    <row r="38" spans="1:34" ht="12">
      <c r="A38">
        <v>1997</v>
      </c>
      <c r="B38" t="s">
        <v>61</v>
      </c>
      <c r="C38" s="13">
        <f>+Month!C38+C37</f>
        <v>55683.08000000001</v>
      </c>
      <c r="D38" s="13">
        <f>+Month!D38+D37</f>
        <v>3757.1899999999996</v>
      </c>
      <c r="E38" s="13">
        <f>+Month!E38+E37</f>
        <v>37.78000000000001</v>
      </c>
      <c r="F38" s="13">
        <f>+Month!F38+F37</f>
        <v>51887.740000000005</v>
      </c>
      <c r="G38" s="13">
        <f>+Month!G38+G37</f>
        <v>1158.5</v>
      </c>
      <c r="H38" s="13">
        <f>+Month!H38+H37</f>
        <v>70.41</v>
      </c>
      <c r="I38" s="13">
        <f>+Month!I38+I37</f>
        <v>1730.7099999999998</v>
      </c>
      <c r="J38" s="13">
        <f>+Month!J38+J37</f>
        <v>15915.34</v>
      </c>
      <c r="K38" s="13">
        <f>+Month!K38+K37</f>
        <v>4902.4</v>
      </c>
      <c r="L38" s="13">
        <f>+Month!L38+L37</f>
        <v>1902.75</v>
      </c>
      <c r="M38" s="13">
        <f>+Month!M38+M37</f>
        <v>6399.12</v>
      </c>
      <c r="N38" s="13">
        <f>+Month!N38+N37</f>
        <v>10240.99</v>
      </c>
      <c r="O38" s="13">
        <f>+Month!O38+O37</f>
        <v>6753.849999999999</v>
      </c>
      <c r="P38" s="13">
        <f>+Month!P38+P37</f>
        <v>696.4499999999999</v>
      </c>
      <c r="Q38" s="13">
        <f>+Month!Q38+Q37</f>
        <v>1311.5000000000002</v>
      </c>
      <c r="S38">
        <f>+S22</f>
        <v>308</v>
      </c>
      <c r="T38" s="6" t="str">
        <f>$S$37&amp;T$37&amp;$S38</f>
        <v>Calculation!c308</v>
      </c>
      <c r="U38" s="6" t="str">
        <f aca="true" t="shared" si="3" ref="U38:AH39">$S$37&amp;U$37&amp;$S38</f>
        <v>Calculation!d308</v>
      </c>
      <c r="V38" s="6" t="str">
        <f t="shared" si="3"/>
        <v>Calculation!e308</v>
      </c>
      <c r="W38" s="6" t="str">
        <f t="shared" si="3"/>
        <v>Calculation!f308</v>
      </c>
      <c r="X38" s="6" t="str">
        <f t="shared" si="3"/>
        <v>Calculation!g308</v>
      </c>
      <c r="Y38" s="6" t="str">
        <f t="shared" si="3"/>
        <v>Calculation!h308</v>
      </c>
      <c r="Z38" s="6" t="str">
        <f t="shared" si="3"/>
        <v>Calculation!I308</v>
      </c>
      <c r="AA38" s="6" t="str">
        <f t="shared" si="3"/>
        <v>Calculation!j308</v>
      </c>
      <c r="AB38" s="6" t="str">
        <f t="shared" si="3"/>
        <v>Calculation!k308</v>
      </c>
      <c r="AC38" s="6" t="str">
        <f t="shared" si="3"/>
        <v>Calculation!l308</v>
      </c>
      <c r="AD38" s="6" t="str">
        <f t="shared" si="3"/>
        <v>Calculation!m308</v>
      </c>
      <c r="AE38" s="6" t="str">
        <f t="shared" si="3"/>
        <v>Calculation!n308</v>
      </c>
      <c r="AF38" s="6" t="str">
        <f t="shared" si="3"/>
        <v>Calculation!o308</v>
      </c>
      <c r="AG38" s="6" t="str">
        <f t="shared" si="3"/>
        <v>Calculation!p308</v>
      </c>
      <c r="AH38" s="6" t="str">
        <f t="shared" si="3"/>
        <v>Calculation!q308</v>
      </c>
    </row>
    <row r="39" spans="1:34" ht="12">
      <c r="A39">
        <v>1997</v>
      </c>
      <c r="B39" t="s">
        <v>62</v>
      </c>
      <c r="C39" s="13">
        <f>+Month!C39+C38</f>
        <v>64112.94000000001</v>
      </c>
      <c r="D39" s="13">
        <f>+Month!D39+D38</f>
        <v>4307.66</v>
      </c>
      <c r="E39" s="13">
        <f>+Month!E39+E38</f>
        <v>39.63000000000001</v>
      </c>
      <c r="F39" s="13">
        <f>+Month!F39+F38</f>
        <v>59765.39000000001</v>
      </c>
      <c r="G39" s="13">
        <f>+Month!G39+G38</f>
        <v>1336.59</v>
      </c>
      <c r="H39" s="13">
        <f>+Month!H39+H38</f>
        <v>80.71</v>
      </c>
      <c r="I39" s="13">
        <f>+Month!I39+I38</f>
        <v>1956.4399999999998</v>
      </c>
      <c r="J39" s="13">
        <f>+Month!J39+J38</f>
        <v>18343.81</v>
      </c>
      <c r="K39" s="13">
        <f>+Month!K39+K38</f>
        <v>5695.049999999999</v>
      </c>
      <c r="L39" s="13">
        <f>+Month!L39+L38</f>
        <v>2119.9</v>
      </c>
      <c r="M39" s="13">
        <f>+Month!M39+M38</f>
        <v>7361.7</v>
      </c>
      <c r="N39" s="13">
        <f>+Month!N39+N38</f>
        <v>11836.6</v>
      </c>
      <c r="O39" s="13">
        <f>+Month!O39+O38</f>
        <v>7772.8099999999995</v>
      </c>
      <c r="P39" s="13">
        <f>+Month!P39+P38</f>
        <v>791.04</v>
      </c>
      <c r="Q39" s="13">
        <f>+Month!Q39+Q38</f>
        <v>1529.1900000000003</v>
      </c>
      <c r="S39">
        <f>+S34</f>
        <v>320</v>
      </c>
      <c r="T39" s="6" t="str">
        <f>$S$37&amp;T$37&amp;$S39</f>
        <v>Calculation!c320</v>
      </c>
      <c r="U39" s="6" t="str">
        <f t="shared" si="3"/>
        <v>Calculation!d320</v>
      </c>
      <c r="V39" s="6" t="str">
        <f t="shared" si="3"/>
        <v>Calculation!e320</v>
      </c>
      <c r="W39" s="6" t="str">
        <f t="shared" si="3"/>
        <v>Calculation!f320</v>
      </c>
      <c r="X39" s="6" t="str">
        <f t="shared" si="3"/>
        <v>Calculation!g320</v>
      </c>
      <c r="Y39" s="6" t="str">
        <f t="shared" si="3"/>
        <v>Calculation!h320</v>
      </c>
      <c r="Z39" s="6" t="str">
        <f t="shared" si="3"/>
        <v>Calculation!I320</v>
      </c>
      <c r="AA39" s="6" t="str">
        <f t="shared" si="3"/>
        <v>Calculation!j320</v>
      </c>
      <c r="AB39" s="6" t="str">
        <f t="shared" si="3"/>
        <v>Calculation!k320</v>
      </c>
      <c r="AC39" s="6" t="str">
        <f t="shared" si="3"/>
        <v>Calculation!l320</v>
      </c>
      <c r="AD39" s="6" t="str">
        <f t="shared" si="3"/>
        <v>Calculation!m320</v>
      </c>
      <c r="AE39" s="6" t="str">
        <f t="shared" si="3"/>
        <v>Calculation!n320</v>
      </c>
      <c r="AF39" s="6" t="str">
        <f t="shared" si="3"/>
        <v>Calculation!o320</v>
      </c>
      <c r="AG39" s="6" t="str">
        <f t="shared" si="3"/>
        <v>Calculation!p320</v>
      </c>
      <c r="AH39" s="6" t="str">
        <f t="shared" si="3"/>
        <v>Calculation!q320</v>
      </c>
    </row>
    <row r="40" spans="1:17" ht="12">
      <c r="A40">
        <v>1997</v>
      </c>
      <c r="B40" t="s">
        <v>63</v>
      </c>
      <c r="C40" s="13">
        <f>+Month!C40+C39</f>
        <v>72426.01000000001</v>
      </c>
      <c r="D40" s="13">
        <f>+Month!D40+D39</f>
        <v>4857.5</v>
      </c>
      <c r="E40" s="13">
        <f>+Month!E40+E39</f>
        <v>64.68</v>
      </c>
      <c r="F40" s="13">
        <f>+Month!F40+F39</f>
        <v>67503.67000000001</v>
      </c>
      <c r="G40" s="13">
        <f>+Month!G40+G39</f>
        <v>1470.26</v>
      </c>
      <c r="H40" s="13">
        <f>+Month!H40+H39</f>
        <v>92.03</v>
      </c>
      <c r="I40" s="13">
        <f>+Month!I40+I39</f>
        <v>2181.95</v>
      </c>
      <c r="J40" s="13">
        <f>+Month!J40+J39</f>
        <v>20803.940000000002</v>
      </c>
      <c r="K40" s="13">
        <f>+Month!K40+K39</f>
        <v>6388.07</v>
      </c>
      <c r="L40" s="13">
        <f>+Month!L40+L39</f>
        <v>2394.83</v>
      </c>
      <c r="M40" s="13">
        <f>+Month!M40+M39</f>
        <v>8269.88</v>
      </c>
      <c r="N40" s="13">
        <f>+Month!N40+N39</f>
        <v>13338.29</v>
      </c>
      <c r="O40" s="13">
        <f>+Month!O40+O39</f>
        <v>8837.47</v>
      </c>
      <c r="P40" s="13">
        <f>+Month!P40+P39</f>
        <v>924.3499999999999</v>
      </c>
      <c r="Q40" s="13">
        <f>+Month!Q40+Q39</f>
        <v>1735.2700000000002</v>
      </c>
    </row>
    <row r="41" spans="1:17" ht="12">
      <c r="A41">
        <v>1997</v>
      </c>
      <c r="B41" t="s">
        <v>64</v>
      </c>
      <c r="C41" s="13">
        <f>+Month!C41+C40</f>
        <v>80534.22000000002</v>
      </c>
      <c r="D41" s="13">
        <f>+Month!D41+D40</f>
        <v>5423.4400000000005</v>
      </c>
      <c r="E41" s="13">
        <f>+Month!E41+E40</f>
        <v>82.16000000000001</v>
      </c>
      <c r="F41" s="13">
        <f>+Month!F41+F40</f>
        <v>75028.41000000002</v>
      </c>
      <c r="G41" s="13">
        <f>+Month!G41+G40</f>
        <v>1616.47</v>
      </c>
      <c r="H41" s="13">
        <f>+Month!H41+H40</f>
        <v>104.93</v>
      </c>
      <c r="I41" s="13">
        <f>+Month!I41+I40</f>
        <v>2362.46</v>
      </c>
      <c r="J41" s="13">
        <f>+Month!J41+J40</f>
        <v>23315.22</v>
      </c>
      <c r="K41" s="13">
        <f>+Month!K41+K40</f>
        <v>7077.379999999999</v>
      </c>
      <c r="L41" s="13">
        <f>+Month!L41+L40</f>
        <v>2637.68</v>
      </c>
      <c r="M41" s="13">
        <f>+Month!M41+M40</f>
        <v>9179.57</v>
      </c>
      <c r="N41" s="13">
        <f>+Month!N41+N40</f>
        <v>14773.45</v>
      </c>
      <c r="O41" s="13">
        <f>+Month!O41+O40</f>
        <v>9826.33</v>
      </c>
      <c r="P41" s="13">
        <f>+Month!P41+P40</f>
        <v>1004.7599999999999</v>
      </c>
      <c r="Q41" s="13">
        <f>+Month!Q41+Q40</f>
        <v>1921.3300000000002</v>
      </c>
    </row>
    <row r="42" spans="1:17" ht="12">
      <c r="A42">
        <v>1997</v>
      </c>
      <c r="B42" t="s">
        <v>65</v>
      </c>
      <c r="C42" s="13">
        <f>+Month!C42+C41</f>
        <v>88791.47000000002</v>
      </c>
      <c r="D42" s="13">
        <f>+Month!D42+D41</f>
        <v>5994.570000000001</v>
      </c>
      <c r="E42" s="13">
        <f>+Month!E42+E41</f>
        <v>53.790000000000006</v>
      </c>
      <c r="F42" s="13">
        <f>+Month!F42+F41</f>
        <v>82742.85000000002</v>
      </c>
      <c r="G42" s="13">
        <f>+Month!G42+G41</f>
        <v>1780.98</v>
      </c>
      <c r="H42" s="13">
        <f>+Month!H42+H41</f>
        <v>119.01</v>
      </c>
      <c r="I42" s="13">
        <f>+Month!I42+I41</f>
        <v>2604.7</v>
      </c>
      <c r="J42" s="13">
        <f>+Month!J42+J41</f>
        <v>25780.83</v>
      </c>
      <c r="K42" s="13">
        <f>+Month!K42+K41</f>
        <v>7742.719999999999</v>
      </c>
      <c r="L42" s="13">
        <f>+Month!L42+L41</f>
        <v>2986.85</v>
      </c>
      <c r="M42" s="13">
        <f>+Month!M42+M41</f>
        <v>10124.55</v>
      </c>
      <c r="N42" s="13">
        <f>+Month!N42+N41</f>
        <v>16166.44</v>
      </c>
      <c r="O42" s="13">
        <f>+Month!O42+O41</f>
        <v>10855.13</v>
      </c>
      <c r="P42" s="13">
        <f>+Month!P42+P41</f>
        <v>1126.4299999999998</v>
      </c>
      <c r="Q42" s="13">
        <f>+Month!Q42+Q41</f>
        <v>2116.4500000000003</v>
      </c>
    </row>
    <row r="43" spans="1:17" ht="12">
      <c r="A43">
        <v>1997</v>
      </c>
      <c r="B43" t="s">
        <v>66</v>
      </c>
      <c r="C43" s="13">
        <f>+Month!C43+C42</f>
        <v>97024.01000000001</v>
      </c>
      <c r="D43" s="13">
        <f>+Month!D43+D42</f>
        <v>6571.52</v>
      </c>
      <c r="E43" s="13">
        <f>+Month!E43+E42</f>
        <v>86.51</v>
      </c>
      <c r="F43" s="13">
        <f>+Month!F43+F42</f>
        <v>90365.67000000001</v>
      </c>
      <c r="G43" s="13">
        <f>+Month!G43+G42</f>
        <v>1950.0900000000001</v>
      </c>
      <c r="H43" s="13">
        <f>+Month!H43+H42</f>
        <v>138.52</v>
      </c>
      <c r="I43" s="13">
        <f>+Month!I43+I42</f>
        <v>2853.77</v>
      </c>
      <c r="J43" s="13">
        <f>+Month!J43+J42</f>
        <v>28260.24</v>
      </c>
      <c r="K43" s="13">
        <f>+Month!K43+K42</f>
        <v>8342.33</v>
      </c>
      <c r="L43" s="13">
        <f>+Month!L43+L42</f>
        <v>3335.93</v>
      </c>
      <c r="M43" s="13">
        <f>+Month!M43+M42</f>
        <v>11112.449999999999</v>
      </c>
      <c r="N43" s="13">
        <f>+Month!N43+N42</f>
        <v>17665.16</v>
      </c>
      <c r="O43" s="13">
        <f>+Month!O43+O42</f>
        <v>11746.99</v>
      </c>
      <c r="P43" s="13">
        <f>+Month!P43+P42</f>
        <v>1231.4599999999998</v>
      </c>
      <c r="Q43" s="13">
        <f>+Month!Q43+Q42</f>
        <v>2258.4500000000003</v>
      </c>
    </row>
    <row r="44" spans="1:17" ht="12">
      <c r="A44">
        <v>1998</v>
      </c>
      <c r="B44" t="s">
        <v>55</v>
      </c>
      <c r="C44" s="13">
        <f>+Month!C44</f>
        <v>7611.84</v>
      </c>
      <c r="D44" s="13">
        <f>+Month!D44</f>
        <v>544.63</v>
      </c>
      <c r="E44" s="13">
        <f>+Month!E44</f>
        <v>52.72</v>
      </c>
      <c r="F44" s="13">
        <f>+Month!F44</f>
        <v>7014.48</v>
      </c>
      <c r="G44" s="13">
        <f>+Month!G44</f>
        <v>160.59</v>
      </c>
      <c r="H44" s="13">
        <f>+Month!H44</f>
        <v>25.81</v>
      </c>
      <c r="I44" s="13">
        <f>+Month!I44</f>
        <v>187.45</v>
      </c>
      <c r="J44" s="13">
        <f>+Month!J44</f>
        <v>2368.7</v>
      </c>
      <c r="K44" s="13">
        <f>+Month!K44</f>
        <v>574.69</v>
      </c>
      <c r="L44" s="13">
        <f>+Month!L44</f>
        <v>339.03</v>
      </c>
      <c r="M44" s="13">
        <f>+Month!M44</f>
        <v>861.57</v>
      </c>
      <c r="N44" s="13">
        <f>+Month!N44</f>
        <v>1346.63</v>
      </c>
      <c r="O44" s="13">
        <f>+Month!O44</f>
        <v>824.2</v>
      </c>
      <c r="P44" s="13">
        <f>+Month!P44</f>
        <v>79.04</v>
      </c>
      <c r="Q44" s="13">
        <f>+Month!Q44</f>
        <v>106.8</v>
      </c>
    </row>
    <row r="45" spans="1:17" ht="12">
      <c r="A45">
        <v>1998</v>
      </c>
      <c r="B45" t="s">
        <v>56</v>
      </c>
      <c r="C45" s="13">
        <f>+Month!C45+C44</f>
        <v>14410.86</v>
      </c>
      <c r="D45" s="13">
        <f>+Month!D45+D44</f>
        <v>983.19</v>
      </c>
      <c r="E45" s="13">
        <f>+Month!E45+E44</f>
        <v>202.52</v>
      </c>
      <c r="F45" s="13">
        <f>+Month!F45+F44</f>
        <v>13225.14</v>
      </c>
      <c r="G45" s="13">
        <f>+Month!G45+G44</f>
        <v>283.61</v>
      </c>
      <c r="H45" s="13">
        <f>+Month!H45+H44</f>
        <v>33.69</v>
      </c>
      <c r="I45" s="13">
        <f>+Month!I45+I44</f>
        <v>373.57</v>
      </c>
      <c r="J45" s="13">
        <f>+Month!J45+J44</f>
        <v>4313.53</v>
      </c>
      <c r="K45" s="13">
        <f>+Month!K45+K44</f>
        <v>1041.3600000000001</v>
      </c>
      <c r="L45" s="13">
        <f>+Month!L45+L44</f>
        <v>640.14</v>
      </c>
      <c r="M45" s="13">
        <f>+Month!M45+M44</f>
        <v>1673.24</v>
      </c>
      <c r="N45" s="13">
        <f>+Month!N45+N44</f>
        <v>2486.98</v>
      </c>
      <c r="O45" s="13">
        <f>+Month!O45+O44</f>
        <v>1694.98</v>
      </c>
      <c r="P45" s="13">
        <f>+Month!P45+P44</f>
        <v>177.35000000000002</v>
      </c>
      <c r="Q45" s="13">
        <f>+Month!Q45+Q44</f>
        <v>235.01999999999998</v>
      </c>
    </row>
    <row r="46" spans="1:17" ht="12">
      <c r="A46">
        <v>1998</v>
      </c>
      <c r="B46" t="s">
        <v>57</v>
      </c>
      <c r="C46" s="13">
        <f>+Month!C46+C45</f>
        <v>22559.14</v>
      </c>
      <c r="D46" s="13">
        <f>+Month!D46+D45</f>
        <v>1499.92</v>
      </c>
      <c r="E46" s="13">
        <f>+Month!E46+E45</f>
        <v>256.38</v>
      </c>
      <c r="F46" s="13">
        <f>+Month!F46+F45</f>
        <v>20802.829999999998</v>
      </c>
      <c r="G46" s="13">
        <f>+Month!G46+G45</f>
        <v>445.43</v>
      </c>
      <c r="H46" s="13">
        <f>+Month!H46+H45</f>
        <v>61.67</v>
      </c>
      <c r="I46" s="13">
        <f>+Month!I46+I45</f>
        <v>589.12</v>
      </c>
      <c r="J46" s="13">
        <f>+Month!J46+J45</f>
        <v>6664.5599999999995</v>
      </c>
      <c r="K46" s="13">
        <f>+Month!K46+K45</f>
        <v>1693.29</v>
      </c>
      <c r="L46" s="13">
        <f>+Month!L46+L45</f>
        <v>962.5</v>
      </c>
      <c r="M46" s="13">
        <f>+Month!M46+M45</f>
        <v>2709.1800000000003</v>
      </c>
      <c r="N46" s="13">
        <f>+Month!N46+N45</f>
        <v>3928.33</v>
      </c>
      <c r="O46" s="13">
        <f>+Month!O46+O45</f>
        <v>2644.5</v>
      </c>
      <c r="P46" s="13">
        <f>+Month!P46+P45</f>
        <v>283.87</v>
      </c>
      <c r="Q46" s="13">
        <f>+Month!Q46+Q45</f>
        <v>425.91999999999996</v>
      </c>
    </row>
    <row r="47" spans="1:17" ht="12">
      <c r="A47">
        <v>1998</v>
      </c>
      <c r="B47" t="s">
        <v>58</v>
      </c>
      <c r="C47" s="13">
        <f>+Month!C47+C46</f>
        <v>30755.72</v>
      </c>
      <c r="D47" s="13">
        <f>+Month!D47+D46</f>
        <v>2027.52</v>
      </c>
      <c r="E47" s="13">
        <f>+Month!E47+E46</f>
        <v>328.28999999999996</v>
      </c>
      <c r="F47" s="13">
        <f>+Month!F47+F46</f>
        <v>28399.899999999998</v>
      </c>
      <c r="G47" s="13">
        <f>+Month!G47+G46</f>
        <v>613.36</v>
      </c>
      <c r="H47" s="13">
        <f>+Month!H47+H46</f>
        <v>96.16</v>
      </c>
      <c r="I47" s="13">
        <f>+Month!I47+I46</f>
        <v>827.38</v>
      </c>
      <c r="J47" s="13">
        <f>+Month!J47+J46</f>
        <v>8948.949999999999</v>
      </c>
      <c r="K47" s="13">
        <f>+Month!K47+K46</f>
        <v>2386.72</v>
      </c>
      <c r="L47" s="13">
        <f>+Month!L47+L46</f>
        <v>1317.88</v>
      </c>
      <c r="M47" s="13">
        <f>+Month!M47+M46</f>
        <v>3620.5600000000004</v>
      </c>
      <c r="N47" s="13">
        <f>+Month!N47+N46</f>
        <v>5406.04</v>
      </c>
      <c r="O47" s="13">
        <f>+Month!O47+O46</f>
        <v>3662.86</v>
      </c>
      <c r="P47" s="13">
        <f>+Month!P47+P46</f>
        <v>387.99</v>
      </c>
      <c r="Q47" s="13">
        <f>+Month!Q47+Q46</f>
        <v>615.41</v>
      </c>
    </row>
    <row r="48" spans="1:17" ht="12">
      <c r="A48">
        <v>1998</v>
      </c>
      <c r="B48" t="s">
        <v>59</v>
      </c>
      <c r="C48" s="13">
        <f>+Month!C48+C47</f>
        <v>39005.31</v>
      </c>
      <c r="D48" s="13">
        <f>+Month!D48+D47</f>
        <v>2562.19</v>
      </c>
      <c r="E48" s="13">
        <f>+Month!E48+E47</f>
        <v>379.4</v>
      </c>
      <c r="F48" s="13">
        <f>+Month!F48+F47</f>
        <v>36063.7</v>
      </c>
      <c r="G48" s="13">
        <f>+Month!G48+G47</f>
        <v>795.26</v>
      </c>
      <c r="H48" s="13">
        <f>+Month!H48+H47</f>
        <v>136.01999999999998</v>
      </c>
      <c r="I48" s="13">
        <f>+Month!I48+I47</f>
        <v>1037.44</v>
      </c>
      <c r="J48" s="13">
        <f>+Month!J48+J47</f>
        <v>11331.539999999999</v>
      </c>
      <c r="K48" s="13">
        <f>+Month!K48+K47</f>
        <v>3153.3799999999997</v>
      </c>
      <c r="L48" s="13">
        <f>+Month!L48+L47</f>
        <v>1546.4900000000002</v>
      </c>
      <c r="M48" s="13">
        <f>+Month!M48+M47</f>
        <v>4529.160000000001</v>
      </c>
      <c r="N48" s="13">
        <f>+Month!N48+N47</f>
        <v>6971.41</v>
      </c>
      <c r="O48" s="13">
        <f>+Month!O48+O47</f>
        <v>4600.39</v>
      </c>
      <c r="P48" s="13">
        <f>+Month!P48+P47</f>
        <v>485.78000000000003</v>
      </c>
      <c r="Q48" s="13">
        <f>+Month!Q48+Q47</f>
        <v>840.8499999999999</v>
      </c>
    </row>
    <row r="49" spans="1:17" ht="12">
      <c r="A49">
        <v>1998</v>
      </c>
      <c r="B49" t="s">
        <v>60</v>
      </c>
      <c r="C49" s="13">
        <f>+Month!C49+C48</f>
        <v>47193.7</v>
      </c>
      <c r="D49" s="13">
        <f>+Month!D49+D48</f>
        <v>3092.17</v>
      </c>
      <c r="E49" s="13">
        <f>+Month!E49+E48</f>
        <v>472.4</v>
      </c>
      <c r="F49" s="13">
        <f>+Month!F49+F48</f>
        <v>43629.11</v>
      </c>
      <c r="G49" s="13">
        <f>+Month!G49+G48</f>
        <v>972</v>
      </c>
      <c r="H49" s="13">
        <f>+Month!H49+H48</f>
        <v>154.42</v>
      </c>
      <c r="I49" s="13">
        <f>+Month!I49+I48</f>
        <v>1251.65</v>
      </c>
      <c r="J49" s="13">
        <f>+Month!J49+J48</f>
        <v>13658.57</v>
      </c>
      <c r="K49" s="13">
        <f>+Month!K49+K48</f>
        <v>3903.47</v>
      </c>
      <c r="L49" s="13">
        <f>+Month!L49+L48</f>
        <v>1762.4400000000003</v>
      </c>
      <c r="M49" s="13">
        <f>+Month!M49+M48</f>
        <v>5413.910000000001</v>
      </c>
      <c r="N49" s="13">
        <f>+Month!N49+N48</f>
        <v>8553.93</v>
      </c>
      <c r="O49" s="13">
        <f>+Month!O49+O48</f>
        <v>5551.33</v>
      </c>
      <c r="P49" s="13">
        <f>+Month!P49+P48</f>
        <v>579.01</v>
      </c>
      <c r="Q49" s="13">
        <f>+Month!Q49+Q48</f>
        <v>1054.06</v>
      </c>
    </row>
    <row r="50" spans="1:17" ht="12">
      <c r="A50">
        <v>1998</v>
      </c>
      <c r="B50" t="s">
        <v>61</v>
      </c>
      <c r="C50" s="13">
        <f>+Month!C50+C49</f>
        <v>55359.5</v>
      </c>
      <c r="D50" s="13">
        <f>+Month!D50+D49</f>
        <v>3624.87</v>
      </c>
      <c r="E50" s="13">
        <f>+Month!E50+E49</f>
        <v>492.53</v>
      </c>
      <c r="F50" s="13">
        <f>+Month!F50+F49</f>
        <v>51242.08</v>
      </c>
      <c r="G50" s="13">
        <f>+Month!G50+G49</f>
        <v>1158.16</v>
      </c>
      <c r="H50" s="13">
        <f>+Month!H50+H49</f>
        <v>216.69</v>
      </c>
      <c r="I50" s="13">
        <f>+Month!I50+I49</f>
        <v>1420.8300000000002</v>
      </c>
      <c r="J50" s="13">
        <f>+Month!J50+J49</f>
        <v>15986.22</v>
      </c>
      <c r="K50" s="13">
        <f>+Month!K50+K49</f>
        <v>4722.98</v>
      </c>
      <c r="L50" s="13">
        <f>+Month!L50+L49</f>
        <v>1928.5000000000002</v>
      </c>
      <c r="M50" s="13">
        <f>+Month!M50+M49</f>
        <v>6306.740000000001</v>
      </c>
      <c r="N50" s="13">
        <f>+Month!N50+N49</f>
        <v>10110.79</v>
      </c>
      <c r="O50" s="13">
        <f>+Month!O50+O49</f>
        <v>6515.6</v>
      </c>
      <c r="P50" s="13">
        <f>+Month!P50+P49</f>
        <v>691.91</v>
      </c>
      <c r="Q50" s="13">
        <f>+Month!Q50+Q49</f>
        <v>1286.44</v>
      </c>
    </row>
    <row r="51" spans="1:17" ht="12">
      <c r="A51">
        <v>1998</v>
      </c>
      <c r="B51" t="s">
        <v>62</v>
      </c>
      <c r="C51" s="13">
        <f>+Month!C51+C50</f>
        <v>62805.15</v>
      </c>
      <c r="D51" s="13">
        <f>+Month!D51+D50</f>
        <v>4151.36</v>
      </c>
      <c r="E51" s="13">
        <f>+Month!E51+E50</f>
        <v>598.76</v>
      </c>
      <c r="F51" s="13">
        <f>+Month!F51+F50</f>
        <v>58055.01</v>
      </c>
      <c r="G51" s="13">
        <f>+Month!G51+G50</f>
        <v>1333.68</v>
      </c>
      <c r="H51" s="13">
        <f>+Month!H51+H50</f>
        <v>251.17</v>
      </c>
      <c r="I51" s="13">
        <f>+Month!I51+I50</f>
        <v>1512.7200000000003</v>
      </c>
      <c r="J51" s="13">
        <f>+Month!J51+J50</f>
        <v>18212.11</v>
      </c>
      <c r="K51" s="13">
        <f>+Month!K51+K50</f>
        <v>5452.99</v>
      </c>
      <c r="L51" s="13">
        <f>+Month!L51+L50</f>
        <v>2119.4900000000002</v>
      </c>
      <c r="M51" s="13">
        <f>+Month!M51+M50</f>
        <v>7101.340000000001</v>
      </c>
      <c r="N51" s="13">
        <f>+Month!N51+N50</f>
        <v>11427.95</v>
      </c>
      <c r="O51" s="13">
        <f>+Month!O51+O50</f>
        <v>7363.14</v>
      </c>
      <c r="P51" s="13">
        <f>+Month!P51+P50</f>
        <v>760.81</v>
      </c>
      <c r="Q51" s="13">
        <f>+Month!Q51+Q50</f>
        <v>1496.71</v>
      </c>
    </row>
    <row r="52" spans="1:17" ht="12">
      <c r="A52">
        <v>1998</v>
      </c>
      <c r="B52" t="s">
        <v>63</v>
      </c>
      <c r="C52" s="13">
        <f>+Month!C52+C51</f>
        <v>69962.73</v>
      </c>
      <c r="D52" s="13">
        <f>+Month!D52+D51</f>
        <v>4633.98</v>
      </c>
      <c r="E52" s="13">
        <f>+Month!E52+E51</f>
        <v>667.28</v>
      </c>
      <c r="F52" s="13">
        <f>+Month!F52+F51</f>
        <v>64661.450000000004</v>
      </c>
      <c r="G52" s="13">
        <f>+Month!G52+G51</f>
        <v>1459.23</v>
      </c>
      <c r="H52" s="13">
        <f>+Month!H52+H51</f>
        <v>282.99</v>
      </c>
      <c r="I52" s="13">
        <f>+Month!I52+I51</f>
        <v>1698.2600000000002</v>
      </c>
      <c r="J52" s="13">
        <f>+Month!J52+J51</f>
        <v>20330.58</v>
      </c>
      <c r="K52" s="13">
        <f>+Month!K52+K51</f>
        <v>6025.18</v>
      </c>
      <c r="L52" s="13">
        <f>+Month!L52+L51</f>
        <v>2356.7000000000003</v>
      </c>
      <c r="M52" s="13">
        <f>+Month!M52+M51</f>
        <v>7879.500000000001</v>
      </c>
      <c r="N52" s="13">
        <f>+Month!N52+N51</f>
        <v>12714.650000000001</v>
      </c>
      <c r="O52" s="13">
        <f>+Month!O52+O51</f>
        <v>8225.970000000001</v>
      </c>
      <c r="P52" s="13">
        <f>+Month!P52+P51</f>
        <v>862.0999999999999</v>
      </c>
      <c r="Q52" s="13">
        <f>+Month!Q52+Q51</f>
        <v>1695.2</v>
      </c>
    </row>
    <row r="53" spans="1:17" ht="12">
      <c r="A53">
        <v>1998</v>
      </c>
      <c r="B53" t="s">
        <v>64</v>
      </c>
      <c r="C53" s="13">
        <f>+Month!C53+C52</f>
        <v>78055.19</v>
      </c>
      <c r="D53" s="13">
        <f>+Month!D53+D52</f>
        <v>5175.74</v>
      </c>
      <c r="E53" s="13">
        <f>+Month!E53+E52</f>
        <v>773.99</v>
      </c>
      <c r="F53" s="13">
        <f>+Month!F53+F52</f>
        <v>72105.45000000001</v>
      </c>
      <c r="G53" s="13">
        <f>+Month!G53+G52</f>
        <v>1615.0900000000001</v>
      </c>
      <c r="H53" s="13">
        <f>+Month!H53+H52</f>
        <v>313.87</v>
      </c>
      <c r="I53" s="13">
        <f>+Month!I53+I52</f>
        <v>1903.7100000000003</v>
      </c>
      <c r="J53" s="13">
        <f>+Month!J53+J52</f>
        <v>22712.54</v>
      </c>
      <c r="K53" s="13">
        <f>+Month!K53+K52</f>
        <v>6710.16</v>
      </c>
      <c r="L53" s="13">
        <f>+Month!L53+L52</f>
        <v>2679.84</v>
      </c>
      <c r="M53" s="13">
        <f>+Month!M53+M52</f>
        <v>8779.54</v>
      </c>
      <c r="N53" s="13">
        <f>+Month!N53+N52</f>
        <v>14134.600000000002</v>
      </c>
      <c r="O53" s="13">
        <f>+Month!O53+O52</f>
        <v>9171.52</v>
      </c>
      <c r="P53" s="13">
        <f>+Month!P53+P52</f>
        <v>948.8899999999999</v>
      </c>
      <c r="Q53" s="13">
        <f>+Month!Q53+Q52</f>
        <v>1881.69</v>
      </c>
    </row>
    <row r="54" spans="1:17" ht="12">
      <c r="A54">
        <v>1998</v>
      </c>
      <c r="B54" t="s">
        <v>65</v>
      </c>
      <c r="C54" s="13">
        <f>+Month!C54+C53</f>
        <v>85743.39</v>
      </c>
      <c r="D54" s="13">
        <f>+Month!D54+D53</f>
        <v>5652.349999999999</v>
      </c>
      <c r="E54" s="13">
        <f>+Month!E54+E53</f>
        <v>835.85</v>
      </c>
      <c r="F54" s="13">
        <f>+Month!F54+F53</f>
        <v>79255.19000000002</v>
      </c>
      <c r="G54" s="13">
        <f>+Month!G54+G53</f>
        <v>1778.48</v>
      </c>
      <c r="H54" s="13">
        <f>+Month!H54+H53</f>
        <v>362.47</v>
      </c>
      <c r="I54" s="13">
        <f>+Month!I54+I53</f>
        <v>2110.3300000000004</v>
      </c>
      <c r="J54" s="13">
        <f>+Month!J54+J53</f>
        <v>24887.190000000002</v>
      </c>
      <c r="K54" s="13">
        <f>+Month!K54+K53</f>
        <v>7348.46</v>
      </c>
      <c r="L54" s="13">
        <f>+Month!L54+L53</f>
        <v>2997.1000000000004</v>
      </c>
      <c r="M54" s="13">
        <f>+Month!M54+M53</f>
        <v>9684.730000000001</v>
      </c>
      <c r="N54" s="13">
        <f>+Month!N54+N53</f>
        <v>15468.930000000002</v>
      </c>
      <c r="O54" s="13">
        <f>+Month!O54+O53</f>
        <v>10152.130000000001</v>
      </c>
      <c r="P54" s="13">
        <f>+Month!P54+P53</f>
        <v>1041.2399999999998</v>
      </c>
      <c r="Q54" s="13">
        <f>+Month!Q54+Q53</f>
        <v>2055.39</v>
      </c>
    </row>
    <row r="55" spans="1:17" ht="12">
      <c r="A55">
        <v>1998</v>
      </c>
      <c r="B55" t="s">
        <v>66</v>
      </c>
      <c r="C55" s="13">
        <f>+Month!C55+C54</f>
        <v>93797.02</v>
      </c>
      <c r="D55" s="13">
        <f>+Month!D55+D54</f>
        <v>6176.99</v>
      </c>
      <c r="E55" s="13">
        <f>+Month!E55+E54</f>
        <v>1005.02</v>
      </c>
      <c r="F55" s="13">
        <f>+Month!F55+F54</f>
        <v>86615.01000000001</v>
      </c>
      <c r="G55" s="13">
        <f>+Month!G55+G54</f>
        <v>1962</v>
      </c>
      <c r="H55" s="13">
        <f>+Month!H55+H54</f>
        <v>394</v>
      </c>
      <c r="I55" s="13">
        <f>+Month!I55+I54</f>
        <v>2316.01</v>
      </c>
      <c r="J55" s="13">
        <f>+Month!J55+J54</f>
        <v>27165.99</v>
      </c>
      <c r="K55" s="13">
        <f>+Month!K55+K54</f>
        <v>7875.99</v>
      </c>
      <c r="L55" s="13">
        <f>+Month!L55+L54</f>
        <v>3442.01</v>
      </c>
      <c r="M55" s="13">
        <f>+Month!M55+M54</f>
        <v>10629.62</v>
      </c>
      <c r="N55" s="13">
        <f>+Month!N55+N54</f>
        <v>16902.390000000003</v>
      </c>
      <c r="O55" s="13">
        <f>+Month!O55+O54</f>
        <v>11124.980000000001</v>
      </c>
      <c r="P55" s="13">
        <f>+Month!P55+P54</f>
        <v>1124.9899999999998</v>
      </c>
      <c r="Q55" s="13">
        <f>+Month!Q55+Q54</f>
        <v>2171.99</v>
      </c>
    </row>
    <row r="56" spans="1:17" ht="12">
      <c r="A56">
        <v>1999</v>
      </c>
      <c r="B56" t="s">
        <v>55</v>
      </c>
      <c r="C56" s="13">
        <f>+Month!C56</f>
        <v>7888.44</v>
      </c>
      <c r="D56" s="13">
        <f>+Month!D56</f>
        <v>501.24</v>
      </c>
      <c r="E56" s="13">
        <f>+Month!E56</f>
        <v>115.9</v>
      </c>
      <c r="F56" s="13">
        <f>+Month!F56</f>
        <v>7271.29</v>
      </c>
      <c r="G56" s="13">
        <f>+Month!G56</f>
        <v>188.88</v>
      </c>
      <c r="H56" s="13">
        <f>+Month!H56</f>
        <v>35.44</v>
      </c>
      <c r="I56" s="13">
        <f>+Month!I56</f>
        <v>205.47</v>
      </c>
      <c r="J56" s="13">
        <f>+Month!J56</f>
        <v>2274.6</v>
      </c>
      <c r="K56" s="13">
        <f>+Month!K56</f>
        <v>559.88</v>
      </c>
      <c r="L56" s="13">
        <f>+Month!L56</f>
        <v>434.34</v>
      </c>
      <c r="M56" s="13">
        <f>+Month!M56</f>
        <v>905.86</v>
      </c>
      <c r="N56" s="13">
        <f>+Month!N56</f>
        <v>1415.85</v>
      </c>
      <c r="O56" s="13">
        <f>+Month!O56</f>
        <v>942.95</v>
      </c>
      <c r="P56" s="13">
        <f>+Month!P56</f>
        <v>77.3</v>
      </c>
      <c r="Q56" s="13">
        <f>+Month!Q56</f>
        <v>96.14</v>
      </c>
    </row>
    <row r="57" spans="1:17" ht="12">
      <c r="A57">
        <v>1999</v>
      </c>
      <c r="B57" t="s">
        <v>56</v>
      </c>
      <c r="C57" s="13">
        <f>+Month!C57+C56</f>
        <v>14806</v>
      </c>
      <c r="D57" s="13">
        <f>+Month!D57+D56</f>
        <v>950.9100000000001</v>
      </c>
      <c r="E57" s="13">
        <f>+Month!E57+E56</f>
        <v>192.39</v>
      </c>
      <c r="F57" s="13">
        <f>+Month!F57+F56</f>
        <v>13662.689999999999</v>
      </c>
      <c r="G57" s="13">
        <f>+Month!G57+G56</f>
        <v>328.85</v>
      </c>
      <c r="H57" s="13">
        <f>+Month!H57+H56</f>
        <v>65.77</v>
      </c>
      <c r="I57" s="13">
        <f>+Month!I57+I56</f>
        <v>365.62</v>
      </c>
      <c r="J57" s="13">
        <f>+Month!J57+J56</f>
        <v>4176.86</v>
      </c>
      <c r="K57" s="13">
        <f>+Month!K57+K56</f>
        <v>1062.13</v>
      </c>
      <c r="L57" s="13">
        <f>+Month!L57+L56</f>
        <v>824.23</v>
      </c>
      <c r="M57" s="13">
        <f>+Month!M57+M56</f>
        <v>1827.8200000000002</v>
      </c>
      <c r="N57" s="13">
        <f>+Month!N57+N56</f>
        <v>2711.14</v>
      </c>
      <c r="O57" s="13">
        <f>+Month!O57+O56</f>
        <v>1670.9</v>
      </c>
      <c r="P57" s="13">
        <f>+Month!P57+P56</f>
        <v>153.68</v>
      </c>
      <c r="Q57" s="13">
        <f>+Month!Q57+Q56</f>
        <v>239.23000000000002</v>
      </c>
    </row>
    <row r="58" spans="1:17" ht="12">
      <c r="A58">
        <v>1999</v>
      </c>
      <c r="B58" t="s">
        <v>57</v>
      </c>
      <c r="C58" s="13">
        <f>+Month!C58+C57</f>
        <v>22666.66</v>
      </c>
      <c r="D58" s="13">
        <f>+Month!D58+D57</f>
        <v>1424.8600000000001</v>
      </c>
      <c r="E58" s="13">
        <f>+Month!E58+E57</f>
        <v>341.04999999999995</v>
      </c>
      <c r="F58" s="13">
        <f>+Month!F58+F57</f>
        <v>20900.739999999998</v>
      </c>
      <c r="G58" s="13">
        <f>+Month!G58+G57</f>
        <v>496.91</v>
      </c>
      <c r="H58" s="13">
        <f>+Month!H58+H57</f>
        <v>98.05</v>
      </c>
      <c r="I58" s="13">
        <f>+Month!I58+I57</f>
        <v>583.52</v>
      </c>
      <c r="J58" s="13">
        <f>+Month!J58+J57</f>
        <v>6464.799999999999</v>
      </c>
      <c r="K58" s="13">
        <f>+Month!K58+K57</f>
        <v>1625.18</v>
      </c>
      <c r="L58" s="13">
        <f>+Month!L58+L57</f>
        <v>1218.29</v>
      </c>
      <c r="M58" s="13">
        <f>+Month!M58+M57</f>
        <v>2778.28</v>
      </c>
      <c r="N58" s="13">
        <f>+Month!N58+N57</f>
        <v>4033.56</v>
      </c>
      <c r="O58" s="13">
        <f>+Month!O58+O57</f>
        <v>2547.13</v>
      </c>
      <c r="P58" s="13">
        <f>+Month!P58+P57</f>
        <v>272.26</v>
      </c>
      <c r="Q58" s="13">
        <f>+Month!Q58+Q57</f>
        <v>418.79</v>
      </c>
    </row>
    <row r="59" spans="1:17" ht="12">
      <c r="A59">
        <v>1999</v>
      </c>
      <c r="B59" t="s">
        <v>58</v>
      </c>
      <c r="C59" s="13">
        <f>+Month!C59+C58</f>
        <v>29968.89</v>
      </c>
      <c r="D59" s="13">
        <f>+Month!D59+D58</f>
        <v>1900.5100000000002</v>
      </c>
      <c r="E59" s="13">
        <f>+Month!E59+E58</f>
        <v>461.67999999999995</v>
      </c>
      <c r="F59" s="13">
        <f>+Month!F59+F58</f>
        <v>27606.69</v>
      </c>
      <c r="G59" s="13">
        <f>+Month!G59+G58</f>
        <v>658.27</v>
      </c>
      <c r="H59" s="13">
        <f>+Month!H59+H58</f>
        <v>123.44999999999999</v>
      </c>
      <c r="I59" s="13">
        <f>+Month!I59+I58</f>
        <v>877.13</v>
      </c>
      <c r="J59" s="13">
        <f>+Month!J59+J58</f>
        <v>8666.05</v>
      </c>
      <c r="K59" s="13">
        <f>+Month!K59+K58</f>
        <v>2187.27</v>
      </c>
      <c r="L59" s="13">
        <f>+Month!L59+L58</f>
        <v>1546.27</v>
      </c>
      <c r="M59" s="13">
        <f>+Month!M59+M58</f>
        <v>3548.1800000000003</v>
      </c>
      <c r="N59" s="13">
        <f>+Month!N59+N58</f>
        <v>5281.86</v>
      </c>
      <c r="O59" s="13">
        <f>+Month!O59+O58</f>
        <v>3377.46</v>
      </c>
      <c r="P59" s="13">
        <f>+Month!P59+P58</f>
        <v>316.03</v>
      </c>
      <c r="Q59" s="13">
        <f>+Month!Q59+Q58</f>
        <v>521.14</v>
      </c>
    </row>
    <row r="60" spans="1:17" ht="12">
      <c r="A60">
        <v>1999</v>
      </c>
      <c r="B60" t="s">
        <v>59</v>
      </c>
      <c r="C60" s="13">
        <f>+Month!C60+C59</f>
        <v>37426.54</v>
      </c>
      <c r="D60" s="13">
        <f>+Month!D60+D59</f>
        <v>2378.69</v>
      </c>
      <c r="E60" s="13">
        <f>+Month!E60+E59</f>
        <v>600.1199999999999</v>
      </c>
      <c r="F60" s="13">
        <f>+Month!F60+F59</f>
        <v>34447.72</v>
      </c>
      <c r="G60" s="13">
        <f>+Month!G60+G59</f>
        <v>826.3399999999999</v>
      </c>
      <c r="H60" s="13">
        <f>+Month!H60+H59</f>
        <v>150.39999999999998</v>
      </c>
      <c r="I60" s="13">
        <f>+Month!I60+I59</f>
        <v>1075.77</v>
      </c>
      <c r="J60" s="13">
        <f>+Month!J60+J59</f>
        <v>10896.48</v>
      </c>
      <c r="K60" s="13">
        <f>+Month!K60+K59</f>
        <v>2812.86</v>
      </c>
      <c r="L60" s="13">
        <f>+Month!L60+L59</f>
        <v>1793.02</v>
      </c>
      <c r="M60" s="13">
        <f>+Month!M60+M59</f>
        <v>4299.4800000000005</v>
      </c>
      <c r="N60" s="13">
        <f>+Month!N60+N59</f>
        <v>6576.23</v>
      </c>
      <c r="O60" s="13">
        <f>+Month!O60+O59</f>
        <v>4287.17</v>
      </c>
      <c r="P60" s="13">
        <f>+Month!P60+P59</f>
        <v>388.09999999999997</v>
      </c>
      <c r="Q60" s="13">
        <f>+Month!Q60+Q59</f>
        <v>672.8399999999999</v>
      </c>
    </row>
    <row r="61" spans="1:17" ht="12">
      <c r="A61">
        <v>1999</v>
      </c>
      <c r="B61" t="s">
        <v>60</v>
      </c>
      <c r="C61" s="13">
        <f>+Month!C61+C60</f>
        <v>44686.94</v>
      </c>
      <c r="D61" s="13">
        <f>+Month!D61+D60</f>
        <v>2829.25</v>
      </c>
      <c r="E61" s="13">
        <f>+Month!E61+E60</f>
        <v>718.2899999999998</v>
      </c>
      <c r="F61" s="13">
        <f>+Month!F61+F60</f>
        <v>41139.4</v>
      </c>
      <c r="G61" s="13">
        <f>+Month!G61+G60</f>
        <v>987.81</v>
      </c>
      <c r="H61" s="13">
        <f>+Month!H61+H60</f>
        <v>176.93999999999997</v>
      </c>
      <c r="I61" s="13">
        <f>+Month!I61+I60</f>
        <v>1265.36</v>
      </c>
      <c r="J61" s="13">
        <f>+Month!J61+J60</f>
        <v>12880.82</v>
      </c>
      <c r="K61" s="13">
        <f>+Month!K61+K60</f>
        <v>3533.34</v>
      </c>
      <c r="L61" s="13">
        <f>+Month!L61+L60</f>
        <v>1978.69</v>
      </c>
      <c r="M61" s="13">
        <f>+Month!M61+M60</f>
        <v>5053.660000000001</v>
      </c>
      <c r="N61" s="13">
        <f>+Month!N61+N60</f>
        <v>7925.2</v>
      </c>
      <c r="O61" s="13">
        <f>+Month!O61+O60</f>
        <v>5205.1</v>
      </c>
      <c r="P61" s="13">
        <f>+Month!P61+P60</f>
        <v>479.22999999999996</v>
      </c>
      <c r="Q61" s="13">
        <f>+Month!Q61+Q60</f>
        <v>833.17</v>
      </c>
    </row>
    <row r="62" spans="1:17" ht="12">
      <c r="A62">
        <v>1999</v>
      </c>
      <c r="B62" t="s">
        <v>61</v>
      </c>
      <c r="C62" s="13">
        <f>+Month!C62+C61</f>
        <v>52078.93</v>
      </c>
      <c r="D62" s="13">
        <f>+Month!D62+D61</f>
        <v>3282.62</v>
      </c>
      <c r="E62" s="13">
        <f>+Month!E62+E61</f>
        <v>867.4099999999999</v>
      </c>
      <c r="F62" s="13">
        <f>+Month!F62+F61</f>
        <v>47928.9</v>
      </c>
      <c r="G62" s="13">
        <f>+Month!G62+G61</f>
        <v>1170.25</v>
      </c>
      <c r="H62" s="13">
        <f>+Month!H62+H61</f>
        <v>212.09999999999997</v>
      </c>
      <c r="I62" s="13">
        <f>+Month!I62+I61</f>
        <v>1480.04</v>
      </c>
      <c r="J62" s="13">
        <f>+Month!J62+J61</f>
        <v>15030.689999999999</v>
      </c>
      <c r="K62" s="13">
        <f>+Month!K62+K61</f>
        <v>4222.96</v>
      </c>
      <c r="L62" s="13">
        <f>+Month!L62+L61</f>
        <v>2137.35</v>
      </c>
      <c r="M62" s="13">
        <f>+Month!M62+M61</f>
        <v>5840.93</v>
      </c>
      <c r="N62" s="13">
        <f>+Month!N62+N61</f>
        <v>9298.01</v>
      </c>
      <c r="O62" s="13">
        <f>+Month!O62+O61</f>
        <v>5994.110000000001</v>
      </c>
      <c r="P62" s="13">
        <f>+Month!P62+P61</f>
        <v>567.4499999999999</v>
      </c>
      <c r="Q62" s="13">
        <f>+Month!Q62+Q61</f>
        <v>1015.7099999999999</v>
      </c>
    </row>
    <row r="63" spans="1:17" ht="12">
      <c r="A63">
        <v>1999</v>
      </c>
      <c r="B63" t="s">
        <v>62</v>
      </c>
      <c r="C63" s="13">
        <f>+Month!C63+C62</f>
        <v>59389.520000000004</v>
      </c>
      <c r="D63" s="13">
        <f>+Month!D63+D62</f>
        <v>3763.62</v>
      </c>
      <c r="E63" s="13">
        <f>+Month!E63+E62</f>
        <v>978.6099999999999</v>
      </c>
      <c r="F63" s="13">
        <f>+Month!F63+F62</f>
        <v>54647.3</v>
      </c>
      <c r="G63" s="13">
        <f>+Month!G63+G62</f>
        <v>1352.82</v>
      </c>
      <c r="H63" s="13">
        <f>+Month!H63+H62</f>
        <v>243.60999999999996</v>
      </c>
      <c r="I63" s="13">
        <f>+Month!I63+I62</f>
        <v>1643.1299999999999</v>
      </c>
      <c r="J63" s="13">
        <f>+Month!J63+J62</f>
        <v>17212.25</v>
      </c>
      <c r="K63" s="13">
        <f>+Month!K63+K62</f>
        <v>4894.9</v>
      </c>
      <c r="L63" s="13">
        <f>+Month!L63+L62</f>
        <v>2344.22</v>
      </c>
      <c r="M63" s="13">
        <f>+Month!M63+M62</f>
        <v>6637.3</v>
      </c>
      <c r="N63" s="13">
        <f>+Month!N63+N62</f>
        <v>10618.11</v>
      </c>
      <c r="O63" s="13">
        <f>+Month!O63+O62</f>
        <v>6779.160000000001</v>
      </c>
      <c r="P63" s="13">
        <f>+Month!P63+P62</f>
        <v>643.8199999999999</v>
      </c>
      <c r="Q63" s="13">
        <f>+Month!Q63+Q62</f>
        <v>1162.99</v>
      </c>
    </row>
    <row r="64" spans="1:17" ht="12">
      <c r="A64">
        <v>1999</v>
      </c>
      <c r="B64" t="s">
        <v>63</v>
      </c>
      <c r="C64" s="13">
        <f>+Month!C64+C63</f>
        <v>66161.56</v>
      </c>
      <c r="D64" s="13">
        <f>+Month!D64+D63</f>
        <v>4186.63</v>
      </c>
      <c r="E64" s="13">
        <f>+Month!E64+E63</f>
        <v>1076.6899999999998</v>
      </c>
      <c r="F64" s="13">
        <f>+Month!F64+F63</f>
        <v>60898.240000000005</v>
      </c>
      <c r="G64" s="13">
        <f>+Month!G64+G63</f>
        <v>1471.1399999999999</v>
      </c>
      <c r="H64" s="13">
        <f>+Month!H64+H63</f>
        <v>276.15999999999997</v>
      </c>
      <c r="I64" s="13">
        <f>+Month!I64+I63</f>
        <v>1848.9499999999998</v>
      </c>
      <c r="J64" s="13">
        <f>+Month!J64+J63</f>
        <v>19004.13</v>
      </c>
      <c r="K64" s="13">
        <f>+Month!K64+K63</f>
        <v>5478.75</v>
      </c>
      <c r="L64" s="13">
        <f>+Month!L64+L63</f>
        <v>2597.1299999999997</v>
      </c>
      <c r="M64" s="13">
        <f>+Month!M64+M63</f>
        <v>7363.58</v>
      </c>
      <c r="N64" s="13">
        <f>+Month!N64+N63</f>
        <v>11819.04</v>
      </c>
      <c r="O64" s="13">
        <f>+Month!O64+O63</f>
        <v>7699.030000000001</v>
      </c>
      <c r="P64" s="13">
        <f>+Month!P64+P63</f>
        <v>750.4</v>
      </c>
      <c r="Q64" s="13">
        <f>+Month!Q64+Q63</f>
        <v>1304.4</v>
      </c>
    </row>
    <row r="65" spans="1:17" ht="12">
      <c r="A65">
        <v>1999</v>
      </c>
      <c r="B65" t="s">
        <v>64</v>
      </c>
      <c r="C65" s="13">
        <f>+Month!C65+C64</f>
        <v>73243.79</v>
      </c>
      <c r="D65" s="13">
        <f>+Month!D65+D64</f>
        <v>4634.58</v>
      </c>
      <c r="E65" s="13">
        <f>+Month!E65+E64</f>
        <v>1231.8799999999999</v>
      </c>
      <c r="F65" s="13">
        <f>+Month!F65+F64</f>
        <v>67377.33</v>
      </c>
      <c r="G65" s="13">
        <f>+Month!G65+G64</f>
        <v>1592.4399999999998</v>
      </c>
      <c r="H65" s="13">
        <f>+Month!H65+H64</f>
        <v>304.2</v>
      </c>
      <c r="I65" s="13">
        <f>+Month!I65+I64</f>
        <v>2072.04</v>
      </c>
      <c r="J65" s="13">
        <f>+Month!J65+J64</f>
        <v>20911.95</v>
      </c>
      <c r="K65" s="13">
        <f>+Month!K65+K64</f>
        <v>6147.34</v>
      </c>
      <c r="L65" s="13">
        <f>+Month!L65+L64</f>
        <v>2838.1099999999997</v>
      </c>
      <c r="M65" s="13">
        <f>+Month!M65+M64</f>
        <v>8210.83</v>
      </c>
      <c r="N65" s="13">
        <f>+Month!N65+N64</f>
        <v>13155.69</v>
      </c>
      <c r="O65" s="13">
        <f>+Month!O65+O64</f>
        <v>8512.220000000001</v>
      </c>
      <c r="P65" s="13">
        <f>+Month!P65+P64</f>
        <v>812.06</v>
      </c>
      <c r="Q65" s="13">
        <f>+Month!Q65+Q64</f>
        <v>1416.8300000000002</v>
      </c>
    </row>
    <row r="66" spans="1:17" ht="12">
      <c r="A66">
        <v>1999</v>
      </c>
      <c r="B66" t="s">
        <v>65</v>
      </c>
      <c r="C66" s="13">
        <f>+Month!C66+C65</f>
        <v>80907.34</v>
      </c>
      <c r="D66" s="13">
        <f>+Month!D66+D65</f>
        <v>5100.49</v>
      </c>
      <c r="E66" s="13">
        <f>+Month!E66+E65</f>
        <v>1345.3799999999999</v>
      </c>
      <c r="F66" s="13">
        <f>+Month!F66+F65</f>
        <v>74461.47</v>
      </c>
      <c r="G66" s="13">
        <f>+Month!G66+G65</f>
        <v>1832.7099999999998</v>
      </c>
      <c r="H66" s="13">
        <f>+Month!H66+H65</f>
        <v>334.73</v>
      </c>
      <c r="I66" s="13">
        <f>+Month!I66+I65</f>
        <v>2193.89</v>
      </c>
      <c r="J66" s="13">
        <f>+Month!J66+J65</f>
        <v>23219.98</v>
      </c>
      <c r="K66" s="13">
        <f>+Month!K66+K65</f>
        <v>6743.38</v>
      </c>
      <c r="L66" s="13">
        <f>+Month!L66+L65</f>
        <v>3199.47</v>
      </c>
      <c r="M66" s="13">
        <f>+Month!M66+M65</f>
        <v>9077.52</v>
      </c>
      <c r="N66" s="13">
        <f>+Month!N66+N65</f>
        <v>14433.27</v>
      </c>
      <c r="O66" s="13">
        <f>+Month!O66+O65</f>
        <v>9510.050000000001</v>
      </c>
      <c r="P66" s="13">
        <f>+Month!P66+P65</f>
        <v>872.6099999999999</v>
      </c>
      <c r="Q66" s="13">
        <f>+Month!Q66+Q65</f>
        <v>1546.92</v>
      </c>
    </row>
    <row r="67" spans="1:17" ht="12">
      <c r="A67">
        <v>1999</v>
      </c>
      <c r="B67" t="s">
        <v>66</v>
      </c>
      <c r="C67" s="13">
        <f>+Month!C67+C66</f>
        <v>88285.98999999999</v>
      </c>
      <c r="D67" s="13">
        <f>+Month!D67+D66</f>
        <v>5538</v>
      </c>
      <c r="E67" s="13">
        <f>+Month!E67+E66</f>
        <v>1553</v>
      </c>
      <c r="F67" s="13">
        <f>+Month!F67+F66</f>
        <v>81195</v>
      </c>
      <c r="G67" s="13">
        <f>+Month!G67+G66</f>
        <v>1975.9899999999998</v>
      </c>
      <c r="H67" s="13">
        <f>+Month!H67+H66</f>
        <v>361.02000000000004</v>
      </c>
      <c r="I67" s="13">
        <f>+Month!I67+I66</f>
        <v>2429.99</v>
      </c>
      <c r="J67" s="13">
        <f>+Month!J67+J66</f>
        <v>25230</v>
      </c>
      <c r="K67" s="13">
        <f>+Month!K67+K66</f>
        <v>7249.02</v>
      </c>
      <c r="L67" s="13">
        <f>+Month!L67+L66</f>
        <v>3553</v>
      </c>
      <c r="M67" s="13">
        <f>+Month!M67+M66</f>
        <v>9967.130000000001</v>
      </c>
      <c r="N67" s="13">
        <f>+Month!N67+N66</f>
        <v>15782.86</v>
      </c>
      <c r="O67" s="13">
        <f>+Month!O67+O66</f>
        <v>10446.010000000002</v>
      </c>
      <c r="P67" s="13">
        <f>+Month!P67+P66</f>
        <v>906.9999999999999</v>
      </c>
      <c r="Q67" s="13">
        <f>+Month!Q67+Q66</f>
        <v>1643.99</v>
      </c>
    </row>
    <row r="68" spans="1:17" ht="12">
      <c r="A68">
        <v>2000</v>
      </c>
      <c r="B68" t="s">
        <v>55</v>
      </c>
      <c r="C68" s="13">
        <f>+Month!C68</f>
        <v>7408.39</v>
      </c>
      <c r="D68" s="13">
        <f>+Month!D68</f>
        <v>423.64</v>
      </c>
      <c r="E68" s="13">
        <f>+Month!E68</f>
        <v>278.31</v>
      </c>
      <c r="F68" s="13">
        <f>+Month!F68</f>
        <v>6706.44</v>
      </c>
      <c r="G68" s="13">
        <f>+Month!G68</f>
        <v>151.17</v>
      </c>
      <c r="H68" s="13">
        <f>+Month!H68</f>
        <v>25.56</v>
      </c>
      <c r="I68" s="13">
        <f>+Month!I68</f>
        <v>258.56</v>
      </c>
      <c r="J68" s="13">
        <f>+Month!J68</f>
        <v>1970.38</v>
      </c>
      <c r="K68" s="13">
        <f>+Month!K68</f>
        <v>480</v>
      </c>
      <c r="L68" s="13">
        <f>+Month!L68</f>
        <v>270.61</v>
      </c>
      <c r="M68" s="13">
        <f>+Month!M68</f>
        <v>944.77</v>
      </c>
      <c r="N68" s="13">
        <f>+Month!N68</f>
        <v>1476.67</v>
      </c>
      <c r="O68" s="13">
        <f>+Month!O68</f>
        <v>946.23</v>
      </c>
      <c r="P68" s="13">
        <f>+Month!P68</f>
        <v>17.09</v>
      </c>
      <c r="Q68" s="13">
        <f>+Month!Q68</f>
        <v>57.83</v>
      </c>
    </row>
    <row r="69" spans="1:17" ht="12">
      <c r="A69">
        <v>2000</v>
      </c>
      <c r="B69" t="s">
        <v>56</v>
      </c>
      <c r="C69" s="13">
        <f>+Month!C69+C68</f>
        <v>14816.78</v>
      </c>
      <c r="D69" s="13">
        <f>+Month!D69+D68</f>
        <v>843.5999999999999</v>
      </c>
      <c r="E69" s="13">
        <f>+Month!E69+E68</f>
        <v>640.21</v>
      </c>
      <c r="F69" s="13">
        <f>+Month!F69+F68</f>
        <v>13332.97</v>
      </c>
      <c r="G69" s="13">
        <f>+Month!G69+G68</f>
        <v>300.78999999999996</v>
      </c>
      <c r="H69" s="13">
        <f>+Month!H69+H68</f>
        <v>49.42</v>
      </c>
      <c r="I69" s="13">
        <f>+Month!I69+I68</f>
        <v>540.49</v>
      </c>
      <c r="J69" s="13">
        <f>+Month!J69+J68</f>
        <v>3949.4700000000003</v>
      </c>
      <c r="K69" s="13">
        <f>+Month!K69+K68</f>
        <v>977</v>
      </c>
      <c r="L69" s="13">
        <f>+Month!L69+L68</f>
        <v>631.53</v>
      </c>
      <c r="M69" s="13">
        <f>+Month!M69+M68</f>
        <v>1878.75</v>
      </c>
      <c r="N69" s="13">
        <f>+Month!N69+N68</f>
        <v>2788.8500000000004</v>
      </c>
      <c r="O69" s="13">
        <f>+Month!O69+O68</f>
        <v>1757.54</v>
      </c>
      <c r="P69" s="13">
        <f>+Month!P69+P68</f>
        <v>80.14</v>
      </c>
      <c r="Q69" s="13">
        <f>+Month!Q69+Q68</f>
        <v>183.31</v>
      </c>
    </row>
    <row r="70" spans="1:17" ht="12">
      <c r="A70">
        <v>2000</v>
      </c>
      <c r="B70" t="s">
        <v>57</v>
      </c>
      <c r="C70" s="13">
        <f>+Month!C70+C69</f>
        <v>22225.170000000002</v>
      </c>
      <c r="D70" s="13">
        <f>+Month!D70+D69</f>
        <v>1273.1399999999999</v>
      </c>
      <c r="E70" s="13">
        <f>+Month!E70+E69</f>
        <v>649.5</v>
      </c>
      <c r="F70" s="13">
        <f>+Month!F70+F69</f>
        <v>20302.53</v>
      </c>
      <c r="G70" s="13">
        <f>+Month!G70+G69</f>
        <v>460.3299999999999</v>
      </c>
      <c r="H70" s="13">
        <f>+Month!H70+H69</f>
        <v>74.98</v>
      </c>
      <c r="I70" s="13">
        <f>+Month!I70+I69</f>
        <v>806.85</v>
      </c>
      <c r="J70" s="13">
        <f>+Month!J70+J69</f>
        <v>6075.25</v>
      </c>
      <c r="K70" s="13">
        <f>+Month!K70+K69</f>
        <v>1492</v>
      </c>
      <c r="L70" s="13">
        <f>+Month!L70+L69</f>
        <v>944.28</v>
      </c>
      <c r="M70" s="13">
        <f>+Month!M70+M69</f>
        <v>2870.69</v>
      </c>
      <c r="N70" s="13">
        <f>+Month!N70+N69</f>
        <v>4168.9800000000005</v>
      </c>
      <c r="O70" s="13">
        <f>+Month!O70+O69</f>
        <v>2594.77</v>
      </c>
      <c r="P70" s="13">
        <f>+Month!P70+P69</f>
        <v>114.25999999999999</v>
      </c>
      <c r="Q70" s="13">
        <f>+Month!Q70+Q69</f>
        <v>321.5</v>
      </c>
    </row>
    <row r="71" spans="1:17" ht="12">
      <c r="A71">
        <v>2000</v>
      </c>
      <c r="B71" t="s">
        <v>58</v>
      </c>
      <c r="C71" s="13">
        <f>+Month!C71+C70</f>
        <v>29399.45</v>
      </c>
      <c r="D71" s="13">
        <f>+Month!D71+D70</f>
        <v>1703.58</v>
      </c>
      <c r="E71" s="13">
        <f>+Month!E71+E70</f>
        <v>535.48</v>
      </c>
      <c r="F71" s="13">
        <f>+Month!F71+F70</f>
        <v>27160.399999999998</v>
      </c>
      <c r="G71" s="13">
        <f>+Month!G71+G70</f>
        <v>651.3899999999999</v>
      </c>
      <c r="H71" s="13">
        <f>+Month!H71+H70</f>
        <v>102.25</v>
      </c>
      <c r="I71" s="13">
        <f>+Month!I71+I70</f>
        <v>1086.67</v>
      </c>
      <c r="J71" s="13">
        <f>+Month!J71+J70</f>
        <v>8127.139999999999</v>
      </c>
      <c r="K71" s="13">
        <f>+Month!K71+K70</f>
        <v>2053</v>
      </c>
      <c r="L71" s="13">
        <f>+Month!L71+L70</f>
        <v>1254.07</v>
      </c>
      <c r="M71" s="13">
        <f>+Month!M71+M70</f>
        <v>3724.26</v>
      </c>
      <c r="N71" s="13">
        <f>+Month!N71+N70</f>
        <v>5552.950000000001</v>
      </c>
      <c r="O71" s="13">
        <f>+Month!O71+O70</f>
        <v>3512.41</v>
      </c>
      <c r="P71" s="13">
        <f>+Month!P71+P70</f>
        <v>163.63</v>
      </c>
      <c r="Q71" s="13">
        <f>+Month!Q71+Q70</f>
        <v>417.87</v>
      </c>
    </row>
    <row r="72" spans="1:17" ht="12">
      <c r="A72">
        <v>2000</v>
      </c>
      <c r="B72" t="s">
        <v>59</v>
      </c>
      <c r="C72" s="13">
        <f>+Month!C72+C71</f>
        <v>36573.73</v>
      </c>
      <c r="D72" s="13">
        <f>+Month!D72+D71</f>
        <v>2140.83</v>
      </c>
      <c r="E72" s="13">
        <f>+Month!E72+E71</f>
        <v>467.33000000000004</v>
      </c>
      <c r="F72" s="13">
        <f>+Month!F72+F71</f>
        <v>33965.58</v>
      </c>
      <c r="G72" s="13">
        <f>+Month!G72+G71</f>
        <v>824.3899999999999</v>
      </c>
      <c r="H72" s="13">
        <f>+Month!H72+H71</f>
        <v>124.4</v>
      </c>
      <c r="I72" s="13">
        <f>+Month!I72+I71</f>
        <v>1391.17</v>
      </c>
      <c r="J72" s="13">
        <f>+Month!J72+J71</f>
        <v>10103.98</v>
      </c>
      <c r="K72" s="13">
        <f>+Month!K72+K71</f>
        <v>2649</v>
      </c>
      <c r="L72" s="13">
        <f>+Month!L72+L71</f>
        <v>1429.8</v>
      </c>
      <c r="M72" s="13">
        <f>+Month!M72+M71</f>
        <v>4577.6</v>
      </c>
      <c r="N72" s="13">
        <f>+Month!N72+N71</f>
        <v>7023.110000000001</v>
      </c>
      <c r="O72" s="13">
        <f>+Month!O72+O71</f>
        <v>4370.19</v>
      </c>
      <c r="P72" s="13">
        <f>+Month!P72+P71</f>
        <v>231.63</v>
      </c>
      <c r="Q72" s="13">
        <f>+Month!Q72+Q71</f>
        <v>553.6700000000001</v>
      </c>
    </row>
    <row r="73" spans="1:17" ht="12">
      <c r="A73">
        <v>2000</v>
      </c>
      <c r="B73" t="s">
        <v>60</v>
      </c>
      <c r="C73" s="13">
        <f>+Month!C73+C72</f>
        <v>43748.01</v>
      </c>
      <c r="D73" s="13">
        <f>+Month!D73+D72</f>
        <v>2567.5699999999997</v>
      </c>
      <c r="E73" s="13">
        <f>+Month!E73+E72</f>
        <v>1072.16</v>
      </c>
      <c r="F73" s="13">
        <f>+Month!F73+F72</f>
        <v>40108.3</v>
      </c>
      <c r="G73" s="13">
        <f>+Month!G73+G72</f>
        <v>990.6799999999998</v>
      </c>
      <c r="H73" s="13">
        <f>+Month!H73+H72</f>
        <v>148.26</v>
      </c>
      <c r="I73" s="13">
        <f>+Month!I73+I72</f>
        <v>1603.8200000000002</v>
      </c>
      <c r="J73" s="13">
        <f>+Month!J73+J72</f>
        <v>11993.689999999999</v>
      </c>
      <c r="K73" s="13">
        <f>+Month!K73+K72</f>
        <v>3168</v>
      </c>
      <c r="L73" s="13">
        <f>+Month!L73+L72</f>
        <v>1553.5</v>
      </c>
      <c r="M73" s="13">
        <f>+Month!M73+M72</f>
        <v>5357.1900000000005</v>
      </c>
      <c r="N73" s="13">
        <f>+Month!N73+N72</f>
        <v>8417.52</v>
      </c>
      <c r="O73" s="13">
        <f>+Month!O73+O72</f>
        <v>5108.24</v>
      </c>
      <c r="P73" s="13">
        <f>+Month!P73+P72</f>
        <v>297.63</v>
      </c>
      <c r="Q73" s="13">
        <f>+Month!Q73+Q72</f>
        <v>685.34</v>
      </c>
    </row>
    <row r="74" spans="1:17" ht="12">
      <c r="A74">
        <v>2000</v>
      </c>
      <c r="B74" t="s">
        <v>61</v>
      </c>
      <c r="C74" s="13">
        <f>+Month!C74+C73</f>
        <v>51029.75</v>
      </c>
      <c r="D74" s="13">
        <f>+Month!D74+D73</f>
        <v>3008.3799999999997</v>
      </c>
      <c r="E74" s="13">
        <f>+Month!E74+E73</f>
        <v>1453.17</v>
      </c>
      <c r="F74" s="13">
        <f>+Month!F74+F73</f>
        <v>46568.21000000001</v>
      </c>
      <c r="G74" s="13">
        <f>+Month!G74+G73</f>
        <v>1158.8799999999999</v>
      </c>
      <c r="H74" s="13">
        <f>+Month!H74+H73</f>
        <v>171.22</v>
      </c>
      <c r="I74" s="13">
        <f>+Month!I74+I73</f>
        <v>1801.8700000000001</v>
      </c>
      <c r="J74" s="13">
        <f>+Month!J74+J73</f>
        <v>13843.399999999998</v>
      </c>
      <c r="K74" s="13">
        <f>+Month!K74+K73</f>
        <v>3757</v>
      </c>
      <c r="L74" s="13">
        <f>+Month!L74+L73</f>
        <v>1738.29</v>
      </c>
      <c r="M74" s="13">
        <f>+Month!M74+M73</f>
        <v>6207.330000000001</v>
      </c>
      <c r="N74" s="13">
        <f>+Month!N74+N73</f>
        <v>9899.95</v>
      </c>
      <c r="O74" s="13">
        <f>+Month!O74+O73</f>
        <v>5914.19</v>
      </c>
      <c r="P74" s="13">
        <f>+Month!P74+P73</f>
        <v>355.96</v>
      </c>
      <c r="Q74" s="13">
        <f>+Month!Q74+Q73</f>
        <v>843.09</v>
      </c>
    </row>
    <row r="75" spans="1:17" ht="12">
      <c r="A75" s="14">
        <v>2000</v>
      </c>
      <c r="B75" s="14" t="s">
        <v>62</v>
      </c>
      <c r="C75" s="13">
        <f>+Month!C75+C74</f>
        <v>58311.49</v>
      </c>
      <c r="D75" s="13">
        <f>+Month!D75+D74</f>
        <v>3459.7599999999998</v>
      </c>
      <c r="E75" s="13">
        <f>+Month!E75+E74</f>
        <v>1218.54</v>
      </c>
      <c r="F75" s="13">
        <f>+Month!F75+F74</f>
        <v>53633.200000000004</v>
      </c>
      <c r="G75" s="13">
        <f>+Month!G75+G74</f>
        <v>1344.04</v>
      </c>
      <c r="H75" s="13">
        <f>+Month!H75+H74</f>
        <v>188.26</v>
      </c>
      <c r="I75" s="13">
        <f>+Month!I75+I74</f>
        <v>2067.5</v>
      </c>
      <c r="J75" s="13">
        <f>+Month!J75+J74</f>
        <v>15850.579999999998</v>
      </c>
      <c r="K75" s="13">
        <f>+Month!K75+K74</f>
        <v>4408</v>
      </c>
      <c r="L75" s="13">
        <f>+Month!L75+L74</f>
        <v>1922.45</v>
      </c>
      <c r="M75" s="13">
        <f>+Month!M75+M74</f>
        <v>7130.220000000001</v>
      </c>
      <c r="N75" s="13">
        <f>+Month!N75+N74</f>
        <v>11429.78</v>
      </c>
      <c r="O75" s="13">
        <f>+Month!O75+O74</f>
        <v>6826.469999999999</v>
      </c>
      <c r="P75" s="13">
        <f>+Month!P75+P74</f>
        <v>432.13</v>
      </c>
      <c r="Q75" s="13">
        <f>+Month!Q75+Q74</f>
        <v>982.97</v>
      </c>
    </row>
    <row r="76" spans="1:17" ht="12">
      <c r="A76">
        <v>2000</v>
      </c>
      <c r="B76" t="s">
        <v>63</v>
      </c>
      <c r="C76" s="13">
        <f>+Month!C76+C75</f>
        <v>65593.23</v>
      </c>
      <c r="D76" s="13">
        <f>+Month!D76+D75</f>
        <v>3877.58</v>
      </c>
      <c r="E76" s="13">
        <f>+Month!E76+E75</f>
        <v>1421.26</v>
      </c>
      <c r="F76" s="13">
        <f>+Month!F76+F75</f>
        <v>60294.4</v>
      </c>
      <c r="G76" s="13">
        <f>+Month!G76+G75</f>
        <v>1479.24</v>
      </c>
      <c r="H76" s="13">
        <f>+Month!H76+H75</f>
        <v>207.01</v>
      </c>
      <c r="I76" s="13">
        <f>+Month!I76+I75</f>
        <v>2281.71</v>
      </c>
      <c r="J76" s="13">
        <f>+Month!J76+J75</f>
        <v>17750.39</v>
      </c>
      <c r="K76" s="13">
        <f>+Month!K76+K75</f>
        <v>4966</v>
      </c>
      <c r="L76" s="13">
        <f>+Month!L76+L75</f>
        <v>2160.89</v>
      </c>
      <c r="M76" s="13">
        <f>+Month!M76+M75</f>
        <v>8043.460000000001</v>
      </c>
      <c r="N76" s="13">
        <f>+Month!N76+N75</f>
        <v>12939.84</v>
      </c>
      <c r="O76" s="13">
        <f>+Month!O76+O75</f>
        <v>7621.699999999999</v>
      </c>
      <c r="P76" s="13">
        <f>+Month!P76+P75</f>
        <v>506.45</v>
      </c>
      <c r="Q76" s="13">
        <f>+Month!Q76+Q75</f>
        <v>1105.64</v>
      </c>
    </row>
    <row r="77" spans="1:17" ht="12">
      <c r="A77">
        <v>2000</v>
      </c>
      <c r="B77" t="s">
        <v>64</v>
      </c>
      <c r="C77" s="13">
        <f>+Month!C77+C76</f>
        <v>73066.56999999999</v>
      </c>
      <c r="D77" s="13">
        <f>+Month!D77+D76</f>
        <v>4321.46</v>
      </c>
      <c r="E77" s="13">
        <f>+Month!E77+E76</f>
        <v>1519.17</v>
      </c>
      <c r="F77" s="13">
        <f>+Month!F77+F76</f>
        <v>67225.95</v>
      </c>
      <c r="G77" s="13">
        <f>+Month!G77+G76</f>
        <v>1610.71</v>
      </c>
      <c r="H77" s="13">
        <f>+Month!H77+H76</f>
        <v>232.57</v>
      </c>
      <c r="I77" s="13">
        <f>+Month!I77+I76</f>
        <v>2530.04</v>
      </c>
      <c r="J77" s="13">
        <f>+Month!J77+J76</f>
        <v>19732.04</v>
      </c>
      <c r="K77" s="13">
        <f>+Month!K77+K76</f>
        <v>5479</v>
      </c>
      <c r="L77" s="13">
        <f>+Month!L77+L76</f>
        <v>2468.89</v>
      </c>
      <c r="M77" s="13">
        <f>+Month!M77+M76</f>
        <v>8974.01</v>
      </c>
      <c r="N77" s="13">
        <f>+Month!N77+N76</f>
        <v>14407.92</v>
      </c>
      <c r="O77" s="13">
        <f>+Month!O77+O76</f>
        <v>8400.849999999999</v>
      </c>
      <c r="P77" s="13">
        <f>+Month!P77+P76</f>
        <v>556.9399999999999</v>
      </c>
      <c r="Q77" s="13">
        <f>+Month!Q77+Q76</f>
        <v>1242.1000000000001</v>
      </c>
    </row>
    <row r="78" spans="1:17" ht="12">
      <c r="A78">
        <v>2000</v>
      </c>
      <c r="B78" s="14" t="s">
        <v>65</v>
      </c>
      <c r="C78" s="13">
        <f>+Month!C78+C77</f>
        <v>80539.90999999999</v>
      </c>
      <c r="D78" s="13">
        <f>+Month!D78+D77</f>
        <v>4800.76</v>
      </c>
      <c r="E78" s="13">
        <f>+Month!E78+E77</f>
        <v>1678.0700000000002</v>
      </c>
      <c r="F78" s="13">
        <f>+Month!F78+F77</f>
        <v>74061.09</v>
      </c>
      <c r="G78" s="13">
        <f>+Month!G78+G77</f>
        <v>1750.52</v>
      </c>
      <c r="H78" s="13">
        <f>+Month!H78+H77</f>
        <v>259.84</v>
      </c>
      <c r="I78" s="13">
        <f>+Month!I78+I77</f>
        <v>2785.04</v>
      </c>
      <c r="J78" s="13">
        <f>+Month!J78+J77</f>
        <v>21582.86</v>
      </c>
      <c r="K78" s="13">
        <f>+Month!K78+K77</f>
        <v>5968</v>
      </c>
      <c r="L78" s="13">
        <f>+Month!L78+L77</f>
        <v>2794.89</v>
      </c>
      <c r="M78" s="13">
        <f>+Month!M78+M77</f>
        <v>9977.26</v>
      </c>
      <c r="N78" s="13">
        <f>+Month!N78+N77</f>
        <v>15886.81</v>
      </c>
      <c r="O78" s="13">
        <f>+Month!O78+O77</f>
        <v>9319.39</v>
      </c>
      <c r="P78" s="13">
        <f>+Month!P78+P77</f>
        <v>631.78</v>
      </c>
      <c r="Q78" s="13">
        <f>+Month!Q78+Q77</f>
        <v>1352.67</v>
      </c>
    </row>
    <row r="79" spans="1:17" ht="12">
      <c r="A79" s="8">
        <v>2000</v>
      </c>
      <c r="B79" s="8" t="s">
        <v>66</v>
      </c>
      <c r="C79" s="37">
        <f>+Month!C79+C78</f>
        <v>88013.24999999999</v>
      </c>
      <c r="D79" s="37">
        <f>+Month!D79+D78</f>
        <v>5252.38</v>
      </c>
      <c r="E79" s="37">
        <f>+Month!E79+E78</f>
        <v>1631.7900000000002</v>
      </c>
      <c r="F79" s="37">
        <f>+Month!F79+F78</f>
        <v>81129.09</v>
      </c>
      <c r="G79" s="37">
        <f>+Month!G79+G78</f>
        <v>1918.74</v>
      </c>
      <c r="H79" s="37">
        <f>+Month!H79+H78</f>
        <v>288.01</v>
      </c>
      <c r="I79" s="37">
        <f>+Month!I79+I78</f>
        <v>3081.36</v>
      </c>
      <c r="J79" s="37">
        <f>+Month!J79+J78</f>
        <v>23445</v>
      </c>
      <c r="K79" s="37">
        <f>+Month!K79+K78</f>
        <v>6484</v>
      </c>
      <c r="L79" s="37">
        <f>+Month!L79+L78</f>
        <v>3077.89</v>
      </c>
      <c r="M79" s="37">
        <f>+Month!M79+M78</f>
        <v>10914.41</v>
      </c>
      <c r="N79" s="13">
        <f>+Month!N79+N78</f>
        <v>17308.53</v>
      </c>
      <c r="O79" s="37">
        <f>+Month!O79+O78</f>
        <v>10296</v>
      </c>
      <c r="P79" s="37">
        <f>+Month!P79+P78</f>
        <v>702.06</v>
      </c>
      <c r="Q79" s="37">
        <f>+Month!Q79+Q78</f>
        <v>1438.01</v>
      </c>
    </row>
    <row r="80" spans="1:17" ht="12">
      <c r="A80">
        <v>2001</v>
      </c>
      <c r="B80" t="s">
        <v>55</v>
      </c>
      <c r="C80" s="13">
        <f>+Month!C80</f>
        <v>7726.05</v>
      </c>
      <c r="D80" s="13">
        <f>+Month!D80</f>
        <v>458.97</v>
      </c>
      <c r="E80" s="13">
        <f>+Month!E80</f>
        <v>133.72</v>
      </c>
      <c r="F80" s="13">
        <f>+Month!F80</f>
        <v>7133.36</v>
      </c>
      <c r="G80" s="13">
        <f>+Month!G80</f>
        <v>161.09</v>
      </c>
      <c r="H80" s="13">
        <f>+Month!H80</f>
        <v>50.23</v>
      </c>
      <c r="I80" s="13">
        <f>+Month!I80</f>
        <v>250.8</v>
      </c>
      <c r="J80" s="13">
        <f>+Month!J80</f>
        <v>1820.47</v>
      </c>
      <c r="K80" s="13">
        <f>+Month!K80</f>
        <v>472.04</v>
      </c>
      <c r="L80" s="13">
        <f>+Month!L80</f>
        <v>430.32</v>
      </c>
      <c r="M80" s="13">
        <f>+Month!M80</f>
        <v>969.5</v>
      </c>
      <c r="N80" s="13">
        <f>+Month!N80</f>
        <v>1515.33</v>
      </c>
      <c r="O80" s="13">
        <f>+Month!O80</f>
        <v>1066.55</v>
      </c>
      <c r="P80" s="13">
        <f>+Month!P80</f>
        <v>72.93</v>
      </c>
      <c r="Q80" s="13">
        <f>+Month!Q80</f>
        <v>49.17</v>
      </c>
    </row>
    <row r="81" spans="1:17" ht="12">
      <c r="A81">
        <v>2001</v>
      </c>
      <c r="B81" t="s">
        <v>56</v>
      </c>
      <c r="C81" s="13">
        <f>+Month!C81+C80</f>
        <v>13894.51</v>
      </c>
      <c r="D81" s="13">
        <f>+Month!D81+D80</f>
        <v>805.69</v>
      </c>
      <c r="E81" s="13">
        <f>+Month!E81+E80</f>
        <v>426.32000000000005</v>
      </c>
      <c r="F81" s="13">
        <f>+Month!F81+F80</f>
        <v>12662.509999999998</v>
      </c>
      <c r="G81" s="13">
        <f>+Month!G81+G80</f>
        <v>287.97</v>
      </c>
      <c r="H81" s="13">
        <f>+Month!H81+H80</f>
        <v>97.21</v>
      </c>
      <c r="I81" s="13">
        <f>+Month!I81+I80</f>
        <v>569.5</v>
      </c>
      <c r="J81" s="13">
        <f>+Month!J81+J80</f>
        <v>3110.09</v>
      </c>
      <c r="K81" s="13">
        <f>+Month!K81+K80</f>
        <v>779.45</v>
      </c>
      <c r="L81" s="13">
        <f>+Month!L81+L80</f>
        <v>839.39</v>
      </c>
      <c r="M81" s="13">
        <f>+Month!M81+M80</f>
        <v>1791.24</v>
      </c>
      <c r="N81" s="13">
        <f>+Month!N81+N80</f>
        <v>2669.8199999999997</v>
      </c>
      <c r="O81" s="13">
        <f>+Month!O81+O80</f>
        <v>1808.76</v>
      </c>
      <c r="P81" s="13">
        <f>+Month!P81+P80</f>
        <v>142.16000000000003</v>
      </c>
      <c r="Q81" s="13">
        <f>+Month!Q81+Q80</f>
        <v>170.01999999999998</v>
      </c>
    </row>
    <row r="82" spans="1:17" ht="12">
      <c r="A82">
        <v>2001</v>
      </c>
      <c r="B82" t="s">
        <v>57</v>
      </c>
      <c r="C82" s="13">
        <f>+Month!C82+C81</f>
        <v>20676.91</v>
      </c>
      <c r="D82" s="13">
        <f>+Month!D82+D81</f>
        <v>1215.22</v>
      </c>
      <c r="E82" s="13">
        <f>+Month!E82+E81</f>
        <v>637.49</v>
      </c>
      <c r="F82" s="13">
        <f>+Month!F82+F81</f>
        <v>18824.219999999998</v>
      </c>
      <c r="G82" s="13">
        <f>+Month!G82+G81</f>
        <v>431.12</v>
      </c>
      <c r="H82" s="13">
        <f>+Month!H82+H81</f>
        <v>144.5</v>
      </c>
      <c r="I82" s="13">
        <f>+Month!I82+I81</f>
        <v>842.4200000000001</v>
      </c>
      <c r="J82" s="13">
        <f>+Month!J82+J81</f>
        <v>4720.57</v>
      </c>
      <c r="K82" s="13">
        <f>+Month!K82+K81</f>
        <v>1212.76</v>
      </c>
      <c r="L82" s="13">
        <f>+Month!L82+L81</f>
        <v>1165.6399999999999</v>
      </c>
      <c r="M82" s="13">
        <f>+Month!M82+M81</f>
        <v>2686.84</v>
      </c>
      <c r="N82" s="13">
        <f>+Month!N82+N81</f>
        <v>3915.9199999999996</v>
      </c>
      <c r="O82" s="13">
        <f>+Month!O82+O81</f>
        <v>2712.2799999999997</v>
      </c>
      <c r="P82" s="13">
        <f>+Month!P82+P81</f>
        <v>191.00000000000003</v>
      </c>
      <c r="Q82" s="13">
        <f>+Month!Q82+Q81</f>
        <v>300.65</v>
      </c>
    </row>
    <row r="83" spans="1:17" ht="12">
      <c r="A83">
        <v>2001</v>
      </c>
      <c r="B83" t="s">
        <v>58</v>
      </c>
      <c r="C83" s="13">
        <f>+Month!C83+C82</f>
        <v>26685.07</v>
      </c>
      <c r="D83" s="13">
        <f>+Month!D83+D82</f>
        <v>1606.52</v>
      </c>
      <c r="E83" s="13">
        <f>+Month!E83+E82</f>
        <v>519.57</v>
      </c>
      <c r="F83" s="13">
        <f>+Month!F83+F82</f>
        <v>24558.999999999996</v>
      </c>
      <c r="G83" s="13">
        <f>+Month!G83+G82</f>
        <v>600.76</v>
      </c>
      <c r="H83" s="13">
        <f>+Month!H83+H82</f>
        <v>179.94</v>
      </c>
      <c r="I83" s="13">
        <f>+Month!I83+I82</f>
        <v>1112.66</v>
      </c>
      <c r="J83" s="13">
        <f>+Month!J83+J82</f>
        <v>6287.0199999999995</v>
      </c>
      <c r="K83" s="13">
        <f>+Month!K83+K82</f>
        <v>1673.3600000000001</v>
      </c>
      <c r="L83" s="13">
        <f>+Month!L83+L82</f>
        <v>1383.9899999999998</v>
      </c>
      <c r="M83" s="13">
        <f>+Month!M83+M82</f>
        <v>3438.44</v>
      </c>
      <c r="N83" s="13">
        <f>+Month!N83+N82</f>
        <v>5134.5599999999995</v>
      </c>
      <c r="O83" s="13">
        <f>+Month!O83+O82</f>
        <v>3511.9799999999996</v>
      </c>
      <c r="P83" s="13">
        <f>+Month!P83+P82</f>
        <v>258.08000000000004</v>
      </c>
      <c r="Q83" s="13">
        <f>+Month!Q83+Q82</f>
        <v>408.25</v>
      </c>
    </row>
    <row r="84" spans="1:17" ht="12">
      <c r="A84">
        <v>2001</v>
      </c>
      <c r="B84" t="s">
        <v>59</v>
      </c>
      <c r="C84" s="13">
        <f>+Month!C84+C83</f>
        <v>33019.78</v>
      </c>
      <c r="D84" s="13">
        <f>+Month!D84+D83</f>
        <v>1987.38</v>
      </c>
      <c r="E84" s="13">
        <f>+Month!E84+E83</f>
        <v>530.0300000000001</v>
      </c>
      <c r="F84" s="13">
        <f>+Month!F84+F83</f>
        <v>30502.389999999996</v>
      </c>
      <c r="G84" s="13">
        <f>+Month!G84+G83</f>
        <v>766.38</v>
      </c>
      <c r="H84" s="13">
        <f>+Month!H84+H83</f>
        <v>197.66</v>
      </c>
      <c r="I84" s="13">
        <f>+Month!I84+I83</f>
        <v>1347.45</v>
      </c>
      <c r="J84" s="13">
        <f>+Month!J84+J83</f>
        <v>7887.5199999999995</v>
      </c>
      <c r="K84" s="13">
        <f>+Month!K84+K83</f>
        <v>2166.76</v>
      </c>
      <c r="L84" s="13">
        <f>+Month!L84+L83</f>
        <v>1574.0099999999998</v>
      </c>
      <c r="M84" s="13">
        <f>+Month!M84+M83</f>
        <v>4125.62</v>
      </c>
      <c r="N84" s="13">
        <f>+Month!N84+N83</f>
        <v>6318.459999999999</v>
      </c>
      <c r="O84" s="13">
        <f>+Month!O84+O83</f>
        <v>4498.73</v>
      </c>
      <c r="P84" s="13">
        <f>+Month!P84+P83</f>
        <v>312.23</v>
      </c>
      <c r="Q84" s="13">
        <f>+Month!Q84+Q83</f>
        <v>532.33</v>
      </c>
    </row>
    <row r="85" spans="1:17" ht="12">
      <c r="A85">
        <v>2001</v>
      </c>
      <c r="B85" t="s">
        <v>60</v>
      </c>
      <c r="C85" s="13">
        <f>+Month!C85+C84</f>
        <v>38739.14</v>
      </c>
      <c r="D85" s="13">
        <f>+Month!D85+D84</f>
        <v>2347.48</v>
      </c>
      <c r="E85" s="13">
        <f>+Month!E85+E84</f>
        <v>642.7300000000001</v>
      </c>
      <c r="F85" s="13">
        <f>+Month!F85+F84</f>
        <v>35748.939999999995</v>
      </c>
      <c r="G85" s="13">
        <f>+Month!G85+G84</f>
        <v>900.65</v>
      </c>
      <c r="H85" s="13">
        <f>+Month!H85+H84</f>
        <v>224.29</v>
      </c>
      <c r="I85" s="13">
        <f>+Month!I85+I84</f>
        <v>1624.6200000000001</v>
      </c>
      <c r="J85" s="13">
        <f>+Month!J85+J84</f>
        <v>9281.83</v>
      </c>
      <c r="K85" s="13">
        <f>+Month!K85+K84</f>
        <v>2633.9500000000003</v>
      </c>
      <c r="L85" s="13">
        <f>+Month!L85+L84</f>
        <v>1707.0299999999997</v>
      </c>
      <c r="M85" s="13">
        <f>+Month!M85+M84</f>
        <v>4768.78</v>
      </c>
      <c r="N85" s="13">
        <f>+Month!N85+N84</f>
        <v>7468.849999999999</v>
      </c>
      <c r="O85" s="13">
        <f>+Month!O85+O84</f>
        <v>5235.789999999999</v>
      </c>
      <c r="P85" s="13">
        <f>+Month!P85+P84</f>
        <v>364.83000000000004</v>
      </c>
      <c r="Q85" s="13">
        <f>+Month!Q85+Q84</f>
        <v>699.26</v>
      </c>
    </row>
    <row r="86" spans="1:17" ht="12">
      <c r="A86">
        <v>2001</v>
      </c>
      <c r="B86" t="s">
        <v>61</v>
      </c>
      <c r="C86" s="13">
        <f>+Month!C86+C85</f>
        <v>45937.9</v>
      </c>
      <c r="D86" s="13">
        <f>+Month!D86+D85</f>
        <v>2771.9700000000003</v>
      </c>
      <c r="E86" s="13">
        <f>+Month!E86+E85</f>
        <v>832.0200000000001</v>
      </c>
      <c r="F86" s="13">
        <f>+Month!F86+F85</f>
        <v>42333.92</v>
      </c>
      <c r="G86" s="13">
        <f>+Month!G86+G85</f>
        <v>1075.3</v>
      </c>
      <c r="H86" s="13">
        <f>+Month!H86+H85</f>
        <v>257.32</v>
      </c>
      <c r="I86" s="13">
        <f>+Month!I86+I85</f>
        <v>1987.6000000000001</v>
      </c>
      <c r="J86" s="13">
        <f>+Month!J86+J85</f>
        <v>11078.03</v>
      </c>
      <c r="K86" s="13">
        <f>+Month!K86+K85</f>
        <v>3276.6900000000005</v>
      </c>
      <c r="L86" s="13">
        <f>+Month!L86+L85</f>
        <v>1853.6299999999997</v>
      </c>
      <c r="M86" s="13">
        <f>+Month!M86+M85</f>
        <v>5576.34</v>
      </c>
      <c r="N86" s="13">
        <f>+Month!N86+N85</f>
        <v>8877.039999999999</v>
      </c>
      <c r="O86" s="13">
        <f>+Month!O86+O85</f>
        <v>6055.219999999999</v>
      </c>
      <c r="P86" s="13">
        <f>+Month!P86+P85</f>
        <v>408.32000000000005</v>
      </c>
      <c r="Q86" s="13">
        <f>+Month!Q86+Q85</f>
        <v>878.02</v>
      </c>
    </row>
    <row r="87" spans="1:17" ht="12">
      <c r="A87">
        <v>2001</v>
      </c>
      <c r="B87" s="14" t="s">
        <v>62</v>
      </c>
      <c r="C87" s="13">
        <f>+Month!C87+C86</f>
        <v>53375.42</v>
      </c>
      <c r="D87" s="13">
        <f>+Month!D87+D86</f>
        <v>3256.63</v>
      </c>
      <c r="E87" s="13">
        <f>+Month!E87+E86</f>
        <v>871.2900000000001</v>
      </c>
      <c r="F87" s="13">
        <f>+Month!F87+F86</f>
        <v>49247.509999999995</v>
      </c>
      <c r="G87" s="13">
        <f>+Month!G87+G86</f>
        <v>1275.04</v>
      </c>
      <c r="H87" s="13">
        <f>+Month!H87+H86</f>
        <v>263.19</v>
      </c>
      <c r="I87" s="13">
        <f>+Month!I87+I86</f>
        <v>2300.07</v>
      </c>
      <c r="J87" s="13">
        <f>+Month!J87+J86</f>
        <v>13092.210000000001</v>
      </c>
      <c r="K87" s="13">
        <f>+Month!K87+K86</f>
        <v>3897.1600000000008</v>
      </c>
      <c r="L87" s="13">
        <f>+Month!L87+L86</f>
        <v>2052.9199999999996</v>
      </c>
      <c r="M87" s="13">
        <f>+Month!M87+M86</f>
        <v>6487.49</v>
      </c>
      <c r="N87" s="13">
        <f>+Month!N87+N86</f>
        <v>10387.4</v>
      </c>
      <c r="O87" s="13">
        <f>+Month!O87+O86</f>
        <v>6860.929999999999</v>
      </c>
      <c r="P87" s="13">
        <f>+Month!P87+P86</f>
        <v>443.27000000000004</v>
      </c>
      <c r="Q87" s="13">
        <f>+Month!Q87+Q86</f>
        <v>1041.53</v>
      </c>
    </row>
    <row r="88" spans="1:17" ht="12">
      <c r="A88">
        <v>2001</v>
      </c>
      <c r="B88" t="s">
        <v>63</v>
      </c>
      <c r="C88" s="13">
        <f>+Month!C88+C87</f>
        <v>60812.75</v>
      </c>
      <c r="D88" s="13">
        <f>+Month!D88+D87</f>
        <v>3712.52</v>
      </c>
      <c r="E88" s="13">
        <f>+Month!E88+E87</f>
        <v>828.5100000000001</v>
      </c>
      <c r="F88" s="13">
        <f>+Month!F88+F87</f>
        <v>56271.729999999996</v>
      </c>
      <c r="G88" s="13">
        <f>+Month!G88+G87</f>
        <v>1414.49</v>
      </c>
      <c r="H88" s="13">
        <f>+Month!H88+H87</f>
        <v>263.24</v>
      </c>
      <c r="I88" s="13">
        <f>+Month!I88+I87</f>
        <v>2575.48</v>
      </c>
      <c r="J88" s="13">
        <f>+Month!J88+J87</f>
        <v>15231.230000000001</v>
      </c>
      <c r="K88" s="13">
        <f>+Month!K88+K87</f>
        <v>4483.530000000001</v>
      </c>
      <c r="L88" s="13">
        <f>+Month!L88+L87</f>
        <v>2291.0299999999997</v>
      </c>
      <c r="M88" s="13">
        <f>+Month!M88+M87</f>
        <v>7398.099999999999</v>
      </c>
      <c r="N88" s="13">
        <f>+Month!N88+N87</f>
        <v>11893.11</v>
      </c>
      <c r="O88" s="13">
        <f>+Month!O88+O87</f>
        <v>7683.799999999999</v>
      </c>
      <c r="P88" s="13">
        <f>+Month!P88+P87</f>
        <v>494.91</v>
      </c>
      <c r="Q88" s="13">
        <f>+Month!Q88+Q87</f>
        <v>1212.47</v>
      </c>
    </row>
    <row r="89" spans="1:17" ht="12">
      <c r="A89">
        <v>2001</v>
      </c>
      <c r="B89" t="s">
        <v>64</v>
      </c>
      <c r="C89" s="13">
        <f>+Month!C89+C88</f>
        <v>68345.29</v>
      </c>
      <c r="D89" s="13">
        <f>+Month!D89+D88</f>
        <v>4158.53</v>
      </c>
      <c r="E89" s="13">
        <f>+Month!E89+E88</f>
        <v>930.6800000000001</v>
      </c>
      <c r="F89" s="13">
        <f>+Month!F89+F88</f>
        <v>63256.09</v>
      </c>
      <c r="G89" s="13">
        <f>+Month!G89+G88</f>
        <v>1515.09</v>
      </c>
      <c r="H89" s="13">
        <f>+Month!H89+H88</f>
        <v>266.18</v>
      </c>
      <c r="I89" s="13">
        <f>+Month!I89+I88</f>
        <v>2892.53</v>
      </c>
      <c r="J89" s="13">
        <f>+Month!J89+J88</f>
        <v>17270.88</v>
      </c>
      <c r="K89" s="13">
        <f>+Month!K89+K88</f>
        <v>4974.400000000001</v>
      </c>
      <c r="L89" s="13">
        <f>+Month!L89+L88</f>
        <v>2522.37</v>
      </c>
      <c r="M89" s="13">
        <f>+Month!M89+M88</f>
        <v>8385.49</v>
      </c>
      <c r="N89" s="13">
        <f>+Month!N89+N88</f>
        <v>13450.87</v>
      </c>
      <c r="O89" s="13">
        <f>+Month!O89+O88</f>
        <v>8546.14</v>
      </c>
      <c r="P89" s="13">
        <f>+Month!P89+P88</f>
        <v>544.2</v>
      </c>
      <c r="Q89" s="13">
        <f>+Month!Q89+Q88</f>
        <v>1381.14</v>
      </c>
    </row>
    <row r="90" spans="1:17" ht="12">
      <c r="A90">
        <v>2001</v>
      </c>
      <c r="B90" t="s">
        <v>65</v>
      </c>
      <c r="C90" s="13">
        <f>+Month!C90+C89</f>
        <v>75850.48999999999</v>
      </c>
      <c r="D90" s="13">
        <f>+Month!D90+D89</f>
        <v>4601.78</v>
      </c>
      <c r="E90" s="13">
        <f>+Month!E90+E89</f>
        <v>1148.04</v>
      </c>
      <c r="F90" s="13">
        <f>+Month!F90+F89</f>
        <v>70100.67</v>
      </c>
      <c r="G90" s="13">
        <f>+Month!G90+G89</f>
        <v>1637.6299999999999</v>
      </c>
      <c r="H90" s="13">
        <f>+Month!H90+H89</f>
        <v>272.05</v>
      </c>
      <c r="I90" s="13">
        <f>+Month!I90+I89</f>
        <v>3141.44</v>
      </c>
      <c r="J90" s="13">
        <f>+Month!J90+J89</f>
        <v>19384.56</v>
      </c>
      <c r="K90" s="13">
        <f>+Month!K90+K89</f>
        <v>5458.56</v>
      </c>
      <c r="L90" s="13">
        <f>+Month!L90+L89</f>
        <v>2765.41</v>
      </c>
      <c r="M90" s="13">
        <f>+Month!M90+M89</f>
        <v>9349.2</v>
      </c>
      <c r="N90" s="13">
        <f>+Month!N90+N89</f>
        <v>14871.460000000001</v>
      </c>
      <c r="O90" s="13">
        <f>+Month!O90+O89</f>
        <v>9379.3</v>
      </c>
      <c r="P90" s="13">
        <f>+Month!P90+P89</f>
        <v>599.83</v>
      </c>
      <c r="Q90" s="13">
        <f>+Month!Q90+Q89</f>
        <v>1555.47</v>
      </c>
    </row>
    <row r="91" spans="1:17" ht="12">
      <c r="A91" s="8">
        <v>2001</v>
      </c>
      <c r="B91" s="8" t="s">
        <v>66</v>
      </c>
      <c r="C91" s="37">
        <f>+Month!C91+C90</f>
        <v>83342.81999999999</v>
      </c>
      <c r="D91" s="37">
        <f>+Month!D91+D90</f>
        <v>5059.3099999999995</v>
      </c>
      <c r="E91" s="37">
        <f>+Month!E91+E90</f>
        <v>1233.3899999999999</v>
      </c>
      <c r="F91" s="37">
        <f>+Month!F91+F90</f>
        <v>77050.13</v>
      </c>
      <c r="G91" s="37">
        <f>+Month!G91+G90</f>
        <v>1763.4499999999998</v>
      </c>
      <c r="H91" s="37">
        <f>+Month!H91+H90</f>
        <v>272.05</v>
      </c>
      <c r="I91" s="37">
        <f>+Month!I91+I90</f>
        <v>3427.52</v>
      </c>
      <c r="J91" s="37">
        <f>+Month!J91+J90</f>
        <v>21455.43</v>
      </c>
      <c r="K91" s="37">
        <f>+Month!K91+K90</f>
        <v>5909.88</v>
      </c>
      <c r="L91" s="37">
        <f>+Month!L91+L90</f>
        <v>3087.6899999999996</v>
      </c>
      <c r="M91" s="37">
        <f>+Month!M91+M90</f>
        <v>10353.33</v>
      </c>
      <c r="N91" s="13">
        <f>+Month!N91+N90</f>
        <v>16394.79</v>
      </c>
      <c r="O91" s="37">
        <f>+Month!O91+O90</f>
        <v>10179</v>
      </c>
      <c r="P91" s="37">
        <f>+Month!P91+P90</f>
        <v>656.32</v>
      </c>
      <c r="Q91" s="37">
        <f>+Month!Q91+Q90</f>
        <v>1706.55</v>
      </c>
    </row>
    <row r="92" spans="1:17" ht="12">
      <c r="A92">
        <v>2002</v>
      </c>
      <c r="B92" t="s">
        <v>55</v>
      </c>
      <c r="C92" s="13">
        <f>+Month!C92</f>
        <v>7263.16</v>
      </c>
      <c r="D92" s="13">
        <f>+Month!D92</f>
        <v>481.04</v>
      </c>
      <c r="E92" s="13">
        <f>+Month!E92</f>
        <v>72.25</v>
      </c>
      <c r="F92" s="13">
        <f>+Month!F92</f>
        <v>6709.86</v>
      </c>
      <c r="G92" s="13">
        <f>+Month!G92</f>
        <v>168.85</v>
      </c>
      <c r="H92" s="13">
        <f>+Month!H92</f>
        <v>49.68</v>
      </c>
      <c r="I92" s="13">
        <f>+Month!I92</f>
        <v>259.99</v>
      </c>
      <c r="J92" s="13">
        <f>+Month!J92</f>
        <v>1982.64</v>
      </c>
      <c r="K92" s="13">
        <f>+Month!K92</f>
        <v>363.15</v>
      </c>
      <c r="L92" s="13">
        <f>+Month!L92</f>
        <v>420.8</v>
      </c>
      <c r="M92" s="13">
        <f>+Month!M92</f>
        <v>942.92</v>
      </c>
      <c r="N92" s="13">
        <f>+Month!N92</f>
        <v>1473.77</v>
      </c>
      <c r="O92" s="13">
        <f>+Month!O92</f>
        <v>793.28</v>
      </c>
      <c r="P92" s="13">
        <f>+Month!P92</f>
        <v>40.66</v>
      </c>
      <c r="Q92" s="13">
        <f>+Month!Q92</f>
        <v>46.86</v>
      </c>
    </row>
    <row r="93" spans="1:17" ht="12">
      <c r="A93">
        <v>2002</v>
      </c>
      <c r="B93" t="s">
        <v>56</v>
      </c>
      <c r="C93" s="13">
        <f>+Month!C93+C92</f>
        <v>13920.189999999999</v>
      </c>
      <c r="D93" s="13">
        <f>+Month!D93+D92</f>
        <v>939.8900000000001</v>
      </c>
      <c r="E93" s="13">
        <f>+Month!E93+E92</f>
        <v>175.11</v>
      </c>
      <c r="F93" s="13">
        <f>+Month!F93+F92</f>
        <v>12805.17</v>
      </c>
      <c r="G93" s="13">
        <f>+Month!G93+G92</f>
        <v>314.1</v>
      </c>
      <c r="H93" s="13">
        <f>+Month!H93+H92</f>
        <v>76.6</v>
      </c>
      <c r="I93" s="13">
        <f>+Month!I93+I92</f>
        <v>523.1800000000001</v>
      </c>
      <c r="J93" s="13">
        <f>+Month!J93+J92</f>
        <v>3761.46</v>
      </c>
      <c r="K93" s="13">
        <f>+Month!K93+K92</f>
        <v>746.79</v>
      </c>
      <c r="L93" s="13">
        <f>+Month!L93+L92</f>
        <v>777.98</v>
      </c>
      <c r="M93" s="13">
        <f>+Month!M93+M92</f>
        <v>1836.9299999999998</v>
      </c>
      <c r="N93" s="13">
        <f>+Month!N93+N92</f>
        <v>2729.8</v>
      </c>
      <c r="O93" s="13">
        <f>+Month!O93+O92</f>
        <v>1493.85</v>
      </c>
      <c r="P93" s="13">
        <f>+Month!P93+P92</f>
        <v>76.00999999999999</v>
      </c>
      <c r="Q93" s="13">
        <f>+Month!Q93+Q92</f>
        <v>219.48000000000002</v>
      </c>
    </row>
    <row r="94" spans="1:17" ht="12">
      <c r="A94">
        <v>2002</v>
      </c>
      <c r="B94" t="s">
        <v>57</v>
      </c>
      <c r="C94" s="13">
        <f>+Month!C94+C93</f>
        <v>21135.61</v>
      </c>
      <c r="D94" s="13">
        <f>+Month!D94+D93</f>
        <v>1457.38</v>
      </c>
      <c r="E94" s="13">
        <f>+Month!E94+E93</f>
        <v>151.75</v>
      </c>
      <c r="F94" s="13">
        <f>+Month!F94+F93</f>
        <v>19526.46</v>
      </c>
      <c r="G94" s="13">
        <f>+Month!G94+G93</f>
        <v>492.07000000000005</v>
      </c>
      <c r="H94" s="13">
        <f>+Month!H94+H93</f>
        <v>122.31</v>
      </c>
      <c r="I94" s="13">
        <f>+Month!I94+I93</f>
        <v>764.1300000000001</v>
      </c>
      <c r="J94" s="13">
        <f>+Month!J94+J93</f>
        <v>5776.63</v>
      </c>
      <c r="K94" s="13">
        <f>+Month!K94+K93</f>
        <v>1158.62</v>
      </c>
      <c r="L94" s="13">
        <f>+Month!L94+L93</f>
        <v>1185.45</v>
      </c>
      <c r="M94" s="13">
        <f>+Month!M94+M93</f>
        <v>2838.66</v>
      </c>
      <c r="N94" s="13">
        <f>+Month!N94+N93</f>
        <v>4123.55</v>
      </c>
      <c r="O94" s="13">
        <f>+Month!O94+O93</f>
        <v>2204.09</v>
      </c>
      <c r="P94" s="13">
        <f>+Month!P94+P93</f>
        <v>128.83999999999997</v>
      </c>
      <c r="Q94" s="13">
        <f>+Month!Q94+Q93</f>
        <v>376.93</v>
      </c>
    </row>
    <row r="95" spans="1:17" ht="12">
      <c r="A95">
        <v>2002</v>
      </c>
      <c r="B95" t="s">
        <v>58</v>
      </c>
      <c r="C95" s="13">
        <f>+Month!C95+C94</f>
        <v>28285.1</v>
      </c>
      <c r="D95" s="13">
        <f>+Month!D95+D94</f>
        <v>1898.8400000000001</v>
      </c>
      <c r="E95" s="13">
        <f>+Month!E95+E94</f>
        <v>343.84000000000003</v>
      </c>
      <c r="F95" s="13">
        <f>+Month!F95+F94</f>
        <v>26042.41</v>
      </c>
      <c r="G95" s="13">
        <f>+Month!G95+G94</f>
        <v>678.6400000000001</v>
      </c>
      <c r="H95" s="13">
        <f>+Month!H95+H94</f>
        <v>155.19</v>
      </c>
      <c r="I95" s="13">
        <f>+Month!I95+I94</f>
        <v>1006.7200000000001</v>
      </c>
      <c r="J95" s="13">
        <f>+Month!J95+J94</f>
        <v>7676.02</v>
      </c>
      <c r="K95" s="13">
        <f>+Month!K95+K94</f>
        <v>1549.03</v>
      </c>
      <c r="L95" s="13">
        <f>+Month!L95+L94</f>
        <v>1442.3000000000002</v>
      </c>
      <c r="M95" s="13">
        <f>+Month!M95+M94</f>
        <v>3763.5099999999998</v>
      </c>
      <c r="N95" s="13">
        <f>+Month!N95+N94</f>
        <v>5623.09</v>
      </c>
      <c r="O95" s="13">
        <f>+Month!O95+O94</f>
        <v>2878.86</v>
      </c>
      <c r="P95" s="13">
        <f>+Month!P95+P94</f>
        <v>174.18999999999997</v>
      </c>
      <c r="Q95" s="13">
        <f>+Month!Q95+Q94</f>
        <v>546.4200000000001</v>
      </c>
    </row>
    <row r="96" spans="1:17" ht="12">
      <c r="A96">
        <v>2002</v>
      </c>
      <c r="B96" t="s">
        <v>59</v>
      </c>
      <c r="C96" s="13">
        <f>+Month!C96+C95</f>
        <v>35312.509999999995</v>
      </c>
      <c r="D96" s="13">
        <f>+Month!D96+D95</f>
        <v>2380.25</v>
      </c>
      <c r="E96" s="13">
        <f>+Month!E96+E95</f>
        <v>315.66</v>
      </c>
      <c r="F96" s="13">
        <f>+Month!F96+F95</f>
        <v>32616.59</v>
      </c>
      <c r="G96" s="13">
        <f>+Month!G96+G95</f>
        <v>876.8800000000001</v>
      </c>
      <c r="H96" s="13">
        <f>+Month!H96+H95</f>
        <v>210.82999999999998</v>
      </c>
      <c r="I96" s="13">
        <f>+Month!I96+I95</f>
        <v>1232.91</v>
      </c>
      <c r="J96" s="13">
        <f>+Month!J96+J95</f>
        <v>9647.94</v>
      </c>
      <c r="K96" s="13">
        <f>+Month!K96+K95</f>
        <v>2025.84</v>
      </c>
      <c r="L96" s="13">
        <f>+Month!L96+L95</f>
        <v>1682.8100000000002</v>
      </c>
      <c r="M96" s="13">
        <f>+Month!M96+M95</f>
        <v>4623.61</v>
      </c>
      <c r="N96" s="13">
        <f>+Month!N96+N95</f>
        <v>7104.91</v>
      </c>
      <c r="O96" s="13">
        <f>+Month!O96+O95</f>
        <v>3668.92</v>
      </c>
      <c r="P96" s="13">
        <f>+Month!P96+P95</f>
        <v>208.00999999999996</v>
      </c>
      <c r="Q96" s="13">
        <f>+Month!Q96+Q95</f>
        <v>703.6100000000001</v>
      </c>
    </row>
    <row r="97" spans="1:17" ht="12">
      <c r="A97">
        <v>2002</v>
      </c>
      <c r="B97" t="s">
        <v>60</v>
      </c>
      <c r="C97" s="13">
        <f>+Month!C97+C96</f>
        <v>42045.479999999996</v>
      </c>
      <c r="D97" s="13">
        <f>+Month!D97+D96</f>
        <v>2818.16</v>
      </c>
      <c r="E97" s="13">
        <f>+Month!E97+E96</f>
        <v>399.97</v>
      </c>
      <c r="F97" s="13">
        <f>+Month!F97+F96</f>
        <v>38827.33</v>
      </c>
      <c r="G97" s="13">
        <f>+Month!G97+G96</f>
        <v>1072.23</v>
      </c>
      <c r="H97" s="13">
        <f>+Month!H97+H96</f>
        <v>265.57</v>
      </c>
      <c r="I97" s="13">
        <f>+Month!I97+I96</f>
        <v>1437.63</v>
      </c>
      <c r="J97" s="13">
        <f>+Month!J97+J96</f>
        <v>11500.640000000001</v>
      </c>
      <c r="K97" s="13">
        <f>+Month!K97+K96</f>
        <v>2564.3599999999997</v>
      </c>
      <c r="L97" s="13">
        <f>+Month!L97+L96</f>
        <v>1883.0100000000002</v>
      </c>
      <c r="M97" s="13">
        <f>+Month!M97+M96</f>
        <v>5450.549999999999</v>
      </c>
      <c r="N97" s="13">
        <f>+Month!N97+N96</f>
        <v>8584.02</v>
      </c>
      <c r="O97" s="13">
        <f>+Month!O97+O96</f>
        <v>4205.84</v>
      </c>
      <c r="P97" s="13">
        <f>+Month!P97+P96</f>
        <v>264.76</v>
      </c>
      <c r="Q97" s="13">
        <f>+Month!Q97+Q96</f>
        <v>875.6300000000001</v>
      </c>
    </row>
    <row r="98" spans="1:17" ht="12">
      <c r="A98">
        <v>2002</v>
      </c>
      <c r="B98" t="s">
        <v>61</v>
      </c>
      <c r="C98" s="13">
        <f>+Month!C98+C97</f>
        <v>49448.689999999995</v>
      </c>
      <c r="D98" s="13">
        <f>+Month!D98+D97</f>
        <v>3229.6099999999997</v>
      </c>
      <c r="E98" s="13">
        <f>+Month!E98+E97</f>
        <v>394.59000000000003</v>
      </c>
      <c r="F98" s="13">
        <f>+Month!F98+F97</f>
        <v>45824.47</v>
      </c>
      <c r="G98" s="13">
        <f>+Month!G98+G97</f>
        <v>1284.19</v>
      </c>
      <c r="H98" s="13">
        <f>+Month!H98+H97</f>
        <v>322.3</v>
      </c>
      <c r="I98" s="13">
        <f>+Month!I98+I97</f>
        <v>1697.4900000000002</v>
      </c>
      <c r="J98" s="13">
        <f>+Month!J98+J97</f>
        <v>13476.890000000001</v>
      </c>
      <c r="K98" s="13">
        <f>+Month!K98+K97</f>
        <v>3119.37</v>
      </c>
      <c r="L98" s="13">
        <f>+Month!L98+L97</f>
        <v>2045.9400000000003</v>
      </c>
      <c r="M98" s="13">
        <f>+Month!M98+M97</f>
        <v>6384.49</v>
      </c>
      <c r="N98" s="13">
        <f>+Month!N98+N97</f>
        <v>10212.58</v>
      </c>
      <c r="O98" s="13">
        <f>+Month!O98+O97</f>
        <v>4945.91</v>
      </c>
      <c r="P98" s="13">
        <f>+Month!P98+P97</f>
        <v>314.59</v>
      </c>
      <c r="Q98" s="13">
        <f>+Month!Q98+Q97</f>
        <v>1080.17</v>
      </c>
    </row>
    <row r="99" spans="1:17" ht="12">
      <c r="A99">
        <v>2002</v>
      </c>
      <c r="B99" s="14" t="s">
        <v>62</v>
      </c>
      <c r="C99" s="13">
        <f>+Month!C99+C98</f>
        <v>56670.729999999996</v>
      </c>
      <c r="D99" s="13">
        <f>+Month!D99+D98</f>
        <v>3746.5599999999995</v>
      </c>
      <c r="E99" s="13">
        <f>+Month!E99+E98</f>
        <v>523.13</v>
      </c>
      <c r="F99" s="13">
        <f>+Month!F99+F98</f>
        <v>52401.01</v>
      </c>
      <c r="G99" s="13">
        <f>+Month!G99+G98</f>
        <v>1483.89</v>
      </c>
      <c r="H99" s="13">
        <f>+Month!H99+H98</f>
        <v>366.02</v>
      </c>
      <c r="I99" s="13">
        <f>+Month!I99+I98</f>
        <v>2007.8300000000002</v>
      </c>
      <c r="J99" s="13">
        <f>+Month!J99+J98</f>
        <v>15417.580000000002</v>
      </c>
      <c r="K99" s="13">
        <f>+Month!K99+K98</f>
        <v>3578.71</v>
      </c>
      <c r="L99" s="13">
        <f>+Month!L99+L98</f>
        <v>2250.3300000000004</v>
      </c>
      <c r="M99" s="13">
        <f>+Month!M99+M98</f>
        <v>7294.639999999999</v>
      </c>
      <c r="N99" s="13">
        <f>+Month!N99+N98</f>
        <v>11721.28</v>
      </c>
      <c r="O99" s="13">
        <f>+Month!O99+O98</f>
        <v>5598.11</v>
      </c>
      <c r="P99" s="13">
        <f>+Month!P99+P98</f>
        <v>378.67999999999995</v>
      </c>
      <c r="Q99" s="13">
        <f>+Month!Q99+Q98</f>
        <v>1274.75</v>
      </c>
    </row>
    <row r="100" spans="1:17" ht="12">
      <c r="A100">
        <v>2002</v>
      </c>
      <c r="B100" t="s">
        <v>63</v>
      </c>
      <c r="C100" s="13">
        <f>+Month!C100+C99</f>
        <v>63857.689999999995</v>
      </c>
      <c r="D100" s="13">
        <f>+Month!D100+D99</f>
        <v>4267.41</v>
      </c>
      <c r="E100" s="13">
        <f>+Month!E100+E99</f>
        <v>630.5699999999999</v>
      </c>
      <c r="F100" s="13">
        <f>+Month!F100+F99</f>
        <v>58959.67</v>
      </c>
      <c r="G100" s="13">
        <f>+Month!G100+G99</f>
        <v>1636.3200000000002</v>
      </c>
      <c r="H100" s="13">
        <f>+Month!H100+H99</f>
        <v>409.74</v>
      </c>
      <c r="I100" s="13">
        <f>+Month!I100+I99</f>
        <v>2244.09</v>
      </c>
      <c r="J100" s="13">
        <f>+Month!J100+J99</f>
        <v>17428.83</v>
      </c>
      <c r="K100" s="13">
        <f>+Month!K100+K99</f>
        <v>4011.24</v>
      </c>
      <c r="L100" s="13">
        <f>+Month!L100+L99</f>
        <v>2575.51</v>
      </c>
      <c r="M100" s="13">
        <f>+Month!M100+M99</f>
        <v>8199.05</v>
      </c>
      <c r="N100" s="13">
        <f>+Month!N100+N99</f>
        <v>13216.740000000002</v>
      </c>
      <c r="O100" s="13">
        <f>+Month!O100+O99</f>
        <v>6285.78</v>
      </c>
      <c r="P100" s="13">
        <f>+Month!P100+P99</f>
        <v>395.84999999999997</v>
      </c>
      <c r="Q100" s="13">
        <f>+Month!Q100+Q99</f>
        <v>1452.6</v>
      </c>
    </row>
    <row r="101" spans="1:17" ht="12">
      <c r="A101">
        <v>2002</v>
      </c>
      <c r="B101" t="s">
        <v>64</v>
      </c>
      <c r="C101" s="13">
        <f>+Month!C101+C100</f>
        <v>70322.54999999999</v>
      </c>
      <c r="D101" s="13">
        <f>+Month!D101+D100</f>
        <v>4774.44</v>
      </c>
      <c r="E101" s="13">
        <f>+Month!E101+E100</f>
        <v>631.7299999999999</v>
      </c>
      <c r="F101" s="13">
        <f>+Month!F101+F100</f>
        <v>64916.34</v>
      </c>
      <c r="G101" s="13">
        <f>+Month!G101+G100</f>
        <v>1775.0800000000002</v>
      </c>
      <c r="H101" s="13">
        <f>+Month!H101+H100</f>
        <v>445.51</v>
      </c>
      <c r="I101" s="13">
        <f>+Month!I101+I100</f>
        <v>2533.11</v>
      </c>
      <c r="J101" s="13">
        <f>+Month!J101+J100</f>
        <v>19244.800000000003</v>
      </c>
      <c r="K101" s="13">
        <f>+Month!K101+K100</f>
        <v>4511.26</v>
      </c>
      <c r="L101" s="13">
        <f>+Month!L101+L100</f>
        <v>2822.55</v>
      </c>
      <c r="M101" s="13">
        <f>+Month!M101+M100</f>
        <v>9004.89</v>
      </c>
      <c r="N101" s="13">
        <f>+Month!N101+N100</f>
        <v>14488.070000000002</v>
      </c>
      <c r="O101" s="13">
        <f>+Month!O101+O100</f>
        <v>6927.5</v>
      </c>
      <c r="P101" s="13">
        <f>+Month!P101+P100</f>
        <v>414.38</v>
      </c>
      <c r="Q101" s="13">
        <f>+Month!Q101+Q100</f>
        <v>1643.78</v>
      </c>
    </row>
    <row r="102" spans="1:17" ht="12">
      <c r="A102">
        <v>2002</v>
      </c>
      <c r="B102" t="s">
        <v>65</v>
      </c>
      <c r="C102" s="13">
        <f>+Month!C102+C101</f>
        <v>77276.68999999999</v>
      </c>
      <c r="D102" s="13">
        <f>+Month!D102+D101</f>
        <v>5195.95</v>
      </c>
      <c r="E102" s="13">
        <f>+Month!E102+E101</f>
        <v>722.6099999999999</v>
      </c>
      <c r="F102" s="13">
        <f>+Month!F102+F101</f>
        <v>71358.09999999999</v>
      </c>
      <c r="G102" s="13">
        <f>+Month!G102+G101</f>
        <v>1931.5000000000002</v>
      </c>
      <c r="H102" s="13">
        <f>+Month!H102+H101</f>
        <v>493.2</v>
      </c>
      <c r="I102" s="13">
        <f>+Month!I102+I101</f>
        <v>2825.75</v>
      </c>
      <c r="J102" s="13">
        <f>+Month!J102+J101</f>
        <v>20972.780000000002</v>
      </c>
      <c r="K102" s="13">
        <f>+Month!K102+K101</f>
        <v>4949.91</v>
      </c>
      <c r="L102" s="13">
        <f>+Month!L102+L101</f>
        <v>3120.6400000000003</v>
      </c>
      <c r="M102" s="13">
        <f>+Month!M102+M101</f>
        <v>9928.599999999999</v>
      </c>
      <c r="N102" s="13">
        <f>+Month!N102+N101</f>
        <v>15849.7</v>
      </c>
      <c r="O102" s="13">
        <f>+Month!O102+O101</f>
        <v>7757.0599999999995</v>
      </c>
      <c r="P102" s="13">
        <f>+Month!P102+P101</f>
        <v>457.77</v>
      </c>
      <c r="Q102" s="13">
        <f>+Month!Q102+Q101</f>
        <v>1795.8899999999999</v>
      </c>
    </row>
    <row r="103" spans="1:17" ht="12">
      <c r="A103" s="8">
        <v>2002</v>
      </c>
      <c r="B103" s="8" t="s">
        <v>66</v>
      </c>
      <c r="C103" s="37">
        <f>+Month!C103+C102</f>
        <v>84783.93</v>
      </c>
      <c r="D103" s="37">
        <f>+Month!D103+D102</f>
        <v>5677</v>
      </c>
      <c r="E103" s="37">
        <f>+Month!E103+E102</f>
        <v>788.2599999999999</v>
      </c>
      <c r="F103" s="37">
        <f>+Month!F103+F102</f>
        <v>78318.62999999999</v>
      </c>
      <c r="G103" s="37">
        <f>+Month!G103+G102</f>
        <v>2138.55</v>
      </c>
      <c r="H103" s="37">
        <f>+Month!H103+H102</f>
        <v>538</v>
      </c>
      <c r="I103" s="37">
        <f>+Month!I103+I102</f>
        <v>3153.68</v>
      </c>
      <c r="J103" s="37">
        <f>+Month!J103+J102</f>
        <v>22944.04</v>
      </c>
      <c r="K103" s="37">
        <f>+Month!K103+K102</f>
        <v>5364.59</v>
      </c>
      <c r="L103" s="37">
        <f>+Month!L103+L102</f>
        <v>3505.9000000000005</v>
      </c>
      <c r="M103" s="37">
        <f>+Month!M103+M102</f>
        <v>10947.789999999999</v>
      </c>
      <c r="N103" s="37">
        <f>+Month!N103+N102</f>
        <v>17395.870000000003</v>
      </c>
      <c r="O103" s="37">
        <f>+Month!O103+O102</f>
        <v>8506</v>
      </c>
      <c r="P103" s="37">
        <f>+Month!P103+P102</f>
        <v>509.03999999999996</v>
      </c>
      <c r="Q103" s="37">
        <f>+Month!Q103+Q102</f>
        <v>1918.03</v>
      </c>
    </row>
    <row r="104" spans="1:17" ht="12">
      <c r="A104">
        <v>2003</v>
      </c>
      <c r="B104" t="s">
        <v>55</v>
      </c>
      <c r="C104" s="13">
        <f>+Month!C104</f>
        <v>7160.97</v>
      </c>
      <c r="D104" s="13">
        <f>+Month!D104</f>
        <v>522.09</v>
      </c>
      <c r="E104" s="13">
        <f>+Month!E104</f>
        <v>-26.94</v>
      </c>
      <c r="F104" s="13">
        <f>+Month!F104</f>
        <v>6665.82</v>
      </c>
      <c r="G104" s="13">
        <f>+Month!G104</f>
        <v>206.47</v>
      </c>
      <c r="H104" s="13">
        <f>+Month!H104</f>
        <v>52.15</v>
      </c>
      <c r="I104" s="13">
        <f>+Month!I104</f>
        <v>338.62</v>
      </c>
      <c r="J104" s="13">
        <f>+Month!J104</f>
        <v>2005.83</v>
      </c>
      <c r="K104" s="13">
        <f>+Month!K104</f>
        <v>328</v>
      </c>
      <c r="L104" s="13">
        <f>+Month!L104</f>
        <v>469.67</v>
      </c>
      <c r="M104" s="13">
        <f>+Month!M104</f>
        <v>868.57</v>
      </c>
      <c r="N104" s="13">
        <f>+Month!N104</f>
        <v>1357.56</v>
      </c>
      <c r="O104" s="13">
        <f>+Month!O104</f>
        <v>764.5</v>
      </c>
      <c r="P104" s="13">
        <f>+Month!P104</f>
        <v>45.15</v>
      </c>
      <c r="Q104" s="13">
        <f>+Month!Q104</f>
        <v>51</v>
      </c>
    </row>
    <row r="105" spans="1:17" ht="12">
      <c r="A105">
        <v>2003</v>
      </c>
      <c r="B105" t="s">
        <v>56</v>
      </c>
      <c r="C105" s="13">
        <f>+Month!C105+C104</f>
        <v>14059.34</v>
      </c>
      <c r="D105" s="13">
        <f>+Month!D105+D104</f>
        <v>1013.47</v>
      </c>
      <c r="E105" s="13">
        <f>+Month!E105+E104</f>
        <v>90.25</v>
      </c>
      <c r="F105" s="13">
        <f>+Month!F105+F104</f>
        <v>12955.61</v>
      </c>
      <c r="G105" s="13">
        <f>+Month!G105+G104</f>
        <v>373.7</v>
      </c>
      <c r="H105" s="13">
        <f>+Month!H105+H104</f>
        <v>101.09</v>
      </c>
      <c r="I105" s="13">
        <f>+Month!I105+I104</f>
        <v>622.69</v>
      </c>
      <c r="J105" s="13">
        <f>+Month!J105+J104</f>
        <v>3853.99</v>
      </c>
      <c r="K105" s="13">
        <f>+Month!K105+K104</f>
        <v>659.27</v>
      </c>
      <c r="L105" s="13">
        <f>+Month!L105+L104</f>
        <v>875.69</v>
      </c>
      <c r="M105" s="13">
        <f>+Month!M105+M104</f>
        <v>1745.0700000000002</v>
      </c>
      <c r="N105" s="13">
        <f>+Month!N105+N104</f>
        <v>2588.98</v>
      </c>
      <c r="O105" s="13">
        <f>+Month!O105+O104</f>
        <v>1547.92</v>
      </c>
      <c r="P105" s="13">
        <f>+Month!P105+P104</f>
        <v>103.71000000000001</v>
      </c>
      <c r="Q105" s="13">
        <f>+Month!Q105+Q104</f>
        <v>195.35</v>
      </c>
    </row>
    <row r="106" spans="1:17" ht="12">
      <c r="A106">
        <v>2003</v>
      </c>
      <c r="B106" t="s">
        <v>57</v>
      </c>
      <c r="C106" s="13">
        <f>+Month!C106+C105</f>
        <v>21461.260000000002</v>
      </c>
      <c r="D106" s="13">
        <f>+Month!D106+D105</f>
        <v>1493.69</v>
      </c>
      <c r="E106" s="13">
        <f>+Month!E106+E105</f>
        <v>44.74</v>
      </c>
      <c r="F106" s="13">
        <f>+Month!F106+F105</f>
        <v>19922.81</v>
      </c>
      <c r="G106" s="13">
        <f>+Month!G106+G105</f>
        <v>567.19</v>
      </c>
      <c r="H106" s="13">
        <f>+Month!H106+H105</f>
        <v>153.24</v>
      </c>
      <c r="I106" s="13">
        <f>+Month!I106+I105</f>
        <v>1013.53</v>
      </c>
      <c r="J106" s="13">
        <f>+Month!J106+J105</f>
        <v>5817.25</v>
      </c>
      <c r="K106" s="13">
        <f>+Month!K106+K105</f>
        <v>1112.96</v>
      </c>
      <c r="L106" s="13">
        <f>+Month!L106+L105</f>
        <v>1225.73</v>
      </c>
      <c r="M106" s="13">
        <f>+Month!M106+M105</f>
        <v>2771.7000000000003</v>
      </c>
      <c r="N106" s="13">
        <f>+Month!N106+N105</f>
        <v>4017.3900000000003</v>
      </c>
      <c r="O106" s="13">
        <f>+Month!O106+O105</f>
        <v>2321.7200000000003</v>
      </c>
      <c r="P106" s="13">
        <f>+Month!P106+P105</f>
        <v>133.41</v>
      </c>
      <c r="Q106" s="13">
        <f>+Month!Q106+Q105</f>
        <v>352.78999999999996</v>
      </c>
    </row>
    <row r="107" spans="1:17" ht="12">
      <c r="A107">
        <v>2003</v>
      </c>
      <c r="B107" t="s">
        <v>58</v>
      </c>
      <c r="C107" s="13">
        <f>+Month!C107+C106</f>
        <v>28505.210000000003</v>
      </c>
      <c r="D107" s="13">
        <f>+Month!D107+D106</f>
        <v>1903.04</v>
      </c>
      <c r="E107" s="13">
        <f>+Month!E107+E106</f>
        <v>-3.309999999999995</v>
      </c>
      <c r="F107" s="13">
        <f>+Month!F107+F106</f>
        <v>26605.46</v>
      </c>
      <c r="G107" s="13">
        <f>+Month!G107+G106</f>
        <v>771.6600000000001</v>
      </c>
      <c r="H107" s="13">
        <f>+Month!H107+H106</f>
        <v>253.65</v>
      </c>
      <c r="I107" s="13">
        <f>+Month!I107+I106</f>
        <v>1361.31</v>
      </c>
      <c r="J107" s="13">
        <f>+Month!J107+J106</f>
        <v>7713.93</v>
      </c>
      <c r="K107" s="13">
        <f>+Month!K107+K106</f>
        <v>1632.01</v>
      </c>
      <c r="L107" s="13">
        <f>+Month!L107+L106</f>
        <v>1460.33</v>
      </c>
      <c r="M107" s="13">
        <f>+Month!M107+M106</f>
        <v>3668.75</v>
      </c>
      <c r="N107" s="13">
        <f>+Month!N107+N106</f>
        <v>5471.85</v>
      </c>
      <c r="O107" s="13">
        <f>+Month!O107+O106</f>
        <v>3075.8</v>
      </c>
      <c r="P107" s="13">
        <f>+Month!P107+P106</f>
        <v>178.78</v>
      </c>
      <c r="Q107" s="13">
        <f>+Month!Q107+Q106</f>
        <v>440.61999999999995</v>
      </c>
    </row>
    <row r="108" spans="1:17" ht="12">
      <c r="A108">
        <v>2003</v>
      </c>
      <c r="B108" t="s">
        <v>59</v>
      </c>
      <c r="C108" s="13">
        <f>+Month!C108+C107</f>
        <v>36112.28</v>
      </c>
      <c r="D108" s="13">
        <f>+Month!D108+D107</f>
        <v>2332.38</v>
      </c>
      <c r="E108" s="13">
        <f>+Month!E108+E107</f>
        <v>-99.71000000000001</v>
      </c>
      <c r="F108" s="13">
        <f>+Month!F108+F107</f>
        <v>33879.58</v>
      </c>
      <c r="G108" s="13">
        <f>+Month!G108+G107</f>
        <v>1010.7</v>
      </c>
      <c r="H108" s="13">
        <f>+Month!H108+H107</f>
        <v>303.74</v>
      </c>
      <c r="I108" s="13">
        <f>+Month!I108+I107</f>
        <v>1641.81</v>
      </c>
      <c r="J108" s="13">
        <f>+Month!J108+J107</f>
        <v>9721.04</v>
      </c>
      <c r="K108" s="13">
        <f>+Month!K108+K107</f>
        <v>2180.69</v>
      </c>
      <c r="L108" s="13">
        <f>+Month!L108+L107</f>
        <v>1689.69</v>
      </c>
      <c r="M108" s="13">
        <f>+Month!M108+M107</f>
        <v>4580.75</v>
      </c>
      <c r="N108" s="13">
        <f>+Month!N108+N107</f>
        <v>7043.08</v>
      </c>
      <c r="O108" s="13">
        <f>+Month!O108+O107</f>
        <v>3862.1600000000003</v>
      </c>
      <c r="P108" s="13">
        <f>+Month!P108+P107</f>
        <v>227.61</v>
      </c>
      <c r="Q108" s="13">
        <f>+Month!Q108+Q107</f>
        <v>780.93</v>
      </c>
    </row>
    <row r="109" spans="1:17" ht="12">
      <c r="A109">
        <v>2003</v>
      </c>
      <c r="B109" t="s">
        <v>60</v>
      </c>
      <c r="C109" s="13">
        <f>+Month!C109+C108</f>
        <v>43193.27</v>
      </c>
      <c r="D109" s="13">
        <f>+Month!D109+D108</f>
        <v>2735.52</v>
      </c>
      <c r="E109" s="13">
        <f>+Month!E109+E108</f>
        <v>43.139999999999986</v>
      </c>
      <c r="F109" s="13">
        <f>+Month!F109+F108</f>
        <v>40414.58</v>
      </c>
      <c r="G109" s="13">
        <f>+Month!G109+G108</f>
        <v>1243.5700000000002</v>
      </c>
      <c r="H109" s="13">
        <f>+Month!H109+H108</f>
        <v>351.88</v>
      </c>
      <c r="I109" s="13">
        <f>+Month!I109+I108</f>
        <v>1899.33</v>
      </c>
      <c r="J109" s="13">
        <f>+Month!J109+J108</f>
        <v>11607.44</v>
      </c>
      <c r="K109" s="13">
        <f>+Month!K109+K108</f>
        <v>2646.12</v>
      </c>
      <c r="L109" s="13">
        <f>+Month!L109+L108</f>
        <v>1863.0900000000001</v>
      </c>
      <c r="M109" s="13">
        <f>+Month!M109+M108</f>
        <v>5420.02</v>
      </c>
      <c r="N109" s="13">
        <f>+Month!N109+N108</f>
        <v>8544.23</v>
      </c>
      <c r="O109" s="13">
        <f>+Month!O109+O108</f>
        <v>4656.71</v>
      </c>
      <c r="P109" s="13">
        <f>+Month!P109+P108</f>
        <v>270.02</v>
      </c>
      <c r="Q109" s="13">
        <f>+Month!Q109+Q108</f>
        <v>914.43</v>
      </c>
    </row>
    <row r="110" spans="1:17" ht="12">
      <c r="A110">
        <v>2003</v>
      </c>
      <c r="B110" t="s">
        <v>61</v>
      </c>
      <c r="C110" s="13">
        <f>+Month!C110+C109</f>
        <v>49774.88</v>
      </c>
      <c r="D110" s="13">
        <f>+Month!D110+D109</f>
        <v>3211.61</v>
      </c>
      <c r="E110" s="13">
        <f>+Month!E110+E109</f>
        <v>-14.620000000000012</v>
      </c>
      <c r="F110" s="13">
        <f>+Month!F110+F109</f>
        <v>46577.86</v>
      </c>
      <c r="G110" s="13">
        <f>+Month!G110+G109</f>
        <v>1468.64</v>
      </c>
      <c r="H110" s="13">
        <f>+Month!H110+H109</f>
        <v>395.1</v>
      </c>
      <c r="I110" s="13">
        <f>+Month!I110+I109</f>
        <v>2211.21</v>
      </c>
      <c r="J110" s="13">
        <f>+Month!J110+J109</f>
        <v>13374.16</v>
      </c>
      <c r="K110" s="13">
        <f>+Month!K110+K109</f>
        <v>3122.6</v>
      </c>
      <c r="L110" s="13">
        <f>+Month!L110+L109</f>
        <v>2040.5600000000002</v>
      </c>
      <c r="M110" s="13">
        <f>+Month!M110+M109</f>
        <v>6216.52</v>
      </c>
      <c r="N110" s="13">
        <f>+Month!N110+N109</f>
        <v>9933.119999999999</v>
      </c>
      <c r="O110" s="13">
        <f>+Month!O110+O109</f>
        <v>5321.91</v>
      </c>
      <c r="P110" s="13">
        <f>+Month!P110+P109</f>
        <v>323.03999999999996</v>
      </c>
      <c r="Q110" s="13">
        <f>+Month!Q110+Q109</f>
        <v>1083.94</v>
      </c>
    </row>
    <row r="111" spans="1:17" ht="12">
      <c r="A111">
        <v>2003</v>
      </c>
      <c r="B111" s="14" t="s">
        <v>62</v>
      </c>
      <c r="C111" s="13">
        <f>+Month!C111+C110</f>
        <v>57265.119999999995</v>
      </c>
      <c r="D111" s="13">
        <f>+Month!D111+D110</f>
        <v>3686.4300000000003</v>
      </c>
      <c r="E111" s="13">
        <f>+Month!E111+E110</f>
        <v>87.10999999999999</v>
      </c>
      <c r="F111" s="13">
        <f>+Month!F111+F110</f>
        <v>53491.55</v>
      </c>
      <c r="G111" s="13">
        <f>+Month!G111+G110</f>
        <v>1659.8500000000001</v>
      </c>
      <c r="H111" s="13">
        <f>+Month!H111+H110</f>
        <v>455.55</v>
      </c>
      <c r="I111" s="13">
        <f>+Month!I111+I110</f>
        <v>2423</v>
      </c>
      <c r="J111" s="13">
        <f>+Month!J111+J110</f>
        <v>15379.75</v>
      </c>
      <c r="K111" s="13">
        <f>+Month!K111+K110</f>
        <v>3672</v>
      </c>
      <c r="L111" s="13">
        <f>+Month!L111+L110</f>
        <v>2242.3300000000004</v>
      </c>
      <c r="M111" s="13">
        <f>+Month!M111+M110</f>
        <v>7145.620000000001</v>
      </c>
      <c r="N111" s="13">
        <f>+Month!N111+N110</f>
        <v>11473.239999999998</v>
      </c>
      <c r="O111" s="13">
        <f>+Month!O111+O110</f>
        <v>6139.03</v>
      </c>
      <c r="P111" s="13">
        <f>+Month!P111+P110</f>
        <v>371.13</v>
      </c>
      <c r="Q111" s="13">
        <f>+Month!Q111+Q110</f>
        <v>1249.54</v>
      </c>
    </row>
    <row r="112" spans="1:17" ht="12">
      <c r="A112">
        <v>2003</v>
      </c>
      <c r="B112" t="s">
        <v>63</v>
      </c>
      <c r="C112" s="13">
        <f>+Month!C112+C111</f>
        <v>63753.689999999995</v>
      </c>
      <c r="D112" s="13">
        <f>+Month!D112+D111</f>
        <v>4102.700000000001</v>
      </c>
      <c r="E112" s="13">
        <f>+Month!E112+E111</f>
        <v>118.01999999999998</v>
      </c>
      <c r="F112" s="13">
        <f>+Month!F112+F111</f>
        <v>59532.94</v>
      </c>
      <c r="G112" s="13">
        <f>+Month!G112+G111</f>
        <v>1807.16</v>
      </c>
      <c r="H112" s="13">
        <f>+Month!H112+H111</f>
        <v>505.45</v>
      </c>
      <c r="I112" s="13">
        <f>+Month!I112+I111</f>
        <v>2685.45</v>
      </c>
      <c r="J112" s="13">
        <f>+Month!J112+J111</f>
        <v>17078.61</v>
      </c>
      <c r="K112" s="13">
        <f>+Month!K112+K111</f>
        <v>4115.1</v>
      </c>
      <c r="L112" s="13">
        <f>+Month!L112+L111</f>
        <v>2519.9500000000003</v>
      </c>
      <c r="M112" s="13">
        <f>+Month!M112+M111</f>
        <v>7896.700000000001</v>
      </c>
      <c r="N112" s="13">
        <f>+Month!N112+N111</f>
        <v>12715.169999999998</v>
      </c>
      <c r="O112" s="13">
        <f>+Month!O112+O111</f>
        <v>6893.25</v>
      </c>
      <c r="P112" s="13">
        <f>+Month!P112+P111</f>
        <v>418.39</v>
      </c>
      <c r="Q112" s="13">
        <f>+Month!Q112+Q111</f>
        <v>1474</v>
      </c>
    </row>
    <row r="113" spans="1:17" ht="12">
      <c r="A113">
        <v>2003</v>
      </c>
      <c r="B113" t="s">
        <v>64</v>
      </c>
      <c r="C113" s="13">
        <f>+Month!C113+C112</f>
        <v>70304.40999999999</v>
      </c>
      <c r="D113" s="13">
        <f>+Month!D113+D112</f>
        <v>4532.160000000001</v>
      </c>
      <c r="E113" s="13">
        <f>+Month!E113+E112</f>
        <v>-2.210000000000022</v>
      </c>
      <c r="F113" s="13">
        <f>+Month!F113+F112</f>
        <v>65774.43000000001</v>
      </c>
      <c r="G113" s="13">
        <f>+Month!G113+G112</f>
        <v>1975.72</v>
      </c>
      <c r="H113" s="13">
        <f>+Month!H113+H112</f>
        <v>579.46</v>
      </c>
      <c r="I113" s="13">
        <f>+Month!I113+I112</f>
        <v>2979.79</v>
      </c>
      <c r="J113" s="13">
        <f>+Month!J113+J112</f>
        <v>18887.46</v>
      </c>
      <c r="K113" s="13">
        <f>+Month!K113+K112</f>
        <v>4524.42</v>
      </c>
      <c r="L113" s="13">
        <f>+Month!L113+L112</f>
        <v>2787.4100000000003</v>
      </c>
      <c r="M113" s="13">
        <f>+Month!M113+M112</f>
        <v>8744.220000000001</v>
      </c>
      <c r="N113" s="13">
        <f>+Month!N113+N112</f>
        <v>14052.249999999998</v>
      </c>
      <c r="O113" s="13">
        <f>+Month!O113+O112</f>
        <v>7620.96</v>
      </c>
      <c r="P113" s="13">
        <f>+Month!P113+P112</f>
        <v>469.65</v>
      </c>
      <c r="Q113" s="13">
        <f>+Month!Q113+Q112</f>
        <v>1613.5</v>
      </c>
    </row>
    <row r="114" spans="1:17" ht="12">
      <c r="A114">
        <v>2003</v>
      </c>
      <c r="B114" t="s">
        <v>65</v>
      </c>
      <c r="C114" s="13">
        <f>+Month!C114+C113</f>
        <v>77178.20999999999</v>
      </c>
      <c r="D114" s="13">
        <f>+Month!D114+D113</f>
        <v>4982.300000000001</v>
      </c>
      <c r="E114" s="13">
        <f>+Month!E114+E113</f>
        <v>-8.480000000000022</v>
      </c>
      <c r="F114" s="13">
        <f>+Month!F114+F113</f>
        <v>72204.35</v>
      </c>
      <c r="G114" s="13">
        <f>+Month!G114+G113</f>
        <v>2131.83</v>
      </c>
      <c r="H114" s="13">
        <f>+Month!H114+H113</f>
        <v>643.0300000000001</v>
      </c>
      <c r="I114" s="13">
        <f>+Month!I114+I113</f>
        <v>3233.89</v>
      </c>
      <c r="J114" s="13">
        <f>+Month!J114+J113</f>
        <v>20697.84</v>
      </c>
      <c r="K114" s="13">
        <f>+Month!K114+K113</f>
        <v>4887.02</v>
      </c>
      <c r="L114" s="13">
        <f>+Month!L114+L113</f>
        <v>3104.5800000000004</v>
      </c>
      <c r="M114" s="13">
        <f>+Month!M114+M113</f>
        <v>9625.480000000001</v>
      </c>
      <c r="N114" s="13">
        <f>+Month!N114+N113</f>
        <v>15351.309999999998</v>
      </c>
      <c r="O114" s="13">
        <f>+Month!O114+O113</f>
        <v>8589.89</v>
      </c>
      <c r="P114" s="13">
        <f>+Month!P114+P113</f>
        <v>530.0899999999999</v>
      </c>
      <c r="Q114" s="13">
        <f>+Month!Q114+Q113</f>
        <v>1760.9</v>
      </c>
    </row>
    <row r="115" spans="1:17" ht="12">
      <c r="A115" s="8">
        <v>2003</v>
      </c>
      <c r="B115" s="8" t="s">
        <v>66</v>
      </c>
      <c r="C115" s="37">
        <f>+Month!C115+C114</f>
        <v>84585.01999999999</v>
      </c>
      <c r="D115" s="37">
        <f>+Month!D115+D114</f>
        <v>5455.590000000001</v>
      </c>
      <c r="E115" s="37">
        <f>+Month!E115+E114</f>
        <v>56.17999999999998</v>
      </c>
      <c r="F115" s="37">
        <f>+Month!F115+F114</f>
        <v>79073.22</v>
      </c>
      <c r="G115" s="37">
        <f>+Month!G115+G114</f>
        <v>2281.39</v>
      </c>
      <c r="H115" s="37">
        <f>+Month!H115+H114</f>
        <v>716.0600000000001</v>
      </c>
      <c r="I115" s="37">
        <f>+Month!I115+I114</f>
        <v>3503.56</v>
      </c>
      <c r="J115" s="37">
        <f>+Month!J115+J114</f>
        <v>22627.28</v>
      </c>
      <c r="K115" s="37">
        <f>+Month!K115+K114</f>
        <v>5277.820000000001</v>
      </c>
      <c r="L115" s="37">
        <f>+Month!L115+L114</f>
        <v>3522.0000000000005</v>
      </c>
      <c r="M115" s="37">
        <f>+Month!M115+M114</f>
        <v>10580.220000000001</v>
      </c>
      <c r="N115" s="37">
        <f>+Month!N115+N114</f>
        <v>16799.719999999998</v>
      </c>
      <c r="O115" s="37">
        <f>+Month!O115+O114</f>
        <v>9494.4</v>
      </c>
      <c r="P115" s="37">
        <f>+Month!P115+P114</f>
        <v>575.8699999999999</v>
      </c>
      <c r="Q115" s="37">
        <f>+Month!Q115+Q114</f>
        <v>1924.27</v>
      </c>
    </row>
    <row r="116" spans="1:17" ht="12">
      <c r="A116">
        <v>2004</v>
      </c>
      <c r="B116" t="s">
        <v>55</v>
      </c>
      <c r="C116" s="13">
        <f>+Month!C116</f>
        <v>7216.96</v>
      </c>
      <c r="D116" s="13">
        <f>+Month!D116</f>
        <v>441.9</v>
      </c>
      <c r="E116" s="13">
        <f>+Month!E116</f>
        <v>32.79</v>
      </c>
      <c r="F116" s="13">
        <f>+Month!F116</f>
        <v>6742.27</v>
      </c>
      <c r="G116" s="13">
        <f>+Month!G116</f>
        <v>153.25</v>
      </c>
      <c r="H116" s="13">
        <f>+Month!H116</f>
        <v>52.73</v>
      </c>
      <c r="I116" s="13">
        <f>+Month!I116</f>
        <v>302.23</v>
      </c>
      <c r="J116" s="13">
        <f>+Month!J116</f>
        <v>1964.18</v>
      </c>
      <c r="K116" s="13">
        <f>+Month!K116</f>
        <v>373.88</v>
      </c>
      <c r="L116" s="13">
        <f>+Month!L116</f>
        <v>447.04</v>
      </c>
      <c r="M116" s="13">
        <f>+Month!M116</f>
        <v>910.78</v>
      </c>
      <c r="N116" s="13">
        <f>+Month!N116</f>
        <v>1423.54</v>
      </c>
      <c r="O116" s="13">
        <f>+Month!O116</f>
        <v>893.3</v>
      </c>
      <c r="P116" s="13">
        <f>+Month!P116</f>
        <v>99.37</v>
      </c>
      <c r="Q116" s="13">
        <f>+Month!Q116</f>
        <v>70.04</v>
      </c>
    </row>
    <row r="117" spans="1:17" ht="12">
      <c r="A117">
        <v>2004</v>
      </c>
      <c r="B117" t="s">
        <v>56</v>
      </c>
      <c r="C117" s="13">
        <f>+Month!C117+C116</f>
        <v>13957.95</v>
      </c>
      <c r="D117" s="13">
        <f>+Month!D117+D116</f>
        <v>812.29</v>
      </c>
      <c r="E117" s="13">
        <f>+Month!E117+E116</f>
        <v>24.299999999999997</v>
      </c>
      <c r="F117" s="13">
        <f>+Month!F117+F116</f>
        <v>13121.37</v>
      </c>
      <c r="G117" s="13">
        <f>+Month!G117+G116</f>
        <v>271.61</v>
      </c>
      <c r="H117" s="13">
        <f>+Month!H117+H116</f>
        <v>76.65</v>
      </c>
      <c r="I117" s="13">
        <f>+Month!I117+I116</f>
        <v>485.37</v>
      </c>
      <c r="J117" s="13">
        <f>+Month!J117+J116</f>
        <v>3733.75</v>
      </c>
      <c r="K117" s="13">
        <f>+Month!K117+K116</f>
        <v>716.85</v>
      </c>
      <c r="L117" s="13">
        <f>+Month!L117+L116</f>
        <v>839.52</v>
      </c>
      <c r="M117" s="13">
        <f>+Month!M117+M116</f>
        <v>1805.78</v>
      </c>
      <c r="N117" s="13">
        <f>+Month!N117+N116</f>
        <v>2680.96</v>
      </c>
      <c r="O117" s="13">
        <f>+Month!O117+O116</f>
        <v>1911.73</v>
      </c>
      <c r="P117" s="13">
        <f>+Month!P117+P116</f>
        <v>169.72</v>
      </c>
      <c r="Q117" s="13">
        <f>+Month!Q117+Q116</f>
        <v>262.74</v>
      </c>
    </row>
    <row r="118" spans="1:17" ht="12">
      <c r="A118">
        <v>2004</v>
      </c>
      <c r="B118" t="s">
        <v>57</v>
      </c>
      <c r="C118" s="13">
        <f>+Month!C118+C117</f>
        <v>21414.23</v>
      </c>
      <c r="D118" s="13">
        <f>+Month!D118+D117</f>
        <v>1252.84</v>
      </c>
      <c r="E118" s="13">
        <f>+Month!E118+E117</f>
        <v>72.78999999999999</v>
      </c>
      <c r="F118" s="13">
        <f>+Month!F118+F117</f>
        <v>20088.620000000003</v>
      </c>
      <c r="G118" s="13">
        <f>+Month!G118+G117</f>
        <v>421.15</v>
      </c>
      <c r="H118" s="13">
        <f>+Month!H118+H117</f>
        <v>125.47</v>
      </c>
      <c r="I118" s="13">
        <f>+Month!I118+I117</f>
        <v>754.71</v>
      </c>
      <c r="J118" s="13">
        <f>+Month!J118+J117</f>
        <v>5783.54</v>
      </c>
      <c r="K118" s="13">
        <f>+Month!K118+K117</f>
        <v>1143.75</v>
      </c>
      <c r="L118" s="13">
        <f>+Month!L118+L117</f>
        <v>1227.09</v>
      </c>
      <c r="M118" s="13">
        <f>+Month!M118+M117</f>
        <v>2827.94</v>
      </c>
      <c r="N118" s="13">
        <f>+Month!N118+N117</f>
        <v>4103.14</v>
      </c>
      <c r="O118" s="13">
        <f>+Month!O118+O117</f>
        <v>2784.74</v>
      </c>
      <c r="P118" s="13">
        <f>+Month!P118+P117</f>
        <v>257.17</v>
      </c>
      <c r="Q118" s="13">
        <f>+Month!Q118+Q117</f>
        <v>400.89</v>
      </c>
    </row>
    <row r="119" spans="1:17" ht="12">
      <c r="A119">
        <v>2004</v>
      </c>
      <c r="B119" t="s">
        <v>58</v>
      </c>
      <c r="C119" s="13">
        <f>+Month!C119+C118</f>
        <v>28933.25</v>
      </c>
      <c r="D119" s="13">
        <f>+Month!D119+D118</f>
        <v>1724.4199999999998</v>
      </c>
      <c r="E119" s="13">
        <f>+Month!E119+E118</f>
        <v>71.33</v>
      </c>
      <c r="F119" s="13">
        <f>+Month!F119+F118</f>
        <v>27137.510000000002</v>
      </c>
      <c r="G119" s="13">
        <f>+Month!G119+G118</f>
        <v>648.3</v>
      </c>
      <c r="H119" s="13">
        <f>+Month!H119+H118</f>
        <v>184.09</v>
      </c>
      <c r="I119" s="13">
        <f>+Month!I119+I118</f>
        <v>1037.52</v>
      </c>
      <c r="J119" s="13">
        <f>+Month!J119+J118</f>
        <v>7814.9</v>
      </c>
      <c r="K119" s="13">
        <f>+Month!K119+K118</f>
        <v>1637.93</v>
      </c>
      <c r="L119" s="13">
        <f>+Month!L119+L118</f>
        <v>1565.51</v>
      </c>
      <c r="M119" s="13">
        <f>+Month!M119+M118</f>
        <v>3718.12</v>
      </c>
      <c r="N119" s="13">
        <f>+Month!N119+N118</f>
        <v>5546.46</v>
      </c>
      <c r="O119" s="13">
        <f>+Month!O119+O118</f>
        <v>3676.45</v>
      </c>
      <c r="P119" s="13">
        <f>+Month!P119+P118</f>
        <v>349.12</v>
      </c>
      <c r="Q119" s="13">
        <f>+Month!Q119+Q118</f>
        <v>583.12</v>
      </c>
    </row>
    <row r="120" spans="1:17" ht="12">
      <c r="A120">
        <v>2004</v>
      </c>
      <c r="B120" t="s">
        <v>59</v>
      </c>
      <c r="C120" s="13">
        <f>+Month!C120+C119</f>
        <v>36544.53</v>
      </c>
      <c r="D120" s="13">
        <f>+Month!D120+D119</f>
        <v>2201.08</v>
      </c>
      <c r="E120" s="13">
        <f>+Month!E120+E119</f>
        <v>-24.489999999999995</v>
      </c>
      <c r="F120" s="13">
        <f>+Month!F120+F119</f>
        <v>34367.96</v>
      </c>
      <c r="G120" s="13">
        <f>+Month!G120+G119</f>
        <v>885.1199999999999</v>
      </c>
      <c r="H120" s="13">
        <f>+Month!H120+H119</f>
        <v>221.72</v>
      </c>
      <c r="I120" s="13">
        <f>+Month!I120+I119</f>
        <v>1303.73</v>
      </c>
      <c r="J120" s="13">
        <f>+Month!J120+J119</f>
        <v>10001.16</v>
      </c>
      <c r="K120" s="13">
        <f>+Month!K120+K119</f>
        <v>2194.8900000000003</v>
      </c>
      <c r="L120" s="13">
        <f>+Month!L120+L119</f>
        <v>1838.92</v>
      </c>
      <c r="M120" s="13">
        <f>+Month!M120+M119</f>
        <v>4562.48</v>
      </c>
      <c r="N120" s="13">
        <f>+Month!N120+N119</f>
        <v>7001.15</v>
      </c>
      <c r="O120" s="13">
        <f>+Month!O120+O119</f>
        <v>4615.5</v>
      </c>
      <c r="P120" s="13">
        <f>+Month!P120+P119</f>
        <v>442.03</v>
      </c>
      <c r="Q120" s="13">
        <f>+Month!Q120+Q119</f>
        <v>779.69</v>
      </c>
    </row>
    <row r="121" spans="1:17" ht="12">
      <c r="A121">
        <v>2004</v>
      </c>
      <c r="B121" t="s">
        <v>60</v>
      </c>
      <c r="C121" s="13">
        <f>+Month!C121+C120</f>
        <v>43630.81</v>
      </c>
      <c r="D121" s="13">
        <f>+Month!D121+D120</f>
        <v>2666</v>
      </c>
      <c r="E121" s="13">
        <f>+Month!E121+E120</f>
        <v>-11.889999999999995</v>
      </c>
      <c r="F121" s="13">
        <f>+Month!F121+F120</f>
        <v>40976.71</v>
      </c>
      <c r="G121" s="13">
        <f>+Month!G121+G120</f>
        <v>1092.23</v>
      </c>
      <c r="H121" s="13">
        <f>+Month!H121+H120</f>
        <v>256.29</v>
      </c>
      <c r="I121" s="13">
        <f>+Month!I121+I120</f>
        <v>1460.1100000000001</v>
      </c>
      <c r="J121" s="13">
        <f>+Month!J121+J120</f>
        <v>12130.67</v>
      </c>
      <c r="K121" s="13">
        <f>+Month!K121+K120</f>
        <v>2776.8100000000004</v>
      </c>
      <c r="L121" s="13">
        <f>+Month!L121+L120</f>
        <v>2025.79</v>
      </c>
      <c r="M121" s="13">
        <f>+Month!M121+M120</f>
        <v>5310.66</v>
      </c>
      <c r="N121" s="13">
        <f>+Month!N121+N120</f>
        <v>8339.38</v>
      </c>
      <c r="O121" s="13">
        <f>+Month!O121+O120</f>
        <v>5461.97</v>
      </c>
      <c r="P121" s="13">
        <f>+Month!P121+P120</f>
        <v>523.3</v>
      </c>
      <c r="Q121" s="13">
        <f>+Month!Q121+Q120</f>
        <v>986.3800000000001</v>
      </c>
    </row>
    <row r="122" spans="1:17" ht="12">
      <c r="A122">
        <v>2004</v>
      </c>
      <c r="B122" t="s">
        <v>61</v>
      </c>
      <c r="C122" s="13">
        <f>+Month!C122+C121</f>
        <v>51563.64</v>
      </c>
      <c r="D122" s="13">
        <f>+Month!D122+D121</f>
        <v>3123.66</v>
      </c>
      <c r="E122" s="13">
        <f>+Month!E122+E121</f>
        <v>5.1600000000000055</v>
      </c>
      <c r="F122" s="13">
        <f>+Month!F122+F121</f>
        <v>48434.83</v>
      </c>
      <c r="G122" s="13">
        <f>+Month!G122+G121</f>
        <v>1323.69</v>
      </c>
      <c r="H122" s="13">
        <f>+Month!H122+H121</f>
        <v>297.12</v>
      </c>
      <c r="I122" s="13">
        <f>+Month!I122+I121</f>
        <v>1723.0500000000002</v>
      </c>
      <c r="J122" s="13">
        <f>+Month!J122+J121</f>
        <v>14247.1</v>
      </c>
      <c r="K122" s="13">
        <f>+Month!K122+K121</f>
        <v>3416.7000000000003</v>
      </c>
      <c r="L122" s="13">
        <f>+Month!L122+L121</f>
        <v>2167.45</v>
      </c>
      <c r="M122" s="13">
        <f>+Month!M122+M121</f>
        <v>6198.07</v>
      </c>
      <c r="N122" s="13">
        <f>+Month!N122+N121</f>
        <v>9886.8</v>
      </c>
      <c r="O122" s="13">
        <f>+Month!O122+O121</f>
        <v>6554.82</v>
      </c>
      <c r="P122" s="13">
        <f>+Month!P122+P121</f>
        <v>625.77</v>
      </c>
      <c r="Q122" s="13">
        <f>+Month!Q122+Q121</f>
        <v>1257.96</v>
      </c>
    </row>
    <row r="123" spans="1:17" ht="12">
      <c r="A123">
        <v>2004</v>
      </c>
      <c r="B123" s="14" t="s">
        <v>62</v>
      </c>
      <c r="C123" s="13">
        <f>+Month!C123+C122</f>
        <v>59341.51</v>
      </c>
      <c r="D123" s="13">
        <f>+Month!D123+D122</f>
        <v>3575.71</v>
      </c>
      <c r="E123" s="13">
        <f>+Month!E123+E122</f>
        <v>-61.65</v>
      </c>
      <c r="F123" s="13">
        <f>+Month!F123+F122</f>
        <v>55827.46</v>
      </c>
      <c r="G123" s="13">
        <f>+Month!G123+G122</f>
        <v>1512.65</v>
      </c>
      <c r="H123" s="13">
        <f>+Month!H123+H122</f>
        <v>337.22</v>
      </c>
      <c r="I123" s="13">
        <f>+Month!I123+I122</f>
        <v>1979.8200000000002</v>
      </c>
      <c r="J123" s="13">
        <f>+Month!J123+J122</f>
        <v>16349.400000000001</v>
      </c>
      <c r="K123" s="13">
        <f>+Month!K123+K122</f>
        <v>3975.9500000000003</v>
      </c>
      <c r="L123" s="13">
        <f>+Month!L123+L122</f>
        <v>2343.49</v>
      </c>
      <c r="M123" s="13">
        <f>+Month!M123+M122</f>
        <v>7167.2</v>
      </c>
      <c r="N123" s="13">
        <f>+Month!N123+N122</f>
        <v>11493.269999999999</v>
      </c>
      <c r="O123" s="13">
        <f>+Month!O123+O122</f>
        <v>7584.51</v>
      </c>
      <c r="P123" s="13">
        <f>+Month!P123+P122</f>
        <v>742.86</v>
      </c>
      <c r="Q123" s="13">
        <f>+Month!Q123+Q122</f>
        <v>1490.24</v>
      </c>
    </row>
    <row r="124" spans="1:17" ht="12">
      <c r="A124">
        <v>2004</v>
      </c>
      <c r="B124" t="s">
        <v>63</v>
      </c>
      <c r="C124" s="13">
        <f>+Month!C124+C123</f>
        <v>66636.53</v>
      </c>
      <c r="D124" s="13">
        <f>+Month!D124+D123</f>
        <v>3981.38</v>
      </c>
      <c r="E124" s="13">
        <f>+Month!E124+E123</f>
        <v>-140.2</v>
      </c>
      <c r="F124" s="13">
        <f>+Month!F124+F123</f>
        <v>62795.35</v>
      </c>
      <c r="G124" s="13">
        <f>+Month!G124+G123</f>
        <v>1658.71</v>
      </c>
      <c r="H124" s="13">
        <f>+Month!H124+H123</f>
        <v>381.11</v>
      </c>
      <c r="I124" s="13">
        <f>+Month!I124+I123</f>
        <v>2222.54</v>
      </c>
      <c r="J124" s="13">
        <f>+Month!J124+J123</f>
        <v>18276.72</v>
      </c>
      <c r="K124" s="13">
        <f>+Month!K124+K123</f>
        <v>4421.51</v>
      </c>
      <c r="L124" s="13">
        <f>+Month!L124+L123</f>
        <v>2578.52</v>
      </c>
      <c r="M124" s="13">
        <f>+Month!M124+M123</f>
        <v>8062.96</v>
      </c>
      <c r="N124" s="13">
        <f>+Month!N124+N123</f>
        <v>12974.429999999998</v>
      </c>
      <c r="O124" s="13">
        <f>+Month!O124+O123</f>
        <v>8697.27</v>
      </c>
      <c r="P124" s="13">
        <f>+Month!P124+P123</f>
        <v>837.3100000000001</v>
      </c>
      <c r="Q124" s="13">
        <f>+Month!Q124+Q123</f>
        <v>1688.96</v>
      </c>
    </row>
    <row r="125" spans="1:17" ht="12">
      <c r="A125">
        <v>2004</v>
      </c>
      <c r="B125" t="s">
        <v>64</v>
      </c>
      <c r="C125" s="13">
        <f>+Month!C125+C124</f>
        <v>74396.97</v>
      </c>
      <c r="D125" s="13">
        <f>+Month!D125+D124</f>
        <v>4435.01</v>
      </c>
      <c r="E125" s="13">
        <f>+Month!E125+E124</f>
        <v>-180.01</v>
      </c>
      <c r="F125" s="13">
        <f>+Month!F125+F124</f>
        <v>70141.98</v>
      </c>
      <c r="G125" s="13">
        <f>+Month!G125+G124</f>
        <v>1825.52</v>
      </c>
      <c r="H125" s="13">
        <f>+Month!H125+H124</f>
        <v>419.05</v>
      </c>
      <c r="I125" s="13">
        <f>+Month!I125+I124</f>
        <v>2503.26</v>
      </c>
      <c r="J125" s="13">
        <f>+Month!J125+J124</f>
        <v>20365.88</v>
      </c>
      <c r="K125" s="13">
        <f>+Month!K125+K124</f>
        <v>4873.51</v>
      </c>
      <c r="L125" s="13">
        <f>+Month!L125+L124</f>
        <v>2877.91</v>
      </c>
      <c r="M125" s="13">
        <f>+Month!M125+M124</f>
        <v>9051.81</v>
      </c>
      <c r="N125" s="13">
        <f>+Month!N125+N124</f>
        <v>14534.489999999998</v>
      </c>
      <c r="O125" s="13">
        <f>+Month!O125+O124</f>
        <v>9699.45</v>
      </c>
      <c r="P125" s="13">
        <f>+Month!P125+P124</f>
        <v>953.59</v>
      </c>
      <c r="Q125" s="13">
        <f>+Month!Q125+Q124</f>
        <v>1862.5</v>
      </c>
    </row>
    <row r="126" spans="1:17" ht="12">
      <c r="A126">
        <v>2004</v>
      </c>
      <c r="B126" t="s">
        <v>65</v>
      </c>
      <c r="C126" s="13">
        <f>+Month!C126+C125</f>
        <v>82016.07</v>
      </c>
      <c r="D126" s="13">
        <f>+Month!D126+D125</f>
        <v>4929.8</v>
      </c>
      <c r="E126" s="13">
        <f>+Month!E126+E125</f>
        <v>4.659999999999997</v>
      </c>
      <c r="F126" s="13">
        <f>+Month!F126+F125</f>
        <v>77081.62</v>
      </c>
      <c r="G126" s="13">
        <f>+Month!G126+G125</f>
        <v>1979.51</v>
      </c>
      <c r="H126" s="13">
        <f>+Month!H126+H125</f>
        <v>459.88</v>
      </c>
      <c r="I126" s="13">
        <f>+Month!I126+I125</f>
        <v>2806.59</v>
      </c>
      <c r="J126" s="13">
        <f>+Month!J126+J125</f>
        <v>22422.15</v>
      </c>
      <c r="K126" s="13">
        <f>+Month!K126+K125</f>
        <v>5270.31</v>
      </c>
      <c r="L126" s="13">
        <f>+Month!L126+L125</f>
        <v>3215.7799999999997</v>
      </c>
      <c r="M126" s="13">
        <f>+Month!M126+M125</f>
        <v>10072.98</v>
      </c>
      <c r="N126" s="13">
        <f>+Month!N126+N125</f>
        <v>16039.789999999997</v>
      </c>
      <c r="O126" s="13">
        <f>+Month!O126+O125</f>
        <v>10401.93</v>
      </c>
      <c r="P126" s="13">
        <f>+Month!P126+P125</f>
        <v>1046.57</v>
      </c>
      <c r="Q126" s="13">
        <f>+Month!Q126+Q125</f>
        <v>2062.72</v>
      </c>
    </row>
    <row r="127" spans="1:17" ht="12">
      <c r="A127" s="8">
        <v>2004</v>
      </c>
      <c r="B127" s="37" t="s">
        <v>66</v>
      </c>
      <c r="C127" s="37">
        <f>+Month!C127+C126</f>
        <v>89820.59000000001</v>
      </c>
      <c r="D127" s="37">
        <f>+Month!D127+D126</f>
        <v>5417.6900000000005</v>
      </c>
      <c r="E127" s="37">
        <f>+Month!E127+E126</f>
        <v>-8.120000000000003</v>
      </c>
      <c r="F127" s="37">
        <f>+Month!F127+F126</f>
        <v>84411.03</v>
      </c>
      <c r="G127" s="37">
        <f>+Month!G127+G126</f>
        <v>2150.26</v>
      </c>
      <c r="H127" s="37">
        <f>+Month!H127+H126</f>
        <v>519.8</v>
      </c>
      <c r="I127" s="37">
        <f>+Month!I127+I126</f>
        <v>3168.32</v>
      </c>
      <c r="J127" s="37">
        <f>+Month!J127+J126</f>
        <v>24590.02</v>
      </c>
      <c r="K127" s="37">
        <f>+Month!K127+K126</f>
        <v>5614.530000000001</v>
      </c>
      <c r="L127" s="37">
        <f>+Month!L127+L126</f>
        <v>3613.47</v>
      </c>
      <c r="M127" s="37">
        <f>+Month!M127+M126</f>
        <v>11079.52</v>
      </c>
      <c r="N127" s="37">
        <f>+Month!N127+N126</f>
        <v>17566.78</v>
      </c>
      <c r="O127" s="37">
        <f>+Month!O127+O126</f>
        <v>11308.59</v>
      </c>
      <c r="P127" s="37">
        <f>+Month!P127+P126</f>
        <v>1136.81</v>
      </c>
      <c r="Q127" s="37">
        <f>+Month!Q127+Q126</f>
        <v>2196.8799999999997</v>
      </c>
    </row>
    <row r="128" spans="1:17" ht="12">
      <c r="A128">
        <v>2005</v>
      </c>
      <c r="B128" t="s">
        <v>55</v>
      </c>
      <c r="C128" s="13">
        <f>+Month!C128</f>
        <v>7437.54</v>
      </c>
      <c r="D128" s="13">
        <f>+Month!D128</f>
        <v>494.54</v>
      </c>
      <c r="E128" s="13">
        <f>+Month!E128</f>
        <v>109.34</v>
      </c>
      <c r="F128" s="13">
        <f>+Month!F128</f>
        <v>6833.65</v>
      </c>
      <c r="G128" s="13">
        <f>+Month!G128</f>
        <v>88.69</v>
      </c>
      <c r="H128" s="13">
        <f>+Month!H128</f>
        <v>43.34</v>
      </c>
      <c r="I128" s="13">
        <f>+Month!I128</f>
        <v>281.09</v>
      </c>
      <c r="J128" s="13">
        <f>+Month!J128</f>
        <v>1982.18</v>
      </c>
      <c r="K128" s="13">
        <f>+Month!K128</f>
        <v>362.74</v>
      </c>
      <c r="L128" s="13">
        <f>+Month!L128</f>
        <v>314.56</v>
      </c>
      <c r="M128" s="13">
        <f>+Month!M128</f>
        <v>849.92</v>
      </c>
      <c r="N128" s="13">
        <f>+Month!N128</f>
        <v>1592.36</v>
      </c>
      <c r="O128" s="13">
        <f>+Month!O128</f>
        <v>990.37</v>
      </c>
      <c r="P128" s="13">
        <f>+Month!P128</f>
        <v>85.15</v>
      </c>
      <c r="Q128" s="13">
        <f>+Month!Q128</f>
        <v>69.86</v>
      </c>
    </row>
    <row r="129" spans="1:17" ht="12">
      <c r="A129">
        <v>2005</v>
      </c>
      <c r="B129" t="s">
        <v>56</v>
      </c>
      <c r="C129" s="13">
        <f>+Month!C129+C128</f>
        <v>13676.3</v>
      </c>
      <c r="D129" s="13">
        <f>+Month!D129+D128</f>
        <v>918.83</v>
      </c>
      <c r="E129" s="13">
        <f>+Month!E129+E128</f>
        <v>55.330000000000005</v>
      </c>
      <c r="F129" s="13">
        <f>+Month!F129+F128</f>
        <v>12702.13</v>
      </c>
      <c r="G129" s="13">
        <f>+Month!G129+G128</f>
        <v>231.57999999999998</v>
      </c>
      <c r="H129" s="13">
        <f>+Month!H129+H128</f>
        <v>66.89</v>
      </c>
      <c r="I129" s="13">
        <f>+Month!I129+I128</f>
        <v>503.40999999999997</v>
      </c>
      <c r="J129" s="13">
        <f>+Month!J129+J128</f>
        <v>3675.4700000000003</v>
      </c>
      <c r="K129" s="13">
        <f>+Month!K129+K128</f>
        <v>611.82</v>
      </c>
      <c r="L129" s="13">
        <f>+Month!L129+L128</f>
        <v>658.4</v>
      </c>
      <c r="M129" s="13">
        <f>+Month!M129+M128</f>
        <v>1601.6599999999999</v>
      </c>
      <c r="N129" s="13">
        <f>+Month!N129+N128</f>
        <v>2936.96</v>
      </c>
      <c r="O129" s="13">
        <f>+Month!O129+O128</f>
        <v>1727.12</v>
      </c>
      <c r="P129" s="13">
        <f>+Month!P129+P128</f>
        <v>166.85000000000002</v>
      </c>
      <c r="Q129" s="13">
        <f>+Month!Q129+Q128</f>
        <v>200.64</v>
      </c>
    </row>
    <row r="130" spans="1:17" ht="12">
      <c r="A130">
        <v>2005</v>
      </c>
      <c r="B130" t="s">
        <v>57</v>
      </c>
      <c r="C130" s="13">
        <f>+Month!C130+C129</f>
        <v>20978.29</v>
      </c>
      <c r="D130" s="13">
        <f>+Month!D130+D129</f>
        <v>1379.0700000000002</v>
      </c>
      <c r="E130" s="13">
        <f>+Month!E130+E129</f>
        <v>154.52</v>
      </c>
      <c r="F130" s="13">
        <f>+Month!F130+F129</f>
        <v>19444.68</v>
      </c>
      <c r="G130" s="13">
        <f>+Month!G130+G129</f>
        <v>425.77</v>
      </c>
      <c r="H130" s="13">
        <f>+Month!H130+H129</f>
        <v>105.75</v>
      </c>
      <c r="I130" s="13">
        <f>+Month!I130+I129</f>
        <v>857.0999999999999</v>
      </c>
      <c r="J130" s="13">
        <f>+Month!J130+J129</f>
        <v>5446.27</v>
      </c>
      <c r="K130" s="13">
        <f>+Month!K130+K129</f>
        <v>959.59</v>
      </c>
      <c r="L130" s="13">
        <f>+Month!L130+L129</f>
        <v>1041.27</v>
      </c>
      <c r="M130" s="13">
        <f>+Month!M130+M129</f>
        <v>2480.8999999999996</v>
      </c>
      <c r="N130" s="13">
        <f>+Month!N130+N129</f>
        <v>4533.54</v>
      </c>
      <c r="O130" s="13">
        <f>+Month!O130+O129</f>
        <v>2473.3199999999997</v>
      </c>
      <c r="P130" s="13">
        <f>+Month!P130+P129</f>
        <v>260.39000000000004</v>
      </c>
      <c r="Q130" s="13">
        <f>+Month!Q130+Q129</f>
        <v>367.6</v>
      </c>
    </row>
    <row r="131" spans="1:17" ht="12">
      <c r="A131">
        <v>2005</v>
      </c>
      <c r="B131" t="s">
        <v>58</v>
      </c>
      <c r="C131" s="13">
        <f>+Month!C131+C130</f>
        <v>27807.71</v>
      </c>
      <c r="D131" s="13">
        <f>+Month!D131+D130</f>
        <v>1823.5900000000001</v>
      </c>
      <c r="E131" s="13">
        <f>+Month!E131+E130</f>
        <v>207.84</v>
      </c>
      <c r="F131" s="13">
        <f>+Month!F131+F130</f>
        <v>25776.260000000002</v>
      </c>
      <c r="G131" s="13">
        <f>+Month!G131+G130</f>
        <v>641.61</v>
      </c>
      <c r="H131" s="13">
        <f>+Month!H131+H130</f>
        <v>139.16</v>
      </c>
      <c r="I131" s="13">
        <f>+Month!I131+I130</f>
        <v>1070.34</v>
      </c>
      <c r="J131" s="13">
        <f>+Month!J131+J130</f>
        <v>7205.860000000001</v>
      </c>
      <c r="K131" s="13">
        <f>+Month!K131+K130</f>
        <v>1383.48</v>
      </c>
      <c r="L131" s="13">
        <f>+Month!L131+L130</f>
        <v>1296.67</v>
      </c>
      <c r="M131" s="13">
        <f>+Month!M131+M130</f>
        <v>3190.66</v>
      </c>
      <c r="N131" s="13">
        <f>+Month!N131+N130</f>
        <v>6087.25</v>
      </c>
      <c r="O131" s="13">
        <f>+Month!O131+O130</f>
        <v>3267.2299999999996</v>
      </c>
      <c r="P131" s="13">
        <f>+Month!P131+P130</f>
        <v>359.08000000000004</v>
      </c>
      <c r="Q131" s="13">
        <f>+Month!Q131+Q130</f>
        <v>486.67</v>
      </c>
    </row>
    <row r="132" spans="1:17" ht="12">
      <c r="A132">
        <v>2005</v>
      </c>
      <c r="B132" t="s">
        <v>59</v>
      </c>
      <c r="C132" s="13">
        <f>+Month!C132+C131</f>
        <v>35003.38</v>
      </c>
      <c r="D132" s="13">
        <f>+Month!D132+D131</f>
        <v>2287.51</v>
      </c>
      <c r="E132" s="13">
        <f>+Month!E132+E131</f>
        <v>276.3</v>
      </c>
      <c r="F132" s="13">
        <f>+Month!F132+F131</f>
        <v>32439.54</v>
      </c>
      <c r="G132" s="13">
        <f>+Month!G132+G131</f>
        <v>855.19</v>
      </c>
      <c r="H132" s="13">
        <f>+Month!H132+H131</f>
        <v>172.92</v>
      </c>
      <c r="I132" s="13">
        <f>+Month!I132+I131</f>
        <v>1358.78</v>
      </c>
      <c r="J132" s="13">
        <f>+Month!J132+J131</f>
        <v>9012.66</v>
      </c>
      <c r="K132" s="13">
        <f>+Month!K132+K131</f>
        <v>1891.93</v>
      </c>
      <c r="L132" s="13">
        <f>+Month!L132+L131</f>
        <v>1506.79</v>
      </c>
      <c r="M132" s="13">
        <f>+Month!M132+M131</f>
        <v>3870.5</v>
      </c>
      <c r="N132" s="13">
        <f>+Month!N132+N131</f>
        <v>7622.12</v>
      </c>
      <c r="O132" s="13">
        <f>+Month!O132+O131</f>
        <v>4159.339999999999</v>
      </c>
      <c r="P132" s="13">
        <f>+Month!P132+P131</f>
        <v>455.37000000000006</v>
      </c>
      <c r="Q132" s="13">
        <f>+Month!Q132+Q131</f>
        <v>709.78</v>
      </c>
    </row>
    <row r="133" spans="1:17" ht="12">
      <c r="A133">
        <v>2005</v>
      </c>
      <c r="B133" t="s">
        <v>60</v>
      </c>
      <c r="C133" s="13">
        <f>+Month!C133+C132</f>
        <v>41976.5</v>
      </c>
      <c r="D133" s="13">
        <f>+Month!D133+D132</f>
        <v>2792.7000000000003</v>
      </c>
      <c r="E133" s="13">
        <f>+Month!E133+E132</f>
        <v>282.79</v>
      </c>
      <c r="F133" s="13">
        <f>+Month!F133+F132</f>
        <v>38900.98</v>
      </c>
      <c r="G133" s="13">
        <f>+Month!G133+G132</f>
        <v>1062.74</v>
      </c>
      <c r="H133" s="13">
        <f>+Month!H133+H132</f>
        <v>206.96999999999997</v>
      </c>
      <c r="I133" s="13">
        <f>+Month!I133+I132</f>
        <v>1588.48</v>
      </c>
      <c r="J133" s="13">
        <f>+Month!J133+J132</f>
        <v>10780.35</v>
      </c>
      <c r="K133" s="13">
        <f>+Month!K133+K132</f>
        <v>2397.9900000000002</v>
      </c>
      <c r="L133" s="13">
        <f>+Month!L133+L132</f>
        <v>1705.8899999999999</v>
      </c>
      <c r="M133" s="13">
        <f>+Month!M133+M132</f>
        <v>4457.84</v>
      </c>
      <c r="N133" s="13">
        <f>+Month!N133+N132</f>
        <v>9220.619999999999</v>
      </c>
      <c r="O133" s="13">
        <f>+Month!O133+O132</f>
        <v>5069.98</v>
      </c>
      <c r="P133" s="13">
        <f>+Month!P133+P132</f>
        <v>541.24</v>
      </c>
      <c r="Q133" s="13">
        <f>+Month!Q133+Q132</f>
        <v>894.14</v>
      </c>
    </row>
    <row r="134" spans="1:17" ht="12">
      <c r="A134">
        <v>2005</v>
      </c>
      <c r="B134" t="s">
        <v>61</v>
      </c>
      <c r="C134" s="13">
        <f>+Month!C134+C133</f>
        <v>49727.82</v>
      </c>
      <c r="D134" s="13">
        <f>+Month!D134+D133</f>
        <v>3268.38</v>
      </c>
      <c r="E134" s="13">
        <f>+Month!E134+E133</f>
        <v>302.24</v>
      </c>
      <c r="F134" s="13">
        <f>+Month!F134+F133</f>
        <v>46157.18</v>
      </c>
      <c r="G134" s="13">
        <f>+Month!G134+G133</f>
        <v>1281.79</v>
      </c>
      <c r="H134" s="13">
        <f>+Month!H134+H133</f>
        <v>246.17999999999998</v>
      </c>
      <c r="I134" s="13">
        <f>+Month!I134+I133</f>
        <v>1846.4</v>
      </c>
      <c r="J134" s="13">
        <f>+Month!J134+J133</f>
        <v>12722.25</v>
      </c>
      <c r="K134" s="13">
        <f>+Month!K134+K133</f>
        <v>2966.32</v>
      </c>
      <c r="L134" s="13">
        <f>+Month!L134+L133</f>
        <v>1853.9699999999998</v>
      </c>
      <c r="M134" s="13">
        <f>+Month!M134+M133</f>
        <v>5325.17</v>
      </c>
      <c r="N134" s="13">
        <f>+Month!N134+N133</f>
        <v>11026.169999999998</v>
      </c>
      <c r="O134" s="13">
        <f>+Month!O134+O133</f>
        <v>6034.7699999999995</v>
      </c>
      <c r="P134" s="13">
        <f>+Month!P134+P133</f>
        <v>644.49</v>
      </c>
      <c r="Q134" s="13">
        <f>+Month!Q134+Q133</f>
        <v>1074.27</v>
      </c>
    </row>
    <row r="135" spans="1:17" ht="12">
      <c r="A135">
        <v>2005</v>
      </c>
      <c r="B135" s="14" t="s">
        <v>62</v>
      </c>
      <c r="C135" s="13">
        <f>+Month!C135+C134</f>
        <v>57278.04</v>
      </c>
      <c r="D135" s="13">
        <f>+Month!D135+D134</f>
        <v>3755.67</v>
      </c>
      <c r="E135" s="13">
        <f>+Month!E135+E134</f>
        <v>189.37</v>
      </c>
      <c r="F135" s="13">
        <f>+Month!F135+F134</f>
        <v>53332.98</v>
      </c>
      <c r="G135" s="13">
        <f>+Month!G135+G134</f>
        <v>1570.07</v>
      </c>
      <c r="H135" s="13">
        <f>+Month!H135+H134</f>
        <v>283.92999999999995</v>
      </c>
      <c r="I135" s="13">
        <f>+Month!I135+I134</f>
        <v>2112.6800000000003</v>
      </c>
      <c r="J135" s="13">
        <f>+Month!J135+J134</f>
        <v>14688.14</v>
      </c>
      <c r="K135" s="13">
        <f>+Month!K135+K134</f>
        <v>3531.34</v>
      </c>
      <c r="L135" s="13">
        <f>+Month!L135+L134</f>
        <v>2045.1999999999998</v>
      </c>
      <c r="M135" s="13">
        <f>+Month!M135+M134</f>
        <v>6110</v>
      </c>
      <c r="N135" s="13">
        <f>+Month!N135+N134</f>
        <v>12726.079999999998</v>
      </c>
      <c r="O135" s="13">
        <f>+Month!O135+O134</f>
        <v>6973.839999999999</v>
      </c>
      <c r="P135" s="13">
        <f>+Month!P135+P134</f>
        <v>729.46</v>
      </c>
      <c r="Q135" s="13">
        <f>+Month!Q135+Q134</f>
        <v>1259.81</v>
      </c>
    </row>
    <row r="136" spans="1:17" ht="12">
      <c r="A136">
        <v>2005</v>
      </c>
      <c r="B136" t="s">
        <v>63</v>
      </c>
      <c r="C136" s="13">
        <f>+Month!C136+C135</f>
        <v>64587.42</v>
      </c>
      <c r="D136" s="13">
        <f>+Month!D136+D135</f>
        <v>4204.87</v>
      </c>
      <c r="E136" s="13">
        <f>+Month!E136+E135</f>
        <v>286.63</v>
      </c>
      <c r="F136" s="13">
        <f>+Month!F136+F135</f>
        <v>60095.89</v>
      </c>
      <c r="G136" s="13">
        <f>+Month!G136+G135</f>
        <v>1702.9099999999999</v>
      </c>
      <c r="H136" s="13">
        <f>+Month!H136+H135</f>
        <v>320.4</v>
      </c>
      <c r="I136" s="13">
        <f>+Month!I136+I135</f>
        <v>2321.11</v>
      </c>
      <c r="J136" s="13">
        <f>+Month!J136+J135</f>
        <v>16773.129999999997</v>
      </c>
      <c r="K136" s="13">
        <f>+Month!K136+K135</f>
        <v>3988.77</v>
      </c>
      <c r="L136" s="13">
        <f>+Month!L136+L135</f>
        <v>2303.24</v>
      </c>
      <c r="M136" s="13">
        <f>+Month!M136+M135</f>
        <v>6934.39</v>
      </c>
      <c r="N136" s="13">
        <f>+Month!N136+N135</f>
        <v>14319.779999999999</v>
      </c>
      <c r="O136" s="13">
        <f>+Month!O136+O135</f>
        <v>7733.759999999999</v>
      </c>
      <c r="P136" s="13">
        <f>+Month!P136+P135</f>
        <v>815.94</v>
      </c>
      <c r="Q136" s="13">
        <f>+Month!Q136+Q135</f>
        <v>1436.97</v>
      </c>
    </row>
    <row r="137" spans="1:17" ht="12">
      <c r="A137">
        <v>2005</v>
      </c>
      <c r="B137" t="s">
        <v>64</v>
      </c>
      <c r="C137" s="13">
        <f>+Month!C137+C136</f>
        <v>71896.84</v>
      </c>
      <c r="D137" s="13">
        <f>+Month!D137+D136</f>
        <v>4666.98</v>
      </c>
      <c r="E137" s="13">
        <f>+Month!E137+E136</f>
        <v>321.84</v>
      </c>
      <c r="F137" s="13">
        <f>+Month!F137+F136</f>
        <v>66907.99</v>
      </c>
      <c r="G137" s="13">
        <f>+Month!G137+G136</f>
        <v>1845.9299999999998</v>
      </c>
      <c r="H137" s="13">
        <f>+Month!H137+H136</f>
        <v>357.27</v>
      </c>
      <c r="I137" s="13">
        <f>+Month!I137+I136</f>
        <v>2525.88</v>
      </c>
      <c r="J137" s="13">
        <f>+Month!J137+J136</f>
        <v>18818.12</v>
      </c>
      <c r="K137" s="13">
        <f>+Month!K137+K136</f>
        <v>4487.99</v>
      </c>
      <c r="L137" s="13">
        <f>+Month!L137+L136</f>
        <v>2528.7099999999996</v>
      </c>
      <c r="M137" s="13">
        <f>+Month!M137+M136</f>
        <v>7686.4400000000005</v>
      </c>
      <c r="N137" s="13">
        <f>+Month!N137+N136</f>
        <v>15971.419999999998</v>
      </c>
      <c r="O137" s="13">
        <f>+Month!O137+O136</f>
        <v>8587.009999999998</v>
      </c>
      <c r="P137" s="13">
        <f>+Month!P137+P136</f>
        <v>864.21</v>
      </c>
      <c r="Q137" s="13">
        <f>+Month!Q137+Q136</f>
        <v>1618.6100000000001</v>
      </c>
    </row>
    <row r="138" spans="1:17" ht="12">
      <c r="A138">
        <v>2005</v>
      </c>
      <c r="B138" t="s">
        <v>65</v>
      </c>
      <c r="C138" s="13">
        <f>+Month!C138+C137</f>
        <v>78789.33</v>
      </c>
      <c r="D138" s="13">
        <f>+Month!D138+D137</f>
        <v>5112.83</v>
      </c>
      <c r="E138" s="13">
        <f>+Month!E138+E137</f>
        <v>380.55999999999995</v>
      </c>
      <c r="F138" s="13">
        <f>+Month!F138+F137</f>
        <v>73295.91</v>
      </c>
      <c r="G138" s="13">
        <f>+Month!G138+G137</f>
        <v>2019.4299999999998</v>
      </c>
      <c r="H138" s="13">
        <f>+Month!H138+H137</f>
        <v>392.11</v>
      </c>
      <c r="I138" s="13">
        <f>+Month!I138+I137</f>
        <v>2752.1</v>
      </c>
      <c r="J138" s="13">
        <f>+Month!J138+J137</f>
        <v>20625.21</v>
      </c>
      <c r="K138" s="13">
        <f>+Month!K138+K137</f>
        <v>4887.82</v>
      </c>
      <c r="L138" s="13">
        <f>+Month!L138+L137</f>
        <v>2849.7599999999998</v>
      </c>
      <c r="M138" s="13">
        <f>+Month!M138+M137</f>
        <v>8502.720000000001</v>
      </c>
      <c r="N138" s="13">
        <f>+Month!N138+N137</f>
        <v>17490.42</v>
      </c>
      <c r="O138" s="13">
        <f>+Month!O138+O137</f>
        <v>9333.679999999998</v>
      </c>
      <c r="P138" s="13">
        <f>+Month!P138+P137</f>
        <v>900.38</v>
      </c>
      <c r="Q138" s="13">
        <f>+Month!Q138+Q137</f>
        <v>1770.73</v>
      </c>
    </row>
    <row r="139" spans="1:17" ht="12">
      <c r="A139" s="8">
        <v>2005</v>
      </c>
      <c r="B139" s="37" t="s">
        <v>66</v>
      </c>
      <c r="C139" s="37">
        <f>+Month!C139+C138</f>
        <v>86134.27</v>
      </c>
      <c r="D139" s="37">
        <f>+Month!D139+D138</f>
        <v>5601.3</v>
      </c>
      <c r="E139" s="37">
        <f>+Month!E139+E138</f>
        <v>387.47999999999996</v>
      </c>
      <c r="F139" s="37">
        <f>+Month!F139+F138</f>
        <v>80145.46</v>
      </c>
      <c r="G139" s="37">
        <f>+Month!G139+G138</f>
        <v>2184.1899999999996</v>
      </c>
      <c r="H139" s="37">
        <f>+Month!H139+H138</f>
        <v>427.3</v>
      </c>
      <c r="I139" s="37">
        <f>+Month!I139+I138</f>
        <v>3019.41</v>
      </c>
      <c r="J139" s="37">
        <f>+Month!J139+J138</f>
        <v>22603.77</v>
      </c>
      <c r="K139" s="37">
        <f>+Month!K139+K138</f>
        <v>5167.099999999999</v>
      </c>
      <c r="L139" s="37">
        <f>+Month!L139+L138</f>
        <v>3324.8799999999997</v>
      </c>
      <c r="M139" s="37">
        <f>+Month!M139+M138</f>
        <v>9429.85</v>
      </c>
      <c r="N139" s="37">
        <f>+Month!N139+N138</f>
        <v>19055.899999999998</v>
      </c>
      <c r="O139" s="37">
        <f>+Month!O139+O138</f>
        <v>10154.779999999999</v>
      </c>
      <c r="P139" s="37">
        <f>+Month!P139+P138</f>
        <v>936.3</v>
      </c>
      <c r="Q139" s="37">
        <f>+Month!Q139+Q138</f>
        <v>1911.57</v>
      </c>
    </row>
    <row r="140" spans="1:17" ht="12">
      <c r="A140">
        <v>2006</v>
      </c>
      <c r="B140" t="s">
        <v>55</v>
      </c>
      <c r="C140" s="13">
        <f>+Month!C140</f>
        <v>7347.73</v>
      </c>
      <c r="D140" s="13">
        <f>+Month!D140</f>
        <v>400.2</v>
      </c>
      <c r="E140" s="13">
        <f>+Month!E140</f>
        <v>162.18</v>
      </c>
      <c r="F140" s="13">
        <f>+Month!F140</f>
        <v>6785.35</v>
      </c>
      <c r="G140" s="13">
        <f>+Month!G140</f>
        <v>231.02</v>
      </c>
      <c r="H140" s="13">
        <f>+Month!H140</f>
        <v>52.03</v>
      </c>
      <c r="I140" s="13">
        <f>+Month!I140</f>
        <v>303.16</v>
      </c>
      <c r="J140" s="13">
        <f>+Month!J140</f>
        <v>1838.7</v>
      </c>
      <c r="K140" s="13">
        <f>+Month!K140</f>
        <v>397.75</v>
      </c>
      <c r="L140" s="13">
        <f>+Month!L140</f>
        <v>401.93</v>
      </c>
      <c r="M140" s="13">
        <f>+Month!M140</f>
        <v>880.81</v>
      </c>
      <c r="N140" s="13">
        <f>+Month!N140</f>
        <v>1396.65</v>
      </c>
      <c r="O140" s="13">
        <f>+Month!O140</f>
        <v>1041.74</v>
      </c>
      <c r="P140" s="13">
        <f>+Month!P140</f>
        <v>62.4</v>
      </c>
      <c r="Q140" s="13">
        <f>+Month!Q140</f>
        <v>62.08</v>
      </c>
    </row>
    <row r="141" spans="1:17" ht="12">
      <c r="A141">
        <v>2006</v>
      </c>
      <c r="B141" t="s">
        <v>56</v>
      </c>
      <c r="C141" s="13">
        <f>+Month!C141+C140</f>
        <v>13808.4</v>
      </c>
      <c r="D141" s="13">
        <f>+Month!D141+D140</f>
        <v>731.73</v>
      </c>
      <c r="E141" s="13">
        <f>+Month!E141+E140</f>
        <v>300.65</v>
      </c>
      <c r="F141" s="13">
        <f>+Month!F141+F140</f>
        <v>12776.03</v>
      </c>
      <c r="G141" s="13">
        <f>+Month!G141+G140</f>
        <v>431.98</v>
      </c>
      <c r="H141" s="13">
        <f>+Month!H141+H140</f>
        <v>100.21000000000001</v>
      </c>
      <c r="I141" s="13">
        <f>+Month!I141+I140</f>
        <v>602.57</v>
      </c>
      <c r="J141" s="13">
        <f>+Month!J141+J140</f>
        <v>3504.19</v>
      </c>
      <c r="K141" s="13">
        <f>+Month!K141+K140</f>
        <v>753.14</v>
      </c>
      <c r="L141" s="13">
        <f>+Month!L141+L140</f>
        <v>766.6800000000001</v>
      </c>
      <c r="M141" s="13">
        <f>+Month!M141+M140</f>
        <v>1553.1799999999998</v>
      </c>
      <c r="N141" s="13">
        <f>+Month!N141+N140</f>
        <v>2611.98</v>
      </c>
      <c r="O141" s="13">
        <f>+Month!O141+O140</f>
        <v>1933.6</v>
      </c>
      <c r="P141" s="13">
        <f>+Month!P141+P140</f>
        <v>110.87</v>
      </c>
      <c r="Q141" s="13">
        <f>+Month!Q141+Q140</f>
        <v>190.57</v>
      </c>
    </row>
    <row r="142" spans="1:17" ht="12">
      <c r="A142">
        <v>2006</v>
      </c>
      <c r="B142" t="s">
        <v>57</v>
      </c>
      <c r="C142" s="13">
        <f>+Month!C142+C141</f>
        <v>20112.66</v>
      </c>
      <c r="D142" s="13">
        <f>+Month!D142+D141</f>
        <v>1113.02</v>
      </c>
      <c r="E142" s="13">
        <f>+Month!E142+E141</f>
        <v>146.89999999999998</v>
      </c>
      <c r="F142" s="13">
        <f>+Month!F142+F141</f>
        <v>18852.760000000002</v>
      </c>
      <c r="G142" s="13">
        <f>+Month!G142+G141</f>
        <v>626.69</v>
      </c>
      <c r="H142" s="13">
        <f>+Month!H142+H141</f>
        <v>145.54000000000002</v>
      </c>
      <c r="I142" s="13">
        <f>+Month!I142+I141</f>
        <v>878.0500000000001</v>
      </c>
      <c r="J142" s="13">
        <f>+Month!J142+J141</f>
        <v>5036.9</v>
      </c>
      <c r="K142" s="13">
        <f>+Month!K142+K141</f>
        <v>1274.15</v>
      </c>
      <c r="L142" s="13">
        <f>+Month!L142+L141</f>
        <v>1211.22</v>
      </c>
      <c r="M142" s="13">
        <f>+Month!M142+M141</f>
        <v>2388.08</v>
      </c>
      <c r="N142" s="13">
        <f>+Month!N142+N141</f>
        <v>3658.6400000000003</v>
      </c>
      <c r="O142" s="13">
        <f>+Month!O142+O141</f>
        <v>2755.87</v>
      </c>
      <c r="P142" s="13">
        <f>+Month!P142+P141</f>
        <v>159.01</v>
      </c>
      <c r="Q142" s="13">
        <f>+Month!Q142+Q141</f>
        <v>344.7</v>
      </c>
    </row>
    <row r="143" spans="1:17" ht="12">
      <c r="A143">
        <v>2006</v>
      </c>
      <c r="B143" t="s">
        <v>58</v>
      </c>
      <c r="C143" s="13">
        <f>+Month!C143+C142</f>
        <v>26642.760000000002</v>
      </c>
      <c r="D143" s="13">
        <f>+Month!D143+D142</f>
        <v>1538.28</v>
      </c>
      <c r="E143" s="13">
        <f>+Month!E143+E142</f>
        <v>150.39999999999998</v>
      </c>
      <c r="F143" s="13">
        <f>+Month!F143+F142</f>
        <v>24954.11</v>
      </c>
      <c r="G143" s="13">
        <f>+Month!G143+G142</f>
        <v>858.75</v>
      </c>
      <c r="H143" s="13">
        <f>+Month!H143+H142</f>
        <v>197.95000000000002</v>
      </c>
      <c r="I143" s="13">
        <f>+Month!I143+I142</f>
        <v>1084.48</v>
      </c>
      <c r="J143" s="13">
        <f>+Month!J143+J142</f>
        <v>6661.12</v>
      </c>
      <c r="K143" s="13">
        <f>+Month!K143+K142</f>
        <v>1757.41</v>
      </c>
      <c r="L143" s="13">
        <f>+Month!L143+L142</f>
        <v>1488.39</v>
      </c>
      <c r="M143" s="13">
        <f>+Month!M143+M142</f>
        <v>3237.5699999999997</v>
      </c>
      <c r="N143" s="13">
        <f>+Month!N143+N142</f>
        <v>4924.110000000001</v>
      </c>
      <c r="O143" s="13">
        <f>+Month!O143+O142</f>
        <v>3533.19</v>
      </c>
      <c r="P143" s="13">
        <f>+Month!P143+P142</f>
        <v>210.76999999999998</v>
      </c>
      <c r="Q143" s="13">
        <f>+Month!Q143+Q142</f>
        <v>484.65</v>
      </c>
    </row>
    <row r="144" spans="1:17" ht="12">
      <c r="A144">
        <v>2006</v>
      </c>
      <c r="B144" t="s">
        <v>59</v>
      </c>
      <c r="C144" s="13">
        <f>+Month!C144+C143</f>
        <v>34014.39</v>
      </c>
      <c r="D144" s="13">
        <f>+Month!D144+D143</f>
        <v>1962.27</v>
      </c>
      <c r="E144" s="13">
        <f>+Month!E144+E143</f>
        <v>-10.190000000000026</v>
      </c>
      <c r="F144" s="13">
        <f>+Month!F144+F143</f>
        <v>32062.35</v>
      </c>
      <c r="G144" s="13">
        <f>+Month!G144+G143</f>
        <v>1133.03</v>
      </c>
      <c r="H144" s="13">
        <f>+Month!H144+H143</f>
        <v>255.82000000000002</v>
      </c>
      <c r="I144" s="13">
        <f>+Month!I144+I143</f>
        <v>1229.15</v>
      </c>
      <c r="J144" s="13">
        <f>+Month!J144+J143</f>
        <v>8642.19</v>
      </c>
      <c r="K144" s="13">
        <f>+Month!K144+K143</f>
        <v>2327.66</v>
      </c>
      <c r="L144" s="13">
        <f>+Month!L144+L143</f>
        <v>1888.3100000000002</v>
      </c>
      <c r="M144" s="13">
        <f>+Month!M144+M143</f>
        <v>4061.7699999999995</v>
      </c>
      <c r="N144" s="13">
        <f>+Month!N144+N143</f>
        <v>6387.93</v>
      </c>
      <c r="O144" s="13">
        <f>+Month!O144+O143</f>
        <v>4589.83</v>
      </c>
      <c r="P144" s="13">
        <f>+Month!P144+P143</f>
        <v>236.89</v>
      </c>
      <c r="Q144" s="13">
        <f>+Month!Q144+Q143</f>
        <v>649.91</v>
      </c>
    </row>
    <row r="145" spans="1:17" ht="12">
      <c r="A145">
        <v>2006</v>
      </c>
      <c r="B145" t="s">
        <v>60</v>
      </c>
      <c r="C145" s="13">
        <f>+Month!C145+C144</f>
        <v>41094.92</v>
      </c>
      <c r="D145" s="13">
        <f>+Month!D145+D144</f>
        <v>2398.61</v>
      </c>
      <c r="E145" s="13">
        <f>+Month!E145+E144</f>
        <v>21.009999999999973</v>
      </c>
      <c r="F145" s="13">
        <f>+Month!F145+F144</f>
        <v>38675.34</v>
      </c>
      <c r="G145" s="13">
        <f>+Month!G145+G144</f>
        <v>1408.22</v>
      </c>
      <c r="H145" s="13">
        <f>+Month!H145+H144</f>
        <v>297.95000000000005</v>
      </c>
      <c r="I145" s="13">
        <f>+Month!I145+I144</f>
        <v>1392.8700000000001</v>
      </c>
      <c r="J145" s="13">
        <f>+Month!J145+J144</f>
        <v>10446.400000000001</v>
      </c>
      <c r="K145" s="13">
        <f>+Month!K145+K144</f>
        <v>3027.25</v>
      </c>
      <c r="L145" s="13">
        <f>+Month!L145+L144</f>
        <v>2023.6200000000001</v>
      </c>
      <c r="M145" s="13">
        <f>+Month!M145+M144</f>
        <v>4923.259999999999</v>
      </c>
      <c r="N145" s="13">
        <f>+Month!N145+N144</f>
        <v>7781.4400000000005</v>
      </c>
      <c r="O145" s="13">
        <f>+Month!O145+O144</f>
        <v>5485.03</v>
      </c>
      <c r="P145" s="13">
        <f>+Month!P145+P144</f>
        <v>293.79999999999995</v>
      </c>
      <c r="Q145" s="13">
        <f>+Month!Q145+Q144</f>
        <v>826.99</v>
      </c>
    </row>
    <row r="146" spans="1:17" ht="12">
      <c r="A146">
        <v>2006</v>
      </c>
      <c r="B146" t="s">
        <v>61</v>
      </c>
      <c r="C146" s="13">
        <f>+Month!C146+C145</f>
        <v>48289.47</v>
      </c>
      <c r="D146" s="13">
        <f>+Month!D146+D145</f>
        <v>2834.81</v>
      </c>
      <c r="E146" s="13">
        <f>+Month!E146+E145</f>
        <v>77.83999999999997</v>
      </c>
      <c r="F146" s="13">
        <f>+Month!F146+F145</f>
        <v>45376.869999999995</v>
      </c>
      <c r="G146" s="13">
        <f>+Month!G146+G145</f>
        <v>1658.58</v>
      </c>
      <c r="H146" s="13">
        <f>+Month!H146+H145</f>
        <v>344.0400000000001</v>
      </c>
      <c r="I146" s="13">
        <f>+Month!I146+I145</f>
        <v>1567.7400000000002</v>
      </c>
      <c r="J146" s="13">
        <f>+Month!J146+J145</f>
        <v>12251.050000000001</v>
      </c>
      <c r="K146" s="13">
        <f>+Month!K146+K145</f>
        <v>3694.27</v>
      </c>
      <c r="L146" s="13">
        <f>+Month!L146+L145</f>
        <v>2137.02</v>
      </c>
      <c r="M146" s="13">
        <f>+Month!M146+M145</f>
        <v>5788.73</v>
      </c>
      <c r="N146" s="13">
        <f>+Month!N146+N145</f>
        <v>9258.01</v>
      </c>
      <c r="O146" s="13">
        <f>+Month!O146+O145</f>
        <v>6391.65</v>
      </c>
      <c r="P146" s="13">
        <f>+Month!P146+P145</f>
        <v>365.98999999999995</v>
      </c>
      <c r="Q146" s="13">
        <f>+Month!Q146+Q145</f>
        <v>1003.24</v>
      </c>
    </row>
    <row r="147" spans="1:17" ht="12">
      <c r="A147">
        <v>2006</v>
      </c>
      <c r="B147" s="14" t="s">
        <v>62</v>
      </c>
      <c r="C147" s="13">
        <f>+Month!C147+C146</f>
        <v>55728.630000000005</v>
      </c>
      <c r="D147" s="13">
        <f>+Month!D147+D146</f>
        <v>3271.89</v>
      </c>
      <c r="E147" s="13">
        <f>+Month!E147+E146</f>
        <v>117.99999999999997</v>
      </c>
      <c r="F147" s="13">
        <f>+Month!F147+F146</f>
        <v>52338.78</v>
      </c>
      <c r="G147" s="13">
        <f>+Month!G147+G146</f>
        <v>1825.27</v>
      </c>
      <c r="H147" s="13">
        <f>+Month!H147+H146</f>
        <v>399.86000000000007</v>
      </c>
      <c r="I147" s="13">
        <f>+Month!I147+I146</f>
        <v>1824.9700000000003</v>
      </c>
      <c r="J147" s="13">
        <f>+Month!J147+J146</f>
        <v>14112.11</v>
      </c>
      <c r="K147" s="13">
        <f>+Month!K147+K146</f>
        <v>4421.28</v>
      </c>
      <c r="L147" s="13">
        <f>+Month!L147+L146</f>
        <v>2291.19</v>
      </c>
      <c r="M147" s="13">
        <f>+Month!M147+M146</f>
        <v>6701.759999999999</v>
      </c>
      <c r="N147" s="13">
        <f>+Month!N147+N146</f>
        <v>10776.91</v>
      </c>
      <c r="O147" s="13">
        <f>+Month!O147+O146</f>
        <v>7335.5</v>
      </c>
      <c r="P147" s="13">
        <f>+Month!P147+P146</f>
        <v>414.50999999999993</v>
      </c>
      <c r="Q147" s="13">
        <f>+Month!Q147+Q146</f>
        <v>1190.95</v>
      </c>
    </row>
    <row r="148" spans="1:18" s="14" customFormat="1" ht="12">
      <c r="A148">
        <v>2006</v>
      </c>
      <c r="B148" t="s">
        <v>63</v>
      </c>
      <c r="C148" s="13">
        <f>+Month!C148+C147</f>
        <v>62709.310000000005</v>
      </c>
      <c r="D148" s="13">
        <f>+Month!D148+D147</f>
        <v>3676.72</v>
      </c>
      <c r="E148" s="13">
        <f>+Month!E148+E147</f>
        <v>236.71999999999997</v>
      </c>
      <c r="F148" s="13">
        <f>+Month!F148+F147</f>
        <v>58795.909999999996</v>
      </c>
      <c r="G148" s="13">
        <f>+Month!G148+G147</f>
        <v>1878.35</v>
      </c>
      <c r="H148" s="13">
        <f>+Month!H148+H147</f>
        <v>463.2700000000001</v>
      </c>
      <c r="I148" s="13">
        <f>+Month!I148+I147</f>
        <v>2031.3000000000002</v>
      </c>
      <c r="J148" s="13">
        <f>+Month!J148+J147</f>
        <v>15959.1</v>
      </c>
      <c r="K148" s="13">
        <f>+Month!K148+K147</f>
        <v>5005.5199999999995</v>
      </c>
      <c r="L148" s="13">
        <f>+Month!L148+L147</f>
        <v>2450.79</v>
      </c>
      <c r="M148" s="13">
        <f>+Month!M148+M147</f>
        <v>7554.4</v>
      </c>
      <c r="N148" s="13">
        <f>+Month!N148+N147</f>
        <v>12066.82</v>
      </c>
      <c r="O148" s="13">
        <f>+Month!O148+O147</f>
        <v>8339.74</v>
      </c>
      <c r="P148" s="13">
        <f>+Month!P148+P147</f>
        <v>465.31999999999994</v>
      </c>
      <c r="Q148" s="13">
        <f>+Month!Q148+Q147</f>
        <v>1359.31</v>
      </c>
      <c r="R148"/>
    </row>
    <row r="149" spans="1:17" ht="12">
      <c r="A149">
        <v>2006</v>
      </c>
      <c r="B149" t="s">
        <v>64</v>
      </c>
      <c r="C149" s="13">
        <f>+Month!C149+C148</f>
        <v>69061.20000000001</v>
      </c>
      <c r="D149" s="13">
        <f>+Month!D149+D148</f>
        <v>4025.39</v>
      </c>
      <c r="E149" s="13">
        <f>+Month!E149+E148</f>
        <v>217.58999999999997</v>
      </c>
      <c r="F149" s="13">
        <f>+Month!F149+F148</f>
        <v>64818.259999999995</v>
      </c>
      <c r="G149" s="13">
        <f>+Month!G149+G148</f>
        <v>1887.61</v>
      </c>
      <c r="H149" s="13">
        <f>+Month!H149+H148</f>
        <v>534.45</v>
      </c>
      <c r="I149" s="13">
        <f>+Month!I149+I148</f>
        <v>2180.3500000000004</v>
      </c>
      <c r="J149" s="13">
        <f>+Month!J149+J148</f>
        <v>17811.510000000002</v>
      </c>
      <c r="K149" s="13">
        <f>+Month!K149+K148</f>
        <v>5408.37</v>
      </c>
      <c r="L149" s="13">
        <f>+Month!L149+L148</f>
        <v>2709.31</v>
      </c>
      <c r="M149" s="13">
        <f>+Month!M149+M148</f>
        <v>8227.97</v>
      </c>
      <c r="N149" s="13">
        <f>+Month!N149+N148</f>
        <v>13250.24</v>
      </c>
      <c r="O149" s="13">
        <f>+Month!O149+O148</f>
        <v>9420.74</v>
      </c>
      <c r="P149" s="13">
        <f>+Month!P149+P148</f>
        <v>522.4</v>
      </c>
      <c r="Q149" s="13">
        <f>+Month!Q149+Q148</f>
        <v>1479.3899999999999</v>
      </c>
    </row>
    <row r="150" spans="1:17" ht="12">
      <c r="A150">
        <v>2006</v>
      </c>
      <c r="B150" t="s">
        <v>65</v>
      </c>
      <c r="C150" s="13">
        <f>+Month!C150+C149</f>
        <v>75773.50000000001</v>
      </c>
      <c r="D150" s="13">
        <f>+Month!D150+D149</f>
        <v>4426.24</v>
      </c>
      <c r="E150" s="13">
        <f>+Month!E150+E149</f>
        <v>287.42999999999995</v>
      </c>
      <c r="F150" s="13">
        <f>+Month!F150+F149</f>
        <v>71059.87</v>
      </c>
      <c r="G150" s="13">
        <f>+Month!G150+G149</f>
        <v>1980.4899999999998</v>
      </c>
      <c r="H150" s="13">
        <f>+Month!H150+H149</f>
        <v>599.6400000000001</v>
      </c>
      <c r="I150" s="13">
        <f>+Month!I150+I149</f>
        <v>2461.6500000000005</v>
      </c>
      <c r="J150" s="13">
        <f>+Month!J150+J149</f>
        <v>19583.04</v>
      </c>
      <c r="K150" s="13">
        <f>+Month!K150+K149</f>
        <v>5781.04</v>
      </c>
      <c r="L150" s="13">
        <f>+Month!L150+L149</f>
        <v>3059.16</v>
      </c>
      <c r="M150" s="13">
        <f>+Month!M150+M149</f>
        <v>9094.9</v>
      </c>
      <c r="N150" s="13">
        <f>+Month!N150+N149</f>
        <v>14454.81</v>
      </c>
      <c r="O150" s="13">
        <f>+Month!O150+O149</f>
        <v>10321.15</v>
      </c>
      <c r="P150" s="13">
        <f>+Month!P150+P149</f>
        <v>558.96</v>
      </c>
      <c r="Q150" s="13">
        <f>+Month!Q150+Q149</f>
        <v>1612.1399999999999</v>
      </c>
    </row>
    <row r="151" spans="1:17" ht="12">
      <c r="A151" s="8">
        <v>2006</v>
      </c>
      <c r="B151" s="37" t="s">
        <v>66</v>
      </c>
      <c r="C151" s="37">
        <f>+Month!C151+C150</f>
        <v>83213.10000000002</v>
      </c>
      <c r="D151" s="37">
        <f>+Month!D151+D150</f>
        <v>4877.91</v>
      </c>
      <c r="E151" s="37">
        <f>+Month!E151+E150</f>
        <v>374.40999999999997</v>
      </c>
      <c r="F151" s="37">
        <f>+Month!F151+F150</f>
        <v>77960.81999999999</v>
      </c>
      <c r="G151" s="37">
        <f>+Month!G151+G150</f>
        <v>2104.2999999999997</v>
      </c>
      <c r="H151" s="37">
        <f>+Month!H151+H150</f>
        <v>660.7600000000001</v>
      </c>
      <c r="I151" s="37">
        <f>+Month!I151+I150</f>
        <v>2733.8900000000003</v>
      </c>
      <c r="J151" s="37">
        <f>+Month!J151+J150</f>
        <v>21443.23</v>
      </c>
      <c r="K151" s="37">
        <f>+Month!K151+K150</f>
        <v>6260.94</v>
      </c>
      <c r="L151" s="37">
        <f>+Month!L151+L150</f>
        <v>3373.58</v>
      </c>
      <c r="M151" s="37">
        <f>+Month!M151+M150</f>
        <v>10215.36</v>
      </c>
      <c r="N151" s="37">
        <f>+Month!N151+N150</f>
        <v>15821.14</v>
      </c>
      <c r="O151" s="37">
        <f>+Month!O151+O150</f>
        <v>11279.68</v>
      </c>
      <c r="P151" s="37">
        <f>+Month!P151+P150</f>
        <v>617.0300000000001</v>
      </c>
      <c r="Q151" s="37">
        <f>+Month!Q151+Q150</f>
        <v>1748.9399999999998</v>
      </c>
    </row>
    <row r="152" spans="1:17" ht="12">
      <c r="A152">
        <v>2007</v>
      </c>
      <c r="B152" t="s">
        <v>55</v>
      </c>
      <c r="C152" s="13">
        <f>Month!C152</f>
        <v>7059.46</v>
      </c>
      <c r="D152" s="13">
        <f>Month!D152</f>
        <v>414.35</v>
      </c>
      <c r="E152" s="13">
        <f>Month!E152</f>
        <v>41.16</v>
      </c>
      <c r="F152" s="13">
        <f>Month!F152</f>
        <v>6603.96</v>
      </c>
      <c r="G152" s="13">
        <f>Month!G152</f>
        <v>177.24</v>
      </c>
      <c r="H152" s="13">
        <f>Month!H152</f>
        <v>70.61</v>
      </c>
      <c r="I152" s="13">
        <f>Month!I152</f>
        <v>273.45</v>
      </c>
      <c r="J152" s="13">
        <f>Month!J152</f>
        <v>1863.1</v>
      </c>
      <c r="K152" s="13">
        <f>Month!K152</f>
        <v>434.57</v>
      </c>
      <c r="L152" s="13">
        <f>Month!L152</f>
        <v>356.76</v>
      </c>
      <c r="M152" s="13">
        <f>Month!M152</f>
        <v>1017.58</v>
      </c>
      <c r="N152" s="13">
        <f>Month!N152</f>
        <v>1251.75</v>
      </c>
      <c r="O152" s="13">
        <f>Month!O152</f>
        <v>867.04</v>
      </c>
      <c r="P152" s="13">
        <f>Month!P152</f>
        <v>51.12</v>
      </c>
      <c r="Q152" s="13">
        <f>Month!Q152</f>
        <v>64.98</v>
      </c>
    </row>
    <row r="153" spans="1:17" ht="12">
      <c r="A153">
        <v>2007</v>
      </c>
      <c r="B153" t="s">
        <v>56</v>
      </c>
      <c r="C153" s="13">
        <f>C152+Month!C153</f>
        <v>12825.08</v>
      </c>
      <c r="D153" s="13">
        <f>D152+Month!D153</f>
        <v>714.09</v>
      </c>
      <c r="E153" s="13">
        <f>E152+Month!E153</f>
        <v>59.98</v>
      </c>
      <c r="F153" s="13">
        <f>F152+Month!F153</f>
        <v>12051.02</v>
      </c>
      <c r="G153" s="13">
        <f>G152+Month!G153</f>
        <v>309.96000000000004</v>
      </c>
      <c r="H153" s="13">
        <f>H152+Month!H153</f>
        <v>111.14</v>
      </c>
      <c r="I153" s="13">
        <f>I152+Month!I153</f>
        <v>590.53</v>
      </c>
      <c r="J153" s="13">
        <f>J152+Month!J153</f>
        <v>3305.7</v>
      </c>
      <c r="K153" s="13">
        <f>K152+Month!K153</f>
        <v>768.41</v>
      </c>
      <c r="L153" s="13">
        <f>L152+Month!L153</f>
        <v>691.3399999999999</v>
      </c>
      <c r="M153" s="13">
        <f>M152+Month!M153</f>
        <v>1837.04</v>
      </c>
      <c r="N153" s="13">
        <f>N152+Month!N153</f>
        <v>2148.29</v>
      </c>
      <c r="O153" s="13">
        <f>O152+Month!O153</f>
        <v>1711.94</v>
      </c>
      <c r="P153" s="13">
        <f>P152+Month!P153</f>
        <v>100.85</v>
      </c>
      <c r="Q153" s="13">
        <f>Q152+Month!Q153</f>
        <v>183.52</v>
      </c>
    </row>
    <row r="154" spans="1:17" ht="12">
      <c r="A154">
        <v>2007</v>
      </c>
      <c r="B154" t="s">
        <v>57</v>
      </c>
      <c r="C154" s="13">
        <f>C153+Month!C154</f>
        <v>19272.04</v>
      </c>
      <c r="D154" s="13">
        <f>D153+Month!D154</f>
        <v>1077.85</v>
      </c>
      <c r="E154" s="13">
        <f>E153+Month!E154</f>
        <v>125.44</v>
      </c>
      <c r="F154" s="13">
        <f>F153+Month!F154</f>
        <v>18068.760000000002</v>
      </c>
      <c r="G154" s="13">
        <f>G153+Month!G154</f>
        <v>508.66</v>
      </c>
      <c r="H154" s="13">
        <f>H153+Month!H154</f>
        <v>160.24</v>
      </c>
      <c r="I154" s="13">
        <f>I153+Month!I154</f>
        <v>766.14</v>
      </c>
      <c r="J154" s="13">
        <f>J153+Month!J154</f>
        <v>4987.99</v>
      </c>
      <c r="K154" s="13">
        <f>K153+Month!K154</f>
        <v>1170.69</v>
      </c>
      <c r="L154" s="13">
        <f>L153+Month!L154</f>
        <v>1016.7199999999999</v>
      </c>
      <c r="M154" s="13">
        <f>M153+Month!M154</f>
        <v>2667.79</v>
      </c>
      <c r="N154" s="13">
        <f>N153+Month!N154</f>
        <v>3446.29</v>
      </c>
      <c r="O154" s="13">
        <f>O153+Month!O154</f>
        <v>2436.46</v>
      </c>
      <c r="P154" s="13">
        <f>P153+Month!P154</f>
        <v>133.39</v>
      </c>
      <c r="Q154" s="13">
        <f>Q153+Month!Q154</f>
        <v>330.37</v>
      </c>
    </row>
    <row r="155" spans="1:17" ht="12">
      <c r="A155">
        <v>2007</v>
      </c>
      <c r="B155" t="s">
        <v>58</v>
      </c>
      <c r="C155" s="13">
        <f>C154+Month!C155</f>
        <v>26161.670000000002</v>
      </c>
      <c r="D155" s="13">
        <f>D154+Month!D155</f>
        <v>1466.21</v>
      </c>
      <c r="E155" s="13">
        <f>E154+Month!E155</f>
        <v>144.3</v>
      </c>
      <c r="F155" s="13">
        <f>F154+Month!F155</f>
        <v>24551.170000000002</v>
      </c>
      <c r="G155" s="13">
        <f>G154+Month!G155</f>
        <v>735.24</v>
      </c>
      <c r="H155" s="13">
        <f>H154+Month!H155</f>
        <v>208.66000000000003</v>
      </c>
      <c r="I155" s="13">
        <f>I154+Month!I155</f>
        <v>961.44</v>
      </c>
      <c r="J155" s="13">
        <f>J154+Month!J155</f>
        <v>6795.49</v>
      </c>
      <c r="K155" s="13">
        <f>K154+Month!K155</f>
        <v>1704.43</v>
      </c>
      <c r="L155" s="13">
        <f>L154+Month!L155</f>
        <v>1239.7199999999998</v>
      </c>
      <c r="M155" s="13">
        <f>M154+Month!M155</f>
        <v>3461.7799999999997</v>
      </c>
      <c r="N155" s="13">
        <f>N154+Month!N155</f>
        <v>4897.05</v>
      </c>
      <c r="O155" s="13">
        <f>O154+Month!O155</f>
        <v>3335.88</v>
      </c>
      <c r="P155" s="13">
        <f>P154+Month!P155</f>
        <v>149.54999999999998</v>
      </c>
      <c r="Q155" s="13">
        <f>Q154+Month!Q155</f>
        <v>462.77</v>
      </c>
    </row>
    <row r="156" spans="1:17" ht="12">
      <c r="A156">
        <v>2007</v>
      </c>
      <c r="B156" t="s">
        <v>59</v>
      </c>
      <c r="C156" s="13">
        <f>C155+Month!C156</f>
        <v>33451.92</v>
      </c>
      <c r="D156" s="13">
        <f>D155+Month!D156</f>
        <v>1877.6200000000001</v>
      </c>
      <c r="E156" s="13">
        <f>E155+Month!E156</f>
        <v>551.97</v>
      </c>
      <c r="F156" s="13">
        <f>F155+Month!F156</f>
        <v>31022.350000000002</v>
      </c>
      <c r="G156" s="13">
        <f>G155+Month!G156</f>
        <v>967.81</v>
      </c>
      <c r="H156" s="13">
        <f>H155+Month!H156</f>
        <v>263.68</v>
      </c>
      <c r="I156" s="13">
        <f>I155+Month!I156</f>
        <v>1139.9</v>
      </c>
      <c r="J156" s="13">
        <f>J155+Month!J156</f>
        <v>8628.99</v>
      </c>
      <c r="K156" s="13">
        <f>K155+Month!K156</f>
        <v>2257.95</v>
      </c>
      <c r="L156" s="13">
        <f>L155+Month!L156</f>
        <v>1472.8799999999999</v>
      </c>
      <c r="M156" s="13">
        <f>M155+Month!M156</f>
        <v>4217.46</v>
      </c>
      <c r="N156" s="13">
        <f>N155+Month!N156</f>
        <v>6319.32</v>
      </c>
      <c r="O156" s="13">
        <f>O155+Month!O156</f>
        <v>4279.33</v>
      </c>
      <c r="P156" s="13">
        <f>P155+Month!P156</f>
        <v>173.48</v>
      </c>
      <c r="Q156" s="13">
        <f>Q155+Month!Q156</f>
        <v>550.25</v>
      </c>
    </row>
    <row r="157" spans="1:17" ht="12">
      <c r="A157">
        <v>2007</v>
      </c>
      <c r="B157" t="s">
        <v>60</v>
      </c>
      <c r="C157" s="13">
        <f>C156+Month!C157</f>
        <v>40378.369999999995</v>
      </c>
      <c r="D157" s="13">
        <f>D156+Month!D157</f>
        <v>2277.4500000000003</v>
      </c>
      <c r="E157" s="13">
        <f>E156+Month!E157</f>
        <v>444.11</v>
      </c>
      <c r="F157" s="13">
        <f>F156+Month!F157</f>
        <v>37656.83</v>
      </c>
      <c r="G157" s="13">
        <f>G156+Month!G157</f>
        <v>1207.85</v>
      </c>
      <c r="H157" s="13">
        <f>H156+Month!H157</f>
        <v>299.89</v>
      </c>
      <c r="I157" s="13">
        <f>I156+Month!I157</f>
        <v>1300.3600000000001</v>
      </c>
      <c r="J157" s="13">
        <f>J156+Month!J157</f>
        <v>10621.74</v>
      </c>
      <c r="K157" s="13">
        <f>K156+Month!K157</f>
        <v>2878.71</v>
      </c>
      <c r="L157" s="13">
        <f>L156+Month!L157</f>
        <v>1596.08</v>
      </c>
      <c r="M157" s="13">
        <f>M156+Month!M157</f>
        <v>5001.12</v>
      </c>
      <c r="N157" s="13">
        <f>N156+Month!N157</f>
        <v>7862.79</v>
      </c>
      <c r="O157" s="13">
        <f>O156+Month!O157</f>
        <v>5006.0599999999995</v>
      </c>
      <c r="P157" s="13">
        <f>P156+Month!P157</f>
        <v>235.04999999999998</v>
      </c>
      <c r="Q157" s="13">
        <f>Q156+Month!Q157</f>
        <v>762.1800000000001</v>
      </c>
    </row>
    <row r="158" spans="1:17" ht="12">
      <c r="A158">
        <v>2007</v>
      </c>
      <c r="B158" t="s">
        <v>61</v>
      </c>
      <c r="C158" s="13">
        <f>C157+Month!C158</f>
        <v>47198.31</v>
      </c>
      <c r="D158" s="13">
        <f>D157+Month!D158</f>
        <v>2688.4700000000003</v>
      </c>
      <c r="E158" s="13">
        <f>E157+Month!E158</f>
        <v>282.96000000000004</v>
      </c>
      <c r="F158" s="13">
        <f>F157+Month!F158</f>
        <v>44226.91</v>
      </c>
      <c r="G158" s="13">
        <f>G157+Month!G158</f>
        <v>1420.6399999999999</v>
      </c>
      <c r="H158" s="13">
        <f>H157+Month!H158</f>
        <v>337.54999999999995</v>
      </c>
      <c r="I158" s="13">
        <f>I157+Month!I158</f>
        <v>1434.16</v>
      </c>
      <c r="J158" s="13">
        <f>J157+Month!J158</f>
        <v>12499.81</v>
      </c>
      <c r="K158" s="13">
        <f>K157+Month!K158</f>
        <v>3547.37</v>
      </c>
      <c r="L158" s="13">
        <f>L157+Month!L158</f>
        <v>1703.9499999999998</v>
      </c>
      <c r="M158" s="13">
        <f>M157+Month!M158</f>
        <v>5794.83</v>
      </c>
      <c r="N158" s="13">
        <f>N157+Month!N158</f>
        <v>9427.94</v>
      </c>
      <c r="O158" s="13">
        <f>O157+Month!O158</f>
        <v>5766.129999999999</v>
      </c>
      <c r="P158" s="13">
        <f>P157+Month!P158</f>
        <v>337.31</v>
      </c>
      <c r="Q158" s="13">
        <f>Q157+Month!Q158</f>
        <v>926.75</v>
      </c>
    </row>
    <row r="159" spans="1:17" ht="12">
      <c r="A159">
        <v>2007</v>
      </c>
      <c r="B159" t="s">
        <v>62</v>
      </c>
      <c r="C159" s="13">
        <f>C158+Month!C159</f>
        <v>54505.229999999996</v>
      </c>
      <c r="D159" s="13">
        <f>D158+Month!D159</f>
        <v>3105.7000000000003</v>
      </c>
      <c r="E159" s="13">
        <f>E158+Month!E159</f>
        <v>309.62000000000006</v>
      </c>
      <c r="F159" s="13">
        <f>F158+Month!F159</f>
        <v>51089.94</v>
      </c>
      <c r="G159" s="13">
        <f>G158+Month!G159</f>
        <v>1647.5299999999997</v>
      </c>
      <c r="H159" s="13">
        <f>H158+Month!H159</f>
        <v>378.66999999999996</v>
      </c>
      <c r="I159" s="13">
        <f>I158+Month!I159</f>
        <v>1663.64</v>
      </c>
      <c r="J159" s="13">
        <f>J158+Month!J159</f>
        <v>14390.31</v>
      </c>
      <c r="K159" s="13">
        <f>K158+Month!K159</f>
        <v>4226.88</v>
      </c>
      <c r="L159" s="13">
        <f>L158+Month!L159</f>
        <v>1875.0099999999998</v>
      </c>
      <c r="M159" s="13">
        <f>M158+Month!M159</f>
        <v>6696.54</v>
      </c>
      <c r="N159" s="13">
        <f>N158+Month!N159</f>
        <v>10906.27</v>
      </c>
      <c r="O159" s="13">
        <f>O158+Month!O159</f>
        <v>6603.469999999999</v>
      </c>
      <c r="P159" s="13">
        <f>P158+Month!P159</f>
        <v>404.72</v>
      </c>
      <c r="Q159" s="13">
        <f>Q158+Month!Q159</f>
        <v>1085.24</v>
      </c>
    </row>
    <row r="160" spans="1:17" ht="12">
      <c r="A160">
        <v>2007</v>
      </c>
      <c r="B160" t="s">
        <v>63</v>
      </c>
      <c r="C160" s="13">
        <f>C159+Month!C160</f>
        <v>61420.31</v>
      </c>
      <c r="D160" s="13">
        <f>D159+Month!D160</f>
        <v>3490.2500000000005</v>
      </c>
      <c r="E160" s="13">
        <f>E159+Month!E160</f>
        <v>313.89000000000004</v>
      </c>
      <c r="F160" s="13">
        <f>F159+Month!F160</f>
        <v>57616.21000000001</v>
      </c>
      <c r="G160" s="13">
        <f>G159+Month!G160</f>
        <v>1756.0999999999997</v>
      </c>
      <c r="H160" s="13">
        <f>H159+Month!H160</f>
        <v>404.86999999999995</v>
      </c>
      <c r="I160" s="13">
        <f>I159+Month!I160</f>
        <v>1873.0600000000002</v>
      </c>
      <c r="J160" s="13">
        <f>J159+Month!J160</f>
        <v>16276.17</v>
      </c>
      <c r="K160" s="13">
        <f>K159+Month!K160</f>
        <v>4794.3</v>
      </c>
      <c r="L160" s="13">
        <f>L159+Month!L160</f>
        <v>2016.0799999999997</v>
      </c>
      <c r="M160" s="13">
        <f>M159+Month!M160</f>
        <v>7522.34</v>
      </c>
      <c r="N160" s="13">
        <f>N159+Month!N160</f>
        <v>12371.960000000001</v>
      </c>
      <c r="O160" s="13">
        <f>O159+Month!O160</f>
        <v>7548.82</v>
      </c>
      <c r="P160" s="13">
        <f>P159+Month!P160</f>
        <v>440.05</v>
      </c>
      <c r="Q160" s="13">
        <f>Q159+Month!Q160</f>
        <v>1248.49</v>
      </c>
    </row>
    <row r="161" spans="1:17" ht="12">
      <c r="A161">
        <v>2007</v>
      </c>
      <c r="B161" t="s">
        <v>64</v>
      </c>
      <c r="C161" s="13">
        <f>C160+Month!C161</f>
        <v>68385.56</v>
      </c>
      <c r="D161" s="13">
        <f>D160+Month!D161</f>
        <v>3891.4100000000003</v>
      </c>
      <c r="E161" s="13">
        <f>E160+Month!E161</f>
        <v>386.66</v>
      </c>
      <c r="F161" s="13">
        <f>F160+Month!F161</f>
        <v>64107.530000000006</v>
      </c>
      <c r="G161" s="13">
        <f>G160+Month!G161</f>
        <v>1885.1199999999997</v>
      </c>
      <c r="H161" s="13">
        <f>H160+Month!H161</f>
        <v>443.50999999999993</v>
      </c>
      <c r="I161" s="13">
        <f>I160+Month!I161</f>
        <v>2068.63</v>
      </c>
      <c r="J161" s="13">
        <f>J160+Month!J161</f>
        <v>18094.44</v>
      </c>
      <c r="K161" s="13">
        <f>K160+Month!K161</f>
        <v>5360.56</v>
      </c>
      <c r="L161" s="13">
        <f>L160+Month!L161</f>
        <v>2297.2499999999995</v>
      </c>
      <c r="M161" s="13">
        <f>M160+Month!M161</f>
        <v>8372.28</v>
      </c>
      <c r="N161" s="13">
        <f>N160+Month!N161</f>
        <v>13614.150000000001</v>
      </c>
      <c r="O161" s="13">
        <f>O160+Month!O161</f>
        <v>8629.09</v>
      </c>
      <c r="P161" s="13">
        <f>P160+Month!P161</f>
        <v>457.24</v>
      </c>
      <c r="Q161" s="13">
        <f>Q160+Month!Q161</f>
        <v>1389.26</v>
      </c>
    </row>
    <row r="162" spans="1:17" ht="12">
      <c r="A162">
        <v>2007</v>
      </c>
      <c r="B162" t="s">
        <v>65</v>
      </c>
      <c r="C162" s="13">
        <f>C161+Month!C162</f>
        <v>74821.03</v>
      </c>
      <c r="D162" s="13">
        <f>D161+Month!D162</f>
        <v>4285.66</v>
      </c>
      <c r="E162" s="13">
        <f>E161+Month!E162</f>
        <v>367.53000000000003</v>
      </c>
      <c r="F162" s="13">
        <f>F161+Month!F162</f>
        <v>70167.88</v>
      </c>
      <c r="G162" s="13">
        <f>G161+Month!G162</f>
        <v>2063.87</v>
      </c>
      <c r="H162" s="13">
        <f>H161+Month!H162</f>
        <v>482.9099999999999</v>
      </c>
      <c r="I162" s="13">
        <f>I161+Month!I162</f>
        <v>2282.83</v>
      </c>
      <c r="J162" s="13">
        <f>J161+Month!J162</f>
        <v>19746.35</v>
      </c>
      <c r="K162" s="13">
        <f>K161+Month!K162</f>
        <v>5724.18</v>
      </c>
      <c r="L162" s="13">
        <f>L161+Month!L162</f>
        <v>2634.6599999999994</v>
      </c>
      <c r="M162" s="13">
        <f>M161+Month!M162</f>
        <v>9322.33</v>
      </c>
      <c r="N162" s="13">
        <f>N161+Month!N162</f>
        <v>14846.690000000002</v>
      </c>
      <c r="O162" s="13">
        <f>O161+Month!O162</f>
        <v>9433.58</v>
      </c>
      <c r="P162" s="13">
        <f>P161+Month!P162</f>
        <v>476.75</v>
      </c>
      <c r="Q162" s="13">
        <f>Q161+Month!Q162</f>
        <v>1517.9</v>
      </c>
    </row>
    <row r="163" spans="1:17" ht="14.25" customHeight="1">
      <c r="A163" s="8">
        <v>2007</v>
      </c>
      <c r="B163" s="8" t="s">
        <v>66</v>
      </c>
      <c r="C163" s="37">
        <f>C162+Month!C163</f>
        <v>81477.20999999999</v>
      </c>
      <c r="D163" s="37">
        <f>D162+Month!D163</f>
        <v>4675.599999999999</v>
      </c>
      <c r="E163" s="37">
        <f>E162+Month!E163</f>
        <v>292.79</v>
      </c>
      <c r="F163" s="37">
        <f>F162+Month!F163</f>
        <v>76508.86</v>
      </c>
      <c r="G163" s="37">
        <f>G162+Month!G163</f>
        <v>2259.2799999999997</v>
      </c>
      <c r="H163" s="37">
        <f>H162+Month!H163</f>
        <v>516.9499999999999</v>
      </c>
      <c r="I163" s="37">
        <f>I162+Month!I163</f>
        <v>2560.59</v>
      </c>
      <c r="J163" s="37">
        <f>J162+Month!J163</f>
        <v>21313.34</v>
      </c>
      <c r="K163" s="37">
        <f>K162+Month!K163</f>
        <v>6176.31</v>
      </c>
      <c r="L163" s="37">
        <f>L162+Month!L163</f>
        <v>2968.2099999999996</v>
      </c>
      <c r="M163" s="37">
        <f>M162+Month!M163</f>
        <v>10164.78</v>
      </c>
      <c r="N163" s="37">
        <f>N162+Month!N163</f>
        <v>16138.170000000002</v>
      </c>
      <c r="O163" s="37">
        <f>O162+Month!O163</f>
        <v>10432.98</v>
      </c>
      <c r="P163" s="37">
        <f>P162+Month!P163</f>
        <v>547.4</v>
      </c>
      <c r="Q163" s="37">
        <f>Q162+Month!Q163</f>
        <v>1627.7800000000002</v>
      </c>
    </row>
    <row r="164" spans="1:17" ht="12">
      <c r="A164">
        <v>2008</v>
      </c>
      <c r="B164" t="s">
        <v>55</v>
      </c>
      <c r="C164" s="13">
        <f>Month!C164</f>
        <v>6686.27</v>
      </c>
      <c r="D164" s="13">
        <f>Month!D164</f>
        <v>390.9</v>
      </c>
      <c r="E164" s="13">
        <f>Month!E164</f>
        <v>66.15</v>
      </c>
      <c r="F164" s="13">
        <f>Month!F164</f>
        <v>6229.22</v>
      </c>
      <c r="G164" s="13">
        <f>Month!G164</f>
        <v>190.36</v>
      </c>
      <c r="H164" s="13">
        <f>Month!H164</f>
        <v>39.24</v>
      </c>
      <c r="I164" s="13">
        <f>Month!I164</f>
        <v>417.02</v>
      </c>
      <c r="J164" s="13">
        <f>Month!J164</f>
        <v>1425.43</v>
      </c>
      <c r="K164" s="13">
        <f>Month!K164</f>
        <v>433.81</v>
      </c>
      <c r="L164" s="13">
        <f>Month!L164</f>
        <v>356.43</v>
      </c>
      <c r="M164" s="13">
        <f>Month!M164</f>
        <v>772.16</v>
      </c>
      <c r="N164" s="13">
        <f>Month!N164</f>
        <v>1265.24</v>
      </c>
      <c r="O164" s="13">
        <f>Month!O164</f>
        <v>1036.52</v>
      </c>
      <c r="P164" s="13">
        <f>Month!P164</f>
        <v>67.92</v>
      </c>
      <c r="Q164" s="13">
        <f>Month!Q164</f>
        <v>57.11</v>
      </c>
    </row>
    <row r="165" spans="1:17" ht="12">
      <c r="A165">
        <v>2008</v>
      </c>
      <c r="B165" t="s">
        <v>56</v>
      </c>
      <c r="C165" s="13">
        <f>Month!C165+Calculation!C164</f>
        <v>12638.12</v>
      </c>
      <c r="D165" s="13">
        <f>Month!D165+Calculation!D164</f>
        <v>764.62</v>
      </c>
      <c r="E165" s="13">
        <f>Month!E165+Calculation!E164</f>
        <v>127.01</v>
      </c>
      <c r="F165" s="13">
        <f>Month!F165+Calculation!F164</f>
        <v>11746.490000000002</v>
      </c>
      <c r="G165" s="13">
        <f>Month!G165+Calculation!G164</f>
        <v>364.38</v>
      </c>
      <c r="H165" s="13">
        <f>Month!H165+Calculation!H164</f>
        <v>65.85</v>
      </c>
      <c r="I165" s="13">
        <f>Month!I165+Calculation!I164</f>
        <v>579.62</v>
      </c>
      <c r="J165" s="13">
        <f>Month!J165+Calculation!J164</f>
        <v>2914.55</v>
      </c>
      <c r="K165" s="13">
        <f>Month!K165+Calculation!K164</f>
        <v>815.27</v>
      </c>
      <c r="L165" s="13">
        <f>Month!L165+Calculation!L164</f>
        <v>694.03</v>
      </c>
      <c r="M165" s="13">
        <f>Month!M165+Calculation!M164</f>
        <v>1595.88</v>
      </c>
      <c r="N165" s="13">
        <f>N164+Month!N165</f>
        <v>2263.4300000000003</v>
      </c>
      <c r="O165" s="13">
        <f>Month!O165+Calculation!O164</f>
        <v>1891.92</v>
      </c>
      <c r="P165" s="13">
        <f>Month!P165+Calculation!P164</f>
        <v>91.34</v>
      </c>
      <c r="Q165" s="13">
        <f>Month!Q165+Calculation!Q164</f>
        <v>167.87</v>
      </c>
    </row>
    <row r="166" spans="1:17" ht="12">
      <c r="A166">
        <v>2008</v>
      </c>
      <c r="B166" t="s">
        <v>57</v>
      </c>
      <c r="C166" s="13">
        <f>Month!C166+Calculation!C165</f>
        <v>19511.47</v>
      </c>
      <c r="D166" s="13">
        <f>Month!D166+Calculation!D165</f>
        <v>1176.03</v>
      </c>
      <c r="E166" s="13">
        <f>Month!E166+Calculation!E165</f>
        <v>246.64</v>
      </c>
      <c r="F166" s="13">
        <f>Month!F166+Calculation!F165</f>
        <v>18088.800000000003</v>
      </c>
      <c r="G166" s="13">
        <f>Month!G166+Calculation!G165</f>
        <v>555.4300000000001</v>
      </c>
      <c r="H166" s="13">
        <f>Month!H166+Calculation!H165</f>
        <v>93.58</v>
      </c>
      <c r="I166" s="13">
        <f>Month!I166+Calculation!I165</f>
        <v>828.38</v>
      </c>
      <c r="J166" s="13">
        <f>Month!J166+Calculation!J165</f>
        <v>4587.14</v>
      </c>
      <c r="K166" s="13">
        <f>Month!K166+Calculation!K165</f>
        <v>1298.54</v>
      </c>
      <c r="L166" s="13">
        <f>Month!L166+Calculation!L165</f>
        <v>1040.6399999999999</v>
      </c>
      <c r="M166" s="13">
        <f>Month!M166+Calculation!M165</f>
        <v>2600.06</v>
      </c>
      <c r="N166" s="13">
        <f>N165+Month!N166</f>
        <v>3368.1900000000005</v>
      </c>
      <c r="O166" s="13">
        <f>Month!O166+Calculation!O165</f>
        <v>2828.85</v>
      </c>
      <c r="P166" s="13">
        <f>Month!P166+Calculation!P165</f>
        <v>135.07</v>
      </c>
      <c r="Q166" s="13">
        <f>Month!Q166+Calculation!Q165</f>
        <v>302.06</v>
      </c>
    </row>
    <row r="167" spans="1:17" ht="12">
      <c r="A167">
        <v>2008</v>
      </c>
      <c r="B167" t="s">
        <v>58</v>
      </c>
      <c r="C167" s="13">
        <f>Month!C167+Calculation!C166</f>
        <v>26273.16</v>
      </c>
      <c r="D167" s="13">
        <f>Month!D167+Calculation!D166</f>
        <v>1574.78</v>
      </c>
      <c r="E167" s="13">
        <f>Month!E167+Calculation!E166</f>
        <v>275.41999999999996</v>
      </c>
      <c r="F167" s="13">
        <f>Month!F167+Calculation!F166</f>
        <v>24422.950000000004</v>
      </c>
      <c r="G167" s="13">
        <f>Month!G167+Calculation!G166</f>
        <v>782.4300000000001</v>
      </c>
      <c r="H167" s="13">
        <f>Month!H167+Calculation!H166</f>
        <v>124.71</v>
      </c>
      <c r="I167" s="13">
        <f>Month!I167+Calculation!I166</f>
        <v>1093.97</v>
      </c>
      <c r="J167" s="13">
        <f>Month!J167+Calculation!J166</f>
        <v>6247.7300000000005</v>
      </c>
      <c r="K167" s="13">
        <f>Month!K167+Calculation!K166</f>
        <v>1793.15</v>
      </c>
      <c r="L167" s="13">
        <f>Month!L167+Calculation!L166</f>
        <v>1343.6799999999998</v>
      </c>
      <c r="M167" s="13">
        <f>Month!M167+Calculation!M166</f>
        <v>3400.2799999999997</v>
      </c>
      <c r="N167" s="13">
        <f>N166+Month!N167</f>
        <v>4699.070000000001</v>
      </c>
      <c r="O167" s="13">
        <f>Month!O167+Calculation!O166</f>
        <v>3772.93</v>
      </c>
      <c r="P167" s="13">
        <f>Month!P167+Calculation!P166</f>
        <v>198.28</v>
      </c>
      <c r="Q167" s="13">
        <f>Month!Q167+Calculation!Q166</f>
        <v>417.68</v>
      </c>
    </row>
    <row r="168" spans="1:17" ht="12">
      <c r="A168">
        <v>2008</v>
      </c>
      <c r="B168" t="s">
        <v>59</v>
      </c>
      <c r="C168" s="13">
        <f>Month!C168+Calculation!C167</f>
        <v>32918.42</v>
      </c>
      <c r="D168" s="13">
        <f>Month!D168+Calculation!D167</f>
        <v>1959.6</v>
      </c>
      <c r="E168" s="13">
        <f>Month!E168+Calculation!E167</f>
        <v>282.74999999999994</v>
      </c>
      <c r="F168" s="13">
        <f>Month!F168+Calculation!F167</f>
        <v>30676.060000000005</v>
      </c>
      <c r="G168" s="13">
        <f>Month!G168+Calculation!G167</f>
        <v>993.4200000000001</v>
      </c>
      <c r="H168" s="13">
        <f>Month!H168+Calculation!H167</f>
        <v>149.51</v>
      </c>
      <c r="I168" s="13">
        <f>Month!I168+Calculation!I167</f>
        <v>1316.78</v>
      </c>
      <c r="J168" s="13">
        <f>Month!J168+Calculation!J167</f>
        <v>7841.570000000001</v>
      </c>
      <c r="K168" s="13">
        <f>Month!K168+Calculation!K167</f>
        <v>2325.11</v>
      </c>
      <c r="L168" s="13">
        <f>Month!L168+Calculation!L167</f>
        <v>1550.8999999999999</v>
      </c>
      <c r="M168" s="13">
        <f>Month!M168+Calculation!M167</f>
        <v>4239.03</v>
      </c>
      <c r="N168" s="13">
        <f>N167+Month!N168</f>
        <v>6039.970000000001</v>
      </c>
      <c r="O168" s="13">
        <f>Month!O168+Calculation!O167</f>
        <v>4740.21</v>
      </c>
      <c r="P168" s="13">
        <f>Month!P168+Calculation!P167</f>
        <v>242.67000000000002</v>
      </c>
      <c r="Q168" s="13">
        <f>Month!Q168+Calculation!Q167</f>
        <v>580.36</v>
      </c>
    </row>
    <row r="169" spans="1:17" ht="12">
      <c r="A169">
        <v>2008</v>
      </c>
      <c r="B169" t="s">
        <v>60</v>
      </c>
      <c r="C169" s="13">
        <f>Month!C169+Calculation!C168</f>
        <v>40243.79</v>
      </c>
      <c r="D169" s="13">
        <f>Month!D169+Calculation!D168</f>
        <v>2363.69</v>
      </c>
      <c r="E169" s="13">
        <f>Month!E169+Calculation!E168</f>
        <v>384.78999999999996</v>
      </c>
      <c r="F169" s="13">
        <f>Month!F169+Calculation!F168</f>
        <v>37495.3</v>
      </c>
      <c r="G169" s="13">
        <f>Month!G169+Calculation!G168</f>
        <v>1215.5900000000001</v>
      </c>
      <c r="H169" s="13">
        <f>Month!H169+Calculation!H168</f>
        <v>180.95</v>
      </c>
      <c r="I169" s="13">
        <f>Month!I169+Calculation!I168</f>
        <v>1557.24</v>
      </c>
      <c r="J169" s="13">
        <f>Month!J169+Calculation!J168</f>
        <v>9574.03</v>
      </c>
      <c r="K169" s="13">
        <f>Month!K169+Calculation!K168</f>
        <v>2995.4500000000003</v>
      </c>
      <c r="L169" s="13">
        <f>Month!L169+Calculation!L168</f>
        <v>1675.82</v>
      </c>
      <c r="M169" s="13">
        <f>Month!M169+Calculation!M168</f>
        <v>5154.88</v>
      </c>
      <c r="N169" s="13">
        <f>N168+Month!N169</f>
        <v>7566.130000000001</v>
      </c>
      <c r="O169" s="13">
        <f>Month!O169+Calculation!O168</f>
        <v>5759.73</v>
      </c>
      <c r="P169" s="13">
        <f>Month!P169+Calculation!P168</f>
        <v>270.98</v>
      </c>
      <c r="Q169" s="13">
        <f>Month!Q169+Calculation!Q168</f>
        <v>726.03</v>
      </c>
    </row>
    <row r="170" spans="1:17" ht="12">
      <c r="A170">
        <v>2008</v>
      </c>
      <c r="B170" t="s">
        <v>61</v>
      </c>
      <c r="C170" s="13">
        <f>Month!C170+Calculation!C169</f>
        <v>47099.51</v>
      </c>
      <c r="D170" s="13">
        <f>Month!D170+Calculation!D169</f>
        <v>2772.48</v>
      </c>
      <c r="E170" s="13">
        <f>Month!E170+Calculation!E169</f>
        <v>339.10999999999996</v>
      </c>
      <c r="F170" s="13">
        <f>Month!F170+Calculation!F169</f>
        <v>43987.920000000006</v>
      </c>
      <c r="G170" s="13">
        <f>Month!G170+Calculation!G169</f>
        <v>1449.41</v>
      </c>
      <c r="H170" s="13">
        <f>Month!H170+Calculation!H169</f>
        <v>210.79</v>
      </c>
      <c r="I170" s="13">
        <f>Month!I170+Calculation!I169</f>
        <v>1714.88</v>
      </c>
      <c r="J170" s="13">
        <f>Month!J170+Calculation!J169</f>
        <v>11280.33</v>
      </c>
      <c r="K170" s="13">
        <f>Month!K170+Calculation!K169</f>
        <v>3731.57</v>
      </c>
      <c r="L170" s="13">
        <f>Month!L170+Calculation!L169</f>
        <v>1794.73</v>
      </c>
      <c r="M170" s="13">
        <f>Month!M170+Calculation!M169</f>
        <v>6056.7300000000005</v>
      </c>
      <c r="N170" s="13">
        <f>N169+Month!N170</f>
        <v>9041.59</v>
      </c>
      <c r="O170" s="13">
        <f>Month!O170+Calculation!O169</f>
        <v>6492.139999999999</v>
      </c>
      <c r="P170" s="13">
        <f>Month!P170+Calculation!P169</f>
        <v>319.5</v>
      </c>
      <c r="Q170" s="13">
        <f>Month!Q170+Calculation!Q169</f>
        <v>859.88</v>
      </c>
    </row>
    <row r="171" spans="1:17" ht="12">
      <c r="A171">
        <v>2008</v>
      </c>
      <c r="B171" t="s">
        <v>62</v>
      </c>
      <c r="C171" s="13">
        <f>Month!C171+Calculation!C170</f>
        <v>54236.65</v>
      </c>
      <c r="D171" s="13">
        <f>Month!D171+Calculation!D170</f>
        <v>3168.36</v>
      </c>
      <c r="E171" s="13">
        <f>Month!E171+Calculation!E170</f>
        <v>375.5799999999999</v>
      </c>
      <c r="F171" s="13">
        <f>Month!F171+Calculation!F170</f>
        <v>50692.71000000001</v>
      </c>
      <c r="G171" s="13">
        <f>Month!G171+Calculation!G170</f>
        <v>1677.95</v>
      </c>
      <c r="H171" s="13">
        <f>Month!H171+Calculation!H170</f>
        <v>234.79</v>
      </c>
      <c r="I171" s="13">
        <f>Month!I171+Calculation!I170</f>
        <v>1973.17</v>
      </c>
      <c r="J171" s="13">
        <f>Month!J171+Calculation!J170</f>
        <v>13007.18</v>
      </c>
      <c r="K171" s="13">
        <f>Month!K171+Calculation!K170</f>
        <v>4502.95</v>
      </c>
      <c r="L171" s="13">
        <f>Month!L171+Calculation!L170</f>
        <v>1920.23</v>
      </c>
      <c r="M171" s="13">
        <f>Month!M171+Calculation!M170</f>
        <v>6926.030000000001</v>
      </c>
      <c r="N171" s="13">
        <f>N170+Month!N171</f>
        <v>10502.92</v>
      </c>
      <c r="O171" s="13">
        <f>Month!O171+Calculation!O170</f>
        <v>7344.44</v>
      </c>
      <c r="P171" s="13">
        <f>Month!P171+Calculation!P170</f>
        <v>356.33</v>
      </c>
      <c r="Q171" s="13">
        <f>Month!Q171+Calculation!Q170</f>
        <v>1015.66</v>
      </c>
    </row>
    <row r="172" spans="1:17" ht="12">
      <c r="A172">
        <v>2008</v>
      </c>
      <c r="B172" t="s">
        <v>63</v>
      </c>
      <c r="C172" s="13">
        <f>Month!C172+Calculation!C171</f>
        <v>61143.17</v>
      </c>
      <c r="D172" s="13">
        <f>Month!D172+Calculation!D171</f>
        <v>3538.75</v>
      </c>
      <c r="E172" s="13">
        <f>Month!E172+Calculation!E171</f>
        <v>365.9799999999999</v>
      </c>
      <c r="F172" s="13">
        <f>Month!F172+Calculation!F171</f>
        <v>57238.44</v>
      </c>
      <c r="G172" s="13">
        <f>Month!G172+Calculation!G171</f>
        <v>1830.51</v>
      </c>
      <c r="H172" s="13">
        <f>Month!H172+Calculation!H171</f>
        <v>263.64</v>
      </c>
      <c r="I172" s="13">
        <f>Month!I172+Calculation!I171</f>
        <v>2229.57</v>
      </c>
      <c r="J172" s="13">
        <f>Month!J172+Calculation!J171</f>
        <v>14591.01</v>
      </c>
      <c r="K172" s="13">
        <f>Month!K172+Calculation!K171</f>
        <v>5145.23</v>
      </c>
      <c r="L172" s="13">
        <f>Month!L172+Calculation!L171</f>
        <v>2110.05</v>
      </c>
      <c r="M172" s="13">
        <f>Month!M172+Calculation!M171</f>
        <v>7910.27</v>
      </c>
      <c r="N172" s="13">
        <f>N171+Month!N172</f>
        <v>11940.380000000001</v>
      </c>
      <c r="O172" s="13">
        <f>Month!O172+Calculation!O171</f>
        <v>8204.97</v>
      </c>
      <c r="P172" s="13">
        <f>Month!P172+Calculation!P171</f>
        <v>419.22999999999996</v>
      </c>
      <c r="Q172" s="13">
        <f>Month!Q172+Calculation!Q171</f>
        <v>1148.15</v>
      </c>
    </row>
    <row r="173" spans="1:17" ht="12">
      <c r="A173">
        <v>2008</v>
      </c>
      <c r="B173" t="s">
        <v>64</v>
      </c>
      <c r="C173" s="13">
        <f>Month!C173+Calculation!C172</f>
        <v>67794.36</v>
      </c>
      <c r="D173" s="13">
        <f>Month!D173+Calculation!D172</f>
        <v>3902.81</v>
      </c>
      <c r="E173" s="13">
        <f>Month!E173+Calculation!E172</f>
        <v>369.7499999999999</v>
      </c>
      <c r="F173" s="13">
        <f>Month!F173+Calculation!F172</f>
        <v>63521.8</v>
      </c>
      <c r="G173" s="13">
        <f>Month!G173+Calculation!G172</f>
        <v>1965.66</v>
      </c>
      <c r="H173" s="13">
        <f>Month!H173+Calculation!H172</f>
        <v>292.59999999999997</v>
      </c>
      <c r="I173" s="13">
        <f>Month!I173+Calculation!I172</f>
        <v>2365.6400000000003</v>
      </c>
      <c r="J173" s="13">
        <f>Month!J173+Calculation!J172</f>
        <v>16215.95</v>
      </c>
      <c r="K173" s="13">
        <f>Month!K173+Calculation!K172</f>
        <v>5683.58</v>
      </c>
      <c r="L173" s="13">
        <f>Month!L173+Calculation!L172</f>
        <v>2397.26</v>
      </c>
      <c r="M173" s="13">
        <f>Month!M173+Calculation!M172</f>
        <v>8835.66</v>
      </c>
      <c r="N173" s="13">
        <f>N172+Month!N173</f>
        <v>13379.150000000001</v>
      </c>
      <c r="O173" s="13">
        <f>Month!O173+Calculation!O172</f>
        <v>8980.46</v>
      </c>
      <c r="P173" s="13">
        <f>Month!P173+Calculation!P172</f>
        <v>454.44999999999993</v>
      </c>
      <c r="Q173" s="13">
        <f>Month!Q173+Calculation!Q172</f>
        <v>1281.0300000000002</v>
      </c>
    </row>
    <row r="174" spans="1:17" ht="12">
      <c r="A174">
        <v>2008</v>
      </c>
      <c r="B174" t="s">
        <v>138</v>
      </c>
      <c r="C174" s="13">
        <f>Month!C174+Calculation!C173</f>
        <v>73937.52</v>
      </c>
      <c r="D174" s="13">
        <f>Month!D174+Calculation!D173</f>
        <v>4281.07</v>
      </c>
      <c r="E174" s="13">
        <f>Month!E174+Calculation!E173</f>
        <v>393.7299999999999</v>
      </c>
      <c r="F174" s="13">
        <f>Month!F174+Calculation!F173</f>
        <v>69262.72</v>
      </c>
      <c r="G174" s="13">
        <f>Month!G174+Calculation!G173</f>
        <v>2098.79</v>
      </c>
      <c r="H174" s="13">
        <f>Month!H174+Calculation!H173</f>
        <v>323.98999999999995</v>
      </c>
      <c r="I174" s="13">
        <f>Month!I174+Calculation!I173</f>
        <v>2460.4800000000005</v>
      </c>
      <c r="J174" s="13">
        <f>Month!J174+Calculation!J173</f>
        <v>17752.54</v>
      </c>
      <c r="K174" s="13">
        <f>Month!K174+Calculation!K173</f>
        <v>6078.09</v>
      </c>
      <c r="L174" s="13">
        <f>Month!L174+Calculation!L173</f>
        <v>2717.07</v>
      </c>
      <c r="M174" s="13">
        <f>Month!M174+Calculation!M173</f>
        <v>9615.65</v>
      </c>
      <c r="N174" s="13">
        <f>N173+Month!N174</f>
        <v>14815.880000000001</v>
      </c>
      <c r="O174" s="13">
        <f>Month!O174+Calculation!O173</f>
        <v>9682.75</v>
      </c>
      <c r="P174" s="13">
        <f>Month!P174+Calculation!P173</f>
        <v>476.99999999999994</v>
      </c>
      <c r="Q174" s="13">
        <f>Month!Q174+Calculation!Q173</f>
        <v>1381.6200000000001</v>
      </c>
    </row>
    <row r="175" spans="1:17" ht="12">
      <c r="A175" s="8">
        <v>2008</v>
      </c>
      <c r="B175" s="8" t="s">
        <v>66</v>
      </c>
      <c r="C175" s="37">
        <f>Month!C175+Calculation!C174</f>
        <v>81033.6</v>
      </c>
      <c r="D175" s="37">
        <f>Month!D175+Calculation!D174</f>
        <v>4706.179999999999</v>
      </c>
      <c r="E175" s="37">
        <f>Month!E175+Calculation!E174</f>
        <v>470.1299999999999</v>
      </c>
      <c r="F175" s="37">
        <f>Month!F175+Calculation!F174</f>
        <v>75857.29000000001</v>
      </c>
      <c r="G175" s="37">
        <f>Month!G175+Calculation!G174</f>
        <v>2250.5</v>
      </c>
      <c r="H175" s="37">
        <f>Month!H175+Calculation!H174</f>
        <v>368.7099999999999</v>
      </c>
      <c r="I175" s="37">
        <f>Month!I175+Calculation!I174</f>
        <v>2660.2600000000007</v>
      </c>
      <c r="J175" s="37">
        <f>Month!J175+Calculation!J174</f>
        <v>19521.06</v>
      </c>
      <c r="K175" s="37">
        <f>Month!K175+Calculation!K174</f>
        <v>6548.6900000000005</v>
      </c>
      <c r="L175" s="37">
        <f>Month!L175+Calculation!L174</f>
        <v>3091.3</v>
      </c>
      <c r="M175" s="37">
        <f>Month!M175+Calculation!M174</f>
        <v>10566.21</v>
      </c>
      <c r="N175" s="37">
        <f>N174+Month!N175</f>
        <v>16350.050000000001</v>
      </c>
      <c r="O175" s="37">
        <f>Month!O175+Calculation!O174</f>
        <v>10483.41</v>
      </c>
      <c r="P175" s="37">
        <f>Month!P175+Calculation!P174</f>
        <v>514.0899999999999</v>
      </c>
      <c r="Q175" s="37">
        <f>Month!Q175+Calculation!Q174</f>
        <v>1485.0400000000002</v>
      </c>
    </row>
    <row r="176" spans="1:17" ht="12">
      <c r="A176">
        <v>2009</v>
      </c>
      <c r="B176" t="s">
        <v>55</v>
      </c>
      <c r="C176" s="13">
        <f>Month!C176</f>
        <v>6885.83</v>
      </c>
      <c r="D176" s="13">
        <f>Month!D176</f>
        <v>433.5</v>
      </c>
      <c r="E176" s="13">
        <f>Month!E176</f>
        <v>141.3</v>
      </c>
      <c r="F176" s="13">
        <f>Month!F176</f>
        <v>6311.03</v>
      </c>
      <c r="G176" s="13">
        <f>Month!G176</f>
        <v>170.11</v>
      </c>
      <c r="H176" s="13">
        <f>Month!H176</f>
        <v>34.31</v>
      </c>
      <c r="I176" s="13">
        <f>Month!I176</f>
        <v>228.64</v>
      </c>
      <c r="J176" s="13">
        <f>Month!J176</f>
        <v>1717.66</v>
      </c>
      <c r="K176" s="13">
        <f>Month!K176</f>
        <v>487.6</v>
      </c>
      <c r="L176" s="13">
        <f>Month!L176</f>
        <v>354.26</v>
      </c>
      <c r="M176" s="13">
        <f>Month!M176</f>
        <v>910.29</v>
      </c>
      <c r="N176" s="13">
        <f>Month!N176</f>
        <v>1399.24</v>
      </c>
      <c r="O176" s="13">
        <f>Month!O176</f>
        <v>802.59</v>
      </c>
      <c r="P176" s="13">
        <f>Month!P176</f>
        <v>17.31</v>
      </c>
      <c r="Q176" s="13">
        <f>Month!Q176</f>
        <v>29.23</v>
      </c>
    </row>
    <row r="177" spans="1:17" ht="12">
      <c r="A177">
        <v>2009</v>
      </c>
      <c r="B177" t="s">
        <v>56</v>
      </c>
      <c r="C177" s="13">
        <f>Month!C177+Calculation!C176</f>
        <v>13166.45</v>
      </c>
      <c r="D177" s="13">
        <f>Month!D177+Calculation!D176</f>
        <v>806.3299999999999</v>
      </c>
      <c r="E177" s="13">
        <f>Month!E177+Calculation!E176</f>
        <v>204.02</v>
      </c>
      <c r="F177" s="13">
        <f>Month!F177+Calculation!F176</f>
        <v>12156.099999999999</v>
      </c>
      <c r="G177" s="13">
        <f>Month!G177+Calculation!G176</f>
        <v>339.41</v>
      </c>
      <c r="H177" s="13">
        <f>Month!H177+Calculation!H176</f>
        <v>64.46000000000001</v>
      </c>
      <c r="I177" s="13">
        <f>Month!I177+Calculation!I176</f>
        <v>567.45</v>
      </c>
      <c r="J177" s="13">
        <f>Month!J177+Calculation!J176</f>
        <v>3172.92</v>
      </c>
      <c r="K177" s="13">
        <f>Month!K177+Calculation!K176</f>
        <v>861.02</v>
      </c>
      <c r="L177" s="13">
        <f>Month!L177+Calculation!L176</f>
        <v>739.24</v>
      </c>
      <c r="M177" s="13">
        <f>Month!M177+Calculation!M176</f>
        <v>1750.3600000000001</v>
      </c>
      <c r="N177" s="13">
        <f>N176+Month!N177</f>
        <v>2571.1400000000003</v>
      </c>
      <c r="O177" s="13">
        <f>Month!O177+Calculation!O176</f>
        <v>1615.29</v>
      </c>
      <c r="P177" s="13">
        <f>Month!P177+Calculation!P176</f>
        <v>37.37</v>
      </c>
      <c r="Q177" s="13">
        <f>Month!Q177+Calculation!Q176</f>
        <v>110.19</v>
      </c>
    </row>
    <row r="178" spans="1:17" ht="12">
      <c r="A178">
        <v>2009</v>
      </c>
      <c r="B178" t="s">
        <v>57</v>
      </c>
      <c r="C178" s="13">
        <f>Month!C178+Calculation!C177</f>
        <v>19721.440000000002</v>
      </c>
      <c r="D178" s="13">
        <f>Month!D178+Calculation!D177</f>
        <v>1150.1</v>
      </c>
      <c r="E178" s="13">
        <f>Month!E178+Calculation!E177</f>
        <v>254.99</v>
      </c>
      <c r="F178" s="13">
        <f>Month!F178+Calculation!F177</f>
        <v>18316.339999999997</v>
      </c>
      <c r="G178" s="13">
        <f>Month!G178+Calculation!G177</f>
        <v>516.9000000000001</v>
      </c>
      <c r="H178" s="13">
        <f>Month!H178+Calculation!H177</f>
        <v>110.56</v>
      </c>
      <c r="I178" s="13">
        <f>Month!I178+Calculation!I177</f>
        <v>853.98</v>
      </c>
      <c r="J178" s="13">
        <f>Month!J178+Calculation!J177</f>
        <v>4749.06</v>
      </c>
      <c r="K178" s="13">
        <f>Month!K178+Calculation!K177</f>
        <v>1316.55</v>
      </c>
      <c r="L178" s="13">
        <f>Month!L178+Calculation!L177</f>
        <v>1031.47</v>
      </c>
      <c r="M178" s="13">
        <f>Month!M178+Calculation!M177</f>
        <v>2621.69</v>
      </c>
      <c r="N178" s="13">
        <f>N177+Month!N178</f>
        <v>3966.6100000000006</v>
      </c>
      <c r="O178" s="13">
        <f>Month!O178+Calculation!O177</f>
        <v>2326.93</v>
      </c>
      <c r="P178" s="13">
        <f>Month!P178+Calculation!P177</f>
        <v>81.11</v>
      </c>
      <c r="Q178" s="13">
        <f>Month!Q178+Calculation!Q177</f>
        <v>219.49</v>
      </c>
    </row>
    <row r="179" spans="1:17" ht="12">
      <c r="A179">
        <v>2009</v>
      </c>
      <c r="B179" t="s">
        <v>58</v>
      </c>
      <c r="C179" s="13">
        <f>Month!C179+Calculation!C178</f>
        <v>25678.350000000002</v>
      </c>
      <c r="D179" s="13">
        <f>Month!D179+Calculation!D178</f>
        <v>1503.09</v>
      </c>
      <c r="E179" s="13">
        <f>Month!E179+Calculation!E178</f>
        <v>430.73</v>
      </c>
      <c r="F179" s="13">
        <f>Month!F179+Calculation!F178</f>
        <v>23744.529999999995</v>
      </c>
      <c r="G179" s="13">
        <f>Month!G179+Calculation!G178</f>
        <v>708.82</v>
      </c>
      <c r="H179" s="13">
        <f>Month!H179+Calculation!H178</f>
        <v>143.55</v>
      </c>
      <c r="I179" s="13">
        <f>Month!I179+Calculation!I178</f>
        <v>1031.03</v>
      </c>
      <c r="J179" s="13">
        <f>Month!J179+Calculation!J178</f>
        <v>6294.64</v>
      </c>
      <c r="K179" s="13">
        <f>Month!K179+Calculation!K178</f>
        <v>1770.98</v>
      </c>
      <c r="L179" s="13">
        <f>Month!L179+Calculation!L178</f>
        <v>1255.81</v>
      </c>
      <c r="M179" s="13">
        <f>Month!M179+Calculation!M178</f>
        <v>3323.15</v>
      </c>
      <c r="N179" s="13">
        <f>N178+Month!N179</f>
        <v>5244.750000000001</v>
      </c>
      <c r="O179" s="13">
        <f>Month!O179+Calculation!O178</f>
        <v>2874.5899999999997</v>
      </c>
      <c r="P179" s="13">
        <f>Month!P179+Calculation!P178</f>
        <v>104.49</v>
      </c>
      <c r="Q179" s="13">
        <f>Month!Q179+Calculation!Q178</f>
        <v>325.53000000000003</v>
      </c>
    </row>
    <row r="180" spans="1:17" ht="12">
      <c r="A180">
        <v>2009</v>
      </c>
      <c r="B180" t="s">
        <v>59</v>
      </c>
      <c r="C180" s="13">
        <f>Month!C180+Calculation!C179</f>
        <v>31816.65</v>
      </c>
      <c r="D180" s="13">
        <f>Month!D180+Calculation!D179</f>
        <v>1826.52</v>
      </c>
      <c r="E180" s="13">
        <f>Month!E180+Calculation!E179</f>
        <v>415.98</v>
      </c>
      <c r="F180" s="13">
        <f>Month!F180+Calculation!F179</f>
        <v>29574.149999999994</v>
      </c>
      <c r="G180" s="13">
        <f>Month!G180+Calculation!G179</f>
        <v>913.2</v>
      </c>
      <c r="H180" s="13">
        <f>Month!H180+Calculation!H179</f>
        <v>174.45000000000002</v>
      </c>
      <c r="I180" s="13">
        <f>Month!I180+Calculation!I179</f>
        <v>1206.02</v>
      </c>
      <c r="J180" s="13">
        <f>Month!J180+Calculation!J179</f>
        <v>7928.52</v>
      </c>
      <c r="K180" s="13">
        <f>Month!K180+Calculation!K179</f>
        <v>2316.32</v>
      </c>
      <c r="L180" s="13">
        <f>Month!L180+Calculation!L179</f>
        <v>1403.9299999999998</v>
      </c>
      <c r="M180" s="13">
        <f>Month!M180+Calculation!M179</f>
        <v>4070.7200000000003</v>
      </c>
      <c r="N180" s="13">
        <f>N179+Month!N180</f>
        <v>6602.410000000001</v>
      </c>
      <c r="O180" s="13">
        <f>Month!O180+Calculation!O179</f>
        <v>3537.1899999999996</v>
      </c>
      <c r="P180" s="13">
        <f>Month!P180+Calculation!P179</f>
        <v>143.32999999999998</v>
      </c>
      <c r="Q180" s="13">
        <f>Month!Q180+Calculation!Q179</f>
        <v>465.18000000000006</v>
      </c>
    </row>
    <row r="181" spans="1:17" ht="12">
      <c r="A181">
        <v>2009</v>
      </c>
      <c r="B181" t="s">
        <v>60</v>
      </c>
      <c r="C181" s="13">
        <f>Month!C181+Calculation!C180</f>
        <v>38047.53</v>
      </c>
      <c r="D181" s="13">
        <f>Month!D181+Calculation!D180</f>
        <v>2178.36</v>
      </c>
      <c r="E181" s="13">
        <f>Month!E181+Calculation!E180</f>
        <v>445.14000000000004</v>
      </c>
      <c r="F181" s="13">
        <f>Month!F181+Calculation!F180</f>
        <v>35424.03999999999</v>
      </c>
      <c r="G181" s="13">
        <f>Month!G181+Calculation!G180</f>
        <v>1126.66</v>
      </c>
      <c r="H181" s="13">
        <f>Month!H181+Calculation!H180</f>
        <v>211.02</v>
      </c>
      <c r="I181" s="13">
        <f>Month!I181+Calculation!I180</f>
        <v>1414.92</v>
      </c>
      <c r="J181" s="13">
        <f>Month!J181+Calculation!J180</f>
        <v>9477.650000000001</v>
      </c>
      <c r="K181" s="13">
        <f>Month!K181+Calculation!K180</f>
        <v>2893.76</v>
      </c>
      <c r="L181" s="13">
        <f>Month!L181+Calculation!L180</f>
        <v>1523.9099999999999</v>
      </c>
      <c r="M181" s="13">
        <f>Month!M181+Calculation!M180</f>
        <v>4806.67</v>
      </c>
      <c r="N181" s="13">
        <f>N180+Month!N181</f>
        <v>7965.550000000001</v>
      </c>
      <c r="O181" s="13">
        <f>Month!O181+Calculation!O180</f>
        <v>4256.53</v>
      </c>
      <c r="P181" s="13">
        <f>Month!P181+Calculation!P180</f>
        <v>172.35</v>
      </c>
      <c r="Q181" s="13">
        <f>Month!Q181+Calculation!Q180</f>
        <v>596.34</v>
      </c>
    </row>
    <row r="182" spans="1:17" ht="12">
      <c r="A182">
        <v>2009</v>
      </c>
      <c r="B182" t="s">
        <v>61</v>
      </c>
      <c r="C182" s="13">
        <f>Month!C182+Calculation!C181</f>
        <v>44690.759999999995</v>
      </c>
      <c r="D182" s="13">
        <f>Month!D182+Calculation!D181</f>
        <v>2535.78</v>
      </c>
      <c r="E182" s="13">
        <f>Month!E182+Calculation!E181</f>
        <v>465.6</v>
      </c>
      <c r="F182" s="13">
        <f>Month!F182+Calculation!F181</f>
        <v>41689.38999999999</v>
      </c>
      <c r="G182" s="13">
        <f>Month!G182+Calculation!G181</f>
        <v>1335.25</v>
      </c>
      <c r="H182" s="13">
        <f>Month!H182+Calculation!H181</f>
        <v>250.64000000000001</v>
      </c>
      <c r="I182" s="13">
        <f>Month!I182+Calculation!I181</f>
        <v>1604.1000000000001</v>
      </c>
      <c r="J182" s="13">
        <f>Month!J182+Calculation!J181</f>
        <v>11131.730000000001</v>
      </c>
      <c r="K182" s="13">
        <f>Month!K182+Calculation!K181</f>
        <v>3566.4300000000003</v>
      </c>
      <c r="L182" s="13">
        <f>Month!L182+Calculation!L181</f>
        <v>1630.9899999999998</v>
      </c>
      <c r="M182" s="13">
        <f>Month!M182+Calculation!M181</f>
        <v>5584.29</v>
      </c>
      <c r="N182" s="13">
        <f>N181+Month!N182</f>
        <v>9422.130000000001</v>
      </c>
      <c r="O182" s="13">
        <f>Month!O182+Calculation!O181</f>
        <v>5028.599999999999</v>
      </c>
      <c r="P182" s="13">
        <f>Month!P182+Calculation!P181</f>
        <v>220.87</v>
      </c>
      <c r="Q182" s="13">
        <f>Month!Q182+Calculation!Q181</f>
        <v>743.49</v>
      </c>
    </row>
    <row r="183" spans="1:17" ht="12">
      <c r="A183">
        <v>2009</v>
      </c>
      <c r="B183" t="s">
        <v>139</v>
      </c>
      <c r="C183" s="13">
        <f>Month!C183+Calculation!C182</f>
        <v>51174.509999999995</v>
      </c>
      <c r="D183" s="13">
        <f>Month!D183+Calculation!D182</f>
        <v>2896.6200000000003</v>
      </c>
      <c r="E183" s="13">
        <f>Month!E183+Calculation!E182</f>
        <v>490.87</v>
      </c>
      <c r="F183" s="13">
        <f>Month!F183+Calculation!F182</f>
        <v>47787.02999999999</v>
      </c>
      <c r="G183" s="13">
        <f>Month!G183+Calculation!G182</f>
        <v>1534.38</v>
      </c>
      <c r="H183" s="13">
        <f>Month!H183+Calculation!H182</f>
        <v>292.8</v>
      </c>
      <c r="I183" s="13">
        <f>Month!I183+Calculation!I182</f>
        <v>1781.3200000000002</v>
      </c>
      <c r="J183" s="13">
        <f>Month!J183+Calculation!J182</f>
        <v>12822.79</v>
      </c>
      <c r="K183" s="13">
        <f>Month!K183+Calculation!K182</f>
        <v>4192.1900000000005</v>
      </c>
      <c r="L183" s="13">
        <f>Month!L183+Calculation!L182</f>
        <v>1753.5899999999997</v>
      </c>
      <c r="M183" s="13">
        <f>Month!M183+Calculation!M182</f>
        <v>6416.61</v>
      </c>
      <c r="N183" s="13">
        <f>N182+Month!N183</f>
        <v>10811.640000000001</v>
      </c>
      <c r="O183" s="13">
        <f>Month!O183+Calculation!O182</f>
        <v>5640.57</v>
      </c>
      <c r="P183" s="13">
        <f>Month!P183+Calculation!P182</f>
        <v>282.92</v>
      </c>
      <c r="Q183" s="13">
        <f>Month!Q183+Calculation!Q182</f>
        <v>873.98</v>
      </c>
    </row>
    <row r="184" spans="1:17" ht="12">
      <c r="A184">
        <v>2009</v>
      </c>
      <c r="B184" t="s">
        <v>63</v>
      </c>
      <c r="C184" s="13">
        <f>Month!C184+Calculation!C183</f>
        <v>57279.899999999994</v>
      </c>
      <c r="D184" s="13">
        <f>Month!D184+Calculation!D183</f>
        <v>3221.1200000000003</v>
      </c>
      <c r="E184" s="13">
        <f>Month!E184+Calculation!E183</f>
        <v>500.02</v>
      </c>
      <c r="F184" s="13">
        <f>Month!F184+Calculation!F183</f>
        <v>53558.76999999999</v>
      </c>
      <c r="G184" s="13">
        <f>Month!G184+Calculation!G183</f>
        <v>1632.7700000000002</v>
      </c>
      <c r="H184" s="13">
        <f>Month!H184+Calculation!H183</f>
        <v>330.31</v>
      </c>
      <c r="I184" s="13">
        <f>Month!I184+Calculation!I183</f>
        <v>1931.3200000000002</v>
      </c>
      <c r="J184" s="13">
        <f>Month!J184+Calculation!J183</f>
        <v>14448.960000000001</v>
      </c>
      <c r="K184" s="13">
        <f>Month!K184+Calculation!K183</f>
        <v>4707.740000000001</v>
      </c>
      <c r="L184" s="13">
        <f>Month!L184+Calculation!L183</f>
        <v>1980.6899999999996</v>
      </c>
      <c r="M184" s="13">
        <f>Month!M184+Calculation!M183</f>
        <v>7127.61</v>
      </c>
      <c r="N184" s="13">
        <f>N183+Month!N184</f>
        <v>12178.27</v>
      </c>
      <c r="O184" s="13">
        <f>Month!O184+Calculation!O183</f>
        <v>6259.23</v>
      </c>
      <c r="P184" s="13">
        <f>Month!P184+Calculation!P183</f>
        <v>380.95000000000005</v>
      </c>
      <c r="Q184" s="13">
        <f>Month!Q184+Calculation!Q183</f>
        <v>1029.55</v>
      </c>
    </row>
    <row r="185" spans="1:17" ht="12">
      <c r="A185">
        <v>2009</v>
      </c>
      <c r="B185" t="s">
        <v>64</v>
      </c>
      <c r="C185" s="13">
        <f>Month!C185+Calculation!C184</f>
        <v>63116.399999999994</v>
      </c>
      <c r="D185" s="13">
        <f>Month!D185+Calculation!D184</f>
        <v>3547.6100000000006</v>
      </c>
      <c r="E185" s="13">
        <f>Month!E185+Calculation!E184</f>
        <v>599.55</v>
      </c>
      <c r="F185" s="13">
        <f>Month!F185+Calculation!F184</f>
        <v>58969.249999999985</v>
      </c>
      <c r="G185" s="13">
        <f>Month!G185+Calculation!G184</f>
        <v>1802.4300000000003</v>
      </c>
      <c r="H185" s="13">
        <f>Month!H185+Calculation!H184</f>
        <v>368.58</v>
      </c>
      <c r="I185" s="13">
        <f>Month!I185+Calculation!I184</f>
        <v>2138.17</v>
      </c>
      <c r="J185" s="13">
        <f>Month!J185+Calculation!J184</f>
        <v>15928.570000000002</v>
      </c>
      <c r="K185" s="13">
        <f>Month!K185+Calculation!K184</f>
        <v>5119.720000000001</v>
      </c>
      <c r="L185" s="13">
        <f>Month!L185+Calculation!L184</f>
        <v>2234.7</v>
      </c>
      <c r="M185" s="13">
        <f>Month!M185+Calculation!M184</f>
        <v>7904.21</v>
      </c>
      <c r="N185" s="13">
        <f>N184+Month!N185</f>
        <v>13368.02</v>
      </c>
      <c r="O185" s="13">
        <f>Month!O185+Calculation!O184</f>
        <v>6842.2</v>
      </c>
      <c r="P185" s="13">
        <f>Month!P185+Calculation!P184</f>
        <v>404.30000000000007</v>
      </c>
      <c r="Q185" s="13">
        <f>Month!Q185+Calculation!Q184</f>
        <v>1129.25</v>
      </c>
    </row>
    <row r="186" spans="1:17" ht="12">
      <c r="A186">
        <v>2009</v>
      </c>
      <c r="B186" t="s">
        <v>65</v>
      </c>
      <c r="C186" s="13">
        <f>Month!C186+Calculation!C185</f>
        <v>69059.75</v>
      </c>
      <c r="D186" s="13">
        <f>Month!D186+Calculation!D185</f>
        <v>3906.4000000000005</v>
      </c>
      <c r="E186" s="13">
        <f>Month!E186+Calculation!E185</f>
        <v>717.75</v>
      </c>
      <c r="F186" s="13">
        <f>Month!F186+Calculation!F185</f>
        <v>64435.609999999986</v>
      </c>
      <c r="G186" s="13">
        <f>Month!G186+Calculation!G185</f>
        <v>1952.4700000000003</v>
      </c>
      <c r="H186" s="13">
        <f>Month!H186+Calculation!H185</f>
        <v>406.58</v>
      </c>
      <c r="I186" s="13">
        <f>Month!I186+Calculation!I185</f>
        <v>2297.79</v>
      </c>
      <c r="J186" s="13">
        <f>Month!J186+Calculation!J185</f>
        <v>17439.31</v>
      </c>
      <c r="K186" s="13">
        <f>Month!K186+Calculation!K185</f>
        <v>5580.340000000001</v>
      </c>
      <c r="L186" s="13">
        <f>Month!L186+Calculation!L185</f>
        <v>2477.73</v>
      </c>
      <c r="M186" s="13">
        <f>Month!M186+Calculation!M185</f>
        <v>8724.66</v>
      </c>
      <c r="N186" s="13">
        <f>N185+Month!N186</f>
        <v>14543.36</v>
      </c>
      <c r="O186" s="13">
        <f>Month!O186+Calculation!O185</f>
        <v>7392.23</v>
      </c>
      <c r="P186" s="13">
        <f>Month!P186+Calculation!P185</f>
        <v>477.87000000000006</v>
      </c>
      <c r="Q186" s="13">
        <f>Month!Q186+Calculation!Q185</f>
        <v>1238.24</v>
      </c>
    </row>
    <row r="187" spans="1:17" ht="12">
      <c r="A187" s="8">
        <v>2009</v>
      </c>
      <c r="B187" s="8" t="s">
        <v>66</v>
      </c>
      <c r="C187" s="37">
        <f>Month!C187+Calculation!C186</f>
        <v>75550.57</v>
      </c>
      <c r="D187" s="37">
        <f>Month!D187+Calculation!D186</f>
        <v>4304.18</v>
      </c>
      <c r="E187" s="37">
        <f>Month!E187+Calculation!E186</f>
        <v>723.02</v>
      </c>
      <c r="F187" s="37">
        <f>Month!F187+Calculation!F186</f>
        <v>70523.36999999998</v>
      </c>
      <c r="G187" s="37">
        <f>Month!G187+Calculation!G186</f>
        <v>2112.9800000000005</v>
      </c>
      <c r="H187" s="37">
        <f>Month!H187+Calculation!H186</f>
        <v>448.52</v>
      </c>
      <c r="I187" s="37">
        <f>Month!I187+Calculation!I186</f>
        <v>2506.7599999999998</v>
      </c>
      <c r="J187" s="37">
        <f>Month!J187+Calculation!J186</f>
        <v>19184.41</v>
      </c>
      <c r="K187" s="37">
        <f>Month!K187+Calculation!K186</f>
        <v>6021.740000000001</v>
      </c>
      <c r="L187" s="37">
        <f>Month!L187+Calculation!L186</f>
        <v>2830.2</v>
      </c>
      <c r="M187" s="37">
        <f>Month!M187+Calculation!M186</f>
        <v>9487.09</v>
      </c>
      <c r="N187" s="37">
        <f>N186+Month!N187</f>
        <v>15908.220000000001</v>
      </c>
      <c r="O187" s="37">
        <f>Month!O187+Calculation!O186</f>
        <v>8043.17</v>
      </c>
      <c r="P187" s="37">
        <f>Month!P187+Calculation!P186</f>
        <v>529.7800000000001</v>
      </c>
      <c r="Q187" s="37">
        <f>Month!Q187+Calculation!Q186</f>
        <v>1337.84</v>
      </c>
    </row>
    <row r="188" spans="1:17" ht="12">
      <c r="A188">
        <v>2010</v>
      </c>
      <c r="B188" t="s">
        <v>55</v>
      </c>
      <c r="C188" s="13">
        <f>Month!C188</f>
        <v>5907.94</v>
      </c>
      <c r="D188" s="13">
        <f>Month!D188</f>
        <v>328.92</v>
      </c>
      <c r="E188" s="13">
        <f>Month!E188</f>
        <v>66.43</v>
      </c>
      <c r="F188" s="13">
        <f>Month!F188</f>
        <v>5512.59</v>
      </c>
      <c r="G188" s="13">
        <f>Month!G188</f>
        <v>140.71</v>
      </c>
      <c r="H188" s="13">
        <f>Month!H188</f>
        <v>45.97</v>
      </c>
      <c r="I188" s="13">
        <f>Month!I188</f>
        <v>341.63</v>
      </c>
      <c r="J188" s="13">
        <f>Month!J188</f>
        <v>1564.38</v>
      </c>
      <c r="K188" s="13">
        <f>Month!K188</f>
        <v>384.93</v>
      </c>
      <c r="L188" s="13">
        <f>Month!L188</f>
        <v>365.15</v>
      </c>
      <c r="M188" s="13">
        <f>Month!M188</f>
        <v>643.46</v>
      </c>
      <c r="N188" s="13">
        <f>Month!N188</f>
        <v>1221.11</v>
      </c>
      <c r="O188" s="13">
        <f>Month!O188</f>
        <v>542.94</v>
      </c>
      <c r="P188" s="13">
        <f>Month!P188</f>
        <v>34.08</v>
      </c>
      <c r="Q188" s="13">
        <f>Month!Q188</f>
        <v>18.64</v>
      </c>
    </row>
    <row r="189" spans="1:17" ht="12">
      <c r="A189">
        <v>2010</v>
      </c>
      <c r="B189" t="s">
        <v>56</v>
      </c>
      <c r="C189" s="13">
        <f>C188+Month!C189</f>
        <v>11381.23</v>
      </c>
      <c r="D189" s="13">
        <f>D188+Month!D189</f>
        <v>613.75</v>
      </c>
      <c r="E189" s="13">
        <f>E188+Month!E189</f>
        <v>187.65</v>
      </c>
      <c r="F189" s="13">
        <f>F188+Month!F189</f>
        <v>10579.82</v>
      </c>
      <c r="G189" s="13">
        <f>G188+Month!G189</f>
        <v>265.68</v>
      </c>
      <c r="H189" s="13">
        <f>H188+Month!H189</f>
        <v>88.78</v>
      </c>
      <c r="I189" s="13">
        <f>I188+Month!I189</f>
        <v>652.46</v>
      </c>
      <c r="J189" s="13">
        <f>J188+Month!J189</f>
        <v>2997.17</v>
      </c>
      <c r="K189" s="13">
        <f>K188+Month!K189</f>
        <v>741.84</v>
      </c>
      <c r="L189" s="13">
        <f>L188+Month!L189</f>
        <v>696.25</v>
      </c>
      <c r="M189" s="13">
        <f>M188+Month!M189</f>
        <v>1258.18</v>
      </c>
      <c r="N189" s="13">
        <f>N188+Month!N189</f>
        <v>2235.19</v>
      </c>
      <c r="O189" s="13">
        <f>O188+Month!O189</f>
        <v>1089.3600000000001</v>
      </c>
      <c r="P189" s="13">
        <f>P188+Month!P189</f>
        <v>69.28999999999999</v>
      </c>
      <c r="Q189" s="13">
        <f>Q188+Month!Q189</f>
        <v>90.97</v>
      </c>
    </row>
    <row r="190" spans="1:17" ht="12">
      <c r="A190">
        <v>2010</v>
      </c>
      <c r="B190" t="s">
        <v>57</v>
      </c>
      <c r="C190" s="13">
        <f>C189+Month!C190</f>
        <v>17570.58</v>
      </c>
      <c r="D190" s="13">
        <f>D189+Month!D190</f>
        <v>941.6</v>
      </c>
      <c r="E190" s="13">
        <f>E189+Month!E190</f>
        <v>357.20000000000005</v>
      </c>
      <c r="F190" s="13">
        <f>F189+Month!F190</f>
        <v>16271.779999999999</v>
      </c>
      <c r="G190" s="13">
        <f>G189+Month!G190</f>
        <v>456.47</v>
      </c>
      <c r="H190" s="13">
        <f>H189+Month!H190</f>
        <v>136.09</v>
      </c>
      <c r="I190" s="13">
        <f>I189+Month!I190</f>
        <v>835.34</v>
      </c>
      <c r="J190" s="13">
        <f>J189+Month!J190</f>
        <v>4553.33</v>
      </c>
      <c r="K190" s="13">
        <f>K189+Month!K190</f>
        <v>1195.7</v>
      </c>
      <c r="L190" s="13">
        <f>L189+Month!L190</f>
        <v>962.4300000000001</v>
      </c>
      <c r="M190" s="13">
        <f>M189+Month!M190</f>
        <v>2054.83</v>
      </c>
      <c r="N190" s="13">
        <f>N189+Month!N190</f>
        <v>3445.86</v>
      </c>
      <c r="O190" s="13">
        <f>O189+Month!O190</f>
        <v>1708.6200000000001</v>
      </c>
      <c r="P190" s="13">
        <f>P189+Month!P190</f>
        <v>133.08999999999997</v>
      </c>
      <c r="Q190" s="13">
        <f>Q189+Month!Q190</f>
        <v>182.32</v>
      </c>
    </row>
    <row r="191" spans="1:17" ht="12">
      <c r="A191">
        <v>2010</v>
      </c>
      <c r="B191" t="s">
        <v>58</v>
      </c>
      <c r="C191" s="13">
        <f>C190+Month!C191</f>
        <v>23328.79</v>
      </c>
      <c r="D191" s="13">
        <f>D190+Month!D191</f>
        <v>1295.66</v>
      </c>
      <c r="E191" s="13">
        <f>E190+Month!E191</f>
        <v>450.81000000000006</v>
      </c>
      <c r="F191" s="13">
        <f>F190+Month!F191</f>
        <v>21582.309999999998</v>
      </c>
      <c r="G191" s="13">
        <f>G190+Month!G191</f>
        <v>658.88</v>
      </c>
      <c r="H191" s="13">
        <f>H190+Month!H191</f>
        <v>190.14</v>
      </c>
      <c r="I191" s="13">
        <f>I190+Month!I191</f>
        <v>986.26</v>
      </c>
      <c r="J191" s="13">
        <f>J190+Month!J191</f>
        <v>6061.77</v>
      </c>
      <c r="K191" s="13">
        <f>K190+Month!K191</f>
        <v>1630.3600000000001</v>
      </c>
      <c r="L191" s="13">
        <f>L190+Month!L191</f>
        <v>1152.01</v>
      </c>
      <c r="M191" s="13">
        <f>M190+Month!M191</f>
        <v>2878.71</v>
      </c>
      <c r="N191" s="13">
        <f>N190+Month!N191</f>
        <v>4564.37</v>
      </c>
      <c r="O191" s="13">
        <f>O190+Month!O191</f>
        <v>2219.25</v>
      </c>
      <c r="P191" s="13">
        <f>P190+Month!P191</f>
        <v>145.65999999999997</v>
      </c>
      <c r="Q191" s="13">
        <f>Q190+Month!Q191</f>
        <v>300.90999999999997</v>
      </c>
    </row>
    <row r="192" spans="1:17" ht="12">
      <c r="A192">
        <v>2010</v>
      </c>
      <c r="B192" t="s">
        <v>59</v>
      </c>
      <c r="C192" s="13">
        <f>C191+Month!C192</f>
        <v>29543.47</v>
      </c>
      <c r="D192" s="13">
        <f>D191+Month!D192</f>
        <v>1650.65</v>
      </c>
      <c r="E192" s="13">
        <f>E191+Month!E192</f>
        <v>499.1000000000001</v>
      </c>
      <c r="F192" s="13">
        <f>F191+Month!F192</f>
        <v>27393.71</v>
      </c>
      <c r="G192" s="13">
        <f>G191+Month!G192</f>
        <v>887.05</v>
      </c>
      <c r="H192" s="13">
        <f>H191+Month!H192</f>
        <v>232.52999999999997</v>
      </c>
      <c r="I192" s="13">
        <f>I191+Month!I192</f>
        <v>1177.71</v>
      </c>
      <c r="J192" s="13">
        <f>J191+Month!J192</f>
        <v>7662.08</v>
      </c>
      <c r="K192" s="13">
        <f>K191+Month!K192</f>
        <v>2121.1800000000003</v>
      </c>
      <c r="L192" s="13">
        <f>L191+Month!L192</f>
        <v>1329.88</v>
      </c>
      <c r="M192" s="13">
        <f>M191+Month!M192</f>
        <v>3725.01</v>
      </c>
      <c r="N192" s="13">
        <f>N191+Month!N192</f>
        <v>5808.73</v>
      </c>
      <c r="O192" s="13">
        <f>O191+Month!O192</f>
        <v>2814.09</v>
      </c>
      <c r="P192" s="13">
        <f>P191+Month!P192</f>
        <v>163.46999999999997</v>
      </c>
      <c r="Q192" s="13">
        <f>Q191+Month!Q192</f>
        <v>423.81999999999994</v>
      </c>
    </row>
    <row r="193" spans="1:17" ht="12">
      <c r="A193">
        <v>2010</v>
      </c>
      <c r="B193" t="s">
        <v>60</v>
      </c>
      <c r="C193" s="13">
        <f>C192+Month!C193</f>
        <v>35927.53</v>
      </c>
      <c r="D193" s="13">
        <f>D192+Month!D193</f>
        <v>2036.18</v>
      </c>
      <c r="E193" s="13">
        <f>E192+Month!E193</f>
        <v>570.4900000000001</v>
      </c>
      <c r="F193" s="13">
        <f>F192+Month!F193</f>
        <v>33320.85</v>
      </c>
      <c r="G193" s="13">
        <f>G192+Month!G193</f>
        <v>1096.72</v>
      </c>
      <c r="H193" s="13">
        <f>H192+Month!H193</f>
        <v>276.66999999999996</v>
      </c>
      <c r="I193" s="13">
        <f>I192+Month!I193</f>
        <v>1334.16</v>
      </c>
      <c r="J193" s="13">
        <f>J192+Month!J193</f>
        <v>9269.58</v>
      </c>
      <c r="K193" s="13">
        <f>K192+Month!K193</f>
        <v>2737.2900000000004</v>
      </c>
      <c r="L193" s="13">
        <f>L192+Month!L193</f>
        <v>1416.72</v>
      </c>
      <c r="M193" s="13">
        <f>M192+Month!M193</f>
        <v>4516.07</v>
      </c>
      <c r="N193" s="13">
        <f>N192+Month!N193</f>
        <v>7298.549999999999</v>
      </c>
      <c r="O193" s="13">
        <f>O192+Month!O193</f>
        <v>3402.04</v>
      </c>
      <c r="P193" s="13">
        <f>P192+Month!P193</f>
        <v>180.61999999999998</v>
      </c>
      <c r="Q193" s="13">
        <f>Q192+Month!Q193</f>
        <v>557.6899999999999</v>
      </c>
    </row>
    <row r="194" spans="1:17" ht="12">
      <c r="A194">
        <v>2010</v>
      </c>
      <c r="B194" t="s">
        <v>61</v>
      </c>
      <c r="C194" s="13">
        <f>C193+Month!C194</f>
        <v>42349.32</v>
      </c>
      <c r="D194" s="13">
        <f>D193+Month!D194</f>
        <v>2416.91</v>
      </c>
      <c r="E194" s="13">
        <f>E193+Month!E194</f>
        <v>576.3600000000001</v>
      </c>
      <c r="F194" s="13">
        <f>F193+Month!F194</f>
        <v>39356.04</v>
      </c>
      <c r="G194" s="13">
        <f>G193+Month!G194</f>
        <v>1321.78</v>
      </c>
      <c r="H194" s="13">
        <f>H193+Month!H194</f>
        <v>323.86999999999995</v>
      </c>
      <c r="I194" s="13">
        <f>I193+Month!I194</f>
        <v>1518.47</v>
      </c>
      <c r="J194" s="13">
        <f>J193+Month!J194</f>
        <v>10909.88</v>
      </c>
      <c r="K194" s="13">
        <f>K193+Month!K194</f>
        <v>3328.01</v>
      </c>
      <c r="L194" s="13">
        <f>L193+Month!L194</f>
        <v>1540.22</v>
      </c>
      <c r="M194" s="13">
        <f>M193+Month!M194</f>
        <v>5376.429999999999</v>
      </c>
      <c r="N194" s="13">
        <f>N193+Month!N194</f>
        <v>8672.72</v>
      </c>
      <c r="O194" s="13">
        <f>O193+Month!O194</f>
        <v>4014.3199999999997</v>
      </c>
      <c r="P194" s="13">
        <f>P193+Month!P194</f>
        <v>215.89</v>
      </c>
      <c r="Q194" s="13">
        <f>Q193+Month!Q194</f>
        <v>702.79</v>
      </c>
    </row>
    <row r="195" spans="1:17" ht="12">
      <c r="A195">
        <v>2010</v>
      </c>
      <c r="B195" t="s">
        <v>62</v>
      </c>
      <c r="C195" s="13">
        <f>C194+Month!C195</f>
        <v>48762.46</v>
      </c>
      <c r="D195" s="13">
        <f>D194+Month!D195</f>
        <v>2829.25</v>
      </c>
      <c r="E195" s="13">
        <f>E194+Month!E195</f>
        <v>594.3000000000002</v>
      </c>
      <c r="F195" s="13">
        <f>F194+Month!F195</f>
        <v>45338.9</v>
      </c>
      <c r="G195" s="13">
        <f>G194+Month!G195</f>
        <v>1530.81</v>
      </c>
      <c r="H195" s="13">
        <f>H194+Month!H195</f>
        <v>377.72999999999996</v>
      </c>
      <c r="I195" s="13">
        <f>I194+Month!I195</f>
        <v>1686.07</v>
      </c>
      <c r="J195" s="13">
        <f>J194+Month!J195</f>
        <v>12539.9</v>
      </c>
      <c r="K195" s="13">
        <f>K194+Month!K195</f>
        <v>3950.3500000000004</v>
      </c>
      <c r="L195" s="13">
        <f>L194+Month!L195</f>
        <v>1687.46</v>
      </c>
      <c r="M195" s="13">
        <f>M194+Month!M195</f>
        <v>6201.82</v>
      </c>
      <c r="N195" s="13">
        <f>N194+Month!N195</f>
        <v>10043.939999999999</v>
      </c>
      <c r="O195" s="13">
        <f>O194+Month!O195</f>
        <v>4579.879999999999</v>
      </c>
      <c r="P195" s="13">
        <f>P194+Month!P195</f>
        <v>257.38</v>
      </c>
      <c r="Q195" s="13">
        <f>Q194+Month!Q195</f>
        <v>839.74</v>
      </c>
    </row>
    <row r="196" spans="1:17" ht="12">
      <c r="A196">
        <v>2010</v>
      </c>
      <c r="B196" t="s">
        <v>63</v>
      </c>
      <c r="C196" s="13">
        <f>C195+Month!C196</f>
        <v>54818.479999999996</v>
      </c>
      <c r="D196" s="13">
        <f>D195+Month!D196</f>
        <v>3209.64</v>
      </c>
      <c r="E196" s="13">
        <f>E195+Month!E196</f>
        <v>520.1700000000002</v>
      </c>
      <c r="F196" s="13">
        <f>F195+Month!F196</f>
        <v>51088.66</v>
      </c>
      <c r="G196" s="13">
        <f>G195+Month!G196</f>
        <v>1681.6</v>
      </c>
      <c r="H196" s="13">
        <f>H195+Month!H196</f>
        <v>409.78</v>
      </c>
      <c r="I196" s="13">
        <f>I195+Month!I196</f>
        <v>1842.8</v>
      </c>
      <c r="J196" s="13">
        <f>J195+Month!J196</f>
        <v>14138.26</v>
      </c>
      <c r="K196" s="13">
        <f>K195+Month!K196</f>
        <v>4472.58</v>
      </c>
      <c r="L196" s="13">
        <f>L195+Month!L196</f>
        <v>1841.08</v>
      </c>
      <c r="M196" s="13">
        <f>M195+Month!M196</f>
        <v>7021.79</v>
      </c>
      <c r="N196" s="13">
        <f>N195+Month!N196</f>
        <v>11401.269999999999</v>
      </c>
      <c r="O196" s="13">
        <f>O195+Month!O196</f>
        <v>5211.199999999999</v>
      </c>
      <c r="P196" s="13">
        <f>P195+Month!P196</f>
        <v>283.71999999999997</v>
      </c>
      <c r="Q196" s="13">
        <f>Q195+Month!Q196</f>
        <v>963.63</v>
      </c>
    </row>
    <row r="197" spans="1:17" ht="12">
      <c r="A197">
        <v>2010</v>
      </c>
      <c r="B197" t="s">
        <v>64</v>
      </c>
      <c r="C197" s="13">
        <f>C196+Month!C197</f>
        <v>61204.579999999994</v>
      </c>
      <c r="D197" s="13">
        <f>D196+Month!D197</f>
        <v>3603.48</v>
      </c>
      <c r="E197" s="13">
        <f>E196+Month!E197</f>
        <v>542.9400000000002</v>
      </c>
      <c r="F197" s="13">
        <f>F196+Month!F197</f>
        <v>57058.15</v>
      </c>
      <c r="G197" s="13">
        <f>G196+Month!G197</f>
        <v>1853.3</v>
      </c>
      <c r="H197" s="13">
        <f>H196+Month!H197</f>
        <v>445.59</v>
      </c>
      <c r="I197" s="13">
        <f>I196+Month!I197</f>
        <v>2006.26</v>
      </c>
      <c r="J197" s="13">
        <f>J196+Month!J197</f>
        <v>15877.8</v>
      </c>
      <c r="K197" s="13">
        <f>K196+Month!K197</f>
        <v>4933.11</v>
      </c>
      <c r="L197" s="13">
        <f>L196+Month!L197</f>
        <v>2048.5499999999997</v>
      </c>
      <c r="M197" s="13">
        <f>M196+Month!M197</f>
        <v>7850.96</v>
      </c>
      <c r="N197" s="13">
        <f>N196+Month!N197</f>
        <v>12752.829999999998</v>
      </c>
      <c r="O197" s="13">
        <f>O196+Month!O197</f>
        <v>5829.089999999999</v>
      </c>
      <c r="P197" s="13">
        <f>P196+Month!P197</f>
        <v>341.21</v>
      </c>
      <c r="Q197" s="13">
        <f>Q196+Month!Q197</f>
        <v>1109.52</v>
      </c>
    </row>
    <row r="198" spans="1:17" ht="12">
      <c r="A198">
        <v>2010</v>
      </c>
      <c r="B198" t="s">
        <v>65</v>
      </c>
      <c r="C198" s="13">
        <f>C197+Month!C198</f>
        <v>67397.18</v>
      </c>
      <c r="D198" s="13">
        <f>D197+Month!D198</f>
        <v>3991.62</v>
      </c>
      <c r="E198" s="13">
        <f>E197+Month!E198</f>
        <v>571.7500000000001</v>
      </c>
      <c r="F198" s="13">
        <f>F197+Month!F198</f>
        <v>62833.8</v>
      </c>
      <c r="G198" s="13">
        <f>G197+Month!G198</f>
        <v>2046.17</v>
      </c>
      <c r="H198" s="13">
        <f>H197+Month!H198</f>
        <v>483.51</v>
      </c>
      <c r="I198" s="13">
        <f>I197+Month!I198</f>
        <v>2206.61</v>
      </c>
      <c r="J198" s="13">
        <f>J197+Month!J198</f>
        <v>17530.72</v>
      </c>
      <c r="K198" s="13">
        <f>K197+Month!K198</f>
        <v>5360.03</v>
      </c>
      <c r="L198" s="13">
        <f>L197+Month!L198</f>
        <v>2286.91</v>
      </c>
      <c r="M198" s="13">
        <f>M197+Month!M198</f>
        <v>8703.76</v>
      </c>
      <c r="N198" s="13">
        <f>N197+Month!N198</f>
        <v>13992.389999999998</v>
      </c>
      <c r="O198" s="13">
        <f>O197+Month!O198</f>
        <v>6429.889999999999</v>
      </c>
      <c r="P198" s="13">
        <f>P197+Month!P198</f>
        <v>371.08</v>
      </c>
      <c r="Q198" s="13">
        <f>Q197+Month!Q198</f>
        <v>1208.06</v>
      </c>
    </row>
    <row r="199" spans="1:17" ht="12">
      <c r="A199" s="8">
        <v>2010</v>
      </c>
      <c r="B199" s="8" t="s">
        <v>66</v>
      </c>
      <c r="C199" s="37">
        <f>C198+Month!C199</f>
        <v>73542.84</v>
      </c>
      <c r="D199" s="37">
        <f>D198+Month!D199</f>
        <v>4377.83</v>
      </c>
      <c r="E199" s="37">
        <f>E198+Month!E199</f>
        <v>565.7600000000001</v>
      </c>
      <c r="F199" s="37">
        <f>F198+Month!F199</f>
        <v>68599.24</v>
      </c>
      <c r="G199" s="37">
        <f>G198+Month!G199</f>
        <v>2247.03</v>
      </c>
      <c r="H199" s="37">
        <f>H198+Month!H199</f>
        <v>517.64</v>
      </c>
      <c r="I199" s="37">
        <f>I198+Month!I199</f>
        <v>2440.12</v>
      </c>
      <c r="J199" s="37">
        <f>J198+Month!J199</f>
        <v>19074.09</v>
      </c>
      <c r="K199" s="37">
        <f>K198+Month!K199</f>
        <v>5780.719999999999</v>
      </c>
      <c r="L199" s="37">
        <f>L198+Month!L199</f>
        <v>2569.6499999999996</v>
      </c>
      <c r="M199" s="37">
        <f>M198+Month!M199</f>
        <v>9504.75</v>
      </c>
      <c r="N199" s="37">
        <f>N198+Month!N199</f>
        <v>15332.369999999997</v>
      </c>
      <c r="O199" s="37">
        <f>O198+Month!O199</f>
        <v>7004.129999999999</v>
      </c>
      <c r="P199" s="37">
        <f>P198+Month!P199</f>
        <v>412.46</v>
      </c>
      <c r="Q199" s="37">
        <f>Q198+Month!Q199</f>
        <v>1276.4099999999999</v>
      </c>
    </row>
    <row r="200" spans="1:17" ht="12">
      <c r="A200">
        <v>2011</v>
      </c>
      <c r="B200" t="s">
        <v>55</v>
      </c>
      <c r="C200" s="13">
        <f>Month!C200</f>
        <v>6579</v>
      </c>
      <c r="D200" s="13">
        <f>Month!D200</f>
        <v>413.29</v>
      </c>
      <c r="E200" s="13">
        <f>Month!E200</f>
        <v>-59.52</v>
      </c>
      <c r="F200" s="13">
        <f>Month!F200</f>
        <v>6225.24</v>
      </c>
      <c r="G200" s="13">
        <f>Month!G200</f>
        <v>226.11</v>
      </c>
      <c r="H200" s="13">
        <f>Month!H200</f>
        <v>33.59</v>
      </c>
      <c r="I200" s="13">
        <f>Month!I200</f>
        <v>272.9</v>
      </c>
      <c r="J200" s="13">
        <f>Month!J200</f>
        <v>1654.43</v>
      </c>
      <c r="K200" s="13">
        <f>Month!K200</f>
        <v>454.02</v>
      </c>
      <c r="L200" s="13">
        <f>Month!L200</f>
        <v>298.06</v>
      </c>
      <c r="M200" s="13">
        <f>Month!M200</f>
        <v>884.38</v>
      </c>
      <c r="N200" s="13">
        <f>Month!N200</f>
        <v>1478.9</v>
      </c>
      <c r="O200" s="13">
        <f>Month!O200</f>
        <v>602.57</v>
      </c>
      <c r="P200" s="13">
        <f>Month!P200</f>
        <v>45.41</v>
      </c>
      <c r="Q200" s="13">
        <f>Month!Q200</f>
        <v>67.18</v>
      </c>
    </row>
    <row r="201" spans="1:17" ht="12">
      <c r="A201">
        <v>2011</v>
      </c>
      <c r="B201" t="s">
        <v>56</v>
      </c>
      <c r="C201" s="13">
        <f>C200+Month!C201</f>
        <v>12244.5</v>
      </c>
      <c r="D201" s="13">
        <f>D200+Month!D201</f>
        <v>770.23</v>
      </c>
      <c r="E201" s="13">
        <f>E200+Month!E201</f>
        <v>-33.900000000000006</v>
      </c>
      <c r="F201" s="13">
        <f>F200+Month!F201</f>
        <v>11508.18</v>
      </c>
      <c r="G201" s="13">
        <f>G200+Month!G201</f>
        <v>413.42</v>
      </c>
      <c r="H201" s="13">
        <f>H200+Month!H201</f>
        <v>62.45</v>
      </c>
      <c r="I201" s="13">
        <f>I200+Month!I201</f>
        <v>594.17</v>
      </c>
      <c r="J201" s="13">
        <f>J200+Month!J201</f>
        <v>2986.99</v>
      </c>
      <c r="K201" s="13">
        <f>K200+Month!K201</f>
        <v>835.4</v>
      </c>
      <c r="L201" s="13">
        <f>L200+Month!L201</f>
        <v>518.8199999999999</v>
      </c>
      <c r="M201" s="13">
        <f>M200+Month!M201</f>
        <v>1492.01</v>
      </c>
      <c r="N201" s="13">
        <f>N200+Month!N201</f>
        <v>2765.3</v>
      </c>
      <c r="O201" s="13">
        <f>O200+Month!O201</f>
        <v>1264.75</v>
      </c>
      <c r="P201" s="13">
        <f>P200+Month!P201</f>
        <v>51.73</v>
      </c>
      <c r="Q201" s="13">
        <f>Q200+Month!Q201</f>
        <v>162.96</v>
      </c>
    </row>
    <row r="202" spans="1:17" ht="12">
      <c r="A202">
        <v>2011</v>
      </c>
      <c r="B202" t="s">
        <v>57</v>
      </c>
      <c r="C202" s="13">
        <f>C201+Month!C202</f>
        <v>18206.03</v>
      </c>
      <c r="D202" s="13">
        <f>D201+Month!D202</f>
        <v>1142.31</v>
      </c>
      <c r="E202" s="13">
        <f>E201+Month!E202</f>
        <v>144.98999999999998</v>
      </c>
      <c r="F202" s="13">
        <f>F201+Month!F202</f>
        <v>16918.74</v>
      </c>
      <c r="G202" s="13">
        <f>G201+Month!G202</f>
        <v>586.74</v>
      </c>
      <c r="H202" s="13">
        <f>H201+Month!H202</f>
        <v>93.59</v>
      </c>
      <c r="I202" s="13">
        <f>I201+Month!I202</f>
        <v>851.8599999999999</v>
      </c>
      <c r="J202" s="13">
        <f>J201+Month!J202</f>
        <v>4304.7</v>
      </c>
      <c r="K202" s="13">
        <f>K201+Month!K202</f>
        <v>1311.26</v>
      </c>
      <c r="L202" s="13">
        <f>L201+Month!L202</f>
        <v>742.1199999999999</v>
      </c>
      <c r="M202" s="13">
        <f>M201+Month!M202</f>
        <v>2128.8199999999997</v>
      </c>
      <c r="N202" s="13">
        <f>N201+Month!N202</f>
        <v>3992.66</v>
      </c>
      <c r="O202" s="13">
        <f>O201+Month!O202</f>
        <v>1988.0700000000002</v>
      </c>
      <c r="P202" s="13">
        <f>P201+Month!P202</f>
        <v>97.43</v>
      </c>
      <c r="Q202" s="13">
        <f>Q201+Month!Q202</f>
        <v>303.88</v>
      </c>
    </row>
    <row r="203" spans="1:17" ht="12">
      <c r="A203">
        <v>2011</v>
      </c>
      <c r="B203" t="s">
        <v>58</v>
      </c>
      <c r="C203" s="13">
        <f>C202+Month!C203</f>
        <v>24746.01</v>
      </c>
      <c r="D203" s="13">
        <f>D202+Month!D203</f>
        <v>1541.96</v>
      </c>
      <c r="E203" s="13">
        <f>E202+Month!E203</f>
        <v>180.30999999999997</v>
      </c>
      <c r="F203" s="13">
        <f>F202+Month!F203</f>
        <v>23023.75</v>
      </c>
      <c r="G203" s="13">
        <f>G202+Month!G203</f>
        <v>831.33</v>
      </c>
      <c r="H203" s="13">
        <f>H202+Month!H203</f>
        <v>130.49</v>
      </c>
      <c r="I203" s="13">
        <f>I202+Month!I203</f>
        <v>1068.1599999999999</v>
      </c>
      <c r="J203" s="13">
        <f>J202+Month!J203</f>
        <v>5948.6</v>
      </c>
      <c r="K203" s="13">
        <f>K202+Month!K203</f>
        <v>1845.49</v>
      </c>
      <c r="L203" s="13">
        <f>L202+Month!L203</f>
        <v>950.8599999999999</v>
      </c>
      <c r="M203" s="13">
        <f>M202+Month!M203</f>
        <v>2889.2799999999997</v>
      </c>
      <c r="N203" s="13">
        <f>N202+Month!N203</f>
        <v>5407.38</v>
      </c>
      <c r="O203" s="13">
        <f>O202+Month!O203</f>
        <v>2662.58</v>
      </c>
      <c r="P203" s="13">
        <f>P202+Month!P203</f>
        <v>132.05</v>
      </c>
      <c r="Q203" s="13">
        <f>Q202+Month!Q203</f>
        <v>436.28999999999996</v>
      </c>
    </row>
    <row r="204" spans="1:17" ht="12">
      <c r="A204">
        <v>2011</v>
      </c>
      <c r="B204" t="s">
        <v>59</v>
      </c>
      <c r="C204" s="13">
        <f>C203+Month!C204</f>
        <v>31306.87</v>
      </c>
      <c r="D204" s="13">
        <f>D203+Month!D204</f>
        <v>1957</v>
      </c>
      <c r="E204" s="13">
        <f>E203+Month!E204</f>
        <v>218.32999999999998</v>
      </c>
      <c r="F204" s="13">
        <f>F203+Month!F204</f>
        <v>29131.55</v>
      </c>
      <c r="G204" s="13">
        <f>G203+Month!G204</f>
        <v>1093.0500000000002</v>
      </c>
      <c r="H204" s="13">
        <f>H203+Month!H204</f>
        <v>168.99</v>
      </c>
      <c r="I204" s="13">
        <f>I203+Month!I204</f>
        <v>1269.4699999999998</v>
      </c>
      <c r="J204" s="13">
        <f>J203+Month!J204</f>
        <v>7571.16</v>
      </c>
      <c r="K204" s="13">
        <f>K203+Month!K204</f>
        <v>2468.14</v>
      </c>
      <c r="L204" s="13">
        <f>L203+Month!L204</f>
        <v>1048.78</v>
      </c>
      <c r="M204" s="13">
        <f>M203+Month!M204</f>
        <v>3643.99</v>
      </c>
      <c r="N204" s="13">
        <f>N203+Month!N204</f>
        <v>6907.77</v>
      </c>
      <c r="O204" s="13">
        <f>O203+Month!O204</f>
        <v>3361.19</v>
      </c>
      <c r="P204" s="13">
        <f>P203+Month!P204</f>
        <v>192.01000000000002</v>
      </c>
      <c r="Q204" s="13">
        <f>Q203+Month!Q204</f>
        <v>501.28999999999996</v>
      </c>
    </row>
    <row r="205" spans="1:17" ht="12">
      <c r="A205">
        <v>2011</v>
      </c>
      <c r="B205" t="s">
        <v>60</v>
      </c>
      <c r="C205" s="13">
        <f>C204+Month!C205</f>
        <v>37507.61</v>
      </c>
      <c r="D205" s="13">
        <f>D204+Month!D205</f>
        <v>2339.2200000000003</v>
      </c>
      <c r="E205" s="13">
        <f>E204+Month!E205</f>
        <v>222.6</v>
      </c>
      <c r="F205" s="13">
        <f>F204+Month!F205</f>
        <v>34945.8</v>
      </c>
      <c r="G205" s="13">
        <f>G204+Month!G205</f>
        <v>1336.19</v>
      </c>
      <c r="H205" s="13">
        <f>H204+Month!H205</f>
        <v>211.22</v>
      </c>
      <c r="I205" s="13">
        <f>I204+Month!I205</f>
        <v>1428.1099999999997</v>
      </c>
      <c r="J205" s="13">
        <f>J204+Month!J205</f>
        <v>9072.29</v>
      </c>
      <c r="K205" s="13">
        <f>K204+Month!K205</f>
        <v>3074.18</v>
      </c>
      <c r="L205" s="13">
        <f>L204+Month!L205</f>
        <v>1160.1399999999999</v>
      </c>
      <c r="M205" s="13">
        <f>M204+Month!M205</f>
        <v>4281.62</v>
      </c>
      <c r="N205" s="13">
        <f>N204+Month!N205</f>
        <v>8320.84</v>
      </c>
      <c r="O205" s="13">
        <f>O204+Month!O205</f>
        <v>4058.12</v>
      </c>
      <c r="P205" s="13">
        <f>P204+Month!P205</f>
        <v>213.58</v>
      </c>
      <c r="Q205" s="13">
        <f>Q204+Month!Q205</f>
        <v>698.93</v>
      </c>
    </row>
    <row r="206" spans="1:17" ht="12">
      <c r="A206">
        <v>2011</v>
      </c>
      <c r="B206" t="s">
        <v>61</v>
      </c>
      <c r="C206" s="13">
        <f>C205+Month!C206</f>
        <v>44101.71</v>
      </c>
      <c r="D206" s="13">
        <f>D205+Month!D206</f>
        <v>2739.82</v>
      </c>
      <c r="E206" s="13">
        <f>E205+Month!E206</f>
        <v>200.34</v>
      </c>
      <c r="F206" s="13">
        <f>F205+Month!F206</f>
        <v>41161.560000000005</v>
      </c>
      <c r="G206" s="13">
        <f>G205+Month!G206</f>
        <v>1605.67</v>
      </c>
      <c r="H206" s="13">
        <f>H205+Month!H206</f>
        <v>254.76</v>
      </c>
      <c r="I206" s="13">
        <f>I205+Month!I206</f>
        <v>1644.3299999999997</v>
      </c>
      <c r="J206" s="13">
        <f>J205+Month!J206</f>
        <v>10650.19</v>
      </c>
      <c r="K206" s="13">
        <f>K205+Month!K206</f>
        <v>3760.1499999999996</v>
      </c>
      <c r="L206" s="13">
        <f>L205+Month!L206</f>
        <v>1292.34</v>
      </c>
      <c r="M206" s="13">
        <f>M205+Month!M206</f>
        <v>5062.37</v>
      </c>
      <c r="N206" s="13">
        <f>N205+Month!N206</f>
        <v>9780.21</v>
      </c>
      <c r="O206" s="13">
        <f>O205+Month!O206</f>
        <v>4719.26</v>
      </c>
      <c r="P206" s="13">
        <f>P205+Month!P206</f>
        <v>250.45000000000002</v>
      </c>
      <c r="Q206" s="13">
        <f>Q205+Month!Q206</f>
        <v>852.8199999999999</v>
      </c>
    </row>
    <row r="207" spans="1:17" ht="12">
      <c r="A207">
        <v>2011</v>
      </c>
      <c r="B207" t="s">
        <v>62</v>
      </c>
      <c r="C207" s="13">
        <f>C206+Month!C207</f>
        <v>50768.32</v>
      </c>
      <c r="D207" s="13">
        <f>D206+Month!D207</f>
        <v>3136.36</v>
      </c>
      <c r="E207" s="13">
        <f>E206+Month!E207</f>
        <v>260.3</v>
      </c>
      <c r="F207" s="13">
        <f>F206+Month!F207</f>
        <v>47371.68000000001</v>
      </c>
      <c r="G207" s="13">
        <f>G206+Month!G207</f>
        <v>1859.46</v>
      </c>
      <c r="H207" s="13">
        <f>H206+Month!H207</f>
        <v>290.05</v>
      </c>
      <c r="I207" s="13">
        <f>I206+Month!I207</f>
        <v>1823.1999999999998</v>
      </c>
      <c r="J207" s="13">
        <f>J206+Month!J207</f>
        <v>12293.79</v>
      </c>
      <c r="K207" s="13">
        <f>K206+Month!K207</f>
        <v>4431.759999999999</v>
      </c>
      <c r="L207" s="13">
        <f>L206+Month!L207</f>
        <v>1435.6499999999999</v>
      </c>
      <c r="M207" s="13">
        <f>M206+Month!M207</f>
        <v>5890.22</v>
      </c>
      <c r="N207" s="13">
        <f>N206+Month!N207</f>
        <v>11222.009999999998</v>
      </c>
      <c r="O207" s="13">
        <f>O206+Month!O207</f>
        <v>5381.99</v>
      </c>
      <c r="P207" s="13">
        <f>P206+Month!P207</f>
        <v>272.93</v>
      </c>
      <c r="Q207" s="13">
        <f>Q206+Month!Q207</f>
        <v>1005.04</v>
      </c>
    </row>
    <row r="208" spans="1:17" ht="12">
      <c r="A208">
        <v>2011</v>
      </c>
      <c r="B208" t="s">
        <v>63</v>
      </c>
      <c r="C208" s="13">
        <f>C207+Month!C208</f>
        <v>56904.53</v>
      </c>
      <c r="D208" s="13">
        <f>D207+Month!D208</f>
        <v>3514.58</v>
      </c>
      <c r="E208" s="13">
        <f>E207+Month!E208</f>
        <v>318.6</v>
      </c>
      <c r="F208" s="13">
        <f>F207+Month!F208</f>
        <v>53071.380000000005</v>
      </c>
      <c r="G208" s="13">
        <f>G207+Month!G208</f>
        <v>2056.84</v>
      </c>
      <c r="H208" s="13">
        <f>H207+Month!H208</f>
        <v>330.53000000000003</v>
      </c>
      <c r="I208" s="13">
        <f>I207+Month!I208</f>
        <v>1980.8899999999999</v>
      </c>
      <c r="J208" s="13">
        <f>J207+Month!J208</f>
        <v>13908.7</v>
      </c>
      <c r="K208" s="13">
        <f>K207+Month!K208</f>
        <v>4996.619999999999</v>
      </c>
      <c r="L208" s="13">
        <f>L207+Month!L208</f>
        <v>1629.6399999999999</v>
      </c>
      <c r="M208" s="13">
        <f>M207+Month!M208</f>
        <v>6663.26</v>
      </c>
      <c r="N208" s="13">
        <f>N207+Month!N208</f>
        <v>12558.969999999998</v>
      </c>
      <c r="O208" s="13">
        <f>O207+Month!O208</f>
        <v>5865.099999999999</v>
      </c>
      <c r="P208" s="13">
        <f>P207+Month!P208</f>
        <v>323.04</v>
      </c>
      <c r="Q208" s="13">
        <f>Q207+Month!Q208</f>
        <v>1120.53</v>
      </c>
    </row>
    <row r="209" spans="1:17" ht="12">
      <c r="A209">
        <v>2011</v>
      </c>
      <c r="B209" t="s">
        <v>64</v>
      </c>
      <c r="C209" s="13">
        <f>C208+Month!C209</f>
        <v>63026.97</v>
      </c>
      <c r="D209" s="13">
        <f>D208+Month!D209</f>
        <v>3887.02</v>
      </c>
      <c r="E209" s="13">
        <f>E208+Month!E209</f>
        <v>299.37</v>
      </c>
      <c r="F209" s="13">
        <f>F208+Month!F209</f>
        <v>58840.62</v>
      </c>
      <c r="G209" s="13">
        <f>G208+Month!G209</f>
        <v>2241.9900000000002</v>
      </c>
      <c r="H209" s="13">
        <f>H208+Month!H209</f>
        <v>371.68</v>
      </c>
      <c r="I209" s="13">
        <f>I208+Month!I209</f>
        <v>2167.0299999999997</v>
      </c>
      <c r="J209" s="13">
        <f>J208+Month!J209</f>
        <v>15574.95</v>
      </c>
      <c r="K209" s="13">
        <f>K208+Month!K209</f>
        <v>5519.379999999999</v>
      </c>
      <c r="L209" s="13">
        <f>L208+Month!L209</f>
        <v>1851.7199999999998</v>
      </c>
      <c r="M209" s="13">
        <f>M208+Month!M209</f>
        <v>7392.200000000001</v>
      </c>
      <c r="N209" s="13">
        <f>N208+Month!N209</f>
        <v>13950.199999999997</v>
      </c>
      <c r="O209" s="13">
        <f>O208+Month!O209</f>
        <v>6352.57</v>
      </c>
      <c r="P209" s="13">
        <f>P208+Month!P209</f>
        <v>359.13</v>
      </c>
      <c r="Q209" s="13">
        <f>Q208+Month!Q209</f>
        <v>1250.7</v>
      </c>
    </row>
    <row r="210" spans="1:17" ht="12">
      <c r="A210">
        <v>2011</v>
      </c>
      <c r="B210" t="s">
        <v>65</v>
      </c>
      <c r="C210" s="13">
        <f>C209+Month!C210</f>
        <v>68881.77</v>
      </c>
      <c r="D210" s="13">
        <f>D209+Month!D210</f>
        <v>4202.77</v>
      </c>
      <c r="E210" s="13">
        <f>E209+Month!E210</f>
        <v>348.57</v>
      </c>
      <c r="F210" s="13">
        <f>F209+Month!F210</f>
        <v>64330.48</v>
      </c>
      <c r="G210" s="13">
        <f>G209+Month!G210</f>
        <v>2413.92</v>
      </c>
      <c r="H210" s="13">
        <f>H209+Month!H210</f>
        <v>402.15</v>
      </c>
      <c r="I210" s="13">
        <f>I209+Month!I210</f>
        <v>2353.5099999999998</v>
      </c>
      <c r="J210" s="13">
        <f>J209+Month!J210</f>
        <v>17151.81</v>
      </c>
      <c r="K210" s="13">
        <f>K209+Month!K210</f>
        <v>5984.44</v>
      </c>
      <c r="L210" s="13">
        <f>L209+Month!L210</f>
        <v>2089.1699999999996</v>
      </c>
      <c r="M210" s="13">
        <f>M209+Month!M210</f>
        <v>8032.330000000001</v>
      </c>
      <c r="N210" s="13">
        <f>N209+Month!N210</f>
        <v>15340.209999999997</v>
      </c>
      <c r="O210" s="13">
        <f>O209+Month!O210</f>
        <v>6826.75</v>
      </c>
      <c r="P210" s="13">
        <f>P209+Month!P210</f>
        <v>395.93</v>
      </c>
      <c r="Q210" s="13">
        <f>Q209+Month!Q210</f>
        <v>1372.3400000000001</v>
      </c>
    </row>
    <row r="211" spans="1:17" ht="12">
      <c r="A211" s="8">
        <v>2011</v>
      </c>
      <c r="B211" s="8" t="s">
        <v>66</v>
      </c>
      <c r="C211" s="37">
        <f>C210+Month!C211</f>
        <v>75080.27</v>
      </c>
      <c r="D211" s="37">
        <f>D210+Month!D211</f>
        <v>4585.77</v>
      </c>
      <c r="E211" s="37">
        <f>E210+Month!E211</f>
        <v>372.86</v>
      </c>
      <c r="F211" s="37">
        <f>F210+Month!F211</f>
        <v>70121.69</v>
      </c>
      <c r="G211" s="37">
        <f>G210+Month!G211</f>
        <v>2598.34</v>
      </c>
      <c r="H211" s="37">
        <f>H210+Month!H211</f>
        <v>433.90999999999997</v>
      </c>
      <c r="I211" s="37">
        <f>I210+Month!I211</f>
        <v>2525.5899999999997</v>
      </c>
      <c r="J211" s="37">
        <f>J210+Month!J211</f>
        <v>18822.75</v>
      </c>
      <c r="K211" s="37">
        <f>K210+Month!K211</f>
        <v>6411.44</v>
      </c>
      <c r="L211" s="37">
        <f>L210+Month!L211</f>
        <v>2377.1199999999994</v>
      </c>
      <c r="M211" s="37">
        <f>M210+Month!M211</f>
        <v>8683.470000000001</v>
      </c>
      <c r="N211" s="37">
        <f>N210+Month!N211</f>
        <v>16800.489999999998</v>
      </c>
      <c r="O211" s="37">
        <f>O210+Month!O211</f>
        <v>7431.51</v>
      </c>
      <c r="P211" s="37">
        <f>P210+Month!P211</f>
        <v>430.29</v>
      </c>
      <c r="Q211" s="37">
        <f>Q210+Month!Q211</f>
        <v>1475.8600000000001</v>
      </c>
    </row>
    <row r="212" spans="1:17" ht="12">
      <c r="A212">
        <v>2012</v>
      </c>
      <c r="B212" t="s">
        <v>55</v>
      </c>
      <c r="C212" s="13">
        <f>Month!C212</f>
        <v>6527.57</v>
      </c>
      <c r="D212" s="13">
        <f>Month!D212</f>
        <v>425.05</v>
      </c>
      <c r="E212" s="13">
        <f>Month!E212</f>
        <v>-5.7</v>
      </c>
      <c r="F212" s="13">
        <f>Month!F212</f>
        <v>6108.22</v>
      </c>
      <c r="G212" s="13">
        <f>Month!G212</f>
        <v>221.48</v>
      </c>
      <c r="H212" s="13">
        <f>Month!H212</f>
        <v>25.7</v>
      </c>
      <c r="I212" s="13">
        <f>Month!I212</f>
        <v>199.39</v>
      </c>
      <c r="J212" s="13">
        <f>Month!J212</f>
        <v>1789.07</v>
      </c>
      <c r="K212" s="13">
        <f>Month!K212</f>
        <v>540.8</v>
      </c>
      <c r="L212" s="13">
        <f>Month!L212</f>
        <v>194.8</v>
      </c>
      <c r="M212" s="13">
        <f>Month!M212</f>
        <v>832.52</v>
      </c>
      <c r="N212" s="13">
        <f>Month!N212</f>
        <v>1465.05</v>
      </c>
      <c r="O212" s="13">
        <f>Month!O212</f>
        <v>549.55</v>
      </c>
      <c r="P212" s="13">
        <f>Month!P212</f>
        <v>66.43</v>
      </c>
      <c r="Q212" s="13">
        <f>Month!Q212</f>
        <v>44.17</v>
      </c>
    </row>
    <row r="213" spans="1:17" ht="12">
      <c r="A213">
        <v>2012</v>
      </c>
      <c r="B213" t="s">
        <v>56</v>
      </c>
      <c r="C213" s="13">
        <f>C212+Month!C213</f>
        <v>12821.119999999999</v>
      </c>
      <c r="D213" s="13">
        <f>D212+Month!D213</f>
        <v>815.6500000000001</v>
      </c>
      <c r="E213" s="13">
        <f>E212+Month!E213</f>
        <v>56.989999999999995</v>
      </c>
      <c r="F213" s="13">
        <f>F212+Month!F213</f>
        <v>11948.490000000002</v>
      </c>
      <c r="G213" s="13">
        <f>G212+Month!G213</f>
        <v>441.41999999999996</v>
      </c>
      <c r="H213" s="13">
        <f>H212+Month!H213</f>
        <v>47.519999999999996</v>
      </c>
      <c r="I213" s="13">
        <f>I212+Month!I213</f>
        <v>439.41999999999996</v>
      </c>
      <c r="J213" s="13">
        <f>J212+Month!J213</f>
        <v>3461.64</v>
      </c>
      <c r="K213" s="13">
        <f>K212+Month!K213</f>
        <v>975.71</v>
      </c>
      <c r="L213" s="13">
        <f>L212+Month!L213</f>
        <v>473.40000000000003</v>
      </c>
      <c r="M213" s="13">
        <f>M212+Month!M213</f>
        <v>1584.78</v>
      </c>
      <c r="N213" s="13">
        <f>N212+Month!N213</f>
        <v>2806.5699999999997</v>
      </c>
      <c r="O213" s="13">
        <f>O212+Month!O213</f>
        <v>1103.52</v>
      </c>
      <c r="P213" s="13">
        <f>P212+Month!P213</f>
        <v>98.70000000000002</v>
      </c>
      <c r="Q213" s="13">
        <f>Q212+Month!Q213</f>
        <v>165.38</v>
      </c>
    </row>
    <row r="214" spans="1:17" ht="12">
      <c r="A214">
        <v>2012</v>
      </c>
      <c r="B214" t="s">
        <v>57</v>
      </c>
      <c r="C214" s="13">
        <f>C213+Month!C214</f>
        <v>19452.3</v>
      </c>
      <c r="D214" s="13">
        <f>D213+Month!D214</f>
        <v>1229.5500000000002</v>
      </c>
      <c r="E214" s="13">
        <f>E213+Month!E214</f>
        <v>104.74</v>
      </c>
      <c r="F214" s="13">
        <f>F213+Month!F214</f>
        <v>18118.02</v>
      </c>
      <c r="G214" s="13">
        <f>G213+Month!G214</f>
        <v>645.02</v>
      </c>
      <c r="H214" s="13">
        <f>H213+Month!H214</f>
        <v>66.07</v>
      </c>
      <c r="I214" s="13">
        <f>I213+Month!I214</f>
        <v>661.5</v>
      </c>
      <c r="J214" s="13">
        <f>J213+Month!J214</f>
        <v>5180.67</v>
      </c>
      <c r="K214" s="13">
        <f>K213+Month!K214</f>
        <v>1493.08</v>
      </c>
      <c r="L214" s="13">
        <f>L213+Month!L214</f>
        <v>670.01</v>
      </c>
      <c r="M214" s="13">
        <f>M213+Month!M214</f>
        <v>2429</v>
      </c>
      <c r="N214" s="13">
        <f>N213+Month!N214</f>
        <v>4239.24</v>
      </c>
      <c r="O214" s="13">
        <f>O213+Month!O214</f>
        <v>1797.12</v>
      </c>
      <c r="P214" s="13">
        <f>P213+Month!P214</f>
        <v>118.73000000000002</v>
      </c>
      <c r="Q214" s="13">
        <f>Q213+Month!Q214</f>
        <v>303.14</v>
      </c>
    </row>
    <row r="215" spans="1:17" ht="12">
      <c r="A215">
        <v>2012</v>
      </c>
      <c r="B215" t="s">
        <v>58</v>
      </c>
      <c r="C215" s="13">
        <f>C214+Month!C215</f>
        <v>26006.14</v>
      </c>
      <c r="D215" s="13">
        <f>D214+Month!D215</f>
        <v>1629.9300000000003</v>
      </c>
      <c r="E215" s="13">
        <f>E214+Month!E215</f>
        <v>154.32</v>
      </c>
      <c r="F215" s="13">
        <f>F214+Month!F215</f>
        <v>24221.9</v>
      </c>
      <c r="G215" s="13">
        <f>G214+Month!G215</f>
        <v>897.06</v>
      </c>
      <c r="H215" s="13">
        <f>H214+Month!H215</f>
        <v>87.75999999999999</v>
      </c>
      <c r="I215" s="13">
        <f>I214+Month!I215</f>
        <v>869.76</v>
      </c>
      <c r="J215" s="13">
        <f>J214+Month!J215</f>
        <v>6908.83</v>
      </c>
      <c r="K215" s="13">
        <f>K214+Month!K215</f>
        <v>2083.38</v>
      </c>
      <c r="L215" s="13">
        <f>L214+Month!L215</f>
        <v>831.22</v>
      </c>
      <c r="M215" s="13">
        <f>M214+Month!M215</f>
        <v>3203.73</v>
      </c>
      <c r="N215" s="13">
        <f>N214+Month!N215</f>
        <v>5687.04</v>
      </c>
      <c r="O215" s="13">
        <f>O214+Month!O215</f>
        <v>2463.06</v>
      </c>
      <c r="P215" s="13">
        <f>P214+Month!P215</f>
        <v>156.12</v>
      </c>
      <c r="Q215" s="13">
        <f>Q214+Month!Q215</f>
        <v>371.39</v>
      </c>
    </row>
    <row r="216" spans="1:17" ht="12">
      <c r="A216">
        <v>2012</v>
      </c>
      <c r="B216" t="s">
        <v>59</v>
      </c>
      <c r="C216" s="13">
        <f>C215+Month!C216</f>
        <v>32515.04</v>
      </c>
      <c r="D216" s="13">
        <f>D215+Month!D216</f>
        <v>2023.8500000000004</v>
      </c>
      <c r="E216" s="13">
        <f>E215+Month!E216</f>
        <v>201.29</v>
      </c>
      <c r="F216" s="13">
        <f>F215+Month!F216</f>
        <v>30289.910000000003</v>
      </c>
      <c r="G216" s="13">
        <f>G215+Month!G216</f>
        <v>1132.73</v>
      </c>
      <c r="H216" s="13">
        <f>H215+Month!H216</f>
        <v>110.35</v>
      </c>
      <c r="I216" s="13">
        <f>I215+Month!I216</f>
        <v>1070.2</v>
      </c>
      <c r="J216" s="13">
        <f>J215+Month!J216</f>
        <v>8660.94</v>
      </c>
      <c r="K216" s="13">
        <f>K215+Month!K216</f>
        <v>2691.48</v>
      </c>
      <c r="L216" s="13">
        <f>L215+Month!L216</f>
        <v>1021.5500000000001</v>
      </c>
      <c r="M216" s="13">
        <f>M215+Month!M216</f>
        <v>4135.03</v>
      </c>
      <c r="N216" s="13">
        <f>N215+Month!N216</f>
        <v>6870.75</v>
      </c>
      <c r="O216" s="13">
        <f>O215+Month!O216</f>
        <v>3112.26</v>
      </c>
      <c r="P216" s="13">
        <f>P215+Month!P216</f>
        <v>174.76</v>
      </c>
      <c r="Q216" s="13">
        <f>Q215+Month!Q216</f>
        <v>492.83</v>
      </c>
    </row>
    <row r="217" spans="1:17" ht="12">
      <c r="A217">
        <v>2012</v>
      </c>
      <c r="B217" t="s">
        <v>60</v>
      </c>
      <c r="C217" s="13">
        <f>C216+Month!C217</f>
        <v>38591.05</v>
      </c>
      <c r="D217" s="13">
        <f>D216+Month!D217</f>
        <v>2399.8900000000003</v>
      </c>
      <c r="E217" s="13">
        <f>E216+Month!E217</f>
        <v>173.01</v>
      </c>
      <c r="F217" s="13">
        <f>F216+Month!F217</f>
        <v>36018.15</v>
      </c>
      <c r="G217" s="13">
        <f>G216+Month!G217</f>
        <v>1396.15</v>
      </c>
      <c r="H217" s="13">
        <f>H216+Month!H217</f>
        <v>137.38</v>
      </c>
      <c r="I217" s="13">
        <f>I216+Month!I217</f>
        <v>1288.88</v>
      </c>
      <c r="J217" s="13">
        <f>J216+Month!J217</f>
        <v>10197.92</v>
      </c>
      <c r="K217" s="13">
        <f>K216+Month!K217</f>
        <v>3252.96</v>
      </c>
      <c r="L217" s="13">
        <f>L216+Month!L217</f>
        <v>1118.0600000000002</v>
      </c>
      <c r="M217" s="13">
        <f>M216+Month!M217</f>
        <v>4831.67</v>
      </c>
      <c r="N217" s="13">
        <f>N216+Month!N217</f>
        <v>8227.29</v>
      </c>
      <c r="O217" s="13">
        <f>O216+Month!O217</f>
        <v>3769.7000000000003</v>
      </c>
      <c r="P217" s="13">
        <f>P216+Month!P217</f>
        <v>209.78</v>
      </c>
      <c r="Q217" s="13">
        <f>Q216+Month!Q217</f>
        <v>602.88</v>
      </c>
    </row>
    <row r="218" spans="1:17" ht="12">
      <c r="A218">
        <v>2012</v>
      </c>
      <c r="B218" t="s">
        <v>61</v>
      </c>
      <c r="C218" s="13">
        <f>C217+Month!C218</f>
        <v>44978.990000000005</v>
      </c>
      <c r="D218" s="13">
        <f>D217+Month!D218</f>
        <v>2785.6800000000003</v>
      </c>
      <c r="E218" s="13">
        <f>E217+Month!E218</f>
        <v>183.82999999999998</v>
      </c>
      <c r="F218" s="13">
        <f>F217+Month!F218</f>
        <v>42009.48</v>
      </c>
      <c r="G218" s="13">
        <f>G217+Month!G218</f>
        <v>1666.2600000000002</v>
      </c>
      <c r="H218" s="13">
        <f>H217+Month!H218</f>
        <v>165.84</v>
      </c>
      <c r="I218" s="13">
        <f>I217+Month!I218</f>
        <v>1476.8400000000001</v>
      </c>
      <c r="J218" s="13">
        <f>J217+Month!J218</f>
        <v>11817.11</v>
      </c>
      <c r="K218" s="13">
        <f>K217+Month!K218</f>
        <v>3795.83</v>
      </c>
      <c r="L218" s="13">
        <f>L217+Month!L218</f>
        <v>1288.16</v>
      </c>
      <c r="M218" s="13">
        <f>M217+Month!M218</f>
        <v>5572.83</v>
      </c>
      <c r="N218" s="13">
        <f>N217+Month!N218</f>
        <v>9690.68</v>
      </c>
      <c r="O218" s="13">
        <f>O217+Month!O218</f>
        <v>4393.38</v>
      </c>
      <c r="P218" s="13">
        <f>P217+Month!P218</f>
        <v>262.49</v>
      </c>
      <c r="Q218" s="13">
        <f>Q217+Month!Q218</f>
        <v>722.26</v>
      </c>
    </row>
    <row r="219" spans="1:17" ht="12">
      <c r="A219">
        <v>2012</v>
      </c>
      <c r="B219" t="s">
        <v>62</v>
      </c>
      <c r="C219" s="13">
        <f>C218+Month!C219</f>
        <v>51184.340000000004</v>
      </c>
      <c r="D219" s="13">
        <f>D218+Month!D219</f>
        <v>3143.3100000000004</v>
      </c>
      <c r="E219" s="13">
        <f>E218+Month!E219</f>
        <v>187.07999999999998</v>
      </c>
      <c r="F219" s="13">
        <f>F218+Month!F219</f>
        <v>47853.950000000004</v>
      </c>
      <c r="G219" s="13">
        <f>G218+Month!G219</f>
        <v>1915.0700000000002</v>
      </c>
      <c r="H219" s="13">
        <f>H218+Month!H219</f>
        <v>199.46</v>
      </c>
      <c r="I219" s="13">
        <f>I218+Month!I219</f>
        <v>1689.2600000000002</v>
      </c>
      <c r="J219" s="13">
        <f>J218+Month!J219</f>
        <v>13381.800000000001</v>
      </c>
      <c r="K219" s="13">
        <f>K218+Month!K219</f>
        <v>4371.36</v>
      </c>
      <c r="L219" s="13">
        <f>L218+Month!L219</f>
        <v>1401.0800000000002</v>
      </c>
      <c r="M219" s="13">
        <f>M218+Month!M219</f>
        <v>6351.08</v>
      </c>
      <c r="N219" s="13">
        <f>N218+Month!N219</f>
        <v>11100.66</v>
      </c>
      <c r="O219" s="13">
        <f>O218+Month!O219</f>
        <v>4960.52</v>
      </c>
      <c r="P219" s="13">
        <f>P218+Month!P219</f>
        <v>310.65</v>
      </c>
      <c r="Q219" s="13">
        <f>Q218+Month!Q219</f>
        <v>846.93</v>
      </c>
    </row>
    <row r="220" spans="1:17" ht="12">
      <c r="A220">
        <v>2012</v>
      </c>
      <c r="B220" t="s">
        <v>63</v>
      </c>
      <c r="C220" s="13">
        <f>C219+Month!C220</f>
        <v>56784.520000000004</v>
      </c>
      <c r="D220" s="13">
        <f>D219+Month!D220</f>
        <v>3479.9000000000005</v>
      </c>
      <c r="E220" s="13">
        <f>E219+Month!E220</f>
        <v>174.76999999999998</v>
      </c>
      <c r="F220" s="13">
        <f>F219+Month!F220</f>
        <v>53129.850000000006</v>
      </c>
      <c r="G220" s="13">
        <f>G219+Month!G220</f>
        <v>2089.6600000000003</v>
      </c>
      <c r="H220" s="13">
        <f>H219+Month!H220</f>
        <v>224.08</v>
      </c>
      <c r="I220" s="13">
        <f>I219+Month!I220</f>
        <v>1843.13</v>
      </c>
      <c r="J220" s="13">
        <f>J219+Month!J220</f>
        <v>14891.77</v>
      </c>
      <c r="K220" s="13">
        <f>K219+Month!K220</f>
        <v>4785.48</v>
      </c>
      <c r="L220" s="13">
        <f>L219+Month!L220</f>
        <v>1572.94</v>
      </c>
      <c r="M220" s="13">
        <f>M219+Month!M220</f>
        <v>7132.62</v>
      </c>
      <c r="N220" s="13">
        <f>N219+Month!N220</f>
        <v>12295.39</v>
      </c>
      <c r="O220" s="13">
        <f>O219+Month!O220</f>
        <v>5486.81</v>
      </c>
      <c r="P220" s="13">
        <f>P219+Month!P220</f>
        <v>344.94</v>
      </c>
      <c r="Q220" s="13">
        <f>Q219+Month!Q220</f>
        <v>970.3499999999999</v>
      </c>
    </row>
    <row r="221" spans="1:17" ht="12">
      <c r="A221">
        <v>2012</v>
      </c>
      <c r="B221" t="s">
        <v>64</v>
      </c>
      <c r="C221" s="13">
        <f>C220+Month!C221</f>
        <v>61238.41</v>
      </c>
      <c r="D221" s="13">
        <f>D220+Month!D221</f>
        <v>3720.5800000000004</v>
      </c>
      <c r="E221" s="13">
        <f>E220+Month!E221</f>
        <v>201.98999999999998</v>
      </c>
      <c r="F221" s="13">
        <f>F220+Month!F221</f>
        <v>57315.840000000004</v>
      </c>
      <c r="G221" s="13">
        <f>G220+Month!G221</f>
        <v>2181.4</v>
      </c>
      <c r="H221" s="13">
        <f>H220+Month!H221</f>
        <v>241.69</v>
      </c>
      <c r="I221" s="13">
        <f>I220+Month!I221</f>
        <v>1979.0100000000002</v>
      </c>
      <c r="J221" s="13">
        <f>J220+Month!J221</f>
        <v>16089.57</v>
      </c>
      <c r="K221" s="13">
        <f>K220+Month!K221</f>
        <v>5058.219999999999</v>
      </c>
      <c r="L221" s="13">
        <f>L220+Month!L221</f>
        <v>1765.38</v>
      </c>
      <c r="M221" s="13">
        <f>M220+Month!M221</f>
        <v>7686.91</v>
      </c>
      <c r="N221" s="13">
        <f>N220+Month!N221</f>
        <v>13242.21</v>
      </c>
      <c r="O221" s="13">
        <f>O220+Month!O221</f>
        <v>6007.84</v>
      </c>
      <c r="P221" s="13">
        <f>P220+Month!P221</f>
        <v>365.81</v>
      </c>
      <c r="Q221" s="13">
        <f>Q220+Month!Q221</f>
        <v>1068.74</v>
      </c>
    </row>
    <row r="222" spans="1:17" ht="12">
      <c r="A222">
        <v>2012</v>
      </c>
      <c r="B222" t="s">
        <v>65</v>
      </c>
      <c r="C222" s="13">
        <f>C221+Month!C222</f>
        <v>66006.31</v>
      </c>
      <c r="D222" s="13">
        <f>D221+Month!D222</f>
        <v>3972.7300000000005</v>
      </c>
      <c r="E222" s="13">
        <f>E221+Month!E222</f>
        <v>187.35999999999999</v>
      </c>
      <c r="F222" s="13">
        <f>F221+Month!F222</f>
        <v>61846.22</v>
      </c>
      <c r="G222" s="13">
        <f>G221+Month!G222</f>
        <v>2329.73</v>
      </c>
      <c r="H222" s="13">
        <f>H221+Month!H222</f>
        <v>262.86</v>
      </c>
      <c r="I222" s="13">
        <f>I221+Month!I222</f>
        <v>2143.25</v>
      </c>
      <c r="J222" s="13">
        <f>J221+Month!J222</f>
        <v>17255.5</v>
      </c>
      <c r="K222" s="13">
        <f>K221+Month!K222</f>
        <v>5387.629999999999</v>
      </c>
      <c r="L222" s="13">
        <f>L221+Month!L222</f>
        <v>2052.36</v>
      </c>
      <c r="M222" s="13">
        <f>M221+Month!M222</f>
        <v>8289.42</v>
      </c>
      <c r="N222" s="13">
        <f>N221+Month!N222</f>
        <v>14312.269999999999</v>
      </c>
      <c r="O222" s="13">
        <f>O221+Month!O222</f>
        <v>6453.35</v>
      </c>
      <c r="P222" s="13">
        <f>P221+Month!P222</f>
        <v>428.78</v>
      </c>
      <c r="Q222" s="13">
        <f>Q221+Month!Q222</f>
        <v>1150.84</v>
      </c>
    </row>
    <row r="223" spans="1:17" ht="12">
      <c r="A223" s="8">
        <v>2012</v>
      </c>
      <c r="B223" s="8" t="s">
        <v>66</v>
      </c>
      <c r="C223" s="37">
        <f>C222+Month!C223</f>
        <v>71839.11</v>
      </c>
      <c r="D223" s="37">
        <f>D222+Month!D223</f>
        <v>4299.14</v>
      </c>
      <c r="E223" s="37">
        <f>E222+Month!E223</f>
        <v>209.19</v>
      </c>
      <c r="F223" s="37">
        <f>F222+Month!F223</f>
        <v>67330.78</v>
      </c>
      <c r="G223" s="37">
        <f>G222+Month!G223</f>
        <v>2512.08</v>
      </c>
      <c r="H223" s="37">
        <f>H222+Month!H223</f>
        <v>284.77000000000004</v>
      </c>
      <c r="I223" s="37">
        <f>I222+Month!I223</f>
        <v>2328.19</v>
      </c>
      <c r="J223" s="37">
        <f>J222+Month!J223</f>
        <v>18650.27</v>
      </c>
      <c r="K223" s="37">
        <f>K222+Month!K223</f>
        <v>5775.349999999999</v>
      </c>
      <c r="L223" s="37">
        <f>L222+Month!L223</f>
        <v>2267.53</v>
      </c>
      <c r="M223" s="37">
        <f>M222+Month!M223</f>
        <v>8940.57</v>
      </c>
      <c r="N223" s="37">
        <f>N222+Month!N223</f>
        <v>15771.489999999998</v>
      </c>
      <c r="O223" s="37">
        <f>O222+Month!O223</f>
        <v>7157.9400000000005</v>
      </c>
      <c r="P223" s="37">
        <f>P222+Month!P223</f>
        <v>457.32</v>
      </c>
      <c r="Q223" s="37">
        <f>Q222+Month!Q223</f>
        <v>1221.83</v>
      </c>
    </row>
    <row r="224" spans="1:17" ht="12">
      <c r="A224">
        <v>2013</v>
      </c>
      <c r="B224" t="s">
        <v>55</v>
      </c>
      <c r="C224" s="13">
        <f>Month!C224</f>
        <v>5732.29</v>
      </c>
      <c r="D224" s="13">
        <f>Month!D224</f>
        <v>342.08</v>
      </c>
      <c r="E224" s="13">
        <f>Month!E224</f>
        <v>2.67</v>
      </c>
      <c r="F224" s="13">
        <f>Month!F224</f>
        <v>5387.53</v>
      </c>
      <c r="G224" s="13">
        <f>Month!G224</f>
        <v>191.56</v>
      </c>
      <c r="H224" s="13">
        <f>Month!H224</f>
        <v>26.48</v>
      </c>
      <c r="I224" s="13">
        <f>Month!I224</f>
        <v>152.29</v>
      </c>
      <c r="J224" s="13">
        <f>Month!J224</f>
        <v>1522.85</v>
      </c>
      <c r="K224" s="13">
        <f>Month!K224</f>
        <v>364.02</v>
      </c>
      <c r="L224" s="13">
        <f>Month!L224</f>
        <v>309.61</v>
      </c>
      <c r="M224" s="13">
        <f>Month!M224</f>
        <v>749.25</v>
      </c>
      <c r="N224" s="13">
        <f>Month!N224</f>
        <v>1295.35</v>
      </c>
      <c r="O224" s="13">
        <f>Month!O224</f>
        <v>518.92</v>
      </c>
      <c r="P224" s="13">
        <f>Month!P224</f>
        <v>43.13</v>
      </c>
      <c r="Q224" s="13">
        <f>Month!Q224</f>
        <v>16.37</v>
      </c>
    </row>
    <row r="225" spans="1:17" ht="12">
      <c r="A225">
        <v>2013</v>
      </c>
      <c r="B225" t="s">
        <v>56</v>
      </c>
      <c r="C225" s="13">
        <f>C224+Month!C225</f>
        <v>10852.2</v>
      </c>
      <c r="D225" s="13">
        <f>D224+Month!D225</f>
        <v>631.64</v>
      </c>
      <c r="E225" s="13">
        <f>E224+Month!E225</f>
        <v>77.02</v>
      </c>
      <c r="F225" s="13">
        <f>F224+Month!F225</f>
        <v>10143.529999999999</v>
      </c>
      <c r="G225" s="13">
        <f>G224+Month!G225</f>
        <v>372.53</v>
      </c>
      <c r="H225" s="13">
        <f>H224+Month!H225</f>
        <v>50.59</v>
      </c>
      <c r="I225" s="13">
        <f>I224+Month!I225</f>
        <v>323.64</v>
      </c>
      <c r="J225" s="13">
        <f>J224+Month!J225</f>
        <v>2944.23</v>
      </c>
      <c r="K225" s="13">
        <f>K224+Month!K225</f>
        <v>673.22</v>
      </c>
      <c r="L225" s="13">
        <f>L224+Month!L225</f>
        <v>605.84</v>
      </c>
      <c r="M225" s="13">
        <f>M224+Month!M225</f>
        <v>1351.35</v>
      </c>
      <c r="N225" s="13">
        <f>N224+Month!N225</f>
        <v>2412.3999999999996</v>
      </c>
      <c r="O225" s="13">
        <f>O224+Month!O225</f>
        <v>965.3</v>
      </c>
      <c r="P225" s="13">
        <f>P224+Month!P225</f>
        <v>54.1</v>
      </c>
      <c r="Q225" s="13">
        <f>Q224+Month!Q225</f>
        <v>67.84</v>
      </c>
    </row>
    <row r="226" spans="1:17" ht="12">
      <c r="A226">
        <v>2013</v>
      </c>
      <c r="B226" t="s">
        <v>57</v>
      </c>
      <c r="C226" s="13">
        <f>C225+Month!C226</f>
        <v>16671.010000000002</v>
      </c>
      <c r="D226" s="13">
        <f>D225+Month!D226</f>
        <v>930.06</v>
      </c>
      <c r="E226" s="13">
        <f>E225+Month!E226</f>
        <v>109.1</v>
      </c>
      <c r="F226" s="13">
        <f>F225+Month!F226</f>
        <v>15631.84</v>
      </c>
      <c r="G226" s="13">
        <f>G225+Month!G226</f>
        <v>597.0799999999999</v>
      </c>
      <c r="H226" s="13">
        <f>H225+Month!H226</f>
        <v>98.1</v>
      </c>
      <c r="I226" s="13">
        <f>I225+Month!I226</f>
        <v>549.47</v>
      </c>
      <c r="J226" s="13">
        <f>J225+Month!J226</f>
        <v>4455.4400000000005</v>
      </c>
      <c r="K226" s="13">
        <f>K225+Month!K226</f>
        <v>1043.0700000000002</v>
      </c>
      <c r="L226" s="13">
        <f>L225+Month!L226</f>
        <v>907.62</v>
      </c>
      <c r="M226" s="13">
        <f>M225+Month!M226</f>
        <v>2051.77</v>
      </c>
      <c r="N226" s="13">
        <f>N225+Month!N226</f>
        <v>3647.7699999999995</v>
      </c>
      <c r="O226" s="13">
        <f>O225+Month!O226</f>
        <v>1572.3</v>
      </c>
      <c r="P226" s="13">
        <f>P225+Month!P226</f>
        <v>85.65</v>
      </c>
      <c r="Q226" s="13">
        <f>Q225+Month!Q226</f>
        <v>158.7</v>
      </c>
    </row>
    <row r="227" spans="1:17" ht="12">
      <c r="A227">
        <v>2013</v>
      </c>
      <c r="B227" t="s">
        <v>58</v>
      </c>
      <c r="C227" s="13">
        <f>C226+Month!C227</f>
        <v>22617.230000000003</v>
      </c>
      <c r="D227" s="13">
        <f>D226+Month!D227</f>
        <v>1273.62</v>
      </c>
      <c r="E227" s="13">
        <f>E226+Month!E227</f>
        <v>190.2</v>
      </c>
      <c r="F227" s="13">
        <f>F226+Month!F227</f>
        <v>21153.4</v>
      </c>
      <c r="G227" s="13">
        <f>G226+Month!G227</f>
        <v>837.16</v>
      </c>
      <c r="H227" s="13">
        <f>H226+Month!H227</f>
        <v>131.99</v>
      </c>
      <c r="I227" s="13">
        <f>I226+Month!I227</f>
        <v>731.25</v>
      </c>
      <c r="J227" s="13">
        <f>J226+Month!J227</f>
        <v>6012.790000000001</v>
      </c>
      <c r="K227" s="13">
        <f>K226+Month!K227</f>
        <v>1445.5000000000002</v>
      </c>
      <c r="L227" s="13">
        <f>L226+Month!L227</f>
        <v>1194.03</v>
      </c>
      <c r="M227" s="13">
        <f>M226+Month!M227</f>
        <v>2770.96</v>
      </c>
      <c r="N227" s="13">
        <f>N226+Month!N227</f>
        <v>4977.539999999999</v>
      </c>
      <c r="O227" s="13">
        <f>O226+Month!O227</f>
        <v>2088.52</v>
      </c>
      <c r="P227" s="13">
        <f>P226+Month!P227</f>
        <v>122.5</v>
      </c>
      <c r="Q227" s="13">
        <f>Q226+Month!Q227</f>
        <v>217.97</v>
      </c>
    </row>
    <row r="228" spans="1:17" ht="12">
      <c r="A228">
        <v>2013</v>
      </c>
      <c r="B228" t="s">
        <v>59</v>
      </c>
      <c r="C228" s="13">
        <f>C227+Month!C228</f>
        <v>28315.360000000004</v>
      </c>
      <c r="D228" s="13">
        <f>D227+Month!D228</f>
        <v>1594.52</v>
      </c>
      <c r="E228" s="13">
        <f>E227+Month!E228</f>
        <v>242.01</v>
      </c>
      <c r="F228" s="13">
        <f>F227+Month!F228</f>
        <v>26478.82</v>
      </c>
      <c r="G228" s="13">
        <f>G227+Month!G228</f>
        <v>1066.42</v>
      </c>
      <c r="H228" s="13">
        <f>H227+Month!H228</f>
        <v>161.13</v>
      </c>
      <c r="I228" s="13">
        <f>I227+Month!I228</f>
        <v>906.3</v>
      </c>
      <c r="J228" s="13">
        <f>J227+Month!J228</f>
        <v>7514.320000000001</v>
      </c>
      <c r="K228" s="13">
        <f>K227+Month!K228</f>
        <v>1833.4500000000003</v>
      </c>
      <c r="L228" s="13">
        <f>L227+Month!L228</f>
        <v>1414.45</v>
      </c>
      <c r="M228" s="13">
        <f>M227+Month!M228</f>
        <v>3400.74</v>
      </c>
      <c r="N228" s="13">
        <f>N227+Month!N228</f>
        <v>6325.039999999999</v>
      </c>
      <c r="O228" s="13">
        <f>O227+Month!O228</f>
        <v>2665.43</v>
      </c>
      <c r="P228" s="13">
        <f>P227+Month!P228</f>
        <v>174.13</v>
      </c>
      <c r="Q228" s="13">
        <f>Q227+Month!Q228</f>
        <v>281.67</v>
      </c>
    </row>
    <row r="229" spans="1:17" ht="12">
      <c r="A229">
        <v>2013</v>
      </c>
      <c r="B229" t="s">
        <v>60</v>
      </c>
      <c r="C229" s="13">
        <f>C228+Month!C229</f>
        <v>34062.91</v>
      </c>
      <c r="D229" s="13">
        <f>D228+Month!D229</f>
        <v>1928.25</v>
      </c>
      <c r="E229" s="13">
        <f>E228+Month!E229</f>
        <v>273.9</v>
      </c>
      <c r="F229" s="13">
        <f>F228+Month!F229</f>
        <v>31860.75</v>
      </c>
      <c r="G229" s="13">
        <f>G228+Month!G229</f>
        <v>1304.42</v>
      </c>
      <c r="H229" s="13">
        <f>H228+Month!H229</f>
        <v>192.16</v>
      </c>
      <c r="I229" s="13">
        <f>I228+Month!I229</f>
        <v>1044.12</v>
      </c>
      <c r="J229" s="13">
        <f>J228+Month!J229</f>
        <v>9031.75</v>
      </c>
      <c r="K229" s="13">
        <f>K228+Month!K229</f>
        <v>2285.63</v>
      </c>
      <c r="L229" s="13">
        <f>L228+Month!L229</f>
        <v>1580.13</v>
      </c>
      <c r="M229" s="13">
        <f>M228+Month!M229</f>
        <v>4124.4</v>
      </c>
      <c r="N229" s="13">
        <f>N228+Month!N229</f>
        <v>7665.499999999999</v>
      </c>
      <c r="O229" s="13">
        <f>O228+Month!O229</f>
        <v>3219.08</v>
      </c>
      <c r="P229" s="13">
        <f>P228+Month!P229</f>
        <v>185.53</v>
      </c>
      <c r="Q229" s="13">
        <f>Q228+Month!Q229</f>
        <v>353.20000000000005</v>
      </c>
    </row>
    <row r="230" spans="1:17" ht="12">
      <c r="A230">
        <v>2013</v>
      </c>
      <c r="B230" t="s">
        <v>61</v>
      </c>
      <c r="C230" s="13">
        <f>C229+Month!C230</f>
        <v>40017.850000000006</v>
      </c>
      <c r="D230" s="13">
        <f>D229+Month!D230</f>
        <v>2280.54</v>
      </c>
      <c r="E230" s="13">
        <f>E229+Month!E230</f>
        <v>313.19</v>
      </c>
      <c r="F230" s="13">
        <f>F229+Month!F230</f>
        <v>37424.11</v>
      </c>
      <c r="G230" s="13">
        <f>G229+Month!G230</f>
        <v>1540.69</v>
      </c>
      <c r="H230" s="13">
        <f>H229+Month!H230</f>
        <v>222.93</v>
      </c>
      <c r="I230" s="13">
        <f>I229+Month!I230</f>
        <v>1193.32</v>
      </c>
      <c r="J230" s="13">
        <f>J229+Month!J230</f>
        <v>10589.39</v>
      </c>
      <c r="K230" s="13">
        <f>K229+Month!K230</f>
        <v>2798.1800000000003</v>
      </c>
      <c r="L230" s="13">
        <f>L229+Month!L230</f>
        <v>1724.3000000000002</v>
      </c>
      <c r="M230" s="13">
        <f>M229+Month!M230</f>
        <v>4789.099999999999</v>
      </c>
      <c r="N230" s="13">
        <f>N229+Month!N230</f>
        <v>9151.099999999999</v>
      </c>
      <c r="O230" s="13">
        <f>O229+Month!O230</f>
        <v>3685.24</v>
      </c>
      <c r="P230" s="13">
        <f>P229+Month!P230</f>
        <v>232.39</v>
      </c>
      <c r="Q230" s="13">
        <f>Q229+Month!Q230</f>
        <v>457.21000000000004</v>
      </c>
    </row>
    <row r="231" spans="1:17" ht="12">
      <c r="A231">
        <v>2013</v>
      </c>
      <c r="B231" t="s">
        <v>62</v>
      </c>
      <c r="C231" s="13">
        <f>C230+Month!C231</f>
        <v>45922.350000000006</v>
      </c>
      <c r="D231" s="13">
        <f>D230+Month!D231</f>
        <v>2625.89</v>
      </c>
      <c r="E231" s="13">
        <f>E230+Month!E231</f>
        <v>347.89</v>
      </c>
      <c r="F231" s="13">
        <f>F230+Month!F231</f>
        <v>42948.56</v>
      </c>
      <c r="G231" s="13">
        <f>G230+Month!G231</f>
        <v>1758.16</v>
      </c>
      <c r="H231" s="13">
        <f>H230+Month!H231</f>
        <v>255.12</v>
      </c>
      <c r="I231" s="13">
        <f>I230+Month!I231</f>
        <v>1319.29</v>
      </c>
      <c r="J231" s="13">
        <f>J230+Month!J231</f>
        <v>12219.42</v>
      </c>
      <c r="K231" s="13">
        <f>K230+Month!K231</f>
        <v>3342.6000000000004</v>
      </c>
      <c r="L231" s="13">
        <f>L230+Month!L231</f>
        <v>1847.1800000000003</v>
      </c>
      <c r="M231" s="13">
        <f>M230+Month!M231</f>
        <v>5566.999999999999</v>
      </c>
      <c r="N231" s="13">
        <f>N230+Month!N231</f>
        <v>10527.63</v>
      </c>
      <c r="O231" s="13">
        <f>O230+Month!O231</f>
        <v>4131.8099999999995</v>
      </c>
      <c r="P231" s="13">
        <f>P230+Month!P231</f>
        <v>246.64999999999998</v>
      </c>
      <c r="Q231" s="13">
        <f>Q230+Month!Q231</f>
        <v>555.1</v>
      </c>
    </row>
    <row r="232" spans="1:17" ht="12">
      <c r="A232">
        <v>2013</v>
      </c>
      <c r="B232" t="s">
        <v>63</v>
      </c>
      <c r="C232" s="13">
        <f>C231+Month!C232</f>
        <v>51032.39000000001</v>
      </c>
      <c r="D232" s="13">
        <f>D231+Month!D232</f>
        <v>2926.77</v>
      </c>
      <c r="E232" s="13">
        <f>E231+Month!E232</f>
        <v>416.29999999999995</v>
      </c>
      <c r="F232" s="13">
        <f>F231+Month!F232</f>
        <v>47689.31</v>
      </c>
      <c r="G232" s="13">
        <f>G231+Month!G232</f>
        <v>1912.97</v>
      </c>
      <c r="H232" s="13">
        <f>H231+Month!H232</f>
        <v>284.82</v>
      </c>
      <c r="I232" s="13">
        <f>I231+Month!I232</f>
        <v>1415.81</v>
      </c>
      <c r="J232" s="13">
        <f>J231+Month!J232</f>
        <v>13677.42</v>
      </c>
      <c r="K232" s="13">
        <f>K231+Month!K232</f>
        <v>3674.8</v>
      </c>
      <c r="L232" s="13">
        <f>L231+Month!L232</f>
        <v>2074.17</v>
      </c>
      <c r="M232" s="13">
        <f>M231+Month!M232</f>
        <v>6230.23</v>
      </c>
      <c r="N232" s="13">
        <f>N231+Month!N232</f>
        <v>11587.74</v>
      </c>
      <c r="O232" s="13">
        <f>O231+Month!O232</f>
        <v>4668.889999999999</v>
      </c>
      <c r="P232" s="13">
        <f>P231+Month!P232</f>
        <v>269.10999999999996</v>
      </c>
      <c r="Q232" s="13">
        <f>Q231+Month!Q232</f>
        <v>612.28</v>
      </c>
    </row>
    <row r="233" spans="1:17" ht="12">
      <c r="A233">
        <v>2013</v>
      </c>
      <c r="B233" t="s">
        <v>64</v>
      </c>
      <c r="C233" s="13">
        <f>C232+Month!C233</f>
        <v>55756.46000000001</v>
      </c>
      <c r="D233" s="13">
        <f>D232+Month!D233</f>
        <v>3190.96</v>
      </c>
      <c r="E233" s="13">
        <f>E232+Month!E233</f>
        <v>474.15</v>
      </c>
      <c r="F233" s="13">
        <f>F232+Month!F233</f>
        <v>52091.34</v>
      </c>
      <c r="G233" s="13">
        <f>G232+Month!G233</f>
        <v>2031.1200000000001</v>
      </c>
      <c r="H233" s="13">
        <f>H232+Month!H233</f>
        <v>304.4</v>
      </c>
      <c r="I233" s="13">
        <f>I232+Month!I233</f>
        <v>1506.02</v>
      </c>
      <c r="J233" s="13">
        <f>J232+Month!J233</f>
        <v>14995.43</v>
      </c>
      <c r="K233" s="13">
        <f>K232+Month!K233</f>
        <v>3916.1200000000003</v>
      </c>
      <c r="L233" s="13">
        <f>L232+Month!L233</f>
        <v>2248.9900000000002</v>
      </c>
      <c r="M233" s="13">
        <f>M232+Month!M233</f>
        <v>6861.5199999999995</v>
      </c>
      <c r="N233" s="13">
        <f>N232+Month!N233</f>
        <v>12565.23</v>
      </c>
      <c r="O233" s="13">
        <f>O232+Month!O233</f>
        <v>5234.949999999999</v>
      </c>
      <c r="P233" s="13">
        <f>P232+Month!P233</f>
        <v>335.37999999999994</v>
      </c>
      <c r="Q233" s="13">
        <f>Q232+Month!Q233</f>
        <v>687.18</v>
      </c>
    </row>
    <row r="234" spans="1:17" ht="12">
      <c r="A234">
        <v>2013</v>
      </c>
      <c r="B234" t="s">
        <v>65</v>
      </c>
      <c r="C234" s="13">
        <f>C233+Month!C234</f>
        <v>60402.87000000001</v>
      </c>
      <c r="D234" s="13">
        <f>D233+Month!D234</f>
        <v>3443.01</v>
      </c>
      <c r="E234" s="13">
        <f>E233+Month!E234</f>
        <v>520.8399999999999</v>
      </c>
      <c r="F234" s="13">
        <f>F233+Month!F234</f>
        <v>56439</v>
      </c>
      <c r="G234" s="13">
        <f>G233+Month!G234</f>
        <v>2160.6</v>
      </c>
      <c r="H234" s="13">
        <f>H233+Month!H234</f>
        <v>327.66999999999996</v>
      </c>
      <c r="I234" s="13">
        <f>I233+Month!I234</f>
        <v>1730.59</v>
      </c>
      <c r="J234" s="13">
        <f>J233+Month!J234</f>
        <v>16225.8</v>
      </c>
      <c r="K234" s="13">
        <f>K233+Month!K234</f>
        <v>4177.97</v>
      </c>
      <c r="L234" s="13">
        <f>L233+Month!L234</f>
        <v>2446.7400000000002</v>
      </c>
      <c r="M234" s="13">
        <f>M233+Month!M234</f>
        <v>7525</v>
      </c>
      <c r="N234" s="13">
        <f>N233+Month!N234</f>
        <v>13540.82</v>
      </c>
      <c r="O234" s="13">
        <f>O233+Month!O234</f>
        <v>5708.149999999999</v>
      </c>
      <c r="P234" s="13">
        <f>P233+Month!P234</f>
        <v>353.2699999999999</v>
      </c>
      <c r="Q234" s="13">
        <f>Q233+Month!Q234</f>
        <v>735.4799999999999</v>
      </c>
    </row>
    <row r="235" spans="1:17" ht="12">
      <c r="A235" s="8">
        <v>2013</v>
      </c>
      <c r="B235" s="8" t="s">
        <v>66</v>
      </c>
      <c r="C235" s="37">
        <f>C234+Month!C235</f>
        <v>65971.89000000001</v>
      </c>
      <c r="D235" s="37">
        <f>D234+Month!D235</f>
        <v>3758.88</v>
      </c>
      <c r="E235" s="37">
        <f>E234+Month!E235</f>
        <v>574.91</v>
      </c>
      <c r="F235" s="37">
        <f>F234+Month!F235</f>
        <v>61638.09</v>
      </c>
      <c r="G235" s="37">
        <f>G234+Month!G235</f>
        <v>2326.27</v>
      </c>
      <c r="H235" s="37">
        <f>H234+Month!H235</f>
        <v>351.64</v>
      </c>
      <c r="I235" s="37">
        <f>I234+Month!I235</f>
        <v>2013.23</v>
      </c>
      <c r="J235" s="37">
        <f>J234+Month!J235</f>
        <v>17691.25</v>
      </c>
      <c r="K235" s="37">
        <f>K234+Month!K235</f>
        <v>4527.06</v>
      </c>
      <c r="L235" s="37">
        <f>L234+Month!L235</f>
        <v>2705.3500000000004</v>
      </c>
      <c r="M235" s="37">
        <f>M234+Month!M235</f>
        <v>8193.36</v>
      </c>
      <c r="N235" s="37">
        <f>N234+Month!N235</f>
        <v>14830.63</v>
      </c>
      <c r="O235" s="37">
        <f>O234+Month!O235</f>
        <v>6229.619999999999</v>
      </c>
      <c r="P235" s="37">
        <f>P234+Month!P235</f>
        <v>387.2399999999999</v>
      </c>
      <c r="Q235" s="37">
        <f>Q234+Month!Q235</f>
        <v>776.6299999999999</v>
      </c>
    </row>
    <row r="236" spans="1:17" ht="12">
      <c r="A236">
        <v>2014</v>
      </c>
      <c r="B236" t="s">
        <v>55</v>
      </c>
      <c r="C236" s="13">
        <f>Month!C236</f>
        <v>5476.81</v>
      </c>
      <c r="D236" s="13">
        <f>Month!D236</f>
        <v>305.74</v>
      </c>
      <c r="E236" s="13">
        <f>Month!E236</f>
        <v>20.66</v>
      </c>
      <c r="F236" s="13">
        <f>Month!F236</f>
        <v>5150.41</v>
      </c>
      <c r="G236" s="13">
        <f>Month!G236</f>
        <v>191.41</v>
      </c>
      <c r="H236" s="13">
        <f>Month!H236</f>
        <v>29.8</v>
      </c>
      <c r="I236" s="13">
        <f>Month!I236</f>
        <v>252.01</v>
      </c>
      <c r="J236" s="13">
        <f>Month!J236</f>
        <v>1533.4</v>
      </c>
      <c r="K236" s="13">
        <f>Month!K236</f>
        <v>383.66</v>
      </c>
      <c r="L236" s="13">
        <f>Month!L236</f>
        <v>212.32</v>
      </c>
      <c r="M236" s="13">
        <f>Month!M236</f>
        <v>668.78</v>
      </c>
      <c r="N236" s="13">
        <f>Month!N236</f>
        <v>1263.4</v>
      </c>
      <c r="O236" s="13">
        <f>Month!O236</f>
        <v>419.89</v>
      </c>
      <c r="P236" s="13">
        <f>Month!P236</f>
        <v>34</v>
      </c>
      <c r="Q236" s="13">
        <f>Month!Q236</f>
        <v>28.29</v>
      </c>
    </row>
    <row r="237" spans="1:17" ht="12">
      <c r="A237">
        <v>2014</v>
      </c>
      <c r="B237" t="s">
        <v>56</v>
      </c>
      <c r="C237" s="13">
        <f>C236+Month!C237</f>
        <v>10034.630000000001</v>
      </c>
      <c r="D237" s="13">
        <f>D236+Month!D237</f>
        <v>554.2</v>
      </c>
      <c r="E237" s="13">
        <f>E236+Month!E237</f>
        <v>69.31</v>
      </c>
      <c r="F237" s="13">
        <f>F236+Month!F237</f>
        <v>9411.11</v>
      </c>
      <c r="G237" s="13">
        <f>G236+Month!G237</f>
        <v>346.33</v>
      </c>
      <c r="H237" s="13">
        <f>H236+Month!H237</f>
        <v>56.870000000000005</v>
      </c>
      <c r="I237" s="13">
        <f>I236+Month!I237</f>
        <v>437.41999999999996</v>
      </c>
      <c r="J237" s="13">
        <f>J236+Month!J237</f>
        <v>2866.55</v>
      </c>
      <c r="K237" s="13">
        <f>K236+Month!K237</f>
        <v>640.77</v>
      </c>
      <c r="L237" s="13">
        <f>L236+Month!L237</f>
        <v>501.37</v>
      </c>
      <c r="M237" s="13">
        <f>M236+Month!M237</f>
        <v>1234.78</v>
      </c>
      <c r="N237" s="13">
        <f>N236+Month!N237</f>
        <v>2185.2400000000002</v>
      </c>
      <c r="O237" s="13">
        <f>O236+Month!O237</f>
        <v>717.5899999999999</v>
      </c>
      <c r="P237" s="13">
        <f>P236+Month!P237</f>
        <v>70.89</v>
      </c>
      <c r="Q237" s="13">
        <f>Q236+Month!Q237</f>
        <v>103.94999999999999</v>
      </c>
    </row>
    <row r="238" spans="1:17" ht="12">
      <c r="A238">
        <v>2014</v>
      </c>
      <c r="B238" t="s">
        <v>57</v>
      </c>
      <c r="C238" s="13">
        <f>C237+Month!C238</f>
        <v>15517.210000000001</v>
      </c>
      <c r="D238" s="13">
        <f>D237+Month!D238</f>
        <v>843.76</v>
      </c>
      <c r="E238" s="13">
        <f>E237+Month!E238</f>
        <v>110.62</v>
      </c>
      <c r="F238" s="13">
        <f>F237+Month!F238</f>
        <v>14562.82</v>
      </c>
      <c r="G238" s="13">
        <f>G237+Month!G238</f>
        <v>526.91</v>
      </c>
      <c r="H238" s="13">
        <f>H237+Month!H238</f>
        <v>86.85000000000001</v>
      </c>
      <c r="I238" s="13">
        <f>I237+Month!I238</f>
        <v>633</v>
      </c>
      <c r="J238" s="13">
        <f>J237+Month!J238</f>
        <v>4294.83</v>
      </c>
      <c r="K238" s="13">
        <f>K237+Month!K238</f>
        <v>967.14</v>
      </c>
      <c r="L238" s="13">
        <f>L237+Month!L238</f>
        <v>756.45</v>
      </c>
      <c r="M238" s="13">
        <f>M237+Month!M238</f>
        <v>1929.9</v>
      </c>
      <c r="N238" s="13">
        <f>N237+Month!N238</f>
        <v>3406.8100000000004</v>
      </c>
      <c r="O238" s="13">
        <f>O237+Month!O238</f>
        <v>1281.31</v>
      </c>
      <c r="P238" s="13">
        <f>P237+Month!P238</f>
        <v>104.44</v>
      </c>
      <c r="Q238" s="13">
        <f>Q237+Month!Q238</f>
        <v>198.76</v>
      </c>
    </row>
    <row r="239" spans="1:17" ht="12">
      <c r="A239">
        <v>2014</v>
      </c>
      <c r="B239" t="s">
        <v>58</v>
      </c>
      <c r="C239" s="13">
        <f>C238+Month!C239</f>
        <v>20722.440000000002</v>
      </c>
      <c r="D239" s="13">
        <f>D238+Month!D239</f>
        <v>1113.6399999999999</v>
      </c>
      <c r="E239" s="13">
        <f>E238+Month!E239</f>
        <v>164.59</v>
      </c>
      <c r="F239" s="13">
        <f>F238+Month!F239</f>
        <v>19444.19</v>
      </c>
      <c r="G239" s="13">
        <f>G238+Month!G239</f>
        <v>724.66</v>
      </c>
      <c r="H239" s="13">
        <f>H238+Month!H239</f>
        <v>121.35000000000001</v>
      </c>
      <c r="I239" s="13">
        <f>I238+Month!I239</f>
        <v>785.97</v>
      </c>
      <c r="J239" s="13">
        <f>J238+Month!J239</f>
        <v>5662.17</v>
      </c>
      <c r="K239" s="13">
        <f>K238+Month!K239</f>
        <v>1298.2</v>
      </c>
      <c r="L239" s="13">
        <f>L238+Month!L239</f>
        <v>937.1600000000001</v>
      </c>
      <c r="M239" s="13">
        <f>M238+Month!M239</f>
        <v>2644</v>
      </c>
      <c r="N239" s="13">
        <f>N238+Month!N239</f>
        <v>4566.780000000001</v>
      </c>
      <c r="O239" s="13">
        <f>O238+Month!O239</f>
        <v>1769.05</v>
      </c>
      <c r="P239" s="13">
        <f>P238+Month!P239</f>
        <v>143.8</v>
      </c>
      <c r="Q239" s="13">
        <f>Q238+Month!Q239</f>
        <v>293.53999999999996</v>
      </c>
    </row>
    <row r="240" spans="1:17" ht="12">
      <c r="A240">
        <v>2014</v>
      </c>
      <c r="B240" t="s">
        <v>59</v>
      </c>
      <c r="C240" s="13">
        <f>C239+Month!C240</f>
        <v>25957.29</v>
      </c>
      <c r="D240" s="13">
        <f>D239+Month!D240</f>
        <v>1382.36</v>
      </c>
      <c r="E240" s="13">
        <f>E239+Month!E240</f>
        <v>182.2</v>
      </c>
      <c r="F240" s="13">
        <f>F239+Month!F240</f>
        <v>24392.719999999998</v>
      </c>
      <c r="G240" s="13">
        <f>G239+Month!G240</f>
        <v>930.13</v>
      </c>
      <c r="H240" s="13">
        <f>H239+Month!H240</f>
        <v>155.67000000000002</v>
      </c>
      <c r="I240" s="13">
        <f>I239+Month!I240</f>
        <v>949.76</v>
      </c>
      <c r="J240" s="13">
        <f>J239+Month!J240</f>
        <v>7084.76</v>
      </c>
      <c r="K240" s="13">
        <f>K239+Month!K240</f>
        <v>1700.79</v>
      </c>
      <c r="L240" s="13">
        <f>L239+Month!L240</f>
        <v>1070.6100000000001</v>
      </c>
      <c r="M240" s="13">
        <f>M239+Month!M240</f>
        <v>3331.29</v>
      </c>
      <c r="N240" s="13">
        <f>N239+Month!N240</f>
        <v>5706.530000000001</v>
      </c>
      <c r="O240" s="13">
        <f>O239+Month!O240</f>
        <v>2313.74</v>
      </c>
      <c r="P240" s="13">
        <f>P239+Month!P240</f>
        <v>154.33</v>
      </c>
      <c r="Q240" s="13">
        <f>Q239+Month!Q240</f>
        <v>379.02</v>
      </c>
    </row>
    <row r="241" spans="1:17" ht="12">
      <c r="A241">
        <v>2014</v>
      </c>
      <c r="B241" t="s">
        <v>60</v>
      </c>
      <c r="C241" s="13">
        <f>C240+Month!C241</f>
        <v>30651.7</v>
      </c>
      <c r="D241" s="13">
        <f>D240+Month!D241</f>
        <v>1635.12</v>
      </c>
      <c r="E241" s="13">
        <f>E240+Month!E241</f>
        <v>284.49</v>
      </c>
      <c r="F241" s="13">
        <f>F240+Month!F241</f>
        <v>28732.079999999998</v>
      </c>
      <c r="G241" s="13">
        <f>G240+Month!G241</f>
        <v>1121.62</v>
      </c>
      <c r="H241" s="13">
        <f>H240+Month!H241</f>
        <v>184.3</v>
      </c>
      <c r="I241" s="13">
        <f>I240+Month!I241</f>
        <v>1103.55</v>
      </c>
      <c r="J241" s="13">
        <f>J240+Month!J241</f>
        <v>8295.99</v>
      </c>
      <c r="K241" s="13">
        <f>K240+Month!K241</f>
        <v>2114.98</v>
      </c>
      <c r="L241" s="13">
        <f>L240+Month!L241</f>
        <v>1161.1000000000001</v>
      </c>
      <c r="M241" s="13">
        <f>M240+Month!M241</f>
        <v>4010.7799999999997</v>
      </c>
      <c r="N241" s="13">
        <f>N240+Month!N241</f>
        <v>6705.89</v>
      </c>
      <c r="O241" s="13">
        <f>O240+Month!O241</f>
        <v>2629.85</v>
      </c>
      <c r="P241" s="13">
        <f>P240+Month!P241</f>
        <v>183.44</v>
      </c>
      <c r="Q241" s="13">
        <f>Q240+Month!Q241</f>
        <v>472.46999999999997</v>
      </c>
    </row>
    <row r="242" spans="1:17" ht="12">
      <c r="A242">
        <v>2014</v>
      </c>
      <c r="B242" t="s">
        <v>61</v>
      </c>
      <c r="C242" s="13">
        <f>C241+Month!C242</f>
        <v>35810.8</v>
      </c>
      <c r="D242" s="13">
        <f>D241+Month!D242</f>
        <v>1902.84</v>
      </c>
      <c r="E242" s="13">
        <f>E241+Month!E242</f>
        <v>394.76</v>
      </c>
      <c r="F242" s="13">
        <f>F241+Month!F242</f>
        <v>33513.18</v>
      </c>
      <c r="G242" s="13">
        <f>G241+Month!G242</f>
        <v>1316.1899999999998</v>
      </c>
      <c r="H242" s="13">
        <f>H241+Month!H242</f>
        <v>213.61</v>
      </c>
      <c r="I242" s="13">
        <f>I241+Month!I242</f>
        <v>1286.5</v>
      </c>
      <c r="J242" s="13">
        <f>J241+Month!J242</f>
        <v>9546.539999999999</v>
      </c>
      <c r="K242" s="13">
        <f>K241+Month!K242</f>
        <v>2615.86</v>
      </c>
      <c r="L242" s="13">
        <f>L241+Month!L242</f>
        <v>1229.13</v>
      </c>
      <c r="M242" s="13">
        <f>M241+Month!M242</f>
        <v>4721.0199999999995</v>
      </c>
      <c r="N242" s="13">
        <f>N241+Month!N242</f>
        <v>7874.9800000000005</v>
      </c>
      <c r="O242" s="13">
        <f>O241+Month!O242</f>
        <v>3020.92</v>
      </c>
      <c r="P242" s="13">
        <f>P241+Month!P242</f>
        <v>235.78</v>
      </c>
      <c r="Q242" s="13">
        <f>Q241+Month!Q242</f>
        <v>565.91</v>
      </c>
    </row>
    <row r="243" spans="1:17" ht="12">
      <c r="A243">
        <v>2014</v>
      </c>
      <c r="B243" t="s">
        <v>62</v>
      </c>
      <c r="C243" s="13">
        <f>C242+Month!C243</f>
        <v>40925.310000000005</v>
      </c>
      <c r="D243" s="13">
        <f>D242+Month!D243</f>
        <v>2174.85</v>
      </c>
      <c r="E243" s="13">
        <f>E242+Month!E243</f>
        <v>466.53999999999996</v>
      </c>
      <c r="F243" s="13">
        <f>F242+Month!F243</f>
        <v>38283.89</v>
      </c>
      <c r="G243" s="13">
        <f>G242+Month!G243</f>
        <v>1492.5299999999997</v>
      </c>
      <c r="H243" s="13">
        <f>H242+Month!H243</f>
        <v>239.53000000000003</v>
      </c>
      <c r="I243" s="13">
        <f>I242+Month!I243</f>
        <v>1448.98</v>
      </c>
      <c r="J243" s="13">
        <f>J242+Month!J243</f>
        <v>10845.779999999999</v>
      </c>
      <c r="K243" s="13">
        <f>K242+Month!K243</f>
        <v>3037.28</v>
      </c>
      <c r="L243" s="13">
        <f>L242+Month!L243</f>
        <v>1355.4</v>
      </c>
      <c r="M243" s="13">
        <f>M242+Month!M243</f>
        <v>5446.23</v>
      </c>
      <c r="N243" s="13">
        <f>N242+Month!N243</f>
        <v>9079.32</v>
      </c>
      <c r="O243" s="13">
        <f>O242+Month!O243</f>
        <v>3415.15</v>
      </c>
      <c r="P243" s="13">
        <f>P242+Month!P243</f>
        <v>268.96</v>
      </c>
      <c r="Q243" s="13">
        <f>Q242+Month!Q243</f>
        <v>664.16</v>
      </c>
    </row>
    <row r="244" spans="1:17" ht="12">
      <c r="A244">
        <v>2014</v>
      </c>
      <c r="B244" t="s">
        <v>63</v>
      </c>
      <c r="C244" s="13">
        <f>C243+Month!C244</f>
        <v>45921.94</v>
      </c>
      <c r="D244" s="13">
        <f>D243+Month!D244</f>
        <v>2425.9</v>
      </c>
      <c r="E244" s="13">
        <f>E243+Month!E244</f>
        <v>526.9499999999999</v>
      </c>
      <c r="F244" s="13">
        <f>F243+Month!F244</f>
        <v>42969.06</v>
      </c>
      <c r="G244" s="13">
        <f>G243+Month!G244</f>
        <v>1670.5699999999997</v>
      </c>
      <c r="H244" s="13">
        <f>H243+Month!H244</f>
        <v>265.68</v>
      </c>
      <c r="I244" s="13">
        <f>I243+Month!I244</f>
        <v>1686.85</v>
      </c>
      <c r="J244" s="13">
        <f>J243+Month!J244</f>
        <v>12021.47</v>
      </c>
      <c r="K244" s="13">
        <f>K243+Month!K244</f>
        <v>3451.29</v>
      </c>
      <c r="L244" s="13">
        <f>L243+Month!L244</f>
        <v>1517.89</v>
      </c>
      <c r="M244" s="13">
        <f>M243+Month!M244</f>
        <v>6119.82</v>
      </c>
      <c r="N244" s="13">
        <f>N243+Month!N244</f>
        <v>10253.61</v>
      </c>
      <c r="O244" s="13">
        <f>O243+Month!O244</f>
        <v>3782.6800000000003</v>
      </c>
      <c r="P244" s="13">
        <f>P243+Month!P244</f>
        <v>303.28</v>
      </c>
      <c r="Q244" s="13">
        <f>Q243+Month!Q244</f>
        <v>754.66</v>
      </c>
    </row>
    <row r="245" spans="1:17" ht="12">
      <c r="A245">
        <v>2014</v>
      </c>
      <c r="B245" t="s">
        <v>64</v>
      </c>
      <c r="C245" s="13">
        <f>C244+Month!C245</f>
        <v>50977.950000000004</v>
      </c>
      <c r="D245" s="13">
        <f>D244+Month!D245</f>
        <v>2676.3</v>
      </c>
      <c r="E245" s="13">
        <f>E244+Month!E245</f>
        <v>613.03</v>
      </c>
      <c r="F245" s="13">
        <f>F244+Month!F245</f>
        <v>47688.6</v>
      </c>
      <c r="G245" s="13">
        <f>G244+Month!G245</f>
        <v>1828.1499999999996</v>
      </c>
      <c r="H245" s="13">
        <f>H244+Month!H245</f>
        <v>293.33</v>
      </c>
      <c r="I245" s="13">
        <f>I244+Month!I245</f>
        <v>1908.3899999999999</v>
      </c>
      <c r="J245" s="13">
        <f>J244+Month!J245</f>
        <v>13143.91</v>
      </c>
      <c r="K245" s="13">
        <f>K244+Month!K245</f>
        <v>3871.58</v>
      </c>
      <c r="L245" s="13">
        <f>L244+Month!L245</f>
        <v>1678.3400000000001</v>
      </c>
      <c r="M245" s="13">
        <f>M244+Month!M245</f>
        <v>6756.04</v>
      </c>
      <c r="N245" s="13">
        <f>N244+Month!N245</f>
        <v>11357.640000000001</v>
      </c>
      <c r="O245" s="13">
        <f>O244+Month!O245</f>
        <v>4377.46</v>
      </c>
      <c r="P245" s="13">
        <f>P244+Month!P245</f>
        <v>336.55999999999995</v>
      </c>
      <c r="Q245" s="13">
        <f>Q244+Month!Q245</f>
        <v>848.42</v>
      </c>
    </row>
    <row r="246" spans="1:17" ht="12">
      <c r="A246">
        <v>2014</v>
      </c>
      <c r="B246" t="s">
        <v>65</v>
      </c>
      <c r="C246" s="13">
        <f>C245+Month!C246</f>
        <v>55788.19</v>
      </c>
      <c r="D246" s="13">
        <f>D245+Month!D246</f>
        <v>2908.7400000000002</v>
      </c>
      <c r="E246" s="13">
        <f>E245+Month!E246</f>
        <v>704.41</v>
      </c>
      <c r="F246" s="13">
        <f>F245+Month!F246</f>
        <v>52175.02</v>
      </c>
      <c r="G246" s="13">
        <f>G245+Month!G246</f>
        <v>1966.9399999999996</v>
      </c>
      <c r="H246" s="13">
        <f>H245+Month!H246</f>
        <v>319.56</v>
      </c>
      <c r="I246" s="13">
        <f>I245+Month!I246</f>
        <v>2103.45</v>
      </c>
      <c r="J246" s="13">
        <f>J245+Month!J246</f>
        <v>14268.83</v>
      </c>
      <c r="K246" s="13">
        <f>K245+Month!K246</f>
        <v>4243.05</v>
      </c>
      <c r="L246" s="13">
        <f>L245+Month!L246</f>
        <v>1847.2700000000002</v>
      </c>
      <c r="M246" s="13">
        <f>M245+Month!M246</f>
        <v>7371.3099999999995</v>
      </c>
      <c r="N246" s="13">
        <f>N245+Month!N246</f>
        <v>12493.830000000002</v>
      </c>
      <c r="O246" s="13">
        <f>O245+Month!O246</f>
        <v>4868.9400000000005</v>
      </c>
      <c r="P246" s="13">
        <f>P245+Month!P246</f>
        <v>359.25999999999993</v>
      </c>
      <c r="Q246" s="13">
        <f>Q245+Month!Q246</f>
        <v>934.56</v>
      </c>
    </row>
    <row r="247" spans="1:17" ht="12">
      <c r="A247" s="8">
        <v>2014</v>
      </c>
      <c r="B247" s="8" t="s">
        <v>66</v>
      </c>
      <c r="C247" s="37">
        <f>C246+Month!C247</f>
        <v>61062.55</v>
      </c>
      <c r="D247" s="37">
        <f>D246+Month!D247</f>
        <v>3198.2700000000004</v>
      </c>
      <c r="E247" s="37">
        <f>E246+Month!E247</f>
        <v>670.61</v>
      </c>
      <c r="F247" s="37">
        <f>F246+Month!F247</f>
        <v>57193.649999999994</v>
      </c>
      <c r="G247" s="37">
        <f>G246+Month!G247</f>
        <v>2127.0599999999995</v>
      </c>
      <c r="H247" s="37">
        <f>H246+Month!H247</f>
        <v>347.67</v>
      </c>
      <c r="I247" s="37">
        <f>I246+Month!I247</f>
        <v>2289.97</v>
      </c>
      <c r="J247" s="37">
        <f>J246+Month!J247</f>
        <v>15709.43</v>
      </c>
      <c r="K247" s="37">
        <f>K246+Month!K247</f>
        <v>4635.38</v>
      </c>
      <c r="L247" s="37">
        <f>L246+Month!L247</f>
        <v>2093.3700000000003</v>
      </c>
      <c r="M247" s="37">
        <f>M246+Month!M247</f>
        <v>8048.929999999999</v>
      </c>
      <c r="N247" s="37">
        <f>N246+Month!N247</f>
        <v>13725.890000000001</v>
      </c>
      <c r="O247" s="37">
        <f>O246+Month!O247</f>
        <v>5269.18</v>
      </c>
      <c r="P247" s="37">
        <f>P246+Month!P247</f>
        <v>372.69999999999993</v>
      </c>
      <c r="Q247" s="37">
        <f>Q246+Month!Q247</f>
        <v>1006.39</v>
      </c>
    </row>
    <row r="248" spans="1:17" ht="12">
      <c r="A248">
        <v>2015</v>
      </c>
      <c r="B248" t="s">
        <v>55</v>
      </c>
      <c r="C248" s="13">
        <f>Month!C248</f>
        <v>5220.09</v>
      </c>
      <c r="D248" s="13">
        <f>Month!D248</f>
        <v>302.58</v>
      </c>
      <c r="E248" s="13">
        <f>Month!E248</f>
        <v>45.45</v>
      </c>
      <c r="F248" s="13">
        <f>Month!F248</f>
        <v>4872.06</v>
      </c>
      <c r="G248" s="13">
        <f>Month!G248</f>
        <v>170.12</v>
      </c>
      <c r="H248" s="13">
        <f>Month!H248</f>
        <v>31.89</v>
      </c>
      <c r="I248" s="13">
        <f>Month!I248</f>
        <v>195.59</v>
      </c>
      <c r="J248" s="13">
        <f>Month!J248</f>
        <v>1460.94</v>
      </c>
      <c r="K248" s="13">
        <f>Month!K248</f>
        <v>413.08</v>
      </c>
      <c r="L248" s="13">
        <f>Month!L248</f>
        <v>221.42</v>
      </c>
      <c r="M248" s="13">
        <f>Month!M248</f>
        <v>591.76</v>
      </c>
      <c r="N248" s="13">
        <f>Month!N248</f>
        <v>1166.59</v>
      </c>
      <c r="O248" s="13">
        <f>Month!O248</f>
        <v>406.3</v>
      </c>
      <c r="P248" s="13">
        <f>Month!P248</f>
        <v>14.41</v>
      </c>
      <c r="Q248" s="13">
        <f>Month!Q248</f>
        <v>27.67</v>
      </c>
    </row>
    <row r="249" spans="1:17" ht="12">
      <c r="A249">
        <v>2015</v>
      </c>
      <c r="B249" t="s">
        <v>56</v>
      </c>
      <c r="C249" s="13">
        <f>Month!C249+C248</f>
        <v>9773.869999999999</v>
      </c>
      <c r="D249" s="13">
        <f>Month!D249+D248</f>
        <v>540.16</v>
      </c>
      <c r="E249" s="13">
        <f>Month!E249+E248</f>
        <v>88.80000000000001</v>
      </c>
      <c r="F249" s="13">
        <f>Month!F249+F248</f>
        <v>9144.91</v>
      </c>
      <c r="G249" s="13">
        <f>Month!G249+G248</f>
        <v>333.52</v>
      </c>
      <c r="H249" s="13">
        <f>Month!H249+H248</f>
        <v>64.27000000000001</v>
      </c>
      <c r="I249" s="13">
        <f>Month!I249+I248</f>
        <v>380.99</v>
      </c>
      <c r="J249" s="13">
        <f>Month!J249+J248</f>
        <v>2651.9</v>
      </c>
      <c r="K249" s="13">
        <f>Month!K249+K248</f>
        <v>755.16</v>
      </c>
      <c r="L249" s="13">
        <f>Month!L249+L248</f>
        <v>448.52</v>
      </c>
      <c r="M249" s="13">
        <f>Month!M249+M248</f>
        <v>1139.9099999999999</v>
      </c>
      <c r="N249" s="13">
        <f>Month!N249+N248</f>
        <v>2138.91</v>
      </c>
      <c r="O249" s="13">
        <f>Month!O249+O248</f>
        <v>806.39</v>
      </c>
      <c r="P249" s="13">
        <f>Month!P249+P248</f>
        <v>30.54</v>
      </c>
      <c r="Q249" s="13">
        <f>Month!Q249+Q248</f>
        <v>100.89</v>
      </c>
    </row>
    <row r="250" spans="1:17" ht="12">
      <c r="A250">
        <v>2015</v>
      </c>
      <c r="B250" t="s">
        <v>57</v>
      </c>
      <c r="C250" s="13">
        <f>Month!C250+C249</f>
        <v>14633.039999999999</v>
      </c>
      <c r="D250" s="13">
        <f>Month!D250+D249</f>
        <v>809.65</v>
      </c>
      <c r="E250" s="13">
        <f>Month!E250+E249</f>
        <v>137.85000000000002</v>
      </c>
      <c r="F250" s="13">
        <f>Month!F250+F249</f>
        <v>13685.529999999999</v>
      </c>
      <c r="G250" s="13">
        <f>Month!G250+G249</f>
        <v>501.71999999999997</v>
      </c>
      <c r="H250" s="13">
        <f>Month!H250+H249</f>
        <v>95.41000000000001</v>
      </c>
      <c r="I250" s="13">
        <f>Month!I250+I249</f>
        <v>577.16</v>
      </c>
      <c r="J250" s="13">
        <f>Month!J250+J249</f>
        <v>3969.45</v>
      </c>
      <c r="K250" s="13">
        <f>Month!K250+K249</f>
        <v>1135.9299999999998</v>
      </c>
      <c r="L250" s="13">
        <f>Month!L250+L249</f>
        <v>674.55</v>
      </c>
      <c r="M250" s="13">
        <f>Month!M250+M249</f>
        <v>1779.35</v>
      </c>
      <c r="N250" s="13">
        <f>Month!N250+N249</f>
        <v>3031.7999999999997</v>
      </c>
      <c r="O250" s="13">
        <f>Month!O250+O249</f>
        <v>1226.38</v>
      </c>
      <c r="P250" s="13">
        <f>Month!P250+P249</f>
        <v>68.4</v>
      </c>
      <c r="Q250" s="13">
        <f>Month!Q250+Q249</f>
        <v>190.82999999999998</v>
      </c>
    </row>
    <row r="251" spans="1:17" ht="12">
      <c r="A251">
        <v>2015</v>
      </c>
      <c r="B251" t="s">
        <v>58</v>
      </c>
      <c r="C251" s="13">
        <f>Month!C251+C250</f>
        <v>19482.68</v>
      </c>
      <c r="D251" s="13">
        <f>Month!D251+D250</f>
        <v>1068.42</v>
      </c>
      <c r="E251" s="13">
        <f>Month!E251+E250</f>
        <v>174.09000000000003</v>
      </c>
      <c r="F251" s="13">
        <f>Month!F251+F250</f>
        <v>18240.16</v>
      </c>
      <c r="G251" s="13">
        <f>Month!G251+G250</f>
        <v>695.1099999999999</v>
      </c>
      <c r="H251" s="13">
        <f>Month!H251+H250</f>
        <v>127.46000000000001</v>
      </c>
      <c r="I251" s="13">
        <f>Month!I251+I250</f>
        <v>752.25</v>
      </c>
      <c r="J251" s="13">
        <f>Month!J251+J250</f>
        <v>5271.549999999999</v>
      </c>
      <c r="K251" s="13">
        <f>Month!K251+K250</f>
        <v>1511.2299999999998</v>
      </c>
      <c r="L251" s="13">
        <f>Month!L251+L250</f>
        <v>824.0699999999999</v>
      </c>
      <c r="M251" s="13">
        <f>Month!M251+M250</f>
        <v>2475.39</v>
      </c>
      <c r="N251" s="13">
        <f>Month!N251+N250</f>
        <v>3899.1299999999997</v>
      </c>
      <c r="O251" s="13">
        <f>Month!O251+O250</f>
        <v>1705.25</v>
      </c>
      <c r="P251" s="13">
        <f>Month!P251+P250</f>
        <v>107.62</v>
      </c>
      <c r="Q251" s="13">
        <f>Month!Q251+Q250</f>
        <v>281.79999999999995</v>
      </c>
    </row>
    <row r="252" spans="1:17" ht="12">
      <c r="A252">
        <v>2015</v>
      </c>
      <c r="B252" t="s">
        <v>59</v>
      </c>
      <c r="C252" s="13">
        <f>Month!C252+C251</f>
        <v>24271.52</v>
      </c>
      <c r="D252" s="13">
        <f>Month!D252+D251</f>
        <v>1325.52</v>
      </c>
      <c r="E252" s="13">
        <f>Month!E252+E251</f>
        <v>213.60000000000002</v>
      </c>
      <c r="F252" s="13">
        <f>Month!F252+F251</f>
        <v>22732.4</v>
      </c>
      <c r="G252" s="13">
        <f>Month!G252+G251</f>
        <v>890.8999999999999</v>
      </c>
      <c r="H252" s="13">
        <f>Month!H252+H251</f>
        <v>158.11</v>
      </c>
      <c r="I252" s="13">
        <f>Month!I252+I251</f>
        <v>970.3</v>
      </c>
      <c r="J252" s="13">
        <f>Month!J252+J251</f>
        <v>6580.659999999999</v>
      </c>
      <c r="K252" s="13">
        <f>Month!K252+K251</f>
        <v>1952.85</v>
      </c>
      <c r="L252" s="13">
        <f>Month!L252+L251</f>
        <v>947.27</v>
      </c>
      <c r="M252" s="13">
        <f>Month!M252+M251</f>
        <v>3059.95</v>
      </c>
      <c r="N252" s="13">
        <f>Month!N252+N251</f>
        <v>4892.469999999999</v>
      </c>
      <c r="O252" s="13">
        <f>Month!O252+O251</f>
        <v>2074.82</v>
      </c>
      <c r="P252" s="13">
        <f>Month!P252+P251</f>
        <v>130.98000000000002</v>
      </c>
      <c r="Q252" s="13">
        <f>Month!Q252+Q251</f>
        <v>378.90999999999997</v>
      </c>
    </row>
    <row r="253" spans="1:17" ht="12">
      <c r="A253">
        <v>2015</v>
      </c>
      <c r="B253" t="s">
        <v>60</v>
      </c>
      <c r="C253" s="13">
        <f>Month!C253+C252</f>
        <v>28735.59</v>
      </c>
      <c r="D253" s="13">
        <f>Month!D253+D252</f>
        <v>1561.22</v>
      </c>
      <c r="E253" s="13">
        <f>Month!E253+E252</f>
        <v>245.19000000000003</v>
      </c>
      <c r="F253" s="13">
        <f>Month!F253+F252</f>
        <v>26929.190000000002</v>
      </c>
      <c r="G253" s="13">
        <f>Month!G253+G252</f>
        <v>1079.79</v>
      </c>
      <c r="H253" s="13">
        <f>Month!H253+H252</f>
        <v>189.02</v>
      </c>
      <c r="I253" s="13">
        <f>Month!I253+I252</f>
        <v>1163.78</v>
      </c>
      <c r="J253" s="13">
        <f>Month!J253+J252</f>
        <v>7751.8099999999995</v>
      </c>
      <c r="K253" s="13">
        <f>Month!K253+K252</f>
        <v>2386.99</v>
      </c>
      <c r="L253" s="13">
        <f>Month!L253+L252</f>
        <v>1045.23</v>
      </c>
      <c r="M253" s="13">
        <f>Month!M253+M252</f>
        <v>3575.22</v>
      </c>
      <c r="N253" s="13">
        <f>Month!N253+N252</f>
        <v>5867.94</v>
      </c>
      <c r="O253" s="13">
        <f>Month!O253+O252</f>
        <v>2422.46</v>
      </c>
      <c r="P253" s="13">
        <f>Month!P253+P252</f>
        <v>161.54000000000002</v>
      </c>
      <c r="Q253" s="13">
        <f>Month!Q253+Q252</f>
        <v>465.06999999999994</v>
      </c>
    </row>
    <row r="254" spans="1:17" ht="12">
      <c r="A254">
        <v>2015</v>
      </c>
      <c r="B254" t="s">
        <v>61</v>
      </c>
      <c r="C254" s="13">
        <f>Month!C254+C253</f>
        <v>34209.79</v>
      </c>
      <c r="D254" s="13">
        <f>Month!D254+D253</f>
        <v>1866.87</v>
      </c>
      <c r="E254" s="13">
        <f>Month!E254+E253</f>
        <v>276.07000000000005</v>
      </c>
      <c r="F254" s="13">
        <f>Month!F254+F253</f>
        <v>32066.86</v>
      </c>
      <c r="G254" s="13">
        <f>Month!G254+G253</f>
        <v>1296.17</v>
      </c>
      <c r="H254" s="13">
        <f>Month!H254+H253</f>
        <v>220.17000000000002</v>
      </c>
      <c r="I254" s="13">
        <f>Month!I254+I253</f>
        <v>1363.72</v>
      </c>
      <c r="J254" s="13">
        <f>Month!J254+J253</f>
        <v>9276.17</v>
      </c>
      <c r="K254" s="13">
        <f>Month!K254+K253</f>
        <v>2904.5</v>
      </c>
      <c r="L254" s="13">
        <f>Month!L254+L253</f>
        <v>1137.5</v>
      </c>
      <c r="M254" s="13">
        <f>Month!M254+M253</f>
        <v>4196.49</v>
      </c>
      <c r="N254" s="13">
        <f>Month!N254+N253</f>
        <v>7129.3099999999995</v>
      </c>
      <c r="O254" s="13">
        <f>Month!O254+O253</f>
        <v>2811.84</v>
      </c>
      <c r="P254" s="13">
        <f>Month!P254+P253</f>
        <v>193.64000000000001</v>
      </c>
      <c r="Q254" s="13">
        <f>Month!Q254+Q253</f>
        <v>562.8</v>
      </c>
    </row>
    <row r="255" spans="1:17" ht="12">
      <c r="A255">
        <v>2015</v>
      </c>
      <c r="B255" t="s">
        <v>62</v>
      </c>
      <c r="C255" s="13">
        <f>Month!C255+C254</f>
        <v>39720.45</v>
      </c>
      <c r="D255" s="13">
        <f>Month!D255+D254</f>
        <v>2169.5</v>
      </c>
      <c r="E255" s="13">
        <f>Month!E255+E254</f>
        <v>325.01000000000005</v>
      </c>
      <c r="F255" s="13">
        <f>Month!F255+F254</f>
        <v>37225.95</v>
      </c>
      <c r="G255" s="13">
        <f>Month!G255+G254</f>
        <v>1502.44</v>
      </c>
      <c r="H255" s="13">
        <f>Month!H255+H254</f>
        <v>257.53000000000003</v>
      </c>
      <c r="I255" s="13">
        <f>Month!I255+I254</f>
        <v>1578.97</v>
      </c>
      <c r="J255" s="13">
        <f>Month!J255+J254</f>
        <v>10755.61</v>
      </c>
      <c r="K255" s="13">
        <f>Month!K255+K254</f>
        <v>3384.87</v>
      </c>
      <c r="L255" s="13">
        <f>Month!L255+L254</f>
        <v>1275.88</v>
      </c>
      <c r="M255" s="13">
        <f>Month!M255+M254</f>
        <v>4840.0199999999995</v>
      </c>
      <c r="N255" s="13">
        <f>Month!N255+N254</f>
        <v>8331.51</v>
      </c>
      <c r="O255" s="13">
        <f>Month!O255+O254</f>
        <v>3268.23</v>
      </c>
      <c r="P255" s="13">
        <f>Month!P255+P254</f>
        <v>207.52</v>
      </c>
      <c r="Q255" s="13">
        <f>Month!Q255+Q254</f>
        <v>666.0799999999999</v>
      </c>
    </row>
    <row r="256" spans="1:17" ht="12">
      <c r="A256">
        <v>2015</v>
      </c>
      <c r="B256" t="s">
        <v>63</v>
      </c>
      <c r="C256" s="13">
        <f>Month!C256+C255</f>
        <v>45082.84</v>
      </c>
      <c r="D256" s="13">
        <f>Month!D256+D255</f>
        <v>2477.75</v>
      </c>
      <c r="E256" s="13">
        <f>Month!E256+E255</f>
        <v>360.87000000000006</v>
      </c>
      <c r="F256" s="13">
        <f>Month!F256+F255</f>
        <v>42244.229999999996</v>
      </c>
      <c r="G256" s="13">
        <f>Month!G256+G255</f>
        <v>1675.75</v>
      </c>
      <c r="H256" s="13">
        <f>Month!H256+H255</f>
        <v>292.52000000000004</v>
      </c>
      <c r="I256" s="13">
        <f>Month!I256+I255</f>
        <v>1756.82</v>
      </c>
      <c r="J256" s="13">
        <f>Month!J256+J255</f>
        <v>12278.95</v>
      </c>
      <c r="K256" s="13">
        <f>Month!K256+K255</f>
        <v>3843.3199999999997</v>
      </c>
      <c r="L256" s="13">
        <f>Month!L256+L255</f>
        <v>1451.3400000000001</v>
      </c>
      <c r="M256" s="13">
        <f>Month!M256+M255</f>
        <v>5500</v>
      </c>
      <c r="N256" s="13">
        <f>Month!N256+N255</f>
        <v>9513.52</v>
      </c>
      <c r="O256" s="13">
        <f>Month!O256+O255</f>
        <v>3595.18</v>
      </c>
      <c r="P256" s="13">
        <f>Month!P256+P255</f>
        <v>244.31</v>
      </c>
      <c r="Q256" s="13">
        <f>Month!Q256+Q255</f>
        <v>754.3599999999999</v>
      </c>
    </row>
    <row r="257" spans="1:17" ht="12">
      <c r="A257">
        <v>2015</v>
      </c>
      <c r="B257" t="s">
        <v>64</v>
      </c>
      <c r="C257" s="13">
        <f>Month!C257+C256</f>
        <v>50563.829999999994</v>
      </c>
      <c r="D257" s="13">
        <f>Month!D257+D256</f>
        <v>2767.39</v>
      </c>
      <c r="E257" s="13">
        <f>Month!E257+E256</f>
        <v>389.83000000000004</v>
      </c>
      <c r="F257" s="13">
        <f>Month!F257+F256</f>
        <v>47406.619999999995</v>
      </c>
      <c r="G257" s="13">
        <f>Month!G257+G256</f>
        <v>1870.91</v>
      </c>
      <c r="H257" s="13">
        <f>Month!H257+H256</f>
        <v>324.21000000000004</v>
      </c>
      <c r="I257" s="13">
        <f>Month!I257+I256</f>
        <v>1925.81</v>
      </c>
      <c r="J257" s="13">
        <f>Month!J257+J256</f>
        <v>13807.42</v>
      </c>
      <c r="K257" s="13">
        <f>Month!K257+K256</f>
        <v>4280.469999999999</v>
      </c>
      <c r="L257" s="13">
        <f>Month!L257+L256</f>
        <v>1614.5500000000002</v>
      </c>
      <c r="M257" s="13">
        <f>Month!M257+M256</f>
        <v>6114.9</v>
      </c>
      <c r="N257" s="13">
        <f>Month!N257+N256</f>
        <v>10845.34</v>
      </c>
      <c r="O257" s="13">
        <f>Month!O257+O256</f>
        <v>3997.83</v>
      </c>
      <c r="P257" s="13">
        <f>Month!P257+P256</f>
        <v>274.16</v>
      </c>
      <c r="Q257" s="13">
        <f>Month!Q257+Q256</f>
        <v>842.8699999999999</v>
      </c>
    </row>
    <row r="258" spans="1:17" ht="12">
      <c r="A258">
        <v>2015</v>
      </c>
      <c r="B258" t="s">
        <v>65</v>
      </c>
      <c r="C258" s="13">
        <f>Month!C258+C257</f>
        <v>55932.42999999999</v>
      </c>
      <c r="D258" s="13">
        <f>Month!D258+D257</f>
        <v>3047.22</v>
      </c>
      <c r="E258" s="13">
        <f>Month!E258+E257</f>
        <v>427.26000000000005</v>
      </c>
      <c r="F258" s="13">
        <f>Month!F258+F257</f>
        <v>52457.95999999999</v>
      </c>
      <c r="G258" s="13">
        <f>Month!G258+G257</f>
        <v>2042.45</v>
      </c>
      <c r="H258" s="13">
        <f>Month!H258+H257</f>
        <v>357.71000000000004</v>
      </c>
      <c r="I258" s="13">
        <f>Month!I258+I257</f>
        <v>2154.14</v>
      </c>
      <c r="J258" s="13">
        <f>Month!J258+J257</f>
        <v>15315.48</v>
      </c>
      <c r="K258" s="13">
        <f>Month!K258+K257</f>
        <v>4640.599999999999</v>
      </c>
      <c r="L258" s="13">
        <f>Month!L258+L257</f>
        <v>1798.44</v>
      </c>
      <c r="M258" s="13">
        <f>Month!M258+M257</f>
        <v>6654.83</v>
      </c>
      <c r="N258" s="13">
        <f>Month!N258+N257</f>
        <v>12145.05</v>
      </c>
      <c r="O258" s="13">
        <f>Month!O258+O257</f>
        <v>4414.59</v>
      </c>
      <c r="P258" s="13">
        <f>Month!P258+P257</f>
        <v>319.76000000000005</v>
      </c>
      <c r="Q258" s="13">
        <f>Month!Q258+Q257</f>
        <v>921.8199999999999</v>
      </c>
    </row>
    <row r="259" spans="1:17" ht="12">
      <c r="A259" s="8">
        <v>2015</v>
      </c>
      <c r="B259" s="8" t="s">
        <v>66</v>
      </c>
      <c r="C259" s="37">
        <f>Month!C259+C258</f>
        <v>61390.80999999999</v>
      </c>
      <c r="D259" s="37">
        <f>Month!D259+D258</f>
        <v>3351.8199999999997</v>
      </c>
      <c r="E259" s="37">
        <f>Month!E259+E258</f>
        <v>462.24000000000007</v>
      </c>
      <c r="F259" s="37">
        <f>Month!F259+F258</f>
        <v>57576.759999999995</v>
      </c>
      <c r="G259" s="37">
        <f>Month!G259+G258</f>
        <v>2207.69</v>
      </c>
      <c r="H259" s="37">
        <f>Month!H259+H258</f>
        <v>393.83000000000004</v>
      </c>
      <c r="I259" s="37">
        <f>Month!I259+I258</f>
        <v>2367.72</v>
      </c>
      <c r="J259" s="37">
        <f>Month!J259+J258</f>
        <v>16893.5</v>
      </c>
      <c r="K259" s="37">
        <f>Month!K259+K258</f>
        <v>4972.95</v>
      </c>
      <c r="L259" s="37">
        <f>Month!L259+L258</f>
        <v>2031.18</v>
      </c>
      <c r="M259" s="37">
        <f>Month!M259+M258</f>
        <v>7203.73</v>
      </c>
      <c r="N259" s="37">
        <f>Month!N259+N258</f>
        <v>13482.59</v>
      </c>
      <c r="O259" s="37">
        <f>Month!O259+O258</f>
        <v>4818.360000000001</v>
      </c>
      <c r="P259" s="37">
        <f>Month!P259+P258</f>
        <v>350.01000000000005</v>
      </c>
      <c r="Q259" s="37">
        <f>Month!Q259+Q258</f>
        <v>990.5</v>
      </c>
    </row>
    <row r="260" spans="1:17" ht="12">
      <c r="A260">
        <v>2016</v>
      </c>
      <c r="B260" t="s">
        <v>55</v>
      </c>
      <c r="C260" s="13">
        <f>Month!C260</f>
        <v>5234.02</v>
      </c>
      <c r="D260" s="13">
        <f>Month!D260</f>
        <v>301.26</v>
      </c>
      <c r="E260" s="13">
        <f>Month!E260</f>
        <v>50.23</v>
      </c>
      <c r="F260" s="13">
        <f>Month!F260</f>
        <v>4882.53</v>
      </c>
      <c r="G260" s="13">
        <f>Month!G260</f>
        <v>178.64</v>
      </c>
      <c r="H260" s="13">
        <f>Month!H260</f>
        <v>36.91</v>
      </c>
      <c r="I260" s="13">
        <f>Month!I260</f>
        <v>228.05</v>
      </c>
      <c r="J260" s="13">
        <f>Month!J260</f>
        <v>1545.33</v>
      </c>
      <c r="K260" s="13">
        <f>Month!K260</f>
        <v>368.36</v>
      </c>
      <c r="L260" s="13">
        <f>Month!L260</f>
        <v>221.81</v>
      </c>
      <c r="M260" s="13">
        <f>Month!M260</f>
        <v>600.25</v>
      </c>
      <c r="N260" s="13">
        <f>Month!N260</f>
        <v>1154.83</v>
      </c>
      <c r="O260" s="13">
        <f>Month!O260</f>
        <v>338.19</v>
      </c>
      <c r="P260" s="13">
        <f>Month!P260</f>
        <v>42.42</v>
      </c>
      <c r="Q260" s="13">
        <f>Month!Q260</f>
        <v>16.67</v>
      </c>
    </row>
    <row r="261" spans="1:17" ht="12">
      <c r="A261">
        <v>2016</v>
      </c>
      <c r="B261" t="s">
        <v>56</v>
      </c>
      <c r="C261" s="13">
        <f>Month!C261+C260</f>
        <v>9637.05</v>
      </c>
      <c r="D261" s="13">
        <f>Month!D261+D260</f>
        <v>539.23</v>
      </c>
      <c r="E261" s="13">
        <f>Month!E261+E260</f>
        <v>73.88</v>
      </c>
      <c r="F261" s="13">
        <f>Month!F261+F260</f>
        <v>9023.93</v>
      </c>
      <c r="G261" s="13">
        <f>Month!G261+G260</f>
        <v>329.02</v>
      </c>
      <c r="H261" s="13">
        <f>Month!H261+H260</f>
        <v>97.78</v>
      </c>
      <c r="I261" s="13">
        <f>Month!I261+I260</f>
        <v>438.84000000000003</v>
      </c>
      <c r="J261" s="13">
        <f>Month!J261+J260</f>
        <v>2787.09</v>
      </c>
      <c r="K261" s="13">
        <f>Month!K261+K260</f>
        <v>634.99</v>
      </c>
      <c r="L261" s="13">
        <f>Month!L261+L260</f>
        <v>453.25</v>
      </c>
      <c r="M261" s="13">
        <f>Month!M261+M260</f>
        <v>1190.49</v>
      </c>
      <c r="N261" s="13">
        <f>Month!N261+N260</f>
        <v>1980.35</v>
      </c>
      <c r="O261" s="13">
        <f>Month!O261+O260</f>
        <v>700.3399999999999</v>
      </c>
      <c r="P261" s="13">
        <f>Month!P261+P260</f>
        <v>42.46</v>
      </c>
      <c r="Q261" s="13">
        <f>Month!Q261+Q260</f>
        <v>89.28</v>
      </c>
    </row>
    <row r="262" spans="1:17" ht="12">
      <c r="A262">
        <v>2016</v>
      </c>
      <c r="B262" t="s">
        <v>57</v>
      </c>
      <c r="C262" s="13">
        <f>Month!C262+C261</f>
        <v>14221.4</v>
      </c>
      <c r="D262" s="13">
        <f>Month!D262+D261</f>
        <v>822.86</v>
      </c>
      <c r="E262" s="13">
        <f>Month!E262+E261</f>
        <v>100.78</v>
      </c>
      <c r="F262" s="13">
        <f>Month!F262+F261</f>
        <v>13297.75</v>
      </c>
      <c r="G262" s="13">
        <f>Month!G262+G261</f>
        <v>503.46</v>
      </c>
      <c r="H262" s="13">
        <f>Month!H262+H261</f>
        <v>125.07</v>
      </c>
      <c r="I262" s="13">
        <f>Month!I262+I261</f>
        <v>612.38</v>
      </c>
      <c r="J262" s="13">
        <f>Month!J262+J261</f>
        <v>4111.4400000000005</v>
      </c>
      <c r="K262" s="13">
        <f>Month!K262+K261</f>
        <v>915.31</v>
      </c>
      <c r="L262" s="13">
        <f>Month!L262+L261</f>
        <v>671.12</v>
      </c>
      <c r="M262" s="13">
        <f>Month!M262+M261</f>
        <v>1719.5700000000002</v>
      </c>
      <c r="N262" s="13">
        <f>Month!N262+N261</f>
        <v>2932.38</v>
      </c>
      <c r="O262" s="13">
        <f>Month!O262+O261</f>
        <v>1050.26</v>
      </c>
      <c r="P262" s="13">
        <f>Month!P262+P261</f>
        <v>42.72</v>
      </c>
      <c r="Q262" s="13">
        <f>Month!Q262+Q261</f>
        <v>176.07999999999998</v>
      </c>
    </row>
    <row r="263" spans="1:17" ht="12">
      <c r="A263">
        <v>2016</v>
      </c>
      <c r="B263" t="s">
        <v>58</v>
      </c>
      <c r="C263" s="13">
        <f>Month!C263+C262</f>
        <v>19097.809999999998</v>
      </c>
      <c r="D263" s="13">
        <f>Month!D263+D262</f>
        <v>1083.35</v>
      </c>
      <c r="E263" s="13">
        <f>Month!E263+E262</f>
        <v>152.07999999999998</v>
      </c>
      <c r="F263" s="13">
        <f>Month!F263+F262</f>
        <v>17862.36</v>
      </c>
      <c r="G263" s="13">
        <f>Month!G263+G262</f>
        <v>715.78</v>
      </c>
      <c r="H263" s="13">
        <f>Month!H263+H262</f>
        <v>164.88</v>
      </c>
      <c r="I263" s="13">
        <f>Month!I263+I262</f>
        <v>806.06</v>
      </c>
      <c r="J263" s="13">
        <f>Month!J263+J262</f>
        <v>5561.080000000001</v>
      </c>
      <c r="K263" s="13">
        <f>Month!K263+K262</f>
        <v>1274.86</v>
      </c>
      <c r="L263" s="13">
        <f>Month!L263+L262</f>
        <v>854.83</v>
      </c>
      <c r="M263" s="13">
        <f>Month!M263+M262</f>
        <v>2327.37</v>
      </c>
      <c r="N263" s="13">
        <f>Month!N263+N262</f>
        <v>3882.3500000000004</v>
      </c>
      <c r="O263" s="13">
        <f>Month!O263+O262</f>
        <v>1337.54</v>
      </c>
      <c r="P263" s="13">
        <f>Month!P263+P262</f>
        <v>69.23</v>
      </c>
      <c r="Q263" s="13">
        <f>Month!Q263+Q262</f>
        <v>265.89</v>
      </c>
    </row>
    <row r="264" spans="1:17" ht="12">
      <c r="A264">
        <v>2016</v>
      </c>
      <c r="B264" t="s">
        <v>59</v>
      </c>
      <c r="C264" s="13">
        <f>Month!C264+C263</f>
        <v>24354.359999999997</v>
      </c>
      <c r="D264" s="13">
        <f>Month!D264+D263</f>
        <v>1389.1899999999998</v>
      </c>
      <c r="E264" s="13">
        <f>Month!E264+E263</f>
        <v>194.13</v>
      </c>
      <c r="F264" s="13">
        <f>Month!F264+F263</f>
        <v>22771.03</v>
      </c>
      <c r="G264" s="13">
        <f>Month!G264+G263</f>
        <v>944.36</v>
      </c>
      <c r="H264" s="13">
        <f>Month!H264+H263</f>
        <v>202.65</v>
      </c>
      <c r="I264" s="13">
        <f>Month!I264+I263</f>
        <v>996.03</v>
      </c>
      <c r="J264" s="13">
        <f>Month!J264+J263</f>
        <v>7050.870000000001</v>
      </c>
      <c r="K264" s="13">
        <f>Month!K264+K263</f>
        <v>1652.25</v>
      </c>
      <c r="L264" s="13">
        <f>Month!L264+L263</f>
        <v>1022.3800000000001</v>
      </c>
      <c r="M264" s="13">
        <f>Month!M264+M263</f>
        <v>2917.17</v>
      </c>
      <c r="N264" s="13">
        <f>Month!N264+N263</f>
        <v>5038.09</v>
      </c>
      <c r="O264" s="13">
        <f>Month!O264+O263</f>
        <v>1721.42</v>
      </c>
      <c r="P264" s="13">
        <f>Month!P264+P263</f>
        <v>118.51</v>
      </c>
      <c r="Q264" s="13">
        <f>Month!Q264+Q263</f>
        <v>352.40999999999997</v>
      </c>
    </row>
    <row r="265" spans="1:17" ht="12">
      <c r="A265">
        <v>2016</v>
      </c>
      <c r="B265" t="s">
        <v>60</v>
      </c>
      <c r="C265" s="13">
        <f>Month!C265+C264</f>
        <v>29461.589999999997</v>
      </c>
      <c r="D265" s="13">
        <f>Month!D265+D264</f>
        <v>1676.6</v>
      </c>
      <c r="E265" s="13">
        <f>Month!E265+E264</f>
        <v>219.45</v>
      </c>
      <c r="F265" s="13">
        <f>Month!F265+F264</f>
        <v>27565.53</v>
      </c>
      <c r="G265" s="13">
        <f>Month!G265+G264</f>
        <v>1156.34</v>
      </c>
      <c r="H265" s="13">
        <f>Month!H265+H264</f>
        <v>234.5</v>
      </c>
      <c r="I265" s="13">
        <f>Month!I265+I264</f>
        <v>1159.07</v>
      </c>
      <c r="J265" s="13">
        <f>Month!J265+J264</f>
        <v>8470.26</v>
      </c>
      <c r="K265" s="13">
        <f>Month!K265+K264</f>
        <v>2100.5</v>
      </c>
      <c r="L265" s="13">
        <f>Month!L265+L264</f>
        <v>1107.99</v>
      </c>
      <c r="M265" s="13">
        <f>Month!M265+M264</f>
        <v>3501.1400000000003</v>
      </c>
      <c r="N265" s="13">
        <f>Month!N265+N264</f>
        <v>6179.110000000001</v>
      </c>
      <c r="O265" s="13">
        <f>Month!O265+O264</f>
        <v>2134.67</v>
      </c>
      <c r="P265" s="13">
        <f>Month!P265+P264</f>
        <v>158.99</v>
      </c>
      <c r="Q265" s="13">
        <f>Month!Q265+Q264</f>
        <v>445.4</v>
      </c>
    </row>
    <row r="266" spans="1:17" ht="12">
      <c r="A266">
        <v>2016</v>
      </c>
      <c r="B266" t="s">
        <v>61</v>
      </c>
      <c r="C266" s="13">
        <f>Month!C266+C265</f>
        <v>34584.159999999996</v>
      </c>
      <c r="D266" s="13">
        <f>Month!D266+D265</f>
        <v>1974.28</v>
      </c>
      <c r="E266" s="13">
        <f>Month!E266+E265</f>
        <v>273.63</v>
      </c>
      <c r="F266" s="13">
        <f>Month!F266+F265</f>
        <v>32336.239999999998</v>
      </c>
      <c r="G266" s="13">
        <f>Month!G266+G265</f>
        <v>1366.75</v>
      </c>
      <c r="H266" s="13">
        <f>Month!H266+H265</f>
        <v>274.25</v>
      </c>
      <c r="I266" s="13">
        <f>Month!I266+I265</f>
        <v>1333.9299999999998</v>
      </c>
      <c r="J266" s="13">
        <f>Month!J266+J265</f>
        <v>9919.470000000001</v>
      </c>
      <c r="K266" s="13">
        <f>Month!K266+K265</f>
        <v>2577.27</v>
      </c>
      <c r="L266" s="13">
        <f>Month!L266+L265</f>
        <v>1197.13</v>
      </c>
      <c r="M266" s="13">
        <f>Month!M266+M265</f>
        <v>4118.71</v>
      </c>
      <c r="N266" s="13">
        <f>Month!N266+N265</f>
        <v>7312.9400000000005</v>
      </c>
      <c r="O266" s="13">
        <f>Month!O266+O265</f>
        <v>2424.27</v>
      </c>
      <c r="P266" s="13">
        <f>Month!P266+P265</f>
        <v>200.59</v>
      </c>
      <c r="Q266" s="13">
        <f>Month!Q266+Q265</f>
        <v>531.96</v>
      </c>
    </row>
    <row r="267" spans="1:17" ht="12">
      <c r="A267">
        <v>2016</v>
      </c>
      <c r="B267" t="s">
        <v>62</v>
      </c>
      <c r="C267" s="13">
        <f>Month!C267+C266</f>
        <v>39749.06</v>
      </c>
      <c r="D267" s="13">
        <f>Month!D267+D266</f>
        <v>2278.16</v>
      </c>
      <c r="E267" s="13">
        <f>Month!E267+E266</f>
        <v>307.01</v>
      </c>
      <c r="F267" s="13">
        <f>Month!F267+F266</f>
        <v>37163.88</v>
      </c>
      <c r="G267" s="13">
        <f>Month!G267+G266</f>
        <v>1566.6100000000001</v>
      </c>
      <c r="H267" s="13">
        <f>Month!H267+H266</f>
        <v>310.07</v>
      </c>
      <c r="I267" s="13">
        <f>Month!I267+I266</f>
        <v>1506.6599999999999</v>
      </c>
      <c r="J267" s="13">
        <f>Month!J267+J266</f>
        <v>11369.500000000002</v>
      </c>
      <c r="K267" s="13">
        <f>Month!K267+K266</f>
        <v>3010.45</v>
      </c>
      <c r="L267" s="13">
        <f>Month!L267+L266</f>
        <v>1326.6200000000001</v>
      </c>
      <c r="M267" s="13">
        <f>Month!M267+M266</f>
        <v>4731.4400000000005</v>
      </c>
      <c r="N267" s="13">
        <f>Month!N267+N266</f>
        <v>8559.94</v>
      </c>
      <c r="O267" s="13">
        <f>Month!O267+O266</f>
        <v>2717.18</v>
      </c>
      <c r="P267" s="13">
        <f>Month!P267+P266</f>
        <v>216.82</v>
      </c>
      <c r="Q267" s="13">
        <f>Month!Q267+Q266</f>
        <v>641.99</v>
      </c>
    </row>
    <row r="268" spans="1:17" ht="12">
      <c r="A268">
        <v>2016</v>
      </c>
      <c r="B268" t="s">
        <v>63</v>
      </c>
      <c r="C268" s="13">
        <f>Month!C268+C267</f>
        <v>44833.31</v>
      </c>
      <c r="D268" s="13">
        <f>Month!D268+D267</f>
        <v>2556.8599999999997</v>
      </c>
      <c r="E268" s="13">
        <f>Month!E268+E267</f>
        <v>327.90999999999997</v>
      </c>
      <c r="F268" s="13">
        <f>Month!F268+F267</f>
        <v>41948.53</v>
      </c>
      <c r="G268" s="13">
        <f>Month!G268+G267</f>
        <v>1724.88</v>
      </c>
      <c r="H268" s="13">
        <f>Month!H268+H267</f>
        <v>345.53</v>
      </c>
      <c r="I268" s="13">
        <f>Month!I268+I267</f>
        <v>1660.1699999999998</v>
      </c>
      <c r="J268" s="13">
        <f>Month!J268+J267</f>
        <v>12813.950000000003</v>
      </c>
      <c r="K268" s="13">
        <f>Month!K268+K267</f>
        <v>3380.5</v>
      </c>
      <c r="L268" s="13">
        <f>Month!L268+L267</f>
        <v>1450.7800000000002</v>
      </c>
      <c r="M268" s="13">
        <f>Month!M268+M267</f>
        <v>5306.030000000001</v>
      </c>
      <c r="N268" s="13">
        <f>Month!N268+N267</f>
        <v>9776.810000000001</v>
      </c>
      <c r="O268" s="13">
        <f>Month!O268+O267</f>
        <v>3130.39</v>
      </c>
      <c r="P268" s="13">
        <f>Month!P268+P267</f>
        <v>250.97</v>
      </c>
      <c r="Q268" s="13">
        <f>Month!Q268+Q267</f>
        <v>732.77</v>
      </c>
    </row>
    <row r="269" spans="1:17" ht="12">
      <c r="A269">
        <v>2016</v>
      </c>
      <c r="B269" t="s">
        <v>64</v>
      </c>
      <c r="C269" s="13">
        <f>Month!C269+C268</f>
        <v>49959.979999999996</v>
      </c>
      <c r="D269" s="13">
        <f>Month!D269+D268</f>
        <v>2818.74</v>
      </c>
      <c r="E269" s="13">
        <f>Month!E269+E268</f>
        <v>340.27</v>
      </c>
      <c r="F269" s="13">
        <f>Month!F269+F268</f>
        <v>46800.96</v>
      </c>
      <c r="G269" s="13">
        <f>Month!G269+G268</f>
        <v>1885.5300000000002</v>
      </c>
      <c r="H269" s="13">
        <f>Month!H269+H268</f>
        <v>382.59</v>
      </c>
      <c r="I269" s="13">
        <f>Month!I269+I268</f>
        <v>1898.4699999999998</v>
      </c>
      <c r="J269" s="13">
        <f>Month!J269+J268</f>
        <v>14251.510000000002</v>
      </c>
      <c r="K269" s="13">
        <f>Month!K269+K268</f>
        <v>3727.3</v>
      </c>
      <c r="L269" s="13">
        <f>Month!L269+L268</f>
        <v>1629.8400000000001</v>
      </c>
      <c r="M269" s="13">
        <f>Month!M269+M268</f>
        <v>5872.950000000001</v>
      </c>
      <c r="N269" s="13">
        <f>Month!N269+N268</f>
        <v>11051.440000000002</v>
      </c>
      <c r="O269" s="13">
        <f>Month!O269+O268</f>
        <v>3459.47</v>
      </c>
      <c r="P269" s="13">
        <f>Month!P269+P268</f>
        <v>280.81</v>
      </c>
      <c r="Q269" s="13">
        <f>Month!Q269+Q268</f>
        <v>806.1</v>
      </c>
    </row>
    <row r="270" spans="1:17" ht="12">
      <c r="A270">
        <v>2016</v>
      </c>
      <c r="B270" t="s">
        <v>65</v>
      </c>
      <c r="C270" s="13">
        <f>Month!C270+C269</f>
        <v>55119.20999999999</v>
      </c>
      <c r="D270" s="13">
        <f>Month!D270+D269</f>
        <v>3090.0299999999997</v>
      </c>
      <c r="E270" s="13">
        <f>Month!E270+E269</f>
        <v>376.75</v>
      </c>
      <c r="F270" s="13">
        <f>Month!F270+F269</f>
        <v>51652.409999999996</v>
      </c>
      <c r="G270" s="13">
        <f>Month!G270+G269</f>
        <v>2053.5800000000004</v>
      </c>
      <c r="H270" s="13">
        <f>Month!H270+H269</f>
        <v>417.19</v>
      </c>
      <c r="I270" s="13">
        <f>Month!I270+I269</f>
        <v>2099.3199999999997</v>
      </c>
      <c r="J270" s="13">
        <f>Month!J270+J269</f>
        <v>15788.950000000003</v>
      </c>
      <c r="K270" s="13">
        <f>Month!K270+K269</f>
        <v>4049</v>
      </c>
      <c r="L270" s="13">
        <f>Month!L270+L269</f>
        <v>1837.3600000000001</v>
      </c>
      <c r="M270" s="13">
        <f>Month!M270+M269</f>
        <v>6415.420000000001</v>
      </c>
      <c r="N270" s="13">
        <f>Month!N270+N269</f>
        <v>12261.240000000002</v>
      </c>
      <c r="O270" s="13">
        <f>Month!O270+O269</f>
        <v>3802.95</v>
      </c>
      <c r="P270" s="13">
        <f>Month!P270+P269</f>
        <v>315.58</v>
      </c>
      <c r="Q270" s="13">
        <f>Month!Q270+Q269</f>
        <v>895.29</v>
      </c>
    </row>
    <row r="271" spans="1:17" ht="12">
      <c r="A271" s="8">
        <v>2016</v>
      </c>
      <c r="B271" s="8" t="s">
        <v>66</v>
      </c>
      <c r="C271" s="37">
        <f>Month!C271+C270</f>
        <v>60395.43999999999</v>
      </c>
      <c r="D271" s="37">
        <f>Month!D271+D270</f>
        <v>3381.22</v>
      </c>
      <c r="E271" s="37">
        <f>Month!E271+E270</f>
        <v>426.21</v>
      </c>
      <c r="F271" s="37">
        <f>Month!F271+F270</f>
        <v>56587.99</v>
      </c>
      <c r="G271" s="37">
        <f>Month!G271+G270</f>
        <v>2227.3200000000006</v>
      </c>
      <c r="H271" s="37">
        <f>Month!H271+H270</f>
        <v>452.92</v>
      </c>
      <c r="I271" s="37">
        <f>Month!I271+I270</f>
        <v>2305.6499999999996</v>
      </c>
      <c r="J271" s="37">
        <f>Month!J271+J270</f>
        <v>17343.230000000003</v>
      </c>
      <c r="K271" s="37">
        <f>Month!K271+K270</f>
        <v>4392.47</v>
      </c>
      <c r="L271" s="37">
        <f>Month!L271+L270</f>
        <v>2049.1000000000004</v>
      </c>
      <c r="M271" s="37">
        <f>Month!M271+M270</f>
        <v>6981.520000000001</v>
      </c>
      <c r="N271" s="37">
        <f>Month!N271+N270</f>
        <v>13523.910000000002</v>
      </c>
      <c r="O271" s="37">
        <f>Month!O271+O270</f>
        <v>4096.71</v>
      </c>
      <c r="P271" s="37">
        <f>Month!P271+P270</f>
        <v>352.40999999999997</v>
      </c>
      <c r="Q271" s="37">
        <f>Month!Q271+Q270</f>
        <v>967.8199999999999</v>
      </c>
    </row>
    <row r="272" spans="1:17" ht="12">
      <c r="A272">
        <v>2017</v>
      </c>
      <c r="B272" t="s">
        <v>55</v>
      </c>
      <c r="C272" s="13">
        <f>Month!C272</f>
        <v>5171.91</v>
      </c>
      <c r="D272" s="13">
        <f>Month!D272</f>
        <v>302.38</v>
      </c>
      <c r="E272" s="13">
        <f>Month!E272</f>
        <v>38.57</v>
      </c>
      <c r="F272" s="13">
        <f>Month!F272</f>
        <v>4830.97</v>
      </c>
      <c r="G272" s="13">
        <f>Month!G272</f>
        <v>167.51</v>
      </c>
      <c r="H272" s="13">
        <f>Month!H272</f>
        <v>35.74</v>
      </c>
      <c r="I272" s="13">
        <f>Month!I272</f>
        <v>169.91</v>
      </c>
      <c r="J272" s="13">
        <f>Month!J272</f>
        <v>1561.9</v>
      </c>
      <c r="K272" s="13">
        <f>Month!K272</f>
        <v>375.1</v>
      </c>
      <c r="L272" s="13">
        <f>Month!L272</f>
        <v>211.66</v>
      </c>
      <c r="M272" s="13">
        <f>Month!M272</f>
        <v>553.69</v>
      </c>
      <c r="N272" s="13">
        <f>Month!N272</f>
        <v>1167.77</v>
      </c>
      <c r="O272" s="13">
        <f>Month!O272</f>
        <v>353.5</v>
      </c>
      <c r="P272" s="13">
        <f>Month!P272</f>
        <v>58.02</v>
      </c>
      <c r="Q272" s="13">
        <f>Month!Q272</f>
        <v>11.76</v>
      </c>
    </row>
    <row r="273" spans="1:17" ht="12">
      <c r="A273">
        <f>A272</f>
        <v>2017</v>
      </c>
      <c r="B273" t="s">
        <v>56</v>
      </c>
      <c r="C273" s="13">
        <f>Month!C273+C272</f>
        <v>9525.220000000001</v>
      </c>
      <c r="D273" s="13">
        <f>Month!D273+D272</f>
        <v>563.46</v>
      </c>
      <c r="E273" s="13">
        <f>Month!E273+E272</f>
        <v>66.16</v>
      </c>
      <c r="F273" s="13">
        <f>Month!F273+F272</f>
        <v>8895.62</v>
      </c>
      <c r="G273" s="13">
        <f>Month!G273+G272</f>
        <v>317.86</v>
      </c>
      <c r="H273" s="13">
        <f>Month!H273+H272</f>
        <v>66.35</v>
      </c>
      <c r="I273" s="13">
        <f>Month!I273+I272</f>
        <v>330.11</v>
      </c>
      <c r="J273" s="13">
        <f>Month!J273+J272</f>
        <v>2921.3900000000003</v>
      </c>
      <c r="K273" s="13">
        <f>Month!K273+K272</f>
        <v>655.77</v>
      </c>
      <c r="L273" s="13">
        <f>Month!L273+L272</f>
        <v>426.13</v>
      </c>
      <c r="M273" s="13">
        <f>Month!M273+M272</f>
        <v>1114.5500000000002</v>
      </c>
      <c r="N273" s="13">
        <f>Month!N273+N272</f>
        <v>2017.8</v>
      </c>
      <c r="O273" s="13">
        <f>Month!O273+O272</f>
        <v>592.46</v>
      </c>
      <c r="P273" s="13">
        <f>Month!P273+P272</f>
        <v>85.41</v>
      </c>
      <c r="Q273" s="13">
        <f>Month!Q273+Q272</f>
        <v>79.55000000000001</v>
      </c>
    </row>
    <row r="274" spans="1:17" ht="12">
      <c r="A274">
        <f aca="true" t="shared" si="4" ref="A274:A283">A273</f>
        <v>2017</v>
      </c>
      <c r="B274" t="s">
        <v>57</v>
      </c>
      <c r="C274" s="13">
        <f>Month!C274+C273</f>
        <v>14591.100000000002</v>
      </c>
      <c r="D274" s="13">
        <f>Month!D274+D273</f>
        <v>822.74</v>
      </c>
      <c r="E274" s="13">
        <f>Month!E274+E273</f>
        <v>131.26999999999998</v>
      </c>
      <c r="F274" s="13">
        <f>Month!F274+F273</f>
        <v>13637.1</v>
      </c>
      <c r="G274" s="13">
        <f>Month!G274+G273</f>
        <v>505.78</v>
      </c>
      <c r="H274" s="13">
        <f>Month!H274+H273</f>
        <v>98.47</v>
      </c>
      <c r="I274" s="13">
        <f>Month!I274+I273</f>
        <v>517.24</v>
      </c>
      <c r="J274" s="13">
        <f>Month!J274+J273</f>
        <v>4377.540000000001</v>
      </c>
      <c r="K274" s="13">
        <f>Month!K274+K273</f>
        <v>1055.93</v>
      </c>
      <c r="L274" s="13">
        <f>Month!L274+L273</f>
        <v>630.87</v>
      </c>
      <c r="M274" s="13">
        <f>Month!M274+M273</f>
        <v>1668.4500000000003</v>
      </c>
      <c r="N274" s="13">
        <f>Month!N274+N273</f>
        <v>3160.19</v>
      </c>
      <c r="O274" s="13">
        <f>Month!O274+O273</f>
        <v>929.27</v>
      </c>
      <c r="P274" s="13">
        <f>Month!P274+P273</f>
        <v>118.96</v>
      </c>
      <c r="Q274" s="13">
        <f>Month!Q274+Q273</f>
        <v>153.97000000000003</v>
      </c>
    </row>
    <row r="275" spans="1:17" ht="12">
      <c r="A275">
        <f t="shared" si="4"/>
        <v>2017</v>
      </c>
      <c r="B275" t="s">
        <v>58</v>
      </c>
      <c r="C275" s="13">
        <f>Month!C275+C274</f>
        <v>19679.47</v>
      </c>
      <c r="D275" s="13">
        <f>Month!D275+D274</f>
        <v>1105.99</v>
      </c>
      <c r="E275" s="13">
        <f>Month!E275+E274</f>
        <v>165.86999999999998</v>
      </c>
      <c r="F275" s="13">
        <f>Month!F275+F274</f>
        <v>18407.63</v>
      </c>
      <c r="G275" s="13">
        <f>Month!G275+G274</f>
        <v>717.54</v>
      </c>
      <c r="H275" s="13">
        <f>Month!H275+H274</f>
        <v>130.57999999999998</v>
      </c>
      <c r="I275" s="13">
        <f>Month!I275+I274</f>
        <v>685.29</v>
      </c>
      <c r="J275" s="13">
        <f>Month!J275+J274</f>
        <v>5881.730000000001</v>
      </c>
      <c r="K275" s="13">
        <f>Month!K275+K274</f>
        <v>1513.0300000000002</v>
      </c>
      <c r="L275" s="13">
        <f>Month!L275+L274</f>
        <v>782.25</v>
      </c>
      <c r="M275" s="13">
        <f>Month!M275+M274</f>
        <v>2254.59</v>
      </c>
      <c r="N275" s="13">
        <f>Month!N275+N274</f>
        <v>4299.4400000000005</v>
      </c>
      <c r="O275" s="13">
        <f>Month!O275+O274</f>
        <v>1221.9099999999999</v>
      </c>
      <c r="P275" s="13">
        <f>Month!P275+P274</f>
        <v>144.48</v>
      </c>
      <c r="Q275" s="13">
        <f>Month!Q275+Q274</f>
        <v>215.31000000000003</v>
      </c>
    </row>
    <row r="276" spans="1:17" ht="12">
      <c r="A276">
        <f t="shared" si="4"/>
        <v>2017</v>
      </c>
      <c r="B276" t="s">
        <v>59</v>
      </c>
      <c r="C276" s="13">
        <f>Month!C276+C275</f>
        <v>24789.83</v>
      </c>
      <c r="D276" s="13">
        <f>Month!D276+D275</f>
        <v>1392.88</v>
      </c>
      <c r="E276" s="13">
        <f>Month!E276+E275</f>
        <v>211.08999999999997</v>
      </c>
      <c r="F276" s="13">
        <f>Month!F276+F275</f>
        <v>23185.88</v>
      </c>
      <c r="G276" s="13">
        <f>Month!G276+G275</f>
        <v>927.79</v>
      </c>
      <c r="H276" s="13">
        <f>Month!H276+H275</f>
        <v>166.04</v>
      </c>
      <c r="I276" s="13">
        <f>Month!I276+I275</f>
        <v>943.8799999999999</v>
      </c>
      <c r="J276" s="13">
        <f>Month!J276+J275</f>
        <v>7276.240000000002</v>
      </c>
      <c r="K276" s="13">
        <f>Month!K276+K275</f>
        <v>1999.3900000000003</v>
      </c>
      <c r="L276" s="13">
        <f>Month!L276+L275</f>
        <v>922.29</v>
      </c>
      <c r="M276" s="13">
        <f>Month!M276+M275</f>
        <v>2827.1400000000003</v>
      </c>
      <c r="N276" s="13">
        <f>Month!N276+N275</f>
        <v>5423.240000000001</v>
      </c>
      <c r="O276" s="13">
        <f>Month!O276+O275</f>
        <v>1520.33</v>
      </c>
      <c r="P276" s="13">
        <f>Month!P276+P275</f>
        <v>180.82</v>
      </c>
      <c r="Q276" s="13">
        <f>Month!Q276+Q275</f>
        <v>286.90000000000003</v>
      </c>
    </row>
    <row r="277" spans="1:17" ht="12">
      <c r="A277">
        <f t="shared" si="4"/>
        <v>2017</v>
      </c>
      <c r="B277" t="s">
        <v>60</v>
      </c>
      <c r="C277" s="13">
        <f>Month!C277+C276</f>
        <v>29872.82</v>
      </c>
      <c r="D277" s="13">
        <f>Month!D277+D276</f>
        <v>1682.2800000000002</v>
      </c>
      <c r="E277" s="13">
        <f>Month!E277+E276</f>
        <v>237.09999999999997</v>
      </c>
      <c r="F277" s="13">
        <f>Month!F277+F276</f>
        <v>27953.47</v>
      </c>
      <c r="G277" s="13">
        <f>Month!G277+G276</f>
        <v>1137.46</v>
      </c>
      <c r="H277" s="13">
        <f>Month!H277+H276</f>
        <v>201.45999999999998</v>
      </c>
      <c r="I277" s="13">
        <f>Month!I277+I276</f>
        <v>1129.2599999999998</v>
      </c>
      <c r="J277" s="13">
        <f>Month!J277+J276</f>
        <v>8690.080000000002</v>
      </c>
      <c r="K277" s="13">
        <f>Month!K277+K276</f>
        <v>2515.2900000000004</v>
      </c>
      <c r="L277" s="13">
        <f>Month!L277+L276</f>
        <v>1031.62</v>
      </c>
      <c r="M277" s="13">
        <f>Month!M277+M276</f>
        <v>3401.55</v>
      </c>
      <c r="N277" s="13">
        <f>Month!N277+N276</f>
        <v>6584.280000000001</v>
      </c>
      <c r="O277" s="13">
        <f>Month!O277+O276</f>
        <v>1791.3999999999999</v>
      </c>
      <c r="P277" s="13">
        <f>Month!P277+P276</f>
        <v>238.81</v>
      </c>
      <c r="Q277" s="13">
        <f>Month!Q277+Q276</f>
        <v>373.45000000000005</v>
      </c>
    </row>
    <row r="278" spans="1:17" ht="12">
      <c r="A278">
        <f t="shared" si="4"/>
        <v>2017</v>
      </c>
      <c r="B278" t="s">
        <v>61</v>
      </c>
      <c r="C278" s="13">
        <f>Month!C278+C277</f>
        <v>34820.37</v>
      </c>
      <c r="D278" s="13">
        <f>Month!D278+D277</f>
        <v>1969.88</v>
      </c>
      <c r="E278" s="13">
        <f>Month!E278+E277</f>
        <v>270.45</v>
      </c>
      <c r="F278" s="13">
        <f>Month!F278+F277</f>
        <v>32580.07</v>
      </c>
      <c r="G278" s="13">
        <f>Month!G278+G277</f>
        <v>1318.6</v>
      </c>
      <c r="H278" s="13">
        <f>Month!H278+H277</f>
        <v>237.95999999999998</v>
      </c>
      <c r="I278" s="13">
        <f>Month!I278+I277</f>
        <v>1299.9299999999998</v>
      </c>
      <c r="J278" s="13">
        <f>Month!J278+J277</f>
        <v>10073.050000000001</v>
      </c>
      <c r="K278" s="13">
        <f>Month!K278+K277</f>
        <v>3018.8100000000004</v>
      </c>
      <c r="L278" s="13">
        <f>Month!L278+L277</f>
        <v>1119.1599999999999</v>
      </c>
      <c r="M278" s="13">
        <f>Month!M278+M277</f>
        <v>3985.9300000000003</v>
      </c>
      <c r="N278" s="13">
        <f>Month!N278+N277</f>
        <v>7693.31</v>
      </c>
      <c r="O278" s="13">
        <f>Month!O278+O277</f>
        <v>2118.77</v>
      </c>
      <c r="P278" s="13">
        <f>Month!P278+P277</f>
        <v>269.76</v>
      </c>
      <c r="Q278" s="13">
        <f>Month!Q278+Q277</f>
        <v>456.99000000000007</v>
      </c>
    </row>
    <row r="279" spans="1:17" ht="12">
      <c r="A279">
        <f t="shared" si="4"/>
        <v>2017</v>
      </c>
      <c r="B279" t="s">
        <v>62</v>
      </c>
      <c r="C279" s="13">
        <f>Month!C279+C278</f>
        <v>40197.490000000005</v>
      </c>
      <c r="D279" s="13">
        <f>Month!D279+D278</f>
        <v>2267.54</v>
      </c>
      <c r="E279" s="13">
        <f>Month!E279+E278</f>
        <v>292.46</v>
      </c>
      <c r="F279" s="13">
        <f>Month!F279+F278</f>
        <v>37637.52</v>
      </c>
      <c r="G279" s="13">
        <f>Month!G279+G278</f>
        <v>1528.31</v>
      </c>
      <c r="H279" s="13">
        <f>Month!H279+H278</f>
        <v>277.96999999999997</v>
      </c>
      <c r="I279" s="13">
        <f>Month!I279+I278</f>
        <v>1487.4099999999999</v>
      </c>
      <c r="J279" s="13">
        <f>Month!J279+J278</f>
        <v>11600.720000000001</v>
      </c>
      <c r="K279" s="13">
        <f>Month!K279+K278</f>
        <v>3561.0000000000005</v>
      </c>
      <c r="L279" s="13">
        <f>Month!L279+L278</f>
        <v>1227.31</v>
      </c>
      <c r="M279" s="13">
        <f>Month!M279+M278</f>
        <v>4567.620000000001</v>
      </c>
      <c r="N279" s="13">
        <f>Month!N279+N278</f>
        <v>8946.51</v>
      </c>
      <c r="O279" s="13">
        <f>Month!O279+O278</f>
        <v>2443.04</v>
      </c>
      <c r="P279" s="13">
        <f>Month!P279+P278</f>
        <v>293.21999999999997</v>
      </c>
      <c r="Q279" s="13">
        <f>Month!Q279+Q278</f>
        <v>553.3000000000001</v>
      </c>
    </row>
    <row r="280" spans="1:17" ht="12">
      <c r="A280">
        <f t="shared" si="4"/>
        <v>2017</v>
      </c>
      <c r="B280" t="s">
        <v>63</v>
      </c>
      <c r="C280" s="13">
        <f>Month!C280+C279</f>
        <v>45280.68000000001</v>
      </c>
      <c r="D280" s="13">
        <f>Month!D280+D279</f>
        <v>2551.33</v>
      </c>
      <c r="E280" s="13">
        <f>Month!E280+E279</f>
        <v>330.71999999999997</v>
      </c>
      <c r="F280" s="13">
        <f>Month!F280+F279</f>
        <v>42398.649999999994</v>
      </c>
      <c r="G280" s="13">
        <f>Month!G280+G279</f>
        <v>1703.62</v>
      </c>
      <c r="H280" s="13">
        <f>Month!H280+H279</f>
        <v>313.21999999999997</v>
      </c>
      <c r="I280" s="13">
        <f>Month!I280+I279</f>
        <v>1654.1999999999998</v>
      </c>
      <c r="J280" s="13">
        <f>Month!J280+J279</f>
        <v>13120.95</v>
      </c>
      <c r="K280" s="13">
        <f>Month!K280+K279</f>
        <v>3997.3100000000004</v>
      </c>
      <c r="L280" s="13">
        <f>Month!L280+L279</f>
        <v>1389.27</v>
      </c>
      <c r="M280" s="13">
        <f>Month!M280+M279</f>
        <v>5222.720000000001</v>
      </c>
      <c r="N280" s="13">
        <f>Month!N280+N279</f>
        <v>10024.970000000001</v>
      </c>
      <c r="O280" s="13">
        <f>Month!O280+O279</f>
        <v>2709.09</v>
      </c>
      <c r="P280" s="13">
        <f>Month!P280+P279</f>
        <v>326.18999999999994</v>
      </c>
      <c r="Q280" s="13">
        <f>Month!Q280+Q279</f>
        <v>627.5300000000001</v>
      </c>
    </row>
    <row r="281" spans="1:17" ht="12">
      <c r="A281">
        <f t="shared" si="4"/>
        <v>2017</v>
      </c>
      <c r="B281" t="s">
        <v>64</v>
      </c>
      <c r="C281" s="13">
        <f>Month!C281+C280</f>
        <v>50400.780000000006</v>
      </c>
      <c r="D281" s="13">
        <f>Month!D281+D280</f>
        <v>2828.64</v>
      </c>
      <c r="E281" s="13">
        <f>Month!E281+E280</f>
        <v>351.07</v>
      </c>
      <c r="F281" s="13">
        <f>Month!F281+F280</f>
        <v>47221.09</v>
      </c>
      <c r="G281" s="13">
        <f>Month!G281+G280</f>
        <v>1858.6599999999999</v>
      </c>
      <c r="H281" s="13">
        <f>Month!H281+H280</f>
        <v>352</v>
      </c>
      <c r="I281" s="13">
        <f>Month!I281+I280</f>
        <v>1887.81</v>
      </c>
      <c r="J281" s="13">
        <f>Month!J281+J280</f>
        <v>14524.400000000001</v>
      </c>
      <c r="K281" s="13">
        <f>Month!K281+K280</f>
        <v>4436.52</v>
      </c>
      <c r="L281" s="13">
        <f>Month!L281+L280</f>
        <v>1556.57</v>
      </c>
      <c r="M281" s="13">
        <f>Month!M281+M280</f>
        <v>5746.840000000001</v>
      </c>
      <c r="N281" s="13">
        <f>Month!N281+N280</f>
        <v>11236.880000000001</v>
      </c>
      <c r="O281" s="13">
        <f>Month!O281+O280</f>
        <v>3037.3</v>
      </c>
      <c r="P281" s="13">
        <f>Month!P281+P280</f>
        <v>386.03999999999996</v>
      </c>
      <c r="Q281" s="13">
        <f>Month!Q281+Q280</f>
        <v>710.1500000000001</v>
      </c>
    </row>
    <row r="282" spans="1:17" ht="12">
      <c r="A282">
        <f t="shared" si="4"/>
        <v>2017</v>
      </c>
      <c r="B282" t="s">
        <v>65</v>
      </c>
      <c r="C282" s="13">
        <f>Month!C282+C281</f>
        <v>55182.26000000001</v>
      </c>
      <c r="D282" s="13">
        <f>Month!D282+D281</f>
        <v>3102.38</v>
      </c>
      <c r="E282" s="13">
        <f>Month!E282+E281</f>
        <v>397.11</v>
      </c>
      <c r="F282" s="13">
        <f>Month!F282+F281</f>
        <v>51682.78</v>
      </c>
      <c r="G282" s="13">
        <f>Month!G282+G281</f>
        <v>2003.62</v>
      </c>
      <c r="H282" s="13">
        <f>Month!H282+H281</f>
        <v>388.74</v>
      </c>
      <c r="I282" s="13">
        <f>Month!I282+I281</f>
        <v>2101.89</v>
      </c>
      <c r="J282" s="13">
        <f>Month!J282+J281</f>
        <v>15910.880000000001</v>
      </c>
      <c r="K282" s="13">
        <f>Month!K282+K281</f>
        <v>4750.320000000001</v>
      </c>
      <c r="L282" s="13">
        <f>Month!L282+L281</f>
        <v>1774.72</v>
      </c>
      <c r="M282" s="13">
        <f>Month!M282+M281</f>
        <v>6310.920000000001</v>
      </c>
      <c r="N282" s="13">
        <f>Month!N282+N281</f>
        <v>12246.050000000001</v>
      </c>
      <c r="O282" s="13">
        <f>Month!O282+O281</f>
        <v>3376.4500000000003</v>
      </c>
      <c r="P282" s="13">
        <f>Month!P282+P281</f>
        <v>412.77</v>
      </c>
      <c r="Q282" s="13">
        <f>Month!Q282+Q281</f>
        <v>766.7300000000001</v>
      </c>
    </row>
    <row r="283" spans="1:17" ht="12">
      <c r="A283" s="8">
        <f t="shared" si="4"/>
        <v>2017</v>
      </c>
      <c r="B283" s="8" t="s">
        <v>66</v>
      </c>
      <c r="C283" s="37">
        <f>Month!C283+C282</f>
        <v>60256.59000000001</v>
      </c>
      <c r="D283" s="37">
        <f>Month!D283+D282</f>
        <v>3389.48</v>
      </c>
      <c r="E283" s="37">
        <f>Month!E283+E282</f>
        <v>460.49</v>
      </c>
      <c r="F283" s="37">
        <f>Month!F283+F282</f>
        <v>56406.64</v>
      </c>
      <c r="G283" s="37">
        <f>Month!G283+G282</f>
        <v>2178.17</v>
      </c>
      <c r="H283" s="37">
        <f>Month!H283+H282</f>
        <v>423.64</v>
      </c>
      <c r="I283" s="37">
        <f>Month!I283+I282</f>
        <v>2279.97</v>
      </c>
      <c r="J283" s="37">
        <f>Month!J283+J282</f>
        <v>17415.73</v>
      </c>
      <c r="K283" s="37">
        <f>Month!K283+K282</f>
        <v>5031.1</v>
      </c>
      <c r="L283" s="37">
        <f>Month!L283+L282</f>
        <v>2046.76</v>
      </c>
      <c r="M283" s="37">
        <f>Month!M283+M282</f>
        <v>6877.700000000001</v>
      </c>
      <c r="N283" s="37">
        <f>Month!N283+N282</f>
        <v>13424.580000000002</v>
      </c>
      <c r="O283" s="37">
        <f>Month!O283+O282</f>
        <v>3684.8300000000004</v>
      </c>
      <c r="P283" s="37">
        <f>Month!P283+P282</f>
        <v>443.06</v>
      </c>
      <c r="Q283" s="37">
        <f>Month!Q283+Q282</f>
        <v>816.6300000000001</v>
      </c>
    </row>
    <row r="284" spans="1:17" ht="12">
      <c r="A284">
        <v>2018</v>
      </c>
      <c r="B284" t="s">
        <v>55</v>
      </c>
      <c r="C284" s="13">
        <f>Month!C284</f>
        <v>4868.35</v>
      </c>
      <c r="D284" s="13">
        <f>Month!D284</f>
        <v>285.42</v>
      </c>
      <c r="E284" s="13">
        <f>Month!E284</f>
        <v>121.08</v>
      </c>
      <c r="F284" s="13">
        <f>Month!F284</f>
        <v>4461.85</v>
      </c>
      <c r="G284" s="13">
        <f>Month!G284</f>
        <v>180.53</v>
      </c>
      <c r="H284" s="13">
        <f>Month!H284</f>
        <v>26.93</v>
      </c>
      <c r="I284" s="13">
        <f>Month!I284</f>
        <v>197.83</v>
      </c>
      <c r="J284" s="13">
        <f>Month!J284</f>
        <v>1394.63</v>
      </c>
      <c r="K284" s="13">
        <f>Month!K284</f>
        <v>333.05</v>
      </c>
      <c r="L284" s="13">
        <f>Month!L284</f>
        <v>240.04</v>
      </c>
      <c r="M284" s="13">
        <f>Month!M284</f>
        <v>633.19</v>
      </c>
      <c r="N284" s="13">
        <f>Month!N284</f>
        <v>1066.06</v>
      </c>
      <c r="O284" s="13">
        <f>Month!O284</f>
        <v>305.14</v>
      </c>
      <c r="P284" s="13">
        <f>Month!P284</f>
        <v>46.6</v>
      </c>
      <c r="Q284" s="13">
        <f>Month!Q284</f>
        <v>11.04</v>
      </c>
    </row>
    <row r="285" spans="1:17" ht="12">
      <c r="A285">
        <f>A284</f>
        <v>2018</v>
      </c>
      <c r="B285" t="s">
        <v>56</v>
      </c>
      <c r="C285" s="13">
        <f>Month!C285+C284</f>
        <v>8650.94</v>
      </c>
      <c r="D285" s="13">
        <f>Month!D285+D284</f>
        <v>513.72</v>
      </c>
      <c r="E285" s="13">
        <f>Month!E285+E284</f>
        <v>138.55</v>
      </c>
      <c r="F285" s="13">
        <f>Month!F285+F284</f>
        <v>7998.68</v>
      </c>
      <c r="G285" s="13">
        <f>Month!G285+G284</f>
        <v>333.03</v>
      </c>
      <c r="H285" s="13">
        <f>Month!H285+H284</f>
        <v>54.8</v>
      </c>
      <c r="I285" s="13">
        <f>Month!I285+I284</f>
        <v>304.34000000000003</v>
      </c>
      <c r="J285" s="13">
        <f>Month!J285+J284</f>
        <v>2480.91</v>
      </c>
      <c r="K285" s="13">
        <f>Month!K285+K284</f>
        <v>598.78</v>
      </c>
      <c r="L285" s="13">
        <f>Month!L285+L284</f>
        <v>412.08</v>
      </c>
      <c r="M285" s="13">
        <f>Month!M285+M284</f>
        <v>1132.73</v>
      </c>
      <c r="N285" s="13">
        <f>Month!N285+N284</f>
        <v>1850.7399999999998</v>
      </c>
      <c r="O285" s="13">
        <f>Month!O285+O284</f>
        <v>522.5799999999999</v>
      </c>
      <c r="P285" s="13">
        <f>Month!P285+P284</f>
        <v>82.5</v>
      </c>
      <c r="Q285" s="13">
        <f>Month!Q285+Q284</f>
        <v>70.53999999999999</v>
      </c>
    </row>
    <row r="286" spans="1:17" ht="12">
      <c r="A286">
        <f aca="true" t="shared" si="5" ref="A286:A295">A285</f>
        <v>2018</v>
      </c>
      <c r="B286" t="s">
        <v>57</v>
      </c>
      <c r="C286" s="13">
        <f>Month!C286+C285</f>
        <v>13178.43</v>
      </c>
      <c r="D286" s="13">
        <f>Month!D286+D285</f>
        <v>763.6600000000001</v>
      </c>
      <c r="E286" s="13">
        <f>Month!E286+E285</f>
        <v>149.07000000000002</v>
      </c>
      <c r="F286" s="13">
        <f>Month!F286+F285</f>
        <v>12265.720000000001</v>
      </c>
      <c r="G286" s="13">
        <f>Month!G286+G285</f>
        <v>515.42</v>
      </c>
      <c r="H286" s="13">
        <f>Month!H286+H285</f>
        <v>83.21</v>
      </c>
      <c r="I286" s="13">
        <f>Month!I286+I285</f>
        <v>451.14000000000004</v>
      </c>
      <c r="J286" s="13">
        <f>Month!J286+J285</f>
        <v>3804.45</v>
      </c>
      <c r="K286" s="13">
        <f>Month!K286+K285</f>
        <v>913.24</v>
      </c>
      <c r="L286" s="13">
        <f>Month!L286+L285</f>
        <v>659.49</v>
      </c>
      <c r="M286" s="13">
        <f>Month!M286+M285</f>
        <v>1834.63</v>
      </c>
      <c r="N286" s="13">
        <f>Month!N286+N285</f>
        <v>2728.6</v>
      </c>
      <c r="O286" s="13">
        <f>Month!O286+O285</f>
        <v>739.29</v>
      </c>
      <c r="P286" s="13">
        <f>Month!P286+P285</f>
        <v>112.32</v>
      </c>
      <c r="Q286" s="13">
        <f>Month!Q286+Q285</f>
        <v>129.06</v>
      </c>
    </row>
    <row r="287" spans="1:17" ht="12">
      <c r="A287">
        <f t="shared" si="5"/>
        <v>2018</v>
      </c>
      <c r="B287" t="s">
        <v>58</v>
      </c>
      <c r="C287" s="13">
        <f>Month!C287+C286</f>
        <v>17990.6</v>
      </c>
      <c r="D287" s="13">
        <f>Month!D287+D286</f>
        <v>1039.65</v>
      </c>
      <c r="E287" s="13">
        <f>Month!E287+E286</f>
        <v>166.94000000000003</v>
      </c>
      <c r="F287" s="13">
        <f>Month!F287+F286</f>
        <v>16784.030000000002</v>
      </c>
      <c r="G287" s="13">
        <f>Month!G287+G286</f>
        <v>710.14</v>
      </c>
      <c r="H287" s="13">
        <f>Month!H287+H286</f>
        <v>109</v>
      </c>
      <c r="I287" s="13">
        <f>Month!I287+I286</f>
        <v>608.87</v>
      </c>
      <c r="J287" s="13">
        <f>Month!J287+J286</f>
        <v>5200.219999999999</v>
      </c>
      <c r="K287" s="13">
        <f>Month!K287+K286</f>
        <v>1326.45</v>
      </c>
      <c r="L287" s="13">
        <f>Month!L287+L286</f>
        <v>852.9200000000001</v>
      </c>
      <c r="M287" s="13">
        <f>Month!M287+M286</f>
        <v>2549.4</v>
      </c>
      <c r="N287" s="13">
        <f>Month!N287+N286</f>
        <v>3711.05</v>
      </c>
      <c r="O287" s="13">
        <f>Month!O287+O286</f>
        <v>936.63</v>
      </c>
      <c r="P287" s="13">
        <f>Month!P287+P286</f>
        <v>142.13</v>
      </c>
      <c r="Q287" s="13">
        <f>Month!Q287+Q286</f>
        <v>195.14</v>
      </c>
    </row>
    <row r="288" spans="1:17" ht="12">
      <c r="A288">
        <f t="shared" si="5"/>
        <v>2018</v>
      </c>
      <c r="B288" t="s">
        <v>59</v>
      </c>
      <c r="C288" s="13">
        <f>Month!C288+C287</f>
        <v>22592.18</v>
      </c>
      <c r="D288" s="13">
        <f>Month!D288+D287</f>
        <v>1305.91</v>
      </c>
      <c r="E288" s="13">
        <f>Month!E288+E287</f>
        <v>219.09000000000003</v>
      </c>
      <c r="F288" s="13">
        <f>Month!F288+F287</f>
        <v>21067.200000000004</v>
      </c>
      <c r="G288" s="13">
        <f>Month!G288+G287</f>
        <v>873.71</v>
      </c>
      <c r="H288" s="13">
        <f>Month!H288+H287</f>
        <v>135.53</v>
      </c>
      <c r="I288" s="13">
        <f>Month!I288+I287</f>
        <v>843.36</v>
      </c>
      <c r="J288" s="13">
        <f>Month!J288+J287</f>
        <v>6497.999999999999</v>
      </c>
      <c r="K288" s="13">
        <f>Month!K288+K287</f>
        <v>1766.72</v>
      </c>
      <c r="L288" s="13">
        <f>Month!L288+L287</f>
        <v>984.1200000000001</v>
      </c>
      <c r="M288" s="13">
        <f>Month!M288+M287</f>
        <v>3168.54</v>
      </c>
      <c r="N288" s="13">
        <f>Month!N288+N287</f>
        <v>4570.91</v>
      </c>
      <c r="O288" s="13">
        <f>Month!O288+O287</f>
        <v>1228.1599999999999</v>
      </c>
      <c r="P288" s="13">
        <f>Month!P288+P287</f>
        <v>174.24</v>
      </c>
      <c r="Q288" s="13">
        <f>Month!Q288+Q287</f>
        <v>288.31</v>
      </c>
    </row>
    <row r="289" spans="1:17" ht="12">
      <c r="A289">
        <f t="shared" si="5"/>
        <v>2018</v>
      </c>
      <c r="B289" t="s">
        <v>60</v>
      </c>
      <c r="C289" s="13">
        <f>Month!C289+C288</f>
        <v>27349.21</v>
      </c>
      <c r="D289" s="13">
        <f>Month!D289+D288</f>
        <v>1573</v>
      </c>
      <c r="E289" s="13">
        <f>Month!E289+E288</f>
        <v>253.05000000000004</v>
      </c>
      <c r="F289" s="13">
        <f>Month!F289+F288</f>
        <v>25523.170000000006</v>
      </c>
      <c r="G289" s="13">
        <f>Month!G289+G288</f>
        <v>1075.5900000000001</v>
      </c>
      <c r="H289" s="13">
        <f>Month!H289+H288</f>
        <v>161.98</v>
      </c>
      <c r="I289" s="13">
        <f>Month!I289+I288</f>
        <v>1030.06</v>
      </c>
      <c r="J289" s="13">
        <f>Month!J289+J288</f>
        <v>7822.189999999999</v>
      </c>
      <c r="K289" s="13">
        <f>Month!K289+K288</f>
        <v>2270.73</v>
      </c>
      <c r="L289" s="13">
        <f>Month!L289+L288</f>
        <v>1060.69</v>
      </c>
      <c r="M289" s="13">
        <f>Month!M289+M288</f>
        <v>3796.6</v>
      </c>
      <c r="N289" s="13">
        <f>Month!N289+N288</f>
        <v>5523.37</v>
      </c>
      <c r="O289" s="13">
        <f>Month!O289+O288</f>
        <v>1515.83</v>
      </c>
      <c r="P289" s="13">
        <f>Month!P289+P288</f>
        <v>205.46</v>
      </c>
      <c r="Q289" s="13">
        <f>Month!Q289+Q288</f>
        <v>387.73</v>
      </c>
    </row>
    <row r="290" spans="1:17" ht="12">
      <c r="A290">
        <f t="shared" si="5"/>
        <v>2018</v>
      </c>
      <c r="B290" t="s">
        <v>61</v>
      </c>
      <c r="C290" s="13">
        <f>Month!C290+C289</f>
        <v>32429.739999999998</v>
      </c>
      <c r="D290" s="13">
        <f>Month!D290+D289</f>
        <v>1871.53</v>
      </c>
      <c r="E290" s="13">
        <f>Month!E290+E289</f>
        <v>309.79</v>
      </c>
      <c r="F290" s="13">
        <f>Month!F290+F289</f>
        <v>30248.430000000008</v>
      </c>
      <c r="G290" s="13">
        <f>Month!G290+G289</f>
        <v>1285.7000000000003</v>
      </c>
      <c r="H290" s="13">
        <f>Month!H290+H289</f>
        <v>190.26</v>
      </c>
      <c r="I290" s="13">
        <f>Month!I290+I289</f>
        <v>1238.24</v>
      </c>
      <c r="J290" s="13">
        <f>Month!J290+J289</f>
        <v>9255.699999999999</v>
      </c>
      <c r="K290" s="13">
        <f>Month!K290+K289</f>
        <v>2812.16</v>
      </c>
      <c r="L290" s="13">
        <f>Month!L290+L289</f>
        <v>1138.98</v>
      </c>
      <c r="M290" s="13">
        <f>Month!M290+M289</f>
        <v>4540.1</v>
      </c>
      <c r="N290" s="13">
        <f>Month!N290+N289</f>
        <v>6452.4</v>
      </c>
      <c r="O290" s="13">
        <f>Month!O290+O289</f>
        <v>1774.73</v>
      </c>
      <c r="P290" s="13">
        <f>Month!P290+P289</f>
        <v>249.29000000000002</v>
      </c>
      <c r="Q290" s="13">
        <f>Month!Q290+Q289</f>
        <v>478.79</v>
      </c>
    </row>
    <row r="291" spans="1:17" ht="12">
      <c r="A291">
        <f t="shared" si="5"/>
        <v>2018</v>
      </c>
      <c r="B291" t="s">
        <v>62</v>
      </c>
      <c r="C291" s="13">
        <f>Month!C291+C290</f>
        <v>37819.58</v>
      </c>
      <c r="D291" s="13">
        <f>Month!D291+D290</f>
        <v>2178.35</v>
      </c>
      <c r="E291" s="13">
        <f>Month!E291+E290</f>
        <v>329.25</v>
      </c>
      <c r="F291" s="13">
        <f>Month!F291+F290</f>
        <v>35312.00000000001</v>
      </c>
      <c r="G291" s="13">
        <f>Month!G291+G290</f>
        <v>1499.7000000000003</v>
      </c>
      <c r="H291" s="13">
        <f>Month!H291+H290</f>
        <v>217.83999999999997</v>
      </c>
      <c r="I291" s="13">
        <f>Month!I291+I290</f>
        <v>1442.04</v>
      </c>
      <c r="J291" s="13">
        <f>Month!J291+J290</f>
        <v>10784.14</v>
      </c>
      <c r="K291" s="13">
        <f>Month!K291+K290</f>
        <v>3396.9399999999996</v>
      </c>
      <c r="L291" s="13">
        <f>Month!L291+L290</f>
        <v>1241.69</v>
      </c>
      <c r="M291" s="13">
        <f>Month!M291+M290</f>
        <v>5183.820000000001</v>
      </c>
      <c r="N291" s="13">
        <f>Month!N291+N290</f>
        <v>7655.799999999999</v>
      </c>
      <c r="O291" s="13">
        <f>Month!O291+O290</f>
        <v>2058.33</v>
      </c>
      <c r="P291" s="13">
        <f>Month!P291+P290</f>
        <v>281.03000000000003</v>
      </c>
      <c r="Q291" s="13">
        <f>Month!Q291+Q290</f>
        <v>567.19</v>
      </c>
    </row>
    <row r="292" spans="1:17" ht="12">
      <c r="A292">
        <f t="shared" si="5"/>
        <v>2018</v>
      </c>
      <c r="B292" t="s">
        <v>63</v>
      </c>
      <c r="C292" s="13">
        <f>Month!C292+C291</f>
        <v>43039.51</v>
      </c>
      <c r="D292" s="13">
        <f>Month!D292+D291</f>
        <v>2475.59</v>
      </c>
      <c r="E292" s="13">
        <f>Month!E292+E291</f>
        <v>338.22</v>
      </c>
      <c r="F292" s="13">
        <f>Month!F292+F291</f>
        <v>40225.72000000001</v>
      </c>
      <c r="G292" s="13">
        <f>Month!G292+G291</f>
        <v>1678.6900000000003</v>
      </c>
      <c r="H292" s="13">
        <f>Month!H292+H291</f>
        <v>242.26999999999998</v>
      </c>
      <c r="I292" s="13">
        <f>Month!I292+I291</f>
        <v>1636.92</v>
      </c>
      <c r="J292" s="13">
        <f>Month!J292+J291</f>
        <v>12305.759999999998</v>
      </c>
      <c r="K292" s="13">
        <f>Month!K292+K291</f>
        <v>3860.9299999999994</v>
      </c>
      <c r="L292" s="13">
        <f>Month!L292+L291</f>
        <v>1421.47</v>
      </c>
      <c r="M292" s="13">
        <f>Month!M292+M291</f>
        <v>5804.670000000001</v>
      </c>
      <c r="N292" s="13">
        <f>Month!N292+N291</f>
        <v>8857.81</v>
      </c>
      <c r="O292" s="13">
        <f>Month!O292+O291</f>
        <v>2298.47</v>
      </c>
      <c r="P292" s="13">
        <f>Month!P292+P291</f>
        <v>303.71000000000004</v>
      </c>
      <c r="Q292" s="13">
        <f>Month!Q292+Q291</f>
        <v>653.97</v>
      </c>
    </row>
    <row r="293" spans="1:17" ht="12">
      <c r="A293">
        <f t="shared" si="5"/>
        <v>2018</v>
      </c>
      <c r="B293" t="s">
        <v>64</v>
      </c>
      <c r="C293" s="13">
        <f>Month!C293+C292</f>
        <v>48385.87</v>
      </c>
      <c r="D293" s="13">
        <f>Month!D293+D292</f>
        <v>2750.38</v>
      </c>
      <c r="E293" s="13">
        <f>Month!E293+E292</f>
        <v>349.76000000000005</v>
      </c>
      <c r="F293" s="13">
        <f>Month!F293+F292</f>
        <v>45285.75000000001</v>
      </c>
      <c r="G293" s="13">
        <f>Month!G293+G292</f>
        <v>1807.8600000000004</v>
      </c>
      <c r="H293" s="13">
        <f>Month!H293+H292</f>
        <v>272.28</v>
      </c>
      <c r="I293" s="13">
        <f>Month!I293+I292</f>
        <v>1842.79</v>
      </c>
      <c r="J293" s="13">
        <f>Month!J293+J292</f>
        <v>13741.819999999998</v>
      </c>
      <c r="K293" s="13">
        <f>Month!K293+K292</f>
        <v>4326.679999999999</v>
      </c>
      <c r="L293" s="13">
        <f>Month!L293+L292</f>
        <v>1617.96</v>
      </c>
      <c r="M293" s="13">
        <f>Month!M293+M292</f>
        <v>6334.280000000001</v>
      </c>
      <c r="N293" s="13">
        <f>Month!N293+N292</f>
        <v>10118.349999999999</v>
      </c>
      <c r="O293" s="13">
        <f>Month!O293+O292</f>
        <v>2570.3799999999997</v>
      </c>
      <c r="P293" s="13">
        <f>Month!P293+P292</f>
        <v>362.70000000000005</v>
      </c>
      <c r="Q293" s="13">
        <f>Month!Q293+Q292</f>
        <v>742.82</v>
      </c>
    </row>
    <row r="294" spans="1:17" ht="12">
      <c r="A294">
        <f t="shared" si="5"/>
        <v>2018</v>
      </c>
      <c r="B294" t="s">
        <v>65</v>
      </c>
      <c r="C294" s="13">
        <f>Month!C294+C293</f>
        <v>53326.19</v>
      </c>
      <c r="D294" s="13">
        <f>Month!D294+D293</f>
        <v>3045.86</v>
      </c>
      <c r="E294" s="13">
        <f>Month!E294+E293</f>
        <v>459.12000000000006</v>
      </c>
      <c r="F294" s="13">
        <f>Month!F294+F293</f>
        <v>49821.22000000001</v>
      </c>
      <c r="G294" s="13">
        <f>Month!G294+G293</f>
        <v>1921.7600000000004</v>
      </c>
      <c r="H294" s="13">
        <f>Month!H294+H293</f>
        <v>288.71</v>
      </c>
      <c r="I294" s="13">
        <f>Month!I294+I293</f>
        <v>2010.11</v>
      </c>
      <c r="J294" s="13">
        <f>Month!J294+J293</f>
        <v>15051.409999999998</v>
      </c>
      <c r="K294" s="13">
        <f>Month!K294+K293</f>
        <v>4731.749999999999</v>
      </c>
      <c r="L294" s="13">
        <f>Month!L294+L293</f>
        <v>1806.05</v>
      </c>
      <c r="M294" s="13">
        <f>Month!M294+M293</f>
        <v>6889.650000000001</v>
      </c>
      <c r="N294" s="13">
        <f>Month!N294+N293</f>
        <v>11291.839999999998</v>
      </c>
      <c r="O294" s="13">
        <f>Month!O294+O293</f>
        <v>2778.6399999999994</v>
      </c>
      <c r="P294" s="13">
        <f>Month!P294+P293</f>
        <v>404.52000000000004</v>
      </c>
      <c r="Q294" s="13">
        <f>Month!Q294+Q293</f>
        <v>817.08</v>
      </c>
    </row>
    <row r="295" spans="1:17" ht="12">
      <c r="A295">
        <f t="shared" si="5"/>
        <v>2018</v>
      </c>
      <c r="B295" t="s">
        <v>66</v>
      </c>
      <c r="C295" s="13">
        <f>Month!C295+C294</f>
        <v>58697.240000000005</v>
      </c>
      <c r="D295" s="13">
        <f>Month!D295+D294</f>
        <v>3351.6400000000003</v>
      </c>
      <c r="E295" s="13">
        <f>Month!E295+E294</f>
        <v>492.6000000000001</v>
      </c>
      <c r="F295" s="13">
        <f>Month!F295+F294</f>
        <v>54853.01000000001</v>
      </c>
      <c r="G295" s="13">
        <f>Month!G295+G294</f>
        <v>2078.8400000000006</v>
      </c>
      <c r="H295" s="13">
        <f>Month!H295+H294</f>
        <v>305.59</v>
      </c>
      <c r="I295" s="13">
        <f>Month!I295+I294</f>
        <v>2208.64</v>
      </c>
      <c r="J295" s="13">
        <f>Month!J295+J294</f>
        <v>16575.379999999997</v>
      </c>
      <c r="K295" s="13">
        <f>Month!K295+K294</f>
        <v>5128.949999999999</v>
      </c>
      <c r="L295" s="13">
        <f>Month!L295+L294</f>
        <v>2052.64</v>
      </c>
      <c r="M295" s="13">
        <f>Month!M295+M294</f>
        <v>7443.620000000001</v>
      </c>
      <c r="N295" s="13">
        <f>Month!N295+N294</f>
        <v>12599.329999999998</v>
      </c>
      <c r="O295" s="13">
        <f>Month!O295+O294</f>
        <v>3031.6199999999994</v>
      </c>
      <c r="P295" s="13">
        <f>Month!P295+P294</f>
        <v>435.70000000000005</v>
      </c>
      <c r="Q295" s="13">
        <f>Month!Q295+Q294</f>
        <v>875.25</v>
      </c>
    </row>
    <row r="296" spans="1:17" ht="12">
      <c r="A296">
        <v>2019</v>
      </c>
      <c r="B296" t="s">
        <v>55</v>
      </c>
      <c r="C296" s="13">
        <f>Month!C296</f>
        <v>5264.39</v>
      </c>
      <c r="D296" s="13">
        <f>Month!D296</f>
        <v>292.45</v>
      </c>
      <c r="E296" s="13">
        <f>Month!E296</f>
        <v>120.4</v>
      </c>
      <c r="F296" s="13">
        <f>Month!F296</f>
        <v>4851.53</v>
      </c>
      <c r="G296" s="13">
        <f>Month!G296</f>
        <v>201.87</v>
      </c>
      <c r="H296" s="13">
        <f>Month!H296</f>
        <v>33.81</v>
      </c>
      <c r="I296" s="13">
        <f>Month!I296</f>
        <v>191.42</v>
      </c>
      <c r="J296" s="13">
        <f>Month!J296</f>
        <v>1571.36</v>
      </c>
      <c r="K296" s="13">
        <f>Month!K296</f>
        <v>429.35</v>
      </c>
      <c r="L296" s="13">
        <f>Month!L296</f>
        <v>245.21</v>
      </c>
      <c r="M296" s="13">
        <f>Month!M296</f>
        <v>641.12</v>
      </c>
      <c r="N296" s="13">
        <f>Month!N296</f>
        <v>1100.65</v>
      </c>
      <c r="O296" s="13">
        <f>Month!O296</f>
        <v>227.59</v>
      </c>
      <c r="P296" s="13">
        <f>Month!P296</f>
        <v>36.71</v>
      </c>
      <c r="Q296" s="13">
        <f>Month!Q296</f>
        <v>22.25</v>
      </c>
    </row>
    <row r="297" spans="1:17" ht="12">
      <c r="A297">
        <f>A296</f>
        <v>2019</v>
      </c>
      <c r="B297" t="s">
        <v>56</v>
      </c>
      <c r="C297" s="13">
        <f>Month!C297+C296</f>
        <v>9898.59</v>
      </c>
      <c r="D297" s="13">
        <f>Month!D297+D296</f>
        <v>568.5699999999999</v>
      </c>
      <c r="E297" s="13">
        <f>Month!E297+E296</f>
        <v>182.22</v>
      </c>
      <c r="F297" s="13">
        <f>Month!F297+F296</f>
        <v>9147.79</v>
      </c>
      <c r="G297" s="13">
        <f>Month!G297+G296</f>
        <v>394.89</v>
      </c>
      <c r="H297" s="13">
        <f>Month!H297+H296</f>
        <v>57.08</v>
      </c>
      <c r="I297" s="13">
        <f>Month!I297+I296</f>
        <v>365.02</v>
      </c>
      <c r="J297" s="13">
        <f>Month!J297+J296</f>
        <v>2899.7</v>
      </c>
      <c r="K297" s="13">
        <f>Month!K297+K296</f>
        <v>815.07</v>
      </c>
      <c r="L297" s="13">
        <f>Month!L297+L296</f>
        <v>457.92</v>
      </c>
      <c r="M297" s="13">
        <f>Month!M297+M296</f>
        <v>1246.0900000000001</v>
      </c>
      <c r="N297" s="13">
        <f>Month!N297+N296</f>
        <v>2015.3500000000001</v>
      </c>
      <c r="O297" s="13">
        <f>Month!O297+O296</f>
        <v>451.18</v>
      </c>
      <c r="P297" s="13">
        <f>Month!P297+P296</f>
        <v>52.04</v>
      </c>
      <c r="Q297" s="13">
        <f>Month!Q297+Q296</f>
        <v>96.17</v>
      </c>
    </row>
    <row r="298" spans="1:17" ht="12">
      <c r="A298">
        <f aca="true" t="shared" si="6" ref="A298:A307">A297</f>
        <v>2019</v>
      </c>
      <c r="B298" t="s">
        <v>57</v>
      </c>
      <c r="C298" s="13">
        <f>Month!C298+C297</f>
        <v>14751.02</v>
      </c>
      <c r="D298" s="13">
        <f>Month!D298+D297</f>
        <v>829.6199999999999</v>
      </c>
      <c r="E298" s="13">
        <f>Month!E298+E297</f>
        <v>233.28</v>
      </c>
      <c r="F298" s="13">
        <f>Month!F298+F297</f>
        <v>13688.11</v>
      </c>
      <c r="G298" s="13">
        <f>Month!G298+G297</f>
        <v>559.31</v>
      </c>
      <c r="H298" s="13">
        <f>Month!H298+H297</f>
        <v>72.55</v>
      </c>
      <c r="I298" s="13">
        <f>Month!I298+I297</f>
        <v>587.96</v>
      </c>
      <c r="J298" s="13">
        <f>Month!J298+J297</f>
        <v>4224.7699999999995</v>
      </c>
      <c r="K298" s="13">
        <f>Month!K298+K297</f>
        <v>1222.0500000000002</v>
      </c>
      <c r="L298" s="13">
        <f>Month!L298+L297</f>
        <v>642.95</v>
      </c>
      <c r="M298" s="13">
        <f>Month!M298+M297</f>
        <v>1820.13</v>
      </c>
      <c r="N298" s="13">
        <f>Month!N298+N297</f>
        <v>3088.87</v>
      </c>
      <c r="O298" s="13">
        <f>Month!O298+O297</f>
        <v>764.8</v>
      </c>
      <c r="P298" s="13">
        <f>Month!P298+P297</f>
        <v>83.43</v>
      </c>
      <c r="Q298" s="13">
        <f>Month!Q298+Q297</f>
        <v>194.53</v>
      </c>
    </row>
    <row r="299" spans="1:17" ht="12">
      <c r="A299">
        <f t="shared" si="6"/>
        <v>2019</v>
      </c>
      <c r="B299" t="s">
        <v>58</v>
      </c>
      <c r="C299" s="13">
        <f>Month!C299+C298</f>
        <v>19501.32</v>
      </c>
      <c r="D299" s="13">
        <f>Month!D299+D298</f>
        <v>1105.12</v>
      </c>
      <c r="E299" s="13">
        <f>Month!E299+E298</f>
        <v>298.65</v>
      </c>
      <c r="F299" s="13">
        <f>Month!F299+F298</f>
        <v>18097.53</v>
      </c>
      <c r="G299" s="13">
        <f>Month!G299+G298</f>
        <v>755.28</v>
      </c>
      <c r="H299" s="13">
        <f>Month!H299+H298</f>
        <v>86.09</v>
      </c>
      <c r="I299" s="13">
        <f>Month!I299+I298</f>
        <v>742.4000000000001</v>
      </c>
      <c r="J299" s="13">
        <f>Month!J299+J298</f>
        <v>5533.32</v>
      </c>
      <c r="K299" s="13">
        <f>Month!K299+K298</f>
        <v>1599.3200000000002</v>
      </c>
      <c r="L299" s="13">
        <f>Month!L299+L298</f>
        <v>798.77</v>
      </c>
      <c r="M299" s="13">
        <f>Month!M299+M298</f>
        <v>2437.34</v>
      </c>
      <c r="N299" s="13">
        <f>Month!N299+N298</f>
        <v>4195.08</v>
      </c>
      <c r="O299" s="13">
        <f>Month!O299+O298</f>
        <v>968.5</v>
      </c>
      <c r="P299" s="13">
        <f>Month!P299+P298</f>
        <v>109.71000000000001</v>
      </c>
      <c r="Q299" s="13">
        <f>Month!Q299+Q298</f>
        <v>271.95</v>
      </c>
    </row>
    <row r="300" spans="1:17" ht="12">
      <c r="A300">
        <f t="shared" si="6"/>
        <v>2019</v>
      </c>
      <c r="B300" t="s">
        <v>59</v>
      </c>
      <c r="C300" s="13">
        <f>Month!C300+C299</f>
        <v>24323.04</v>
      </c>
      <c r="D300" s="13">
        <f>Month!D300+D299</f>
        <v>1371.84</v>
      </c>
      <c r="E300" s="13">
        <f>Month!E300+E299</f>
        <v>335.95</v>
      </c>
      <c r="F300" s="13">
        <f>Month!F300+F299</f>
        <v>22615.23</v>
      </c>
      <c r="G300" s="13">
        <f>Month!G300+G299</f>
        <v>976.65</v>
      </c>
      <c r="H300" s="13">
        <f>Month!H300+H299</f>
        <v>111.45</v>
      </c>
      <c r="I300" s="13">
        <f>Month!I300+I299</f>
        <v>909.7900000000001</v>
      </c>
      <c r="J300" s="13">
        <f>Month!J300+J299</f>
        <v>6920.29</v>
      </c>
      <c r="K300" s="13">
        <f>Month!K300+K299</f>
        <v>1964.42</v>
      </c>
      <c r="L300" s="13">
        <f>Month!L300+L299</f>
        <v>947.68</v>
      </c>
      <c r="M300" s="13">
        <f>Month!M300+M299</f>
        <v>3034.96</v>
      </c>
      <c r="N300" s="13">
        <f>Month!N300+N299</f>
        <v>5276.68</v>
      </c>
      <c r="O300" s="13">
        <f>Month!O300+O299</f>
        <v>1152.43</v>
      </c>
      <c r="P300" s="13">
        <f>Month!P300+P299</f>
        <v>152.28</v>
      </c>
      <c r="Q300" s="13">
        <f>Month!Q300+Q299</f>
        <v>354.71999999999997</v>
      </c>
    </row>
    <row r="301" spans="1:17" ht="12">
      <c r="A301">
        <f t="shared" si="6"/>
        <v>2019</v>
      </c>
      <c r="B301" t="s">
        <v>60</v>
      </c>
      <c r="C301" s="13">
        <f>Month!C301+C300</f>
        <v>28667.96</v>
      </c>
      <c r="D301" s="13">
        <f>Month!D301+D300</f>
        <v>1610.1</v>
      </c>
      <c r="E301" s="13">
        <f>Month!E301+E300</f>
        <v>380.71999999999997</v>
      </c>
      <c r="F301" s="13">
        <f>Month!F301+F300</f>
        <v>26677.13</v>
      </c>
      <c r="G301" s="13">
        <f>Month!G301+G300</f>
        <v>1165.73</v>
      </c>
      <c r="H301" s="13">
        <f>Month!H301+H300</f>
        <v>131.61</v>
      </c>
      <c r="I301" s="13">
        <f>Month!I301+I300</f>
        <v>1054.72</v>
      </c>
      <c r="J301" s="13">
        <f>Month!J301+J300</f>
        <v>8118.41</v>
      </c>
      <c r="K301" s="13">
        <f>Month!K301+K300</f>
        <v>2353.05</v>
      </c>
      <c r="L301" s="13">
        <f>Month!L301+L300</f>
        <v>1043.3899999999999</v>
      </c>
      <c r="M301" s="13">
        <f>Month!M301+M300</f>
        <v>3543.09</v>
      </c>
      <c r="N301" s="13">
        <f>Month!N301+N300</f>
        <v>6321.55</v>
      </c>
      <c r="O301" s="13">
        <f>Month!O301+O300</f>
        <v>1291.66</v>
      </c>
      <c r="P301" s="13">
        <f>Month!P301+P300</f>
        <v>183.96</v>
      </c>
      <c r="Q301" s="13">
        <f>Month!Q301+Q300</f>
        <v>419.71</v>
      </c>
    </row>
    <row r="302" spans="1:17" ht="12">
      <c r="A302">
        <f t="shared" si="6"/>
        <v>2019</v>
      </c>
      <c r="B302" t="s">
        <v>61</v>
      </c>
      <c r="C302" s="13">
        <f>Month!C302+C301</f>
        <v>33637.72</v>
      </c>
      <c r="D302" s="13">
        <f>Month!D302+D301</f>
        <v>1889.6999999999998</v>
      </c>
      <c r="E302" s="13">
        <f>Month!E302+E301</f>
        <v>425.28999999999996</v>
      </c>
      <c r="F302" s="13">
        <f>Month!F302+F301</f>
        <v>31322.72</v>
      </c>
      <c r="G302" s="13">
        <f>Month!G302+G301</f>
        <v>1372.24</v>
      </c>
      <c r="H302" s="13">
        <f>Month!H302+H301</f>
        <v>152.17000000000002</v>
      </c>
      <c r="I302" s="13">
        <f>Month!I302+I301</f>
        <v>1222.94</v>
      </c>
      <c r="J302" s="13">
        <f>Month!J302+J301</f>
        <v>9417.85</v>
      </c>
      <c r="K302" s="13">
        <f>Month!K302+K301</f>
        <v>2865.03</v>
      </c>
      <c r="L302" s="13">
        <f>Month!L302+L301</f>
        <v>1149.61</v>
      </c>
      <c r="M302" s="13">
        <f>Month!M302+M301</f>
        <v>4136.1900000000005</v>
      </c>
      <c r="N302" s="13">
        <f>Month!N302+N301</f>
        <v>7414.13</v>
      </c>
      <c r="O302" s="13">
        <f>Month!O302+O301</f>
        <v>1610.18</v>
      </c>
      <c r="P302" s="13">
        <f>Month!P302+P301</f>
        <v>201.19</v>
      </c>
      <c r="Q302" s="13">
        <f>Month!Q302+Q301</f>
        <v>508.69</v>
      </c>
    </row>
    <row r="303" spans="1:17" ht="12">
      <c r="A303">
        <f t="shared" si="6"/>
        <v>2019</v>
      </c>
      <c r="B303" t="s">
        <v>62</v>
      </c>
      <c r="C303" s="13">
        <f>Month!C303+C302</f>
        <v>38633.37</v>
      </c>
      <c r="D303" s="13">
        <f>Month!D303+D302</f>
        <v>2153.25</v>
      </c>
      <c r="E303" s="13">
        <f>Month!E303+E302</f>
        <v>495.34</v>
      </c>
      <c r="F303" s="13">
        <f>Month!F303+F302</f>
        <v>35984.770000000004</v>
      </c>
      <c r="G303" s="13">
        <f>Month!G303+G302</f>
        <v>1575.66</v>
      </c>
      <c r="H303" s="13">
        <f>Month!H303+H302</f>
        <v>167.61</v>
      </c>
      <c r="I303" s="13">
        <f>Month!I303+I302</f>
        <v>1380.83</v>
      </c>
      <c r="J303" s="13">
        <f>Month!J303+J302</f>
        <v>10573.59</v>
      </c>
      <c r="K303" s="13">
        <f>Month!K303+K302</f>
        <v>3432.9100000000003</v>
      </c>
      <c r="L303" s="13">
        <f>Month!L303+L302</f>
        <v>1245.3999999999999</v>
      </c>
      <c r="M303" s="13">
        <f>Month!M303+M302</f>
        <v>4750.280000000001</v>
      </c>
      <c r="N303" s="13">
        <f>Month!N303+N302</f>
        <v>8522.47</v>
      </c>
      <c r="O303" s="13">
        <f>Month!O303+O302</f>
        <v>1974.27</v>
      </c>
      <c r="P303" s="13">
        <f>Month!P303+P302</f>
        <v>230.31</v>
      </c>
      <c r="Q303" s="13">
        <f>Month!Q303+Q302</f>
        <v>595.36</v>
      </c>
    </row>
    <row r="304" spans="1:17" ht="12">
      <c r="A304">
        <f t="shared" si="6"/>
        <v>2019</v>
      </c>
      <c r="B304" t="s">
        <v>63</v>
      </c>
      <c r="C304" s="13">
        <f>Month!C304+C303</f>
        <v>43544.12</v>
      </c>
      <c r="D304" s="13">
        <f>Month!D304+D303</f>
        <v>2409.13</v>
      </c>
      <c r="E304" s="13">
        <f>Month!E304+E303</f>
        <v>573.1899999999999</v>
      </c>
      <c r="F304" s="13">
        <f>Month!F304+F303</f>
        <v>40561.79000000001</v>
      </c>
      <c r="G304" s="13">
        <f>Month!G304+G303</f>
        <v>1735</v>
      </c>
      <c r="H304" s="13">
        <f>Month!H304+H303</f>
        <v>189.38000000000002</v>
      </c>
      <c r="I304" s="13">
        <f>Month!I304+I303</f>
        <v>1548.05</v>
      </c>
      <c r="J304" s="13">
        <f>Month!J304+J303</f>
        <v>11907.08</v>
      </c>
      <c r="K304" s="13">
        <f>Month!K304+K303</f>
        <v>3888.3300000000004</v>
      </c>
      <c r="L304" s="13">
        <f>Month!L304+L303</f>
        <v>1386.1899999999998</v>
      </c>
      <c r="M304" s="13">
        <f>Month!M304+M303</f>
        <v>5430.51</v>
      </c>
      <c r="N304" s="13">
        <f>Month!N304+N303</f>
        <v>9642.71</v>
      </c>
      <c r="O304" s="13">
        <f>Month!O304+O303</f>
        <v>2133.48</v>
      </c>
      <c r="P304" s="13">
        <f>Month!P304+P303</f>
        <v>253.59</v>
      </c>
      <c r="Q304" s="13">
        <f>Month!Q304+Q303</f>
        <v>679.45</v>
      </c>
    </row>
    <row r="305" spans="1:17" ht="12">
      <c r="A305">
        <f t="shared" si="6"/>
        <v>2019</v>
      </c>
      <c r="B305" t="s">
        <v>64</v>
      </c>
      <c r="C305" s="13">
        <f>Month!C305+C304</f>
        <v>48819.170000000006</v>
      </c>
      <c r="D305" s="13">
        <f>Month!D305+D304</f>
        <v>2698.52</v>
      </c>
      <c r="E305" s="13">
        <f>Month!E305+E304</f>
        <v>624.8799999999999</v>
      </c>
      <c r="F305" s="13">
        <f>Month!F305+F304</f>
        <v>45495.76000000001</v>
      </c>
      <c r="G305" s="13">
        <f>Month!G305+G304</f>
        <v>1888.09</v>
      </c>
      <c r="H305" s="13">
        <f>Month!H305+H304</f>
        <v>204.87000000000003</v>
      </c>
      <c r="I305" s="13">
        <f>Month!I305+I304</f>
        <v>1717.34</v>
      </c>
      <c r="J305" s="13">
        <f>Month!J305+J304</f>
        <v>13399.94</v>
      </c>
      <c r="K305" s="13">
        <f>Month!K305+K304</f>
        <v>4373.900000000001</v>
      </c>
      <c r="L305" s="13">
        <f>Month!L305+L304</f>
        <v>1584.5199999999998</v>
      </c>
      <c r="M305" s="13">
        <f>Month!M305+M304</f>
        <v>6078.860000000001</v>
      </c>
      <c r="N305" s="13">
        <f>Month!N305+N304</f>
        <v>10876.099999999999</v>
      </c>
      <c r="O305" s="13">
        <f>Month!O305+O304</f>
        <v>2372.73</v>
      </c>
      <c r="P305" s="13">
        <f>Month!P305+P304</f>
        <v>272.88</v>
      </c>
      <c r="Q305" s="13">
        <f>Month!Q305+Q304</f>
        <v>753.87</v>
      </c>
    </row>
    <row r="306" spans="1:17" ht="12">
      <c r="A306">
        <f t="shared" si="6"/>
        <v>2019</v>
      </c>
      <c r="B306" t="s">
        <v>65</v>
      </c>
      <c r="C306" s="13">
        <f>Month!C306+C305</f>
        <v>53870.630000000005</v>
      </c>
      <c r="D306" s="13">
        <f>Month!D306+D305</f>
        <v>2977.99</v>
      </c>
      <c r="E306" s="13">
        <f>Month!E306+E305</f>
        <v>634.5299999999999</v>
      </c>
      <c r="F306" s="13">
        <f>Month!F306+F305</f>
        <v>50258.100000000006</v>
      </c>
      <c r="G306" s="13">
        <f>Month!G306+G305</f>
        <v>2037.12</v>
      </c>
      <c r="H306" s="13">
        <f>Month!H306+H305</f>
        <v>230.34000000000003</v>
      </c>
      <c r="I306" s="13">
        <f>Month!I306+I305</f>
        <v>1889.85</v>
      </c>
      <c r="J306" s="13">
        <f>Month!J306+J305</f>
        <v>14915.74</v>
      </c>
      <c r="K306" s="13">
        <f>Month!K306+K305</f>
        <v>4755.77</v>
      </c>
      <c r="L306" s="13">
        <f>Month!L306+L305</f>
        <v>1812.5299999999997</v>
      </c>
      <c r="M306" s="13">
        <f>Month!M306+M305</f>
        <v>6660.030000000001</v>
      </c>
      <c r="N306" s="13">
        <f>Month!N306+N305</f>
        <v>12009.929999999998</v>
      </c>
      <c r="O306" s="13">
        <f>Month!O306+O305</f>
        <v>2623.16</v>
      </c>
      <c r="P306" s="13">
        <f>Month!P306+P305</f>
        <v>272.88</v>
      </c>
      <c r="Q306" s="13">
        <f>Month!Q306+Q305</f>
        <v>821.73</v>
      </c>
    </row>
    <row r="307" spans="1:17" ht="12">
      <c r="A307">
        <f t="shared" si="6"/>
        <v>2019</v>
      </c>
      <c r="B307" t="s">
        <v>66</v>
      </c>
      <c r="C307" s="13">
        <f>Month!C307+C306</f>
        <v>59229.450000000004</v>
      </c>
      <c r="D307" s="13">
        <f>Month!D307+D306</f>
        <v>3300.0499999999997</v>
      </c>
      <c r="E307" s="13">
        <f>Month!E307+E306</f>
        <v>681.1599999999999</v>
      </c>
      <c r="F307" s="13">
        <f>Month!F307+F306</f>
        <v>55248.23</v>
      </c>
      <c r="G307" s="13">
        <f>Month!G307+G306</f>
        <v>2215.7799999999997</v>
      </c>
      <c r="H307" s="13">
        <f>Month!H307+H306</f>
        <v>250.11000000000004</v>
      </c>
      <c r="I307" s="13">
        <f>Month!I307+I306</f>
        <v>2071.88</v>
      </c>
      <c r="J307" s="13">
        <f>Month!J307+J306</f>
        <v>16464.3</v>
      </c>
      <c r="K307" s="13">
        <f>Month!K307+K306</f>
        <v>5178.18</v>
      </c>
      <c r="L307" s="13">
        <f>Month!L307+L306</f>
        <v>2062.1899999999996</v>
      </c>
      <c r="M307" s="13">
        <f>Month!M307+M306</f>
        <v>7218.620000000001</v>
      </c>
      <c r="N307" s="13">
        <f>Month!N307+N306</f>
        <v>13275.269999999999</v>
      </c>
      <c r="O307" s="13">
        <f>Month!O307+O306</f>
        <v>2889.5099999999998</v>
      </c>
      <c r="P307" s="13">
        <f>Month!P307+P306</f>
        <v>293.46</v>
      </c>
      <c r="Q307" s="13">
        <f>Month!Q307+Q306</f>
        <v>892.3100000000001</v>
      </c>
    </row>
    <row r="308" spans="1:17" ht="12">
      <c r="A308">
        <v>2020</v>
      </c>
      <c r="B308" t="s">
        <v>55</v>
      </c>
      <c r="C308" s="13">
        <f>Month!C308</f>
        <v>5073.19</v>
      </c>
      <c r="D308" s="13">
        <f>Month!D308</f>
        <v>289.7</v>
      </c>
      <c r="E308" s="13">
        <f>Month!E308</f>
        <v>130.75</v>
      </c>
      <c r="F308" s="13">
        <f>Month!F308</f>
        <v>4652.74</v>
      </c>
      <c r="G308" s="13">
        <f>Month!G308</f>
        <v>177.01</v>
      </c>
      <c r="H308" s="13">
        <f>Month!H308</f>
        <v>29.93</v>
      </c>
      <c r="I308" s="13">
        <f>Month!I308</f>
        <v>186.23</v>
      </c>
      <c r="J308" s="13">
        <f>Month!J308</f>
        <v>1467.56</v>
      </c>
      <c r="K308" s="13">
        <f>Month!K308</f>
        <v>450.54</v>
      </c>
      <c r="L308" s="13">
        <f>Month!L308</f>
        <v>245.63</v>
      </c>
      <c r="M308" s="13">
        <f>Month!M308</f>
        <v>503.63</v>
      </c>
      <c r="N308" s="13">
        <f>Month!N308</f>
        <v>1109.91</v>
      </c>
      <c r="O308" s="13">
        <f>Month!O308</f>
        <v>310.49</v>
      </c>
      <c r="P308" s="13">
        <f>Month!P308</f>
        <v>27.04</v>
      </c>
      <c r="Q308" s="13">
        <f>Month!Q308</f>
        <v>9.79</v>
      </c>
    </row>
    <row r="309" spans="1:17" ht="12">
      <c r="A309">
        <f>A308</f>
        <v>2020</v>
      </c>
      <c r="B309" t="s">
        <v>56</v>
      </c>
      <c r="C309" s="13">
        <f>Month!C309+C308</f>
        <v>9602.669999999998</v>
      </c>
      <c r="D309" s="13">
        <f>Month!D309+D308</f>
        <v>524.61</v>
      </c>
      <c r="E309" s="13">
        <f>Month!E309+E308</f>
        <v>145.28</v>
      </c>
      <c r="F309" s="13">
        <f>Month!F309+F308</f>
        <v>8932.779999999999</v>
      </c>
      <c r="G309" s="13">
        <f>Month!G309+G308</f>
        <v>317.6</v>
      </c>
      <c r="H309" s="13">
        <f>Month!H309+H308</f>
        <v>62.99</v>
      </c>
      <c r="I309" s="13">
        <f>Month!I309+I308</f>
        <v>395.08</v>
      </c>
      <c r="J309" s="13">
        <f>Month!J309+J308</f>
        <v>2691.9700000000003</v>
      </c>
      <c r="K309" s="13">
        <f>Month!K309+K308</f>
        <v>797.33</v>
      </c>
      <c r="L309" s="13">
        <f>Month!L309+L308</f>
        <v>485.65999999999997</v>
      </c>
      <c r="M309" s="13">
        <f>Month!M309+M308</f>
        <v>961.78</v>
      </c>
      <c r="N309" s="13">
        <f>Month!N309+N308</f>
        <v>2117.87</v>
      </c>
      <c r="O309" s="13">
        <f>Month!O309+O308</f>
        <v>683.0699999999999</v>
      </c>
      <c r="P309" s="13">
        <f>Month!P309+P308</f>
        <v>39.5</v>
      </c>
      <c r="Q309" s="13">
        <f>Month!Q309+Q308</f>
        <v>71.28</v>
      </c>
    </row>
    <row r="310" spans="1:17" ht="12">
      <c r="A310">
        <f aca="true" t="shared" si="7" ref="A310:A319">A309</f>
        <v>2020</v>
      </c>
      <c r="B310" t="s">
        <v>57</v>
      </c>
      <c r="C310" s="13">
        <f>Month!C310+C309</f>
        <v>14068.829999999998</v>
      </c>
      <c r="D310" s="13">
        <f>Month!D310+D309</f>
        <v>729.6700000000001</v>
      </c>
      <c r="E310" s="13">
        <f>Month!E310+E309</f>
        <v>144.93</v>
      </c>
      <c r="F310" s="13">
        <f>Month!F310+F309</f>
        <v>13194.219999999998</v>
      </c>
      <c r="G310" s="13">
        <f>Month!G310+G309</f>
        <v>441.75</v>
      </c>
      <c r="H310" s="13">
        <f>Month!H310+H309</f>
        <v>95.36</v>
      </c>
      <c r="I310" s="13">
        <f>Month!I310+I309</f>
        <v>604.53</v>
      </c>
      <c r="J310" s="13">
        <f>Month!J310+J309</f>
        <v>3855.1500000000005</v>
      </c>
      <c r="K310" s="13">
        <f>Month!K310+K309</f>
        <v>1047.52</v>
      </c>
      <c r="L310" s="13">
        <f>Month!L310+L309</f>
        <v>770.0999999999999</v>
      </c>
      <c r="M310" s="13">
        <f>Month!M310+M309</f>
        <v>1691.25</v>
      </c>
      <c r="N310" s="13">
        <f>Month!N310+N309</f>
        <v>3064.21</v>
      </c>
      <c r="O310" s="13">
        <f>Month!O310+O309</f>
        <v>937.1399999999999</v>
      </c>
      <c r="P310" s="13">
        <f>Month!P310+P309</f>
        <v>60.3</v>
      </c>
      <c r="Q310" s="13">
        <f>Month!Q310+Q309</f>
        <v>119.95</v>
      </c>
    </row>
    <row r="311" spans="1:17" ht="12">
      <c r="A311">
        <f t="shared" si="7"/>
        <v>2020</v>
      </c>
      <c r="B311" t="s">
        <v>58</v>
      </c>
      <c r="C311" s="13">
        <f>Month!C311+C310</f>
        <v>17616.339999999997</v>
      </c>
      <c r="D311" s="13">
        <f>Month!D311+D310</f>
        <v>929.8900000000001</v>
      </c>
      <c r="E311" s="13">
        <f>Month!E311+E310</f>
        <v>246.53</v>
      </c>
      <c r="F311" s="13">
        <f>Month!F311+F310</f>
        <v>16439.92</v>
      </c>
      <c r="G311" s="13">
        <f>Month!G311+G310</f>
        <v>599.51</v>
      </c>
      <c r="H311" s="13">
        <f>Month!H311+H310</f>
        <v>122.32</v>
      </c>
      <c r="I311" s="13">
        <f>Month!I311+I310</f>
        <v>763.8499999999999</v>
      </c>
      <c r="J311" s="13">
        <f>Month!J311+J310</f>
        <v>4691.4800000000005</v>
      </c>
      <c r="K311" s="13">
        <f>Month!K311+K310</f>
        <v>1195.9</v>
      </c>
      <c r="L311" s="13">
        <f>Month!L311+L310</f>
        <v>1014.7599999999999</v>
      </c>
      <c r="M311" s="13">
        <f>Month!M311+M310</f>
        <v>2253.13</v>
      </c>
      <c r="N311" s="13">
        <f>Month!N311+N310</f>
        <v>3841.05</v>
      </c>
      <c r="O311" s="13">
        <f>Month!O311+O310</f>
        <v>1111.9599999999998</v>
      </c>
      <c r="P311" s="13">
        <f>Month!P311+P310</f>
        <v>86.56</v>
      </c>
      <c r="Q311" s="13">
        <f>Month!Q311+Q310</f>
        <v>138.09</v>
      </c>
    </row>
    <row r="312" spans="1:17" ht="12">
      <c r="A312">
        <f t="shared" si="7"/>
        <v>2020</v>
      </c>
      <c r="B312" t="s">
        <v>59</v>
      </c>
      <c r="C312" s="13">
        <f>Month!C312+C311</f>
        <v>21098.379999999997</v>
      </c>
      <c r="D312" s="13">
        <f>Month!D312+D311</f>
        <v>1101.23</v>
      </c>
      <c r="E312" s="13">
        <f>Month!E312+E311</f>
        <v>268.85</v>
      </c>
      <c r="F312" s="13">
        <f>Month!F312+F311</f>
        <v>19728.3</v>
      </c>
      <c r="G312" s="13">
        <f>Month!G312+G311</f>
        <v>748.43</v>
      </c>
      <c r="H312" s="13">
        <f>Month!H312+H311</f>
        <v>149.07</v>
      </c>
      <c r="I312" s="13">
        <f>Month!I312+I311</f>
        <v>922.53</v>
      </c>
      <c r="J312" s="13">
        <f>Month!J312+J311</f>
        <v>5420.76</v>
      </c>
      <c r="K312" s="13">
        <f>Month!K312+K311</f>
        <v>1279.3000000000002</v>
      </c>
      <c r="L312" s="13">
        <f>Month!L312+L311</f>
        <v>1166</v>
      </c>
      <c r="M312" s="13">
        <f>Month!M312+M311</f>
        <v>2657.4500000000003</v>
      </c>
      <c r="N312" s="13">
        <f>Month!N312+N311</f>
        <v>4831.32</v>
      </c>
      <c r="O312" s="13">
        <f>Month!O312+O311</f>
        <v>1499.8399999999997</v>
      </c>
      <c r="P312" s="13">
        <f>Month!P312+P311</f>
        <v>116.29</v>
      </c>
      <c r="Q312" s="13">
        <f>Month!Q312+Q311</f>
        <v>196.4</v>
      </c>
    </row>
    <row r="313" spans="1:17" ht="12">
      <c r="A313">
        <f t="shared" si="7"/>
        <v>2020</v>
      </c>
      <c r="B313" t="s">
        <v>60</v>
      </c>
      <c r="C313" s="13">
        <f>Month!C313+C312</f>
        <v>24284.039999999997</v>
      </c>
      <c r="D313" s="13">
        <f>Month!D313+D312</f>
        <v>1267.14</v>
      </c>
      <c r="E313" s="13">
        <f>Month!E313+E312</f>
        <v>289.03000000000003</v>
      </c>
      <c r="F313" s="13">
        <f>Month!F313+F312</f>
        <v>22727.879999999997</v>
      </c>
      <c r="G313" s="13">
        <f>Month!G313+G312</f>
        <v>891.52</v>
      </c>
      <c r="H313" s="13">
        <f>Month!H313+H312</f>
        <v>174.35</v>
      </c>
      <c r="I313" s="13">
        <f>Month!I313+I312</f>
        <v>1045.03</v>
      </c>
      <c r="J313" s="13">
        <f>Month!J313+J312</f>
        <v>6131.59</v>
      </c>
      <c r="K313" s="13">
        <f>Month!K313+K312</f>
        <v>1360.9800000000002</v>
      </c>
      <c r="L313" s="13">
        <f>Month!L313+L312</f>
        <v>1254.94</v>
      </c>
      <c r="M313" s="13">
        <f>Month!M313+M312</f>
        <v>3042.57</v>
      </c>
      <c r="N313" s="13">
        <f>Month!N313+N312</f>
        <v>5725.549999999999</v>
      </c>
      <c r="O313" s="13">
        <f>Month!O313+O312</f>
        <v>1843.9999999999998</v>
      </c>
      <c r="P313" s="13">
        <f>Month!P313+P312</f>
        <v>137.78</v>
      </c>
      <c r="Q313" s="13">
        <f>Month!Q313+Q312</f>
        <v>248.42000000000002</v>
      </c>
    </row>
    <row r="314" spans="1:17" ht="12">
      <c r="A314">
        <f t="shared" si="7"/>
        <v>2020</v>
      </c>
      <c r="B314" t="s">
        <v>61</v>
      </c>
      <c r="C314" s="13">
        <f>Month!C314+C313</f>
        <v>28116.679999999997</v>
      </c>
      <c r="D314" s="13">
        <f>Month!D314+D313</f>
        <v>1457.27</v>
      </c>
      <c r="E314" s="13">
        <f>Month!E314+E313</f>
        <v>310.52000000000004</v>
      </c>
      <c r="F314" s="13">
        <f>Month!F314+F313</f>
        <v>26348.89</v>
      </c>
      <c r="G314" s="13">
        <f>Month!G314+G313</f>
        <v>1038.3</v>
      </c>
      <c r="H314" s="13">
        <f>Month!H314+H313</f>
        <v>188.63</v>
      </c>
      <c r="I314" s="13">
        <f>Month!I314+I313</f>
        <v>1178.52</v>
      </c>
      <c r="J314" s="13">
        <f>Month!J314+J313</f>
        <v>7136.79</v>
      </c>
      <c r="K314" s="13">
        <f>Month!K314+K313</f>
        <v>1470.8000000000002</v>
      </c>
      <c r="L314" s="13">
        <f>Month!L314+L313</f>
        <v>1322.66</v>
      </c>
      <c r="M314" s="13">
        <f>Month!M314+M313</f>
        <v>3475.9300000000003</v>
      </c>
      <c r="N314" s="13">
        <f>Month!N314+N313</f>
        <v>6886.94</v>
      </c>
      <c r="O314" s="13">
        <f>Month!O314+O313</f>
        <v>2081.6</v>
      </c>
      <c r="P314" s="13">
        <f>Month!P314+P313</f>
        <v>165.4</v>
      </c>
      <c r="Q314" s="13">
        <f>Month!Q314+Q313</f>
        <v>319.93</v>
      </c>
    </row>
    <row r="315" spans="1:17" ht="12">
      <c r="A315">
        <f t="shared" si="7"/>
        <v>2020</v>
      </c>
      <c r="B315" t="s">
        <v>62</v>
      </c>
      <c r="C315" s="13">
        <f>Month!C315+C314</f>
        <v>31906.869999999995</v>
      </c>
      <c r="D315" s="13">
        <f>Month!D315+D314</f>
        <v>1681.56</v>
      </c>
      <c r="E315" s="13">
        <f>Month!E315+E314</f>
        <v>313.06000000000006</v>
      </c>
      <c r="F315" s="13">
        <f>Month!F315+F314</f>
        <v>29912.25</v>
      </c>
      <c r="G315" s="13">
        <f>Month!G315+G314</f>
        <v>1187.27</v>
      </c>
      <c r="H315" s="13">
        <f>Month!H315+H314</f>
        <v>214.5</v>
      </c>
      <c r="I315" s="13">
        <f>Month!I315+I314</f>
        <v>1305.58</v>
      </c>
      <c r="J315" s="13">
        <f>Month!J315+J314</f>
        <v>8216.19</v>
      </c>
      <c r="K315" s="13">
        <f>Month!K315+K314</f>
        <v>1545.5400000000002</v>
      </c>
      <c r="L315" s="13">
        <f>Month!L315+L314</f>
        <v>1394.8300000000002</v>
      </c>
      <c r="M315" s="13">
        <f>Month!M315+M314</f>
        <v>3907.7400000000002</v>
      </c>
      <c r="N315" s="13">
        <f>Month!N315+N314</f>
        <v>8029.139999999999</v>
      </c>
      <c r="O315" s="13">
        <f>Month!O315+O314</f>
        <v>2289.39</v>
      </c>
      <c r="P315" s="13">
        <f>Month!P315+P314</f>
        <v>187.78</v>
      </c>
      <c r="Q315" s="13">
        <f>Month!Q315+Q314</f>
        <v>390.4</v>
      </c>
    </row>
    <row r="316" spans="1:17" ht="12">
      <c r="A316">
        <f t="shared" si="7"/>
        <v>2020</v>
      </c>
      <c r="B316" t="s">
        <v>63</v>
      </c>
      <c r="C316" s="13">
        <f>Month!C316+C315</f>
        <v>35928.42</v>
      </c>
      <c r="D316" s="13">
        <f>Month!D316+D315</f>
        <v>1900.76</v>
      </c>
      <c r="E316" s="13">
        <f>Month!E316+E315</f>
        <v>329.58000000000004</v>
      </c>
      <c r="F316" s="13">
        <f>Month!F316+F315</f>
        <v>33698.08</v>
      </c>
      <c r="G316" s="13">
        <f>Month!G316+G315</f>
        <v>1315.79</v>
      </c>
      <c r="H316" s="13">
        <f>Month!H316+H315</f>
        <v>242.59</v>
      </c>
      <c r="I316" s="13">
        <f>Month!I316+I315</f>
        <v>1445.44</v>
      </c>
      <c r="J316" s="13">
        <f>Month!J316+J315</f>
        <v>9428.67</v>
      </c>
      <c r="K316" s="13">
        <f>Month!K316+K315</f>
        <v>1653.5900000000001</v>
      </c>
      <c r="L316" s="13">
        <f>Month!L316+L315</f>
        <v>1473.3000000000002</v>
      </c>
      <c r="M316" s="13">
        <f>Month!M316+M315</f>
        <v>4382.17</v>
      </c>
      <c r="N316" s="13">
        <f>Month!N316+N315</f>
        <v>9205.5</v>
      </c>
      <c r="O316" s="13">
        <f>Month!O316+O315</f>
        <v>2484.54</v>
      </c>
      <c r="P316" s="13">
        <f>Month!P316+P315</f>
        <v>200.02</v>
      </c>
      <c r="Q316" s="13">
        <f>Month!Q316+Q315</f>
        <v>460.87</v>
      </c>
    </row>
    <row r="317" spans="1:17" ht="12">
      <c r="A317">
        <f t="shared" si="7"/>
        <v>2020</v>
      </c>
      <c r="B317" t="s">
        <v>64</v>
      </c>
      <c r="C317" s="13">
        <f>Month!C317+C316</f>
        <v>40063.64</v>
      </c>
      <c r="D317" s="13">
        <f>Month!D317+D316</f>
        <v>2135.16</v>
      </c>
      <c r="E317" s="13">
        <f>Month!E317+E316</f>
        <v>365.05000000000007</v>
      </c>
      <c r="F317" s="13">
        <f>Month!F317+F316</f>
        <v>37563.43</v>
      </c>
      <c r="G317" s="13">
        <f>Month!G317+G316</f>
        <v>1448.99</v>
      </c>
      <c r="H317" s="13">
        <f>Month!H317+H316</f>
        <v>272</v>
      </c>
      <c r="I317" s="13">
        <f>Month!I317+I316</f>
        <v>1570.55</v>
      </c>
      <c r="J317" s="13">
        <f>Month!J317+J316</f>
        <v>10713.36</v>
      </c>
      <c r="K317" s="13">
        <f>Month!K317+K316</f>
        <v>1768.1100000000001</v>
      </c>
      <c r="L317" s="13">
        <f>Month!L317+L316</f>
        <v>1588.13</v>
      </c>
      <c r="M317" s="13">
        <f>Month!M317+M316</f>
        <v>4937.16</v>
      </c>
      <c r="N317" s="13">
        <f>Month!N317+N316</f>
        <v>10288.56</v>
      </c>
      <c r="O317" s="13">
        <f>Month!O317+O316</f>
        <v>2635.17</v>
      </c>
      <c r="P317" s="13">
        <f>Month!P317+P316</f>
        <v>241.06</v>
      </c>
      <c r="Q317" s="13">
        <f>Month!Q317+Q316</f>
        <v>531.73</v>
      </c>
    </row>
    <row r="318" spans="1:17" ht="12">
      <c r="A318">
        <f t="shared" si="7"/>
        <v>2020</v>
      </c>
      <c r="B318" t="s">
        <v>65</v>
      </c>
      <c r="C318" s="13">
        <f>Month!C318+C317</f>
        <v>43983.92</v>
      </c>
      <c r="D318" s="13">
        <f>Month!D318+D317</f>
        <v>2357.6099999999997</v>
      </c>
      <c r="E318" s="13">
        <f>Month!E318+E317</f>
        <v>399.0300000000001</v>
      </c>
      <c r="F318" s="13">
        <f>Month!F318+F317</f>
        <v>41227.28</v>
      </c>
      <c r="G318" s="13">
        <f>Month!G318+G317</f>
        <v>1592.69</v>
      </c>
      <c r="H318" s="13">
        <f>Month!H318+H317</f>
        <v>301.87</v>
      </c>
      <c r="I318" s="13">
        <f>Month!I318+I317</f>
        <v>1712.81</v>
      </c>
      <c r="J318" s="13">
        <f>Month!J318+J317</f>
        <v>11899.1</v>
      </c>
      <c r="K318" s="13">
        <f>Month!K318+K317</f>
        <v>1842.69</v>
      </c>
      <c r="L318" s="13">
        <f>Month!L318+L317</f>
        <v>1744.8600000000001</v>
      </c>
      <c r="M318" s="13">
        <f>Month!M318+M317</f>
        <v>5376.4</v>
      </c>
      <c r="N318" s="13">
        <f>Month!N318+N317</f>
        <v>11325.15</v>
      </c>
      <c r="O318" s="13">
        <f>Month!O318+O317</f>
        <v>2852.09</v>
      </c>
      <c r="P318" s="13">
        <f>Month!P318+P317</f>
        <v>249.35</v>
      </c>
      <c r="Q318" s="13">
        <f>Month!Q318+Q317</f>
        <v>582.87</v>
      </c>
    </row>
    <row r="319" spans="1:17" ht="12">
      <c r="A319">
        <f t="shared" si="7"/>
        <v>2020</v>
      </c>
      <c r="B319" t="s">
        <v>66</v>
      </c>
      <c r="C319" s="13">
        <f>Month!C319+C318</f>
        <v>48231.95</v>
      </c>
      <c r="D319" s="13">
        <f>Month!D319+D318</f>
        <v>2602.6099999999997</v>
      </c>
      <c r="E319" s="13">
        <f>Month!E319+E318</f>
        <v>417.5100000000001</v>
      </c>
      <c r="F319" s="13">
        <f>Month!F319+F318</f>
        <v>45211.83</v>
      </c>
      <c r="G319" s="13">
        <f>Month!G319+G318</f>
        <v>1749.3600000000001</v>
      </c>
      <c r="H319" s="13">
        <f>Month!H319+H318</f>
        <v>329.23</v>
      </c>
      <c r="I319" s="13">
        <f>Month!I319+I318</f>
        <v>1843.82</v>
      </c>
      <c r="J319" s="13">
        <f>Month!J319+J318</f>
        <v>13154.6</v>
      </c>
      <c r="K319" s="13">
        <f>Month!K319+K318</f>
        <v>1942.78</v>
      </c>
      <c r="L319" s="13">
        <f>Month!L319+L318</f>
        <v>1902.6200000000001</v>
      </c>
      <c r="M319" s="13">
        <f>Month!M319+M318</f>
        <v>5907.7</v>
      </c>
      <c r="N319" s="13">
        <f>Month!N319+N318</f>
        <v>12428.67</v>
      </c>
      <c r="O319" s="13">
        <f>Month!O319+O318</f>
        <v>3073.4900000000002</v>
      </c>
      <c r="P319" s="13">
        <f>Month!P319+P318</f>
        <v>286.15999999999997</v>
      </c>
      <c r="Q319" s="13">
        <f>Month!Q319+Q318</f>
        <v>637.58</v>
      </c>
    </row>
    <row r="320" spans="1:17" ht="12">
      <c r="A320">
        <v>2021</v>
      </c>
      <c r="B320" t="s">
        <v>55</v>
      </c>
      <c r="C320" s="13">
        <f>Month!C320</f>
        <v>3766.71</v>
      </c>
      <c r="D320" s="13">
        <f>Month!D320</f>
        <v>251.88</v>
      </c>
      <c r="E320" s="13">
        <f>Month!E320</f>
        <v>-9.46</v>
      </c>
      <c r="F320" s="13">
        <f>Month!F320</f>
        <v>3524.29</v>
      </c>
      <c r="G320" s="13">
        <f>Month!G320</f>
        <v>137.83</v>
      </c>
      <c r="H320" s="13">
        <f>Month!H320</f>
        <v>26.01</v>
      </c>
      <c r="I320" s="13">
        <f>Month!I320</f>
        <v>125.68</v>
      </c>
      <c r="J320" s="13">
        <f>Month!J320</f>
        <v>1131.8</v>
      </c>
      <c r="K320" s="13">
        <f>Month!K320</f>
        <v>78.16</v>
      </c>
      <c r="L320" s="13">
        <f>Month!L320</f>
        <v>175.47</v>
      </c>
      <c r="M320" s="13">
        <f>Month!M320</f>
        <v>523.14</v>
      </c>
      <c r="N320" s="13">
        <f>Month!N320</f>
        <v>902.09</v>
      </c>
      <c r="O320" s="13">
        <f>Month!O320</f>
        <v>192.67</v>
      </c>
      <c r="P320" s="13">
        <f>Month!P320</f>
        <v>29.76</v>
      </c>
      <c r="Q320" s="13">
        <f>Month!Q320</f>
        <v>13.06</v>
      </c>
    </row>
    <row r="321" spans="1:17" ht="12">
      <c r="A321">
        <f>A320</f>
        <v>2021</v>
      </c>
      <c r="B321" t="s">
        <v>56</v>
      </c>
      <c r="C321" s="13">
        <f>Month!C325+C320</f>
        <v>3766.71</v>
      </c>
      <c r="D321" s="13">
        <f>Month!D325+D320</f>
        <v>251.88</v>
      </c>
      <c r="E321" s="13">
        <f>Month!E325+E320</f>
        <v>-9.46</v>
      </c>
      <c r="F321" s="13">
        <f>Month!F325+F320</f>
        <v>3524.29</v>
      </c>
      <c r="G321" s="13">
        <f>Month!G325+G320</f>
        <v>137.83</v>
      </c>
      <c r="H321" s="13">
        <f>Month!H325+H320</f>
        <v>26.01</v>
      </c>
      <c r="I321" s="13">
        <f>Month!I325+I320</f>
        <v>125.68</v>
      </c>
      <c r="J321" s="13">
        <f>Month!J325+J320</f>
        <v>1131.8</v>
      </c>
      <c r="K321" s="13">
        <f>Month!K325+K320</f>
        <v>78.16</v>
      </c>
      <c r="L321" s="13">
        <f>Month!L325+L320</f>
        <v>175.47</v>
      </c>
      <c r="M321" s="13">
        <f>Month!M325+M320</f>
        <v>523.14</v>
      </c>
      <c r="N321" s="13">
        <f>Month!N325+N320</f>
        <v>902.09</v>
      </c>
      <c r="O321" s="13">
        <f>Month!O325+O320</f>
        <v>192.67</v>
      </c>
      <c r="P321" s="13">
        <f>Month!P325+P320</f>
        <v>29.76</v>
      </c>
      <c r="Q321" s="13">
        <f>Month!Q325+Q320</f>
        <v>13.06</v>
      </c>
    </row>
    <row r="322" spans="1:17" ht="12">
      <c r="A322">
        <f aca="true" t="shared" si="8" ref="A322:A331">A321</f>
        <v>2021</v>
      </c>
      <c r="B322" t="s">
        <v>57</v>
      </c>
      <c r="C322" s="13">
        <f>Month!C326+C321</f>
        <v>3766.71</v>
      </c>
      <c r="D322" s="13">
        <f>Month!D326+D321</f>
        <v>251.88</v>
      </c>
      <c r="E322" s="13">
        <f>Month!E326+E321</f>
        <v>-9.46</v>
      </c>
      <c r="F322" s="13">
        <f>Month!F326+F321</f>
        <v>3524.29</v>
      </c>
      <c r="G322" s="13">
        <f>Month!G326+G321</f>
        <v>137.83</v>
      </c>
      <c r="H322" s="13">
        <f>Month!H326+H321</f>
        <v>26.01</v>
      </c>
      <c r="I322" s="13">
        <f>Month!I326+I321</f>
        <v>125.68</v>
      </c>
      <c r="J322" s="13">
        <f>Month!J326+J321</f>
        <v>1131.8</v>
      </c>
      <c r="K322" s="13">
        <f>Month!K326+K321</f>
        <v>78.16</v>
      </c>
      <c r="L322" s="13">
        <f>Month!L326+L321</f>
        <v>175.47</v>
      </c>
      <c r="M322" s="13">
        <f>Month!M326+M321</f>
        <v>523.14</v>
      </c>
      <c r="N322" s="13">
        <f>Month!N326+N321</f>
        <v>902.09</v>
      </c>
      <c r="O322" s="13">
        <f>Month!O326+O321</f>
        <v>192.67</v>
      </c>
      <c r="P322" s="13">
        <f>Month!P326+P321</f>
        <v>29.76</v>
      </c>
      <c r="Q322" s="13">
        <f>Month!Q326+Q321</f>
        <v>13.06</v>
      </c>
    </row>
    <row r="323" spans="1:17" ht="12">
      <c r="A323">
        <f t="shared" si="8"/>
        <v>2021</v>
      </c>
      <c r="B323" t="s">
        <v>58</v>
      </c>
      <c r="C323" s="13">
        <f>Month!C327+C322</f>
        <v>3766.71</v>
      </c>
      <c r="D323" s="13">
        <f>Month!D327+D322</f>
        <v>251.88</v>
      </c>
      <c r="E323" s="13">
        <f>Month!E327+E322</f>
        <v>-9.46</v>
      </c>
      <c r="F323" s="13">
        <f>Month!F327+F322</f>
        <v>3524.29</v>
      </c>
      <c r="G323" s="13">
        <f>Month!G327+G322</f>
        <v>137.83</v>
      </c>
      <c r="H323" s="13">
        <f>Month!H327+H322</f>
        <v>26.01</v>
      </c>
      <c r="I323" s="13">
        <f>Month!I327+I322</f>
        <v>125.68</v>
      </c>
      <c r="J323" s="13">
        <f>Month!J327+J322</f>
        <v>1131.8</v>
      </c>
      <c r="K323" s="13">
        <f>Month!K327+K322</f>
        <v>78.16</v>
      </c>
      <c r="L323" s="13">
        <f>Month!L327+L322</f>
        <v>175.47</v>
      </c>
      <c r="M323" s="13">
        <f>Month!M327+M322</f>
        <v>523.14</v>
      </c>
      <c r="N323" s="13">
        <f>Month!N327+N322</f>
        <v>902.09</v>
      </c>
      <c r="O323" s="13">
        <f>Month!O327+O322</f>
        <v>192.67</v>
      </c>
      <c r="P323" s="13">
        <f>Month!P327+P322</f>
        <v>29.76</v>
      </c>
      <c r="Q323" s="13">
        <f>Month!Q327+Q322</f>
        <v>13.06</v>
      </c>
    </row>
    <row r="324" spans="1:17" ht="12">
      <c r="A324">
        <f t="shared" si="8"/>
        <v>2021</v>
      </c>
      <c r="B324" t="s">
        <v>59</v>
      </c>
      <c r="C324" s="13">
        <f>Month!C328+C323</f>
        <v>3766.71</v>
      </c>
      <c r="D324" s="13">
        <f>Month!D328+D323</f>
        <v>251.88</v>
      </c>
      <c r="E324" s="13">
        <f>Month!E328+E323</f>
        <v>-9.46</v>
      </c>
      <c r="F324" s="13">
        <f>Month!F328+F323</f>
        <v>3524.29</v>
      </c>
      <c r="G324" s="13">
        <f>Month!G328+G323</f>
        <v>137.83</v>
      </c>
      <c r="H324" s="13">
        <f>Month!H328+H323</f>
        <v>26.01</v>
      </c>
      <c r="I324" s="13">
        <f>Month!I328+I323</f>
        <v>125.68</v>
      </c>
      <c r="J324" s="13">
        <f>Month!J328+J323</f>
        <v>1131.8</v>
      </c>
      <c r="K324" s="13">
        <f>Month!K328+K323</f>
        <v>78.16</v>
      </c>
      <c r="L324" s="13">
        <f>Month!L328+L323</f>
        <v>175.47</v>
      </c>
      <c r="M324" s="13">
        <f>Month!M328+M323</f>
        <v>523.14</v>
      </c>
      <c r="N324" s="13">
        <f>Month!N328+N323</f>
        <v>902.09</v>
      </c>
      <c r="O324" s="13">
        <f>Month!O328+O323</f>
        <v>192.67</v>
      </c>
      <c r="P324" s="13">
        <f>Month!P328+P323</f>
        <v>29.76</v>
      </c>
      <c r="Q324" s="13">
        <f>Month!Q328+Q323</f>
        <v>13.06</v>
      </c>
    </row>
    <row r="325" spans="1:17" ht="12">
      <c r="A325">
        <f t="shared" si="8"/>
        <v>2021</v>
      </c>
      <c r="B325" t="s">
        <v>60</v>
      </c>
      <c r="C325" s="13">
        <f>Month!C329+C324</f>
        <v>3766.71</v>
      </c>
      <c r="D325" s="13">
        <f>Month!D329+D324</f>
        <v>251.88</v>
      </c>
      <c r="E325" s="13">
        <f>Month!E329+E324</f>
        <v>-9.46</v>
      </c>
      <c r="F325" s="13">
        <f>Month!F329+F324</f>
        <v>3524.29</v>
      </c>
      <c r="G325" s="13">
        <f>Month!G329+G324</f>
        <v>137.83</v>
      </c>
      <c r="H325" s="13">
        <f>Month!H329+H324</f>
        <v>26.01</v>
      </c>
      <c r="I325" s="13">
        <f>Month!I329+I324</f>
        <v>125.68</v>
      </c>
      <c r="J325" s="13">
        <f>Month!J329+J324</f>
        <v>1131.8</v>
      </c>
      <c r="K325" s="13">
        <f>Month!K329+K324</f>
        <v>78.16</v>
      </c>
      <c r="L325" s="13">
        <f>Month!L329+L324</f>
        <v>175.47</v>
      </c>
      <c r="M325" s="13">
        <f>Month!M329+M324</f>
        <v>523.14</v>
      </c>
      <c r="N325" s="13">
        <f>Month!N329+N324</f>
        <v>902.09</v>
      </c>
      <c r="O325" s="13">
        <f>Month!O329+O324</f>
        <v>192.67</v>
      </c>
      <c r="P325" s="13">
        <f>Month!P329+P324</f>
        <v>29.76</v>
      </c>
      <c r="Q325" s="13">
        <f>Month!Q329+Q324</f>
        <v>13.06</v>
      </c>
    </row>
    <row r="326" spans="1:17" ht="12">
      <c r="A326">
        <f t="shared" si="8"/>
        <v>2021</v>
      </c>
      <c r="B326" t="s">
        <v>61</v>
      </c>
      <c r="C326" s="13">
        <f>Month!C330+C325</f>
        <v>3766.71</v>
      </c>
      <c r="D326" s="13">
        <f>Month!D330+D325</f>
        <v>251.88</v>
      </c>
      <c r="E326" s="13">
        <f>Month!E330+E325</f>
        <v>-9.46</v>
      </c>
      <c r="F326" s="13">
        <f>Month!F330+F325</f>
        <v>3524.29</v>
      </c>
      <c r="G326" s="13">
        <f>Month!G330+G325</f>
        <v>137.83</v>
      </c>
      <c r="H326" s="13">
        <f>Month!H330+H325</f>
        <v>26.01</v>
      </c>
      <c r="I326" s="13">
        <f>Month!I330+I325</f>
        <v>125.68</v>
      </c>
      <c r="J326" s="13">
        <f>Month!J330+J325</f>
        <v>1131.8</v>
      </c>
      <c r="K326" s="13">
        <f>Month!K330+K325</f>
        <v>78.16</v>
      </c>
      <c r="L326" s="13">
        <f>Month!L330+L325</f>
        <v>175.47</v>
      </c>
      <c r="M326" s="13">
        <f>Month!M330+M325</f>
        <v>523.14</v>
      </c>
      <c r="N326" s="13">
        <f>Month!N330+N325</f>
        <v>902.09</v>
      </c>
      <c r="O326" s="13">
        <f>Month!O330+O325</f>
        <v>192.67</v>
      </c>
      <c r="P326" s="13">
        <f>Month!P330+P325</f>
        <v>29.76</v>
      </c>
      <c r="Q326" s="13">
        <f>Month!Q330+Q325</f>
        <v>13.06</v>
      </c>
    </row>
    <row r="327" spans="1:17" ht="12">
      <c r="A327">
        <f t="shared" si="8"/>
        <v>2021</v>
      </c>
      <c r="B327" t="s">
        <v>62</v>
      </c>
      <c r="C327" s="13">
        <f>Month!C331+C326</f>
        <v>3766.71</v>
      </c>
      <c r="D327" s="13">
        <f>Month!D331+D326</f>
        <v>251.88</v>
      </c>
      <c r="E327" s="13">
        <f>Month!E331+E326</f>
        <v>-9.46</v>
      </c>
      <c r="F327" s="13">
        <f>Month!F331+F326</f>
        <v>3524.29</v>
      </c>
      <c r="G327" s="13">
        <f>Month!G331+G326</f>
        <v>137.83</v>
      </c>
      <c r="H327" s="13">
        <f>Month!H331+H326</f>
        <v>26.01</v>
      </c>
      <c r="I327" s="13">
        <f>Month!I331+I326</f>
        <v>125.68</v>
      </c>
      <c r="J327" s="13">
        <f>Month!J331+J326</f>
        <v>1131.8</v>
      </c>
      <c r="K327" s="13">
        <f>Month!K331+K326</f>
        <v>78.16</v>
      </c>
      <c r="L327" s="13">
        <f>Month!L331+L326</f>
        <v>175.47</v>
      </c>
      <c r="M327" s="13">
        <f>Month!M331+M326</f>
        <v>523.14</v>
      </c>
      <c r="N327" s="13">
        <f>Month!N331+N326</f>
        <v>902.09</v>
      </c>
      <c r="O327" s="13">
        <f>Month!O331+O326</f>
        <v>192.67</v>
      </c>
      <c r="P327" s="13">
        <f>Month!P331+P326</f>
        <v>29.76</v>
      </c>
      <c r="Q327" s="13">
        <f>Month!Q331+Q326</f>
        <v>13.06</v>
      </c>
    </row>
    <row r="328" spans="1:17" ht="12">
      <c r="A328">
        <f t="shared" si="8"/>
        <v>2021</v>
      </c>
      <c r="B328" t="s">
        <v>63</v>
      </c>
      <c r="C328" s="13">
        <f>Month!C332+C327</f>
        <v>3766.71</v>
      </c>
      <c r="D328" s="13">
        <f>Month!D332+D327</f>
        <v>251.88</v>
      </c>
      <c r="E328" s="13">
        <f>Month!E332+E327</f>
        <v>-9.46</v>
      </c>
      <c r="F328" s="13">
        <f>Month!F332+F327</f>
        <v>3524.29</v>
      </c>
      <c r="G328" s="13">
        <f>Month!G332+G327</f>
        <v>137.83</v>
      </c>
      <c r="H328" s="13">
        <f>Month!H332+H327</f>
        <v>26.01</v>
      </c>
      <c r="I328" s="13">
        <f>Month!I332+I327</f>
        <v>125.68</v>
      </c>
      <c r="J328" s="13">
        <f>Month!J332+J327</f>
        <v>1131.8</v>
      </c>
      <c r="K328" s="13">
        <f>Month!K332+K327</f>
        <v>78.16</v>
      </c>
      <c r="L328" s="13">
        <f>Month!L332+L327</f>
        <v>175.47</v>
      </c>
      <c r="M328" s="13">
        <f>Month!M332+M327</f>
        <v>523.14</v>
      </c>
      <c r="N328" s="13">
        <f>Month!N332+N327</f>
        <v>902.09</v>
      </c>
      <c r="O328" s="13">
        <f>Month!O332+O327</f>
        <v>192.67</v>
      </c>
      <c r="P328" s="13">
        <f>Month!P332+P327</f>
        <v>29.76</v>
      </c>
      <c r="Q328" s="13">
        <f>Month!Q332+Q327</f>
        <v>13.06</v>
      </c>
    </row>
    <row r="329" spans="1:17" ht="12">
      <c r="A329">
        <f t="shared" si="8"/>
        <v>2021</v>
      </c>
      <c r="B329" t="s">
        <v>64</v>
      </c>
      <c r="C329" s="13">
        <f>Month!C333+C328</f>
        <v>3766.71</v>
      </c>
      <c r="D329" s="13">
        <f>Month!D333+D328</f>
        <v>251.88</v>
      </c>
      <c r="E329" s="13">
        <f>Month!E333+E328</f>
        <v>-9.46</v>
      </c>
      <c r="F329" s="13">
        <f>Month!F333+F328</f>
        <v>3524.29</v>
      </c>
      <c r="G329" s="13">
        <f>Month!G333+G328</f>
        <v>137.83</v>
      </c>
      <c r="H329" s="13">
        <f>Month!H333+H328</f>
        <v>26.01</v>
      </c>
      <c r="I329" s="13">
        <f>Month!I333+I328</f>
        <v>125.68</v>
      </c>
      <c r="J329" s="13">
        <f>Month!J333+J328</f>
        <v>1131.8</v>
      </c>
      <c r="K329" s="13">
        <f>Month!K333+K328</f>
        <v>78.16</v>
      </c>
      <c r="L329" s="13">
        <f>Month!L333+L328</f>
        <v>175.47</v>
      </c>
      <c r="M329" s="13">
        <f>Month!M333+M328</f>
        <v>523.14</v>
      </c>
      <c r="N329" s="13">
        <f>Month!N333+N328</f>
        <v>902.09</v>
      </c>
      <c r="O329" s="13">
        <f>Month!O333+O328</f>
        <v>192.67</v>
      </c>
      <c r="P329" s="13">
        <f>Month!P333+P328</f>
        <v>29.76</v>
      </c>
      <c r="Q329" s="13">
        <f>Month!Q333+Q328</f>
        <v>13.06</v>
      </c>
    </row>
    <row r="330" spans="1:17" ht="12">
      <c r="A330">
        <f t="shared" si="8"/>
        <v>2021</v>
      </c>
      <c r="B330" t="s">
        <v>65</v>
      </c>
      <c r="C330" s="13">
        <f>Month!C334+C329</f>
        <v>3766.71</v>
      </c>
      <c r="D330" s="13">
        <f>Month!D334+D329</f>
        <v>251.88</v>
      </c>
      <c r="E330" s="13">
        <f>Month!E334+E329</f>
        <v>-9.46</v>
      </c>
      <c r="F330" s="13">
        <f>Month!F334+F329</f>
        <v>3524.29</v>
      </c>
      <c r="G330" s="13">
        <f>Month!G334+G329</f>
        <v>137.83</v>
      </c>
      <c r="H330" s="13">
        <f>Month!H334+H329</f>
        <v>26.01</v>
      </c>
      <c r="I330" s="13">
        <f>Month!I334+I329</f>
        <v>125.68</v>
      </c>
      <c r="J330" s="13">
        <f>Month!J334+J329</f>
        <v>1131.8</v>
      </c>
      <c r="K330" s="13">
        <f>Month!K334+K329</f>
        <v>78.16</v>
      </c>
      <c r="L330" s="13">
        <f>Month!L334+L329</f>
        <v>175.47</v>
      </c>
      <c r="M330" s="13">
        <f>Month!M334+M329</f>
        <v>523.14</v>
      </c>
      <c r="N330" s="13">
        <f>Month!N334+N329</f>
        <v>902.09</v>
      </c>
      <c r="O330" s="13">
        <f>Month!O334+O329</f>
        <v>192.67</v>
      </c>
      <c r="P330" s="13">
        <f>Month!P334+P329</f>
        <v>29.76</v>
      </c>
      <c r="Q330" s="13">
        <f>Month!Q334+Q329</f>
        <v>13.06</v>
      </c>
    </row>
    <row r="331" spans="1:17" ht="12">
      <c r="A331">
        <f t="shared" si="8"/>
        <v>2021</v>
      </c>
      <c r="B331" t="s">
        <v>66</v>
      </c>
      <c r="C331" s="13">
        <f>Month!C335+C330</f>
        <v>3766.71</v>
      </c>
      <c r="D331" s="13">
        <f>Month!D335+D330</f>
        <v>251.88</v>
      </c>
      <c r="E331" s="13">
        <f>Month!E335+E330</f>
        <v>-9.46</v>
      </c>
      <c r="F331" s="13">
        <f>Month!F335+F330</f>
        <v>3524.29</v>
      </c>
      <c r="G331" s="13">
        <f>Month!G335+G330</f>
        <v>137.83</v>
      </c>
      <c r="H331" s="13">
        <f>Month!H335+H330</f>
        <v>26.01</v>
      </c>
      <c r="I331" s="13">
        <f>Month!I335+I330</f>
        <v>125.68</v>
      </c>
      <c r="J331" s="13">
        <f>Month!J335+J330</f>
        <v>1131.8</v>
      </c>
      <c r="K331" s="13">
        <f>Month!K335+K330</f>
        <v>78.16</v>
      </c>
      <c r="L331" s="13">
        <f>Month!L335+L330</f>
        <v>175.47</v>
      </c>
      <c r="M331" s="13">
        <f>Month!M335+M330</f>
        <v>523.14</v>
      </c>
      <c r="N331" s="13">
        <f>Month!N335+N330</f>
        <v>902.09</v>
      </c>
      <c r="O331" s="13">
        <f>Month!O335+O330</f>
        <v>192.67</v>
      </c>
      <c r="P331" s="13">
        <f>Month!P335+P330</f>
        <v>29.76</v>
      </c>
      <c r="Q331" s="13">
        <f>Month!Q335+Q330</f>
        <v>13.06</v>
      </c>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7">
    <pageSetUpPr fitToPage="1"/>
  </sheetPr>
  <dimension ref="A1:B21"/>
  <sheetViews>
    <sheetView workbookViewId="0" topLeftCell="A1">
      <selection activeCell="B16" sqref="B16"/>
    </sheetView>
  </sheetViews>
  <sheetFormatPr defaultColWidth="9.28125" defaultRowHeight="12.75"/>
  <cols>
    <col min="1" max="1" width="9.28125" style="131" customWidth="1"/>
    <col min="2" max="2" width="100.28125" style="138" customWidth="1"/>
    <col min="3" max="16384" width="9.28125" style="131" customWidth="1"/>
  </cols>
  <sheetData>
    <row r="1" ht="34.5">
      <c r="B1" s="132" t="s">
        <v>92</v>
      </c>
    </row>
    <row r="2" ht="15">
      <c r="B2" s="133" t="s">
        <v>91</v>
      </c>
    </row>
    <row r="3" ht="15">
      <c r="B3" s="134"/>
    </row>
    <row r="4" ht="15">
      <c r="B4" s="156">
        <v>43496</v>
      </c>
    </row>
    <row r="5" ht="15">
      <c r="B5" s="144"/>
    </row>
    <row r="6" ht="15" hidden="1">
      <c r="B6" s="155" t="s">
        <v>183</v>
      </c>
    </row>
    <row r="7" spans="1:2" ht="60" hidden="1">
      <c r="A7" s="136"/>
      <c r="B7" s="137" t="s">
        <v>184</v>
      </c>
    </row>
    <row r="8" ht="12" hidden="1">
      <c r="B8" s="148"/>
    </row>
    <row r="9" ht="15.75" customHeight="1">
      <c r="B9" s="135" t="s">
        <v>151</v>
      </c>
    </row>
    <row r="10" ht="57" customHeight="1">
      <c r="B10" s="159" t="s">
        <v>185</v>
      </c>
    </row>
    <row r="11" ht="9" customHeight="1">
      <c r="B11" s="137"/>
    </row>
    <row r="12" s="149" customFormat="1" ht="15">
      <c r="B12" s="150" t="s">
        <v>181</v>
      </c>
    </row>
    <row r="13" s="149" customFormat="1" ht="30">
      <c r="B13" s="151" t="s">
        <v>182</v>
      </c>
    </row>
    <row r="14" ht="15">
      <c r="B14" s="139"/>
    </row>
    <row r="15" s="138" customFormat="1" ht="12">
      <c r="A15" s="124" t="s">
        <v>152</v>
      </c>
    </row>
    <row r="19" ht="15">
      <c r="B19" s="139"/>
    </row>
    <row r="20" ht="12">
      <c r="B20" s="131"/>
    </row>
    <row r="21" ht="15">
      <c r="B21" s="139"/>
    </row>
  </sheetData>
  <sheetProtection/>
  <hyperlinks>
    <hyperlink ref="A15" location="Contents!A1"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B30"/>
  <sheetViews>
    <sheetView tabSelected="1" workbookViewId="0" topLeftCell="A1">
      <selection activeCell="A1" sqref="A1"/>
    </sheetView>
  </sheetViews>
  <sheetFormatPr defaultColWidth="9.28125" defaultRowHeight="12.75"/>
  <cols>
    <col min="1" max="1" width="5.7109375" style="131" customWidth="1"/>
    <col min="2" max="2" width="108.57421875" style="138" customWidth="1"/>
    <col min="3" max="16384" width="9.28125" style="131" customWidth="1"/>
  </cols>
  <sheetData>
    <row r="1" ht="34.5">
      <c r="B1" s="132" t="s">
        <v>92</v>
      </c>
    </row>
    <row r="2" ht="15">
      <c r="B2" s="133" t="s">
        <v>91</v>
      </c>
    </row>
    <row r="3" ht="15">
      <c r="B3" s="134"/>
    </row>
    <row r="4" ht="15">
      <c r="B4" s="156">
        <f>Contents!E10</f>
        <v>44280</v>
      </c>
    </row>
    <row r="5" ht="15">
      <c r="B5" s="144"/>
    </row>
    <row r="6" ht="15">
      <c r="B6" s="155" t="s">
        <v>218</v>
      </c>
    </row>
    <row r="7" ht="15">
      <c r="B7" s="370" t="s">
        <v>219</v>
      </c>
    </row>
    <row r="8" ht="86.25" customHeight="1">
      <c r="B8" s="360" t="s">
        <v>221</v>
      </c>
    </row>
    <row r="9" ht="45">
      <c r="B9" s="137" t="s">
        <v>220</v>
      </c>
    </row>
    <row r="10" ht="15">
      <c r="B10" s="137"/>
    </row>
    <row r="11" ht="15">
      <c r="B11" s="135" t="s">
        <v>151</v>
      </c>
    </row>
    <row r="12" ht="30.75" customHeight="1">
      <c r="B12" s="150" t="s">
        <v>212</v>
      </c>
    </row>
    <row r="13" ht="71.25" customHeight="1">
      <c r="B13" s="360" t="s">
        <v>216</v>
      </c>
    </row>
    <row r="14" ht="15">
      <c r="B14" s="363" t="s">
        <v>215</v>
      </c>
    </row>
    <row r="15" ht="69.75" customHeight="1">
      <c r="B15" s="360" t="s">
        <v>213</v>
      </c>
    </row>
    <row r="16" ht="63" customHeight="1">
      <c r="B16" s="137" t="s">
        <v>214</v>
      </c>
    </row>
    <row r="17" ht="53.25" customHeight="1">
      <c r="B17" s="360" t="s">
        <v>217</v>
      </c>
    </row>
    <row r="18" ht="15">
      <c r="B18" s="360"/>
    </row>
    <row r="19" ht="15">
      <c r="B19" s="360" t="s">
        <v>210</v>
      </c>
    </row>
    <row r="20" ht="15">
      <c r="B20" s="137" t="s">
        <v>192</v>
      </c>
    </row>
    <row r="21" s="149" customFormat="1" ht="28.5" customHeight="1">
      <c r="B21" s="150" t="s">
        <v>181</v>
      </c>
    </row>
    <row r="22" s="149" customFormat="1" ht="30">
      <c r="B22" s="151" t="s">
        <v>182</v>
      </c>
    </row>
    <row r="23" ht="15">
      <c r="B23" s="139"/>
    </row>
    <row r="24" s="138" customFormat="1" ht="12">
      <c r="A24" s="124" t="s">
        <v>152</v>
      </c>
    </row>
    <row r="28" ht="15">
      <c r="B28" s="139"/>
    </row>
    <row r="29" ht="12">
      <c r="B29" s="131"/>
    </row>
    <row r="30" ht="15">
      <c r="B30" s="139"/>
    </row>
  </sheetData>
  <sheetProtection/>
  <hyperlinks>
    <hyperlink ref="A24" location="Contents!A1"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V47"/>
  <sheetViews>
    <sheetView zoomScale="90" zoomScaleNormal="90" zoomScaleSheetLayoutView="100" zoomScalePageLayoutView="0" workbookViewId="0" topLeftCell="A2">
      <selection activeCell="A2" sqref="A2"/>
    </sheetView>
  </sheetViews>
  <sheetFormatPr defaultColWidth="9.28125" defaultRowHeight="10.5" customHeight="1"/>
  <cols>
    <col min="1" max="1" width="6.57421875" style="16" customWidth="1"/>
    <col min="2" max="2" width="8.00390625" style="16" customWidth="1"/>
    <col min="3" max="3" width="12.00390625" style="16" bestFit="1" customWidth="1"/>
    <col min="4" max="4" width="11.8515625" style="16" customWidth="1"/>
    <col min="5" max="5" width="7.28125" style="16" customWidth="1"/>
    <col min="6" max="6" width="8.28125" style="16" bestFit="1" customWidth="1"/>
    <col min="7" max="7" width="11.28125" style="16" customWidth="1"/>
    <col min="8" max="8" width="10.7109375" style="16" customWidth="1"/>
    <col min="9" max="9" width="12.140625" style="16" customWidth="1"/>
    <col min="10" max="11" width="8.421875" style="16" customWidth="1"/>
    <col min="12" max="13" width="12.00390625" style="16" customWidth="1"/>
    <col min="14" max="16" width="9.57421875" style="16" customWidth="1"/>
    <col min="17" max="17" width="9.8515625" style="16" customWidth="1"/>
    <col min="18" max="18" width="9.57421875" style="16" customWidth="1"/>
    <col min="19" max="19" width="9.28125" style="16" customWidth="1"/>
    <col min="20" max="20" width="11.28125" style="16" bestFit="1" customWidth="1"/>
    <col min="21" max="16384" width="9.28125" style="16" customWidth="1"/>
  </cols>
  <sheetData>
    <row r="1" ht="32.25" customHeight="1" hidden="1">
      <c r="A1" s="153" t="s">
        <v>92</v>
      </c>
    </row>
    <row r="2" spans="1:18" ht="20.25" customHeight="1">
      <c r="A2" s="345" t="s">
        <v>91</v>
      </c>
      <c r="B2" s="166"/>
      <c r="C2" s="166"/>
      <c r="D2" s="166"/>
      <c r="E2" s="166"/>
      <c r="F2" s="166"/>
      <c r="G2" s="167"/>
      <c r="H2" s="167"/>
      <c r="I2" s="167"/>
      <c r="J2" s="167"/>
      <c r="K2" s="167"/>
      <c r="L2" s="167"/>
      <c r="M2" s="167"/>
      <c r="N2" s="167"/>
      <c r="O2" s="167"/>
      <c r="P2" s="167"/>
      <c r="Q2" s="166"/>
      <c r="R2" s="168" t="s">
        <v>67</v>
      </c>
    </row>
    <row r="3" spans="1:18" ht="9" customHeight="1">
      <c r="A3" s="22"/>
      <c r="B3" s="48"/>
      <c r="C3" s="49"/>
      <c r="R3" s="17"/>
    </row>
    <row r="4" spans="1:18" ht="18" customHeight="1">
      <c r="A4" s="169"/>
      <c r="B4" s="170"/>
      <c r="C4" s="171"/>
      <c r="D4" s="323" t="s">
        <v>205</v>
      </c>
      <c r="E4" s="307"/>
      <c r="F4" s="324"/>
      <c r="G4" s="349" t="s">
        <v>207</v>
      </c>
      <c r="H4" s="322" t="s">
        <v>2</v>
      </c>
      <c r="I4" s="324"/>
      <c r="J4" s="172"/>
      <c r="K4" s="172"/>
      <c r="L4" s="322" t="s">
        <v>3</v>
      </c>
      <c r="M4" s="324"/>
      <c r="N4" s="172"/>
      <c r="O4" s="172"/>
      <c r="P4" s="172"/>
      <c r="Q4" s="172"/>
      <c r="R4" s="173"/>
    </row>
    <row r="5" spans="1:18" ht="28.5" customHeight="1">
      <c r="A5" s="169"/>
      <c r="B5" s="174"/>
      <c r="C5" s="174"/>
      <c r="D5" s="175" t="s">
        <v>204</v>
      </c>
      <c r="E5" s="177" t="s">
        <v>12</v>
      </c>
      <c r="F5" s="176" t="s">
        <v>193</v>
      </c>
      <c r="G5" s="328" t="s">
        <v>70</v>
      </c>
      <c r="H5" s="175" t="s">
        <v>194</v>
      </c>
      <c r="I5" s="178" t="s">
        <v>203</v>
      </c>
      <c r="J5" s="177" t="s">
        <v>206</v>
      </c>
      <c r="K5" s="177" t="s">
        <v>195</v>
      </c>
      <c r="L5" s="175" t="s">
        <v>196</v>
      </c>
      <c r="M5" s="176" t="s">
        <v>197</v>
      </c>
      <c r="N5" s="177" t="s">
        <v>198</v>
      </c>
      <c r="O5" s="177" t="s">
        <v>199</v>
      </c>
      <c r="P5" s="177" t="s">
        <v>200</v>
      </c>
      <c r="Q5" s="177" t="s">
        <v>201</v>
      </c>
      <c r="R5" s="176" t="s">
        <v>23</v>
      </c>
    </row>
    <row r="6" spans="1:18" ht="15" customHeight="1" hidden="1">
      <c r="A6" s="169"/>
      <c r="B6" s="174"/>
      <c r="C6" s="174"/>
      <c r="D6" s="179"/>
      <c r="E6" s="180"/>
      <c r="F6" s="181"/>
      <c r="G6" s="182"/>
      <c r="H6" s="183"/>
      <c r="I6" s="181"/>
      <c r="J6" s="184"/>
      <c r="K6" s="182"/>
      <c r="L6" s="183"/>
      <c r="M6" s="181"/>
      <c r="N6" s="182"/>
      <c r="O6" s="184"/>
      <c r="P6" s="182"/>
      <c r="Q6" s="182"/>
      <c r="R6" s="185"/>
    </row>
    <row r="7" spans="1:18" ht="15.75" customHeight="1" hidden="1">
      <c r="A7" s="169"/>
      <c r="B7" s="174"/>
      <c r="C7" s="174"/>
      <c r="D7" s="186"/>
      <c r="E7" s="187"/>
      <c r="F7" s="188"/>
      <c r="G7" s="189"/>
      <c r="H7" s="187"/>
      <c r="I7" s="188"/>
      <c r="J7" s="189"/>
      <c r="K7" s="189"/>
      <c r="L7" s="187"/>
      <c r="M7" s="188"/>
      <c r="N7" s="189"/>
      <c r="O7" s="190"/>
      <c r="P7" s="189"/>
      <c r="Q7" s="189"/>
      <c r="R7" s="188"/>
    </row>
    <row r="8" spans="1:18" s="19" customFormat="1" ht="18.75" customHeight="1">
      <c r="A8" s="219">
        <f ca="1">INDIRECT(Calculation!T9)</f>
        <v>2016</v>
      </c>
      <c r="B8" s="191"/>
      <c r="C8" s="191"/>
      <c r="D8" s="339">
        <f ca="1">INDIRECT(Calculation!U9)</f>
        <v>60395.439999999995</v>
      </c>
      <c r="E8" s="340">
        <f ca="1">INDIRECT(Calculation!V9)</f>
        <v>3381.22</v>
      </c>
      <c r="F8" s="193">
        <f ca="1">INDIRECT(Calculation!W9)</f>
        <v>426.21</v>
      </c>
      <c r="G8" s="229">
        <f ca="1">INDIRECT(Calculation!X9)</f>
        <v>56587.99</v>
      </c>
      <c r="H8" s="192">
        <f ca="1">INDIRECT(Calculation!Y9)</f>
        <v>2227.3199999999997</v>
      </c>
      <c r="I8" s="193">
        <f ca="1">INDIRECT(Calculation!Z9)</f>
        <v>452.91999999999996</v>
      </c>
      <c r="J8" s="194">
        <f ca="1">INDIRECT(Calculation!AA9)</f>
        <v>2305.65</v>
      </c>
      <c r="K8" s="194">
        <f ca="1">INDIRECT(Calculation!AB9)</f>
        <v>17343.23</v>
      </c>
      <c r="L8" s="192">
        <f ca="1">INDIRECT(Calculation!AC9)</f>
        <v>4392.47</v>
      </c>
      <c r="M8" s="193">
        <f ca="1">INDIRECT(Calculation!AD9)</f>
        <v>2049.1</v>
      </c>
      <c r="N8" s="194">
        <f ca="1">INDIRECT(Calculation!AE9)</f>
        <v>6981.52</v>
      </c>
      <c r="O8" s="194">
        <f ca="1">INDIRECT(Calculation!AF9)</f>
        <v>13523.910000000002</v>
      </c>
      <c r="P8" s="194">
        <f ca="1">INDIRECT(Calculation!AG9)</f>
        <v>4096.71</v>
      </c>
      <c r="Q8" s="194">
        <f ca="1">INDIRECT(Calculation!AH9)</f>
        <v>352.40999999999997</v>
      </c>
      <c r="R8" s="193">
        <f ca="1">INDIRECT(Calculation!AI9)</f>
        <v>967.8199999999999</v>
      </c>
    </row>
    <row r="9" spans="1:18" s="19" customFormat="1" ht="12">
      <c r="A9" s="220">
        <f ca="1">INDIRECT(Calculation!T10)</f>
        <v>2017</v>
      </c>
      <c r="B9" s="174"/>
      <c r="C9" s="196"/>
      <c r="D9" s="197">
        <f ca="1">INDIRECT(Calculation!U10)</f>
        <v>60256.59</v>
      </c>
      <c r="E9" s="199">
        <f ca="1">INDIRECT(Calculation!V10)</f>
        <v>3389.48</v>
      </c>
      <c r="F9" s="198">
        <f ca="1">INDIRECT(Calculation!W10)</f>
        <v>460.49</v>
      </c>
      <c r="G9" s="230">
        <f ca="1">INDIRECT(Calculation!X10)</f>
        <v>56406.64</v>
      </c>
      <c r="H9" s="197">
        <f ca="1">INDIRECT(Calculation!Y10)</f>
        <v>2178.17</v>
      </c>
      <c r="I9" s="198">
        <f ca="1">INDIRECT(Calculation!Z10)</f>
        <v>423.64</v>
      </c>
      <c r="J9" s="199">
        <f ca="1">INDIRECT(Calculation!AA10)</f>
        <v>2279.97</v>
      </c>
      <c r="K9" s="199">
        <f ca="1">INDIRECT(Calculation!AB10)</f>
        <v>17415.730000000003</v>
      </c>
      <c r="L9" s="197">
        <f ca="1">INDIRECT(Calculation!AC10)</f>
        <v>5031.1</v>
      </c>
      <c r="M9" s="198">
        <f ca="1">INDIRECT(Calculation!AD10)</f>
        <v>2046.76</v>
      </c>
      <c r="N9" s="199">
        <f ca="1">INDIRECT(Calculation!AE10)</f>
        <v>6877.700000000001</v>
      </c>
      <c r="O9" s="199">
        <f ca="1">INDIRECT(Calculation!AF10)</f>
        <v>13424.580000000002</v>
      </c>
      <c r="P9" s="199">
        <f ca="1">INDIRECT(Calculation!AG10)</f>
        <v>3684.83</v>
      </c>
      <c r="Q9" s="199">
        <f ca="1">INDIRECT(Calculation!AH10)</f>
        <v>443.06</v>
      </c>
      <c r="R9" s="198">
        <f ca="1">INDIRECT(Calculation!AI10)</f>
        <v>816.6300000000001</v>
      </c>
    </row>
    <row r="10" spans="1:18" s="19" customFormat="1" ht="12">
      <c r="A10" s="220">
        <f ca="1">INDIRECT(Calculation!T11)</f>
        <v>2018</v>
      </c>
      <c r="B10" s="196"/>
      <c r="C10" s="196"/>
      <c r="D10" s="197">
        <f ca="1">INDIRECT(Calculation!U11)</f>
        <v>58697.23999999999</v>
      </c>
      <c r="E10" s="199">
        <f ca="1">INDIRECT(Calculation!V11)</f>
        <v>3351.6400000000003</v>
      </c>
      <c r="F10" s="198">
        <f ca="1">INDIRECT(Calculation!W11)</f>
        <v>492.6</v>
      </c>
      <c r="G10" s="230">
        <f ca="1">INDIRECT(Calculation!X11)</f>
        <v>54853.01</v>
      </c>
      <c r="H10" s="197">
        <f ca="1">INDIRECT(Calculation!Y11)</f>
        <v>2078.84</v>
      </c>
      <c r="I10" s="198">
        <f ca="1">INDIRECT(Calculation!Z11)</f>
        <v>305.59</v>
      </c>
      <c r="J10" s="199">
        <f ca="1">INDIRECT(Calculation!AA11)</f>
        <v>2208.6400000000003</v>
      </c>
      <c r="K10" s="199">
        <f ca="1">INDIRECT(Calculation!AB11)</f>
        <v>16575.38</v>
      </c>
      <c r="L10" s="197">
        <f ca="1">INDIRECT(Calculation!AC11)</f>
        <v>5128.950000000001</v>
      </c>
      <c r="M10" s="198">
        <f ca="1">INDIRECT(Calculation!AD11)</f>
        <v>2052.6400000000003</v>
      </c>
      <c r="N10" s="199">
        <f ca="1">INDIRECT(Calculation!AE11)</f>
        <v>7443.62</v>
      </c>
      <c r="O10" s="199">
        <f ca="1">INDIRECT(Calculation!AF11)</f>
        <v>12599.330000000002</v>
      </c>
      <c r="P10" s="199">
        <f ca="1">INDIRECT(Calculation!AG11)</f>
        <v>3031.62</v>
      </c>
      <c r="Q10" s="199">
        <f ca="1">INDIRECT(Calculation!AH11)</f>
        <v>435.7</v>
      </c>
      <c r="R10" s="198">
        <f ca="1">INDIRECT(Calculation!AI11)</f>
        <v>875.25</v>
      </c>
    </row>
    <row r="11" spans="1:18" s="19" customFormat="1" ht="12">
      <c r="A11" s="220">
        <f ca="1">INDIRECT(Calculation!T12)</f>
        <v>2019</v>
      </c>
      <c r="B11" s="174"/>
      <c r="C11" s="196"/>
      <c r="D11" s="197">
        <f ca="1">INDIRECT(Calculation!U12)</f>
        <v>59229.45</v>
      </c>
      <c r="E11" s="199">
        <f ca="1">INDIRECT(Calculation!V12)</f>
        <v>3300.05</v>
      </c>
      <c r="F11" s="198">
        <f ca="1">INDIRECT(Calculation!W12)</f>
        <v>681.1600000000001</v>
      </c>
      <c r="G11" s="230">
        <f ca="1">INDIRECT(Calculation!X12)</f>
        <v>55248.229999999996</v>
      </c>
      <c r="H11" s="197">
        <f ca="1">INDIRECT(Calculation!Y12)</f>
        <v>2215.7799999999997</v>
      </c>
      <c r="I11" s="198">
        <f ca="1">INDIRECT(Calculation!Z12)</f>
        <v>250.11</v>
      </c>
      <c r="J11" s="199">
        <f ca="1">INDIRECT(Calculation!AA12)</f>
        <v>2071.88</v>
      </c>
      <c r="K11" s="199">
        <f ca="1">INDIRECT(Calculation!AB12)</f>
        <v>16464.3</v>
      </c>
      <c r="L11" s="197">
        <f ca="1">INDIRECT(Calculation!AC12)</f>
        <v>5178.18</v>
      </c>
      <c r="M11" s="198">
        <f ca="1">INDIRECT(Calculation!AD12)</f>
        <v>2062.19</v>
      </c>
      <c r="N11" s="199">
        <f ca="1">INDIRECT(Calculation!AE12)</f>
        <v>7218.620000000001</v>
      </c>
      <c r="O11" s="199">
        <f ca="1">INDIRECT(Calculation!AF12)</f>
        <v>13275.27</v>
      </c>
      <c r="P11" s="199">
        <f ca="1">INDIRECT(Calculation!AG12)</f>
        <v>2889.5099999999993</v>
      </c>
      <c r="Q11" s="199">
        <f ca="1">INDIRECT(Calculation!AH12)</f>
        <v>293.46</v>
      </c>
      <c r="R11" s="198">
        <f ca="1">INDIRECT(Calculation!AI12)</f>
        <v>892.3100000000001</v>
      </c>
    </row>
    <row r="12" spans="1:18" s="19" customFormat="1" ht="12">
      <c r="A12" s="358">
        <f ca="1">INDIRECT(Calculation!T13)</f>
        <v>2020</v>
      </c>
      <c r="B12" s="233"/>
      <c r="C12" s="234"/>
      <c r="D12" s="197">
        <f ca="1">INDIRECT(Calculation!U13)</f>
        <v>48231.95</v>
      </c>
      <c r="E12" s="199">
        <f ca="1">INDIRECT(Calculation!V13)</f>
        <v>2602.61</v>
      </c>
      <c r="F12" s="198">
        <f ca="1">INDIRECT(Calculation!W13)</f>
        <v>417.51</v>
      </c>
      <c r="G12" s="230">
        <f ca="1">INDIRECT(Calculation!X13)</f>
        <v>45211.83</v>
      </c>
      <c r="H12" s="197">
        <f ca="1">INDIRECT(Calculation!Y13)</f>
        <v>1749.36</v>
      </c>
      <c r="I12" s="198">
        <f ca="1">INDIRECT(Calculation!Z13)</f>
        <v>329.23</v>
      </c>
      <c r="J12" s="199">
        <f ca="1">INDIRECT(Calculation!AA13)</f>
        <v>1843.8200000000002</v>
      </c>
      <c r="K12" s="199">
        <f ca="1">INDIRECT(Calculation!AB13)</f>
        <v>13154.6</v>
      </c>
      <c r="L12" s="197">
        <f ca="1">INDIRECT(Calculation!AC13)</f>
        <v>1942.7800000000002</v>
      </c>
      <c r="M12" s="198">
        <f ca="1">INDIRECT(Calculation!AD13)</f>
        <v>1902.6199999999997</v>
      </c>
      <c r="N12" s="199">
        <f ca="1">INDIRECT(Calculation!AE13)</f>
        <v>5907.7</v>
      </c>
      <c r="O12" s="199">
        <f ca="1">INDIRECT(Calculation!AF13)</f>
        <v>12428.67</v>
      </c>
      <c r="P12" s="199">
        <f ca="1">INDIRECT(Calculation!AG13)</f>
        <v>3073.49</v>
      </c>
      <c r="Q12" s="199">
        <f ca="1">INDIRECT(Calculation!AH13)</f>
        <v>286.16</v>
      </c>
      <c r="R12" s="198">
        <f ca="1">INDIRECT(Calculation!AI13)</f>
        <v>637.58</v>
      </c>
    </row>
    <row r="13" spans="1:18" s="19" customFormat="1" ht="12">
      <c r="A13" s="231" t="s">
        <v>68</v>
      </c>
      <c r="B13" s="209"/>
      <c r="C13" s="209"/>
      <c r="D13" s="210" t="str">
        <f>IF(((D12-D11)/D11*100)&gt;100,"(+) ",IF(((D12-D11)/D11*100)&lt;-100,"(-) ",IF(ROUND(((D12-D11)/D11*100),1)=0,"- ",IF(((D12-D11)/D11*100)&gt;0,TEXT(((D12-D11)/D11*100),"+0.0 "),TEXT(((D12-D11)/D11*100),"0.0 ")))))</f>
        <v>-18.6 </v>
      </c>
      <c r="E13" s="212" t="str">
        <f>IF(((E12-E11)/E11*100)&gt;100,"(+) ",IF(((E12-E11)/E11*100)&lt;-100,"(-) ",IF(ROUND(((E12-E11)/E11*100),1)=0,"- ",IF(((E12-E11)/E11*100)&gt;0,TEXT(((E12-E11)/E11*100),"+0.0 "),TEXT(((E12-E11)/E11*100),"0.0 ")))))</f>
        <v>-21.1 </v>
      </c>
      <c r="F13" s="211" t="str">
        <f>IF(((F12-F11)/F11*100)&gt;100,"(+) ",IF(((F12-F11)/F11*100)&lt;-100,"(-) ",IF(ROUND(((F12-F11)/F11*100),1)=0,"- ",IF(((F12-F11)/F11*100)&gt;0,TEXT(((F12-F11)/F11*100),"+0.0 "),TEXT(((F12-F11)/F11*100),"0.0 ")))))</f>
        <v>-38.7 </v>
      </c>
      <c r="G13" s="212" t="str">
        <f aca="true" t="shared" si="0" ref="G13:R13">IF(((G12-G11)/G11*100)&gt;100,"(+) ",IF(((G12-G11)/G11*100)&lt;-100,"(-) ",IF(ROUND(((G12-G11)/G11*100),1)=0,"- ",IF(((G12-G11)/G11*100)&gt;0,TEXT(((G12-G11)/G11*100),"+0.0 "),TEXT(((G12-G11)/G11*100),"0.0 ")))))</f>
        <v>-18.2 </v>
      </c>
      <c r="H13" s="210" t="str">
        <f t="shared" si="0"/>
        <v>-21.0 </v>
      </c>
      <c r="I13" s="211" t="str">
        <f t="shared" si="0"/>
        <v>+31.6 </v>
      </c>
      <c r="J13" s="212" t="str">
        <f t="shared" si="0"/>
        <v>-11.0 </v>
      </c>
      <c r="K13" s="212" t="str">
        <f t="shared" si="0"/>
        <v>-20.1 </v>
      </c>
      <c r="L13" s="210" t="str">
        <f t="shared" si="0"/>
        <v>-62.5 </v>
      </c>
      <c r="M13" s="211" t="str">
        <f t="shared" si="0"/>
        <v>-7.7 </v>
      </c>
      <c r="N13" s="212" t="str">
        <f t="shared" si="0"/>
        <v>-18.2 </v>
      </c>
      <c r="O13" s="213" t="str">
        <f t="shared" si="0"/>
        <v>-6.4 </v>
      </c>
      <c r="P13" s="212" t="str">
        <f t="shared" si="0"/>
        <v>+6.4 </v>
      </c>
      <c r="Q13" s="212" t="str">
        <f t="shared" si="0"/>
        <v>-2.5 </v>
      </c>
      <c r="R13" s="211" t="str">
        <f t="shared" si="0"/>
        <v>-28.5 </v>
      </c>
    </row>
    <row r="14" spans="1:18" s="19" customFormat="1" ht="12" hidden="1">
      <c r="A14" s="220">
        <f ca="1">INDIRECT(Calculation!T22)</f>
        <v>2020</v>
      </c>
      <c r="B14" s="196" t="s">
        <v>69</v>
      </c>
      <c r="C14" s="195" t="str">
        <f ca="1">IF(INDIRECT(Calculation!U22)="Mar*","Mar",(IF(INDIRECT(Calculation!U22)="Jun*","Jun",(IF(INDIRECT(Calculation!U22)="Sep*","Sep",(IF(INDIRECT(Calculation!U22)="Dec*","Dec",INDIRECT(Calculation!U22))))))))</f>
        <v>January</v>
      </c>
      <c r="D14" s="197">
        <f ca="1">INDIRECT(Calculation!T38)</f>
        <v>5073.19</v>
      </c>
      <c r="E14" s="199">
        <f ca="1">INDIRECT(Calculation!U38)</f>
        <v>289.7</v>
      </c>
      <c r="F14" s="198">
        <f ca="1">INDIRECT(Calculation!V38)</f>
        <v>130.75</v>
      </c>
      <c r="G14" s="230">
        <f ca="1">INDIRECT(Calculation!W38)</f>
        <v>4652.74</v>
      </c>
      <c r="H14" s="197">
        <f ca="1">INDIRECT(Calculation!X38)</f>
        <v>177.01</v>
      </c>
      <c r="I14" s="198">
        <f ca="1">INDIRECT(Calculation!Y38)</f>
        <v>29.93</v>
      </c>
      <c r="J14" s="199">
        <f ca="1">INDIRECT(Calculation!Z38)</f>
        <v>186.23</v>
      </c>
      <c r="K14" s="199">
        <f ca="1">INDIRECT(Calculation!AA38)</f>
        <v>1467.56</v>
      </c>
      <c r="L14" s="197">
        <f ca="1">INDIRECT(Calculation!AB38)</f>
        <v>450.54</v>
      </c>
      <c r="M14" s="198">
        <f ca="1">INDIRECT(Calculation!AC38)</f>
        <v>245.63</v>
      </c>
      <c r="N14" s="199">
        <f ca="1">INDIRECT(Calculation!AD38)</f>
        <v>503.63</v>
      </c>
      <c r="O14" s="199">
        <f ca="1">INDIRECT(Calculation!AE38)</f>
        <v>1109.91</v>
      </c>
      <c r="P14" s="199">
        <f ca="1">INDIRECT(Calculation!AF38)</f>
        <v>310.49</v>
      </c>
      <c r="Q14" s="199">
        <f ca="1">INDIRECT(Calculation!AG38)</f>
        <v>27.04</v>
      </c>
      <c r="R14" s="198">
        <f ca="1">INDIRECT(Calculation!AH38)</f>
        <v>9.79</v>
      </c>
    </row>
    <row r="15" spans="1:18" s="19" customFormat="1" ht="12" hidden="1">
      <c r="A15" s="220">
        <f ca="1">INDIRECT(Calculation!T34)</f>
        <v>2021</v>
      </c>
      <c r="B15" s="196" t="s">
        <v>69</v>
      </c>
      <c r="C15" s="202" t="str">
        <f ca="1">IF(INDIRECT(Calculation!U34)="Mar*","Mar",(IF(INDIRECT(Calculation!U34)="Jun*","Jun",(IF(INDIRECT(Calculation!U34)="Sep*","Sep",(IF(INDIRECT(Calculation!U34)="Dec*","Dec",INDIRECT(Calculation!U34))))))))</f>
        <v>January p</v>
      </c>
      <c r="D15" s="197">
        <f ca="1">INDIRECT(Calculation!T39)</f>
        <v>3766.71</v>
      </c>
      <c r="E15" s="199">
        <f ca="1">INDIRECT(Calculation!U39)</f>
        <v>251.88</v>
      </c>
      <c r="F15" s="198">
        <f ca="1">INDIRECT(Calculation!V39)</f>
        <v>-9.46</v>
      </c>
      <c r="G15" s="230">
        <f ca="1">INDIRECT(Calculation!W39)</f>
        <v>3524.29</v>
      </c>
      <c r="H15" s="197">
        <f ca="1">INDIRECT(Calculation!X39)</f>
        <v>137.83</v>
      </c>
      <c r="I15" s="198">
        <f ca="1">INDIRECT(Calculation!Y39)</f>
        <v>26.01</v>
      </c>
      <c r="J15" s="199">
        <f ca="1">INDIRECT(Calculation!Z39)</f>
        <v>125.68</v>
      </c>
      <c r="K15" s="199">
        <f ca="1">INDIRECT(Calculation!AA39)</f>
        <v>1131.8</v>
      </c>
      <c r="L15" s="197">
        <f ca="1">INDIRECT(Calculation!AB39)</f>
        <v>78.16</v>
      </c>
      <c r="M15" s="198">
        <f ca="1">INDIRECT(Calculation!AC39)</f>
        <v>175.47</v>
      </c>
      <c r="N15" s="199">
        <f ca="1">INDIRECT(Calculation!AD39)</f>
        <v>523.14</v>
      </c>
      <c r="O15" s="199">
        <f ca="1">INDIRECT(Calculation!AE39)</f>
        <v>902.09</v>
      </c>
      <c r="P15" s="199">
        <f ca="1">INDIRECT(Calculation!AF39)</f>
        <v>192.67</v>
      </c>
      <c r="Q15" s="199">
        <f ca="1">INDIRECT(Calculation!AG39)</f>
        <v>29.76</v>
      </c>
      <c r="R15" s="198">
        <f ca="1">INDIRECT(Calculation!AH39)</f>
        <v>13.06</v>
      </c>
    </row>
    <row r="16" spans="1:18" s="19" customFormat="1" ht="14.25" customHeight="1" hidden="1">
      <c r="A16" s="231" t="s">
        <v>68</v>
      </c>
      <c r="B16" s="232"/>
      <c r="C16" s="232"/>
      <c r="D16" s="210" t="str">
        <f>IF(((D15-D14)/D14*100)&gt;100,"(+) ",IF(((D15-D14)/D14*100)&lt;-100,"(-) ",IF(ROUND(((D15-D14)/D14*100),1)=0,"- ",IF(((D15-D14)/D14*100)&gt;0,TEXT(((D15-D14)/D14*100),"+0.0 "),TEXT(((D15-D14)/D14*100),"0.0 ")))))</f>
        <v>-25.8 </v>
      </c>
      <c r="E16" s="212" t="str">
        <f aca="true" t="shared" si="1" ref="E16:R16">IF(((E15-E14)/E14*100)&gt;100,"(+) ",IF(((E15-E14)/E14*100)&lt;-100,"(-) ",IF(ROUND(((E15-E14)/E14*100),1)=0,"- ",IF(((E15-E14)/E14*100)&gt;0,TEXT(((E15-E14)/E14*100),"+0.0 "),TEXT(((E15-E14)/E14*100),"0.0 ")))))</f>
        <v>-13.1 </v>
      </c>
      <c r="F16" s="211" t="str">
        <f t="shared" si="1"/>
        <v>(-) </v>
      </c>
      <c r="G16" s="212" t="str">
        <f t="shared" si="1"/>
        <v>-24.3 </v>
      </c>
      <c r="H16" s="210" t="str">
        <f t="shared" si="1"/>
        <v>-22.1 </v>
      </c>
      <c r="I16" s="211" t="str">
        <f t="shared" si="1"/>
        <v>-13.1 </v>
      </c>
      <c r="J16" s="212" t="str">
        <f t="shared" si="1"/>
        <v>-32.5 </v>
      </c>
      <c r="K16" s="212" t="str">
        <f t="shared" si="1"/>
        <v>-22.9 </v>
      </c>
      <c r="L16" s="210" t="str">
        <f t="shared" si="1"/>
        <v>-82.7 </v>
      </c>
      <c r="M16" s="211" t="str">
        <f t="shared" si="1"/>
        <v>-28.6 </v>
      </c>
      <c r="N16" s="212" t="str">
        <f t="shared" si="1"/>
        <v>+3.9 </v>
      </c>
      <c r="O16" s="212" t="str">
        <f t="shared" si="1"/>
        <v>-18.7 </v>
      </c>
      <c r="P16" s="212" t="str">
        <f t="shared" si="1"/>
        <v>-37.9 </v>
      </c>
      <c r="Q16" s="212" t="str">
        <f t="shared" si="1"/>
        <v>+10.1 </v>
      </c>
      <c r="R16" s="211" t="str">
        <f t="shared" si="1"/>
        <v>+33.4 </v>
      </c>
    </row>
    <row r="17" spans="1:20" s="19" customFormat="1" ht="12" customHeight="1">
      <c r="A17" s="220">
        <f ca="1">INDIRECT(Calculation!T20)</f>
        <v>2019</v>
      </c>
      <c r="B17" s="195" t="str">
        <f ca="1">INDIRECT(Calculation!U20)</f>
        <v>November</v>
      </c>
      <c r="C17" s="196"/>
      <c r="D17" s="197">
        <f ca="1">INDIRECT(Calculation!V20)</f>
        <v>5051.46</v>
      </c>
      <c r="E17" s="199">
        <f ca="1">INDIRECT(Calculation!W20)</f>
        <v>279.47</v>
      </c>
      <c r="F17" s="198">
        <f ca="1">INDIRECT(Calculation!X20)</f>
        <v>9.65</v>
      </c>
      <c r="G17" s="230">
        <f ca="1">INDIRECT(Calculation!Y20)</f>
        <v>4762.34</v>
      </c>
      <c r="H17" s="197">
        <f ca="1">INDIRECT(Calculation!Z20)</f>
        <v>149.03</v>
      </c>
      <c r="I17" s="198">
        <f ca="1">INDIRECT(Calculation!AA20)</f>
        <v>25.47</v>
      </c>
      <c r="J17" s="199">
        <f ca="1">INDIRECT(Calculation!AB20)</f>
        <v>172.51</v>
      </c>
      <c r="K17" s="199">
        <f ca="1">INDIRECT(Calculation!AC20)</f>
        <v>1515.8</v>
      </c>
      <c r="L17" s="197">
        <f ca="1">INDIRECT(Calculation!AD20)</f>
        <v>381.87</v>
      </c>
      <c r="M17" s="198">
        <f ca="1">INDIRECT(Calculation!AE20)</f>
        <v>228.01</v>
      </c>
      <c r="N17" s="199">
        <f ca="1">INDIRECT(Calculation!AF20)</f>
        <v>581.17</v>
      </c>
      <c r="O17" s="199">
        <f ca="1">INDIRECT(Calculation!AG20)</f>
        <v>1133.83</v>
      </c>
      <c r="P17" s="199">
        <f ca="1">INDIRECT(Calculation!AH20)</f>
        <v>250.43</v>
      </c>
      <c r="Q17" s="199">
        <f ca="1">INDIRECT(Calculation!AI20)</f>
        <v>0</v>
      </c>
      <c r="R17" s="198">
        <f ca="1">INDIRECT(Calculation!AJ20)</f>
        <v>67.86</v>
      </c>
      <c r="T17" s="122"/>
    </row>
    <row r="18" spans="1:22" s="19" customFormat="1" ht="12">
      <c r="A18" s="220"/>
      <c r="B18" s="203" t="str">
        <f ca="1">INDIRECT(Calculation!U21)</f>
        <v>December</v>
      </c>
      <c r="C18" s="196"/>
      <c r="D18" s="197">
        <f ca="1">INDIRECT(Calculation!V21)</f>
        <v>5358.82</v>
      </c>
      <c r="E18" s="199">
        <f ca="1">INDIRECT(Calculation!W21)</f>
        <v>322.06</v>
      </c>
      <c r="F18" s="198">
        <f ca="1">INDIRECT(Calculation!X21)</f>
        <v>46.63</v>
      </c>
      <c r="G18" s="230">
        <f ca="1">INDIRECT(Calculation!Y21)</f>
        <v>4990.13</v>
      </c>
      <c r="H18" s="197">
        <f ca="1">INDIRECT(Calculation!Z21)</f>
        <v>178.66</v>
      </c>
      <c r="I18" s="198">
        <f ca="1">INDIRECT(Calculation!AA21)</f>
        <v>19.77</v>
      </c>
      <c r="J18" s="199">
        <f ca="1">INDIRECT(Calculation!AB21)</f>
        <v>182.03</v>
      </c>
      <c r="K18" s="199">
        <f ca="1">INDIRECT(Calculation!AC21)</f>
        <v>1548.56</v>
      </c>
      <c r="L18" s="197">
        <f ca="1">INDIRECT(Calculation!AD21)</f>
        <v>422.41</v>
      </c>
      <c r="M18" s="198">
        <f ca="1">INDIRECT(Calculation!AE21)</f>
        <v>249.66</v>
      </c>
      <c r="N18" s="199">
        <f ca="1">INDIRECT(Calculation!AF21)</f>
        <v>558.59</v>
      </c>
      <c r="O18" s="199">
        <f ca="1">INDIRECT(Calculation!AG21)</f>
        <v>1265.34</v>
      </c>
      <c r="P18" s="199">
        <f ca="1">INDIRECT(Calculation!AH21)</f>
        <v>266.35</v>
      </c>
      <c r="Q18" s="199">
        <f ca="1">INDIRECT(Calculation!AI21)</f>
        <v>20.58</v>
      </c>
      <c r="R18" s="198">
        <f ca="1">INDIRECT(Calculation!AJ21)</f>
        <v>70.58</v>
      </c>
      <c r="T18" s="122"/>
      <c r="V18" s="19" t="s">
        <v>146</v>
      </c>
    </row>
    <row r="19" spans="1:20" s="19" customFormat="1" ht="12">
      <c r="A19" s="219">
        <f>IF($B19="January",($A17+1)," ")</f>
        <v>2020</v>
      </c>
      <c r="B19" s="195" t="str">
        <f ca="1">INDIRECT(Calculation!U22)</f>
        <v>January</v>
      </c>
      <c r="C19" s="174"/>
      <c r="D19" s="197">
        <f ca="1">INDIRECT(Calculation!V22)</f>
        <v>5073.19</v>
      </c>
      <c r="E19" s="199">
        <f ca="1">INDIRECT(Calculation!W22)</f>
        <v>289.7</v>
      </c>
      <c r="F19" s="198">
        <f ca="1">INDIRECT(Calculation!X22)</f>
        <v>130.75</v>
      </c>
      <c r="G19" s="230">
        <f ca="1">INDIRECT(Calculation!Y22)</f>
        <v>4652.74</v>
      </c>
      <c r="H19" s="197">
        <f ca="1">INDIRECT(Calculation!Z22)</f>
        <v>177.01</v>
      </c>
      <c r="I19" s="198">
        <f ca="1">INDIRECT(Calculation!AA22)</f>
        <v>29.93</v>
      </c>
      <c r="J19" s="199">
        <f ca="1">INDIRECT(Calculation!AB22)</f>
        <v>186.23</v>
      </c>
      <c r="K19" s="199">
        <f ca="1">INDIRECT(Calculation!AC22)</f>
        <v>1467.56</v>
      </c>
      <c r="L19" s="197">
        <f ca="1">INDIRECT(Calculation!AD22)</f>
        <v>450.54</v>
      </c>
      <c r="M19" s="198">
        <f ca="1">INDIRECT(Calculation!AE22)</f>
        <v>245.63</v>
      </c>
      <c r="N19" s="199">
        <f ca="1">INDIRECT(Calculation!AF22)</f>
        <v>503.63</v>
      </c>
      <c r="O19" s="199">
        <f ca="1">INDIRECT(Calculation!AG22)</f>
        <v>1109.91</v>
      </c>
      <c r="P19" s="199">
        <f ca="1">INDIRECT(Calculation!AH22)</f>
        <v>310.49</v>
      </c>
      <c r="Q19" s="199">
        <f ca="1">INDIRECT(Calculation!AI22)</f>
        <v>27.04</v>
      </c>
      <c r="R19" s="198">
        <f ca="1">INDIRECT(Calculation!AJ22)</f>
        <v>9.79</v>
      </c>
      <c r="T19" s="122"/>
    </row>
    <row r="20" spans="1:20" s="19" customFormat="1" ht="12">
      <c r="A20" s="221" t="s">
        <v>70</v>
      </c>
      <c r="B20" s="200"/>
      <c r="C20" s="201"/>
      <c r="D20" s="222">
        <f aca="true" t="shared" si="2" ref="D20:R20">SUM(D17:D19)</f>
        <v>15483.469999999998</v>
      </c>
      <c r="E20" s="224">
        <f t="shared" si="2"/>
        <v>891.23</v>
      </c>
      <c r="F20" s="223">
        <f t="shared" si="2"/>
        <v>187.03</v>
      </c>
      <c r="G20" s="224">
        <f t="shared" si="2"/>
        <v>14405.210000000001</v>
      </c>
      <c r="H20" s="222">
        <f t="shared" si="2"/>
        <v>504.7</v>
      </c>
      <c r="I20" s="223">
        <f t="shared" si="2"/>
        <v>75.16999999999999</v>
      </c>
      <c r="J20" s="224">
        <f t="shared" si="2"/>
        <v>540.77</v>
      </c>
      <c r="K20" s="224">
        <f t="shared" si="2"/>
        <v>4531.92</v>
      </c>
      <c r="L20" s="222">
        <f t="shared" si="2"/>
        <v>1254.82</v>
      </c>
      <c r="M20" s="223">
        <f t="shared" si="2"/>
        <v>723.3</v>
      </c>
      <c r="N20" s="224">
        <f t="shared" si="2"/>
        <v>1643.3899999999999</v>
      </c>
      <c r="O20" s="224">
        <f t="shared" si="2"/>
        <v>3509.08</v>
      </c>
      <c r="P20" s="224">
        <f t="shared" si="2"/>
        <v>827.27</v>
      </c>
      <c r="Q20" s="224">
        <f t="shared" si="2"/>
        <v>47.62</v>
      </c>
      <c r="R20" s="223">
        <f t="shared" si="2"/>
        <v>148.23</v>
      </c>
      <c r="S20" s="114"/>
      <c r="T20" s="122"/>
    </row>
    <row r="21" spans="1:20" s="19" customFormat="1" ht="12">
      <c r="A21" s="220">
        <f ca="1">INDIRECT(Calculation!T32)</f>
        <v>2020</v>
      </c>
      <c r="B21" s="204" t="str">
        <f ca="1">INDIRECT(Calculation!U32)</f>
        <v>November</v>
      </c>
      <c r="C21" s="174"/>
      <c r="D21" s="197">
        <f ca="1">INDIRECT(Calculation!V32)</f>
        <v>3920.28</v>
      </c>
      <c r="E21" s="352">
        <f ca="1">INDIRECT(Calculation!W32)</f>
        <v>222.45</v>
      </c>
      <c r="F21" s="198">
        <f ca="1">INDIRECT(Calculation!X32)</f>
        <v>33.98</v>
      </c>
      <c r="G21" s="353">
        <f ca="1">INDIRECT(Calculation!Y32)</f>
        <v>3663.85</v>
      </c>
      <c r="H21" s="197">
        <f ca="1">INDIRECT(Calculation!Z32)</f>
        <v>143.7</v>
      </c>
      <c r="I21" s="198">
        <f ca="1">INDIRECT(Calculation!AA32)</f>
        <v>29.87</v>
      </c>
      <c r="J21" s="199">
        <f ca="1">INDIRECT(Calculation!AB32)</f>
        <v>142.26</v>
      </c>
      <c r="K21" s="199">
        <f ca="1">INDIRECT(Calculation!AC32)</f>
        <v>1185.74</v>
      </c>
      <c r="L21" s="197">
        <f ca="1">INDIRECT(Calculation!AD32)</f>
        <v>74.58</v>
      </c>
      <c r="M21" s="198">
        <f ca="1">INDIRECT(Calculation!AE32)</f>
        <v>156.73</v>
      </c>
      <c r="N21" s="199">
        <f ca="1">INDIRECT(Calculation!AF32)</f>
        <v>439.24</v>
      </c>
      <c r="O21" s="199">
        <f ca="1">INDIRECT(Calculation!AG32)</f>
        <v>1036.59</v>
      </c>
      <c r="P21" s="199">
        <f ca="1">INDIRECT(Calculation!AH32)</f>
        <v>216.92</v>
      </c>
      <c r="Q21" s="199">
        <f ca="1">INDIRECT(Calculation!AI32)</f>
        <v>8.29</v>
      </c>
      <c r="R21" s="198">
        <f ca="1">INDIRECT(Calculation!AJ32)</f>
        <v>51.14</v>
      </c>
      <c r="S21" s="117"/>
      <c r="T21" s="122"/>
    </row>
    <row r="22" spans="1:20" s="19" customFormat="1" ht="12">
      <c r="A22" s="220"/>
      <c r="B22" s="204" t="str">
        <f ca="1">INDIRECT(Calculation!U33)</f>
        <v>December</v>
      </c>
      <c r="C22" s="174"/>
      <c r="D22" s="197">
        <f ca="1">INDIRECT(Calculation!V33)</f>
        <v>4248.03</v>
      </c>
      <c r="E22" s="199">
        <f ca="1">INDIRECT(Calculation!W33)</f>
        <v>245</v>
      </c>
      <c r="F22" s="198">
        <f ca="1">INDIRECT(Calculation!X33)</f>
        <v>18.48</v>
      </c>
      <c r="G22" s="230">
        <f ca="1">INDIRECT(Calculation!Y33)</f>
        <v>3984.55</v>
      </c>
      <c r="H22" s="197">
        <f ca="1">INDIRECT(Calculation!Z33)</f>
        <v>156.67</v>
      </c>
      <c r="I22" s="198">
        <f ca="1">INDIRECT(Calculation!AA33)</f>
        <v>27.36</v>
      </c>
      <c r="J22" s="199">
        <f ca="1">INDIRECT(Calculation!AB33)</f>
        <v>131.01</v>
      </c>
      <c r="K22" s="199">
        <f ca="1">INDIRECT(Calculation!AC33)</f>
        <v>1255.5</v>
      </c>
      <c r="L22" s="197">
        <f ca="1">INDIRECT(Calculation!AD33)</f>
        <v>100.09</v>
      </c>
      <c r="M22" s="198">
        <f ca="1">INDIRECT(Calculation!AE33)</f>
        <v>157.76</v>
      </c>
      <c r="N22" s="199">
        <f ca="1">INDIRECT(Calculation!AF33)</f>
        <v>531.3</v>
      </c>
      <c r="O22" s="199">
        <f ca="1">INDIRECT(Calculation!AG33)</f>
        <v>1103.52</v>
      </c>
      <c r="P22" s="199">
        <f ca="1">INDIRECT(Calculation!AH33)</f>
        <v>221.4</v>
      </c>
      <c r="Q22" s="199">
        <f ca="1">INDIRECT(Calculation!AI33)</f>
        <v>36.81</v>
      </c>
      <c r="R22" s="198">
        <f ca="1">INDIRECT(Calculation!AJ33)</f>
        <v>54.71</v>
      </c>
      <c r="S22" s="117"/>
      <c r="T22" s="122"/>
    </row>
    <row r="23" spans="1:20" s="19" customFormat="1" ht="12">
      <c r="A23" s="220">
        <f ca="1">INDIRECT(Calculation!T34)</f>
        <v>2021</v>
      </c>
      <c r="B23" s="376" t="str">
        <f ca="1">INDIRECT(Calculation!U34)</f>
        <v>January p</v>
      </c>
      <c r="C23" s="174"/>
      <c r="D23" s="205">
        <f ca="1">INDIRECT(Calculation!V34)</f>
        <v>3766.71</v>
      </c>
      <c r="E23" s="206">
        <f ca="1">INDIRECT(Calculation!W34)</f>
        <v>251.88</v>
      </c>
      <c r="F23" s="198">
        <f ca="1">INDIRECT(Calculation!X34)</f>
        <v>-9.46</v>
      </c>
      <c r="G23" s="227">
        <f ca="1">INDIRECT(Calculation!Y34)</f>
        <v>3524.29</v>
      </c>
      <c r="H23" s="205">
        <f ca="1">INDIRECT(Calculation!Z34)</f>
        <v>137.83</v>
      </c>
      <c r="I23" s="207">
        <f ca="1">INDIRECT(Calculation!AA34)</f>
        <v>26.01</v>
      </c>
      <c r="J23" s="206">
        <f ca="1">INDIRECT(Calculation!AB34)</f>
        <v>125.68</v>
      </c>
      <c r="K23" s="206">
        <f ca="1">INDIRECT(Calculation!AC34)</f>
        <v>1131.8</v>
      </c>
      <c r="L23" s="205">
        <f ca="1">INDIRECT(Calculation!AD34)</f>
        <v>78.16</v>
      </c>
      <c r="M23" s="207">
        <f ca="1">INDIRECT(Calculation!AE34)</f>
        <v>175.47</v>
      </c>
      <c r="N23" s="206">
        <f ca="1">INDIRECT(Calculation!AF34)</f>
        <v>523.14</v>
      </c>
      <c r="O23" s="206">
        <f ca="1">INDIRECT(Calculation!AG34)</f>
        <v>902.09</v>
      </c>
      <c r="P23" s="206">
        <f ca="1">INDIRECT(Calculation!AH34)</f>
        <v>192.67</v>
      </c>
      <c r="Q23" s="206">
        <f ca="1">INDIRECT(Calculation!AI34)</f>
        <v>29.76</v>
      </c>
      <c r="R23" s="207">
        <f ca="1">INDIRECT(Calculation!AJ34)</f>
        <v>13.06</v>
      </c>
      <c r="S23" s="117"/>
      <c r="T23" s="122"/>
    </row>
    <row r="24" spans="1:21" s="19" customFormat="1" ht="12">
      <c r="A24" s="219" t="s">
        <v>70</v>
      </c>
      <c r="B24" s="196"/>
      <c r="C24" s="196"/>
      <c r="D24" s="225">
        <f aca="true" t="shared" si="3" ref="D24:R24">SUM(D21:D23)</f>
        <v>11935.02</v>
      </c>
      <c r="E24" s="227">
        <f t="shared" si="3"/>
        <v>719.3299999999999</v>
      </c>
      <c r="F24" s="226">
        <f t="shared" si="3"/>
        <v>42.99999999999999</v>
      </c>
      <c r="G24" s="227">
        <f t="shared" si="3"/>
        <v>11172.689999999999</v>
      </c>
      <c r="H24" s="225">
        <f t="shared" si="3"/>
        <v>438.20000000000005</v>
      </c>
      <c r="I24" s="228">
        <f t="shared" si="3"/>
        <v>83.24000000000001</v>
      </c>
      <c r="J24" s="227">
        <f t="shared" si="3"/>
        <v>398.95</v>
      </c>
      <c r="K24" s="227">
        <f t="shared" si="3"/>
        <v>3573.04</v>
      </c>
      <c r="L24" s="225">
        <f t="shared" si="3"/>
        <v>252.83</v>
      </c>
      <c r="M24" s="228">
        <f t="shared" si="3"/>
        <v>489.96000000000004</v>
      </c>
      <c r="N24" s="227">
        <f t="shared" si="3"/>
        <v>1493.6799999999998</v>
      </c>
      <c r="O24" s="227">
        <f t="shared" si="3"/>
        <v>3042.2</v>
      </c>
      <c r="P24" s="227">
        <f t="shared" si="3"/>
        <v>630.99</v>
      </c>
      <c r="Q24" s="227">
        <f t="shared" si="3"/>
        <v>74.86</v>
      </c>
      <c r="R24" s="228">
        <f t="shared" si="3"/>
        <v>118.91</v>
      </c>
      <c r="S24" s="117"/>
      <c r="T24" s="122"/>
      <c r="U24" s="122"/>
    </row>
    <row r="25" spans="1:21" s="19" customFormat="1" ht="12">
      <c r="A25" s="208" t="s">
        <v>202</v>
      </c>
      <c r="B25" s="214"/>
      <c r="C25" s="214"/>
      <c r="D25" s="215" t="str">
        <f>IF(((D24-D20)/D20*100)&gt;100,"(+) ",IF(((D24-D20)/D20*100)&lt;-100,"(-) ",IF(ROUND(((D24-D20)/D20*100),1)=0,"- ",IF(((D24-D20)/D20*100)&gt;0,TEXT(((D24-D20)/D20*100),"+0.0 "),TEXT(((D24-D20)/D20*100),"0.0 ")))))</f>
        <v>-22.9 </v>
      </c>
      <c r="E25" s="217" t="str">
        <f aca="true" t="shared" si="4" ref="E25:R25">IF(((E24-E20)/E20*100)&gt;100,"(+) ",IF(((E24-E20)/E20*100)&lt;-100,"(-) ",IF(ROUND(((E24-E20)/E20*100),1)=0,"- ",IF(((E24-E20)/E20*100)&gt;0,TEXT(((E24-E20)/E20*100),"+0.0 "),TEXT(((E24-E20)/E20*100),"0.0 ")))))</f>
        <v>-19.3 </v>
      </c>
      <c r="F25" s="216" t="str">
        <f t="shared" si="4"/>
        <v>-77.0 </v>
      </c>
      <c r="G25" s="361" t="str">
        <f t="shared" si="4"/>
        <v>-22.4 </v>
      </c>
      <c r="H25" s="215" t="str">
        <f t="shared" si="4"/>
        <v>-13.2 </v>
      </c>
      <c r="I25" s="216" t="str">
        <f t="shared" si="4"/>
        <v>+10.7 </v>
      </c>
      <c r="J25" s="217" t="str">
        <f t="shared" si="4"/>
        <v>-26.2 </v>
      </c>
      <c r="K25" s="218" t="str">
        <f>IF(((K24-K20)/K20*100)&gt;100,"(+) ",IF(((K24-K20)/K20*100)&lt;-100,"(-) ",IF(ROUND(((K24-K20)/K20*100),1)=0,"- ",IF(((K24-K20)/K20*100)&gt;0,TEXT(((K24-K20)/K20*100),"+0.0 "),TEXT(((K24-K20)/K20*100),"0.0 ")))))</f>
        <v>-21.2 </v>
      </c>
      <c r="L25" s="215" t="str">
        <f t="shared" si="4"/>
        <v>-79.9 </v>
      </c>
      <c r="M25" s="216" t="str">
        <f t="shared" si="4"/>
        <v>-32.3 </v>
      </c>
      <c r="N25" s="217" t="str">
        <f t="shared" si="4"/>
        <v>-9.1 </v>
      </c>
      <c r="O25" s="217" t="str">
        <f t="shared" si="4"/>
        <v>-13.3 </v>
      </c>
      <c r="P25" s="217" t="str">
        <f t="shared" si="4"/>
        <v>-23.7 </v>
      </c>
      <c r="Q25" s="217" t="str">
        <f t="shared" si="4"/>
        <v>+57.2 </v>
      </c>
      <c r="R25" s="216" t="str">
        <f t="shared" si="4"/>
        <v>-19.8 </v>
      </c>
      <c r="S25" s="115"/>
      <c r="T25" s="20"/>
      <c r="U25" s="117"/>
    </row>
    <row r="26" spans="1:20" s="19" customFormat="1" ht="12">
      <c r="A26" s="118"/>
      <c r="B26" s="20"/>
      <c r="C26" s="20"/>
      <c r="D26" s="119"/>
      <c r="E26" s="119"/>
      <c r="F26" s="119"/>
      <c r="G26" s="369"/>
      <c r="H26" s="119"/>
      <c r="I26" s="119"/>
      <c r="J26" s="119"/>
      <c r="K26" s="165"/>
      <c r="L26" s="369"/>
      <c r="M26" s="369"/>
      <c r="N26" s="119"/>
      <c r="O26" s="119"/>
      <c r="P26" s="119"/>
      <c r="Q26" s="119"/>
      <c r="R26" s="119"/>
      <c r="S26" s="140"/>
      <c r="T26" s="20"/>
    </row>
    <row r="27" spans="1:19" s="120" customFormat="1" ht="11.25">
      <c r="A27" s="154" t="s">
        <v>150</v>
      </c>
      <c r="G27" s="142"/>
      <c r="H27" s="152"/>
      <c r="I27" s="362"/>
      <c r="J27" s="152"/>
      <c r="K27" s="152"/>
      <c r="L27" s="152"/>
      <c r="M27" s="152"/>
      <c r="N27" s="152"/>
      <c r="O27" s="152"/>
      <c r="P27" s="152"/>
      <c r="Q27" s="152"/>
      <c r="R27" s="152"/>
      <c r="S27" s="141"/>
    </row>
    <row r="28" spans="1:19" s="120" customFormat="1" ht="11.25">
      <c r="A28" s="154" t="s">
        <v>147</v>
      </c>
      <c r="D28" s="130"/>
      <c r="E28" s="130"/>
      <c r="F28" s="130"/>
      <c r="G28" s="130"/>
      <c r="H28" s="147"/>
      <c r="I28" s="130"/>
      <c r="J28" s="142"/>
      <c r="K28" s="142"/>
      <c r="L28" s="152"/>
      <c r="M28" s="142"/>
      <c r="N28" s="142"/>
      <c r="O28" s="142"/>
      <c r="P28" s="142"/>
      <c r="Q28" s="142"/>
      <c r="R28" s="142"/>
      <c r="S28" s="141"/>
    </row>
    <row r="29" spans="1:17" s="120" customFormat="1" ht="11.25">
      <c r="A29" s="154" t="s">
        <v>148</v>
      </c>
      <c r="I29" s="121"/>
      <c r="Q29" s="121"/>
    </row>
    <row r="30" spans="1:17" s="120" customFormat="1" ht="11.25">
      <c r="A30" s="154" t="s">
        <v>149</v>
      </c>
      <c r="B30" s="18"/>
      <c r="I30" s="121"/>
      <c r="Q30" s="121"/>
    </row>
    <row r="31" spans="1:18" ht="13.5" customHeight="1">
      <c r="A31" s="18"/>
      <c r="B31" s="18"/>
      <c r="C31" s="19"/>
      <c r="D31" s="354"/>
      <c r="E31" s="354"/>
      <c r="F31" s="354"/>
      <c r="G31" s="354"/>
      <c r="H31" s="354"/>
      <c r="I31" s="354"/>
      <c r="J31" s="354"/>
      <c r="K31" s="354"/>
      <c r="L31" s="354"/>
      <c r="M31" s="355"/>
      <c r="N31" s="354"/>
      <c r="O31" s="354"/>
      <c r="P31" s="354"/>
      <c r="Q31" s="354"/>
      <c r="R31" s="354"/>
    </row>
    <row r="32" spans="1:18" ht="12" customHeight="1">
      <c r="A32" s="124" t="s">
        <v>152</v>
      </c>
      <c r="B32" s="38"/>
      <c r="C32" s="25"/>
      <c r="D32" s="40"/>
      <c r="E32" s="40"/>
      <c r="F32" s="40"/>
      <c r="G32" s="40"/>
      <c r="H32" s="40"/>
      <c r="I32" s="40"/>
      <c r="J32" s="40"/>
      <c r="K32" s="40"/>
      <c r="L32" s="40"/>
      <c r="M32" s="40"/>
      <c r="N32" s="40"/>
      <c r="O32" s="40"/>
      <c r="P32" s="40"/>
      <c r="Q32" s="40"/>
      <c r="R32" s="40"/>
    </row>
    <row r="33" spans="1:18" ht="12" customHeight="1">
      <c r="A33" s="41"/>
      <c r="B33" s="38"/>
      <c r="C33" s="25"/>
      <c r="D33" s="366"/>
      <c r="E33" s="367"/>
      <c r="F33" s="366"/>
      <c r="G33" s="366"/>
      <c r="H33" s="367"/>
      <c r="I33" s="366"/>
      <c r="J33" s="367"/>
      <c r="K33" s="367"/>
      <c r="L33" s="367"/>
      <c r="M33" s="367"/>
      <c r="N33" s="367"/>
      <c r="O33" s="367"/>
      <c r="P33" s="367"/>
      <c r="Q33" s="367"/>
      <c r="R33" s="367"/>
    </row>
    <row r="34" spans="1:18" ht="12" customHeight="1">
      <c r="A34" s="42"/>
      <c r="B34" s="25"/>
      <c r="C34" s="25"/>
      <c r="D34" s="368"/>
      <c r="E34" s="368"/>
      <c r="F34" s="368"/>
      <c r="G34" s="368"/>
      <c r="H34" s="368"/>
      <c r="I34" s="368"/>
      <c r="J34" s="368"/>
      <c r="K34" s="368"/>
      <c r="L34" s="368"/>
      <c r="M34" s="368"/>
      <c r="N34" s="368"/>
      <c r="O34" s="368"/>
      <c r="P34" s="368"/>
      <c r="Q34" s="368"/>
      <c r="R34" s="368"/>
    </row>
    <row r="35" spans="1:18" ht="12.75" customHeight="1">
      <c r="A35" s="39"/>
      <c r="B35" s="39"/>
      <c r="C35" s="25"/>
      <c r="D35" s="40"/>
      <c r="E35" s="40"/>
      <c r="F35" s="43"/>
      <c r="G35" s="40"/>
      <c r="H35" s="40"/>
      <c r="I35" s="40"/>
      <c r="J35" s="40"/>
      <c r="K35" s="40"/>
      <c r="L35" s="40"/>
      <c r="M35" s="40"/>
      <c r="N35" s="40"/>
      <c r="O35" s="40"/>
      <c r="P35" s="40"/>
      <c r="Q35" s="40"/>
      <c r="R35" s="40"/>
    </row>
    <row r="36" spans="1:18" ht="12" customHeight="1">
      <c r="A36" s="24"/>
      <c r="B36" s="39"/>
      <c r="C36" s="25"/>
      <c r="D36" s="40"/>
      <c r="E36" s="40"/>
      <c r="F36" s="40"/>
      <c r="G36" s="40"/>
      <c r="H36" s="40"/>
      <c r="I36" s="40"/>
      <c r="J36" s="40"/>
      <c r="K36" s="40"/>
      <c r="L36" s="40"/>
      <c r="M36" s="40"/>
      <c r="N36" s="40"/>
      <c r="O36" s="40"/>
      <c r="P36" s="40"/>
      <c r="Q36" s="40"/>
      <c r="R36" s="40"/>
    </row>
    <row r="37" spans="1:18" ht="12" customHeight="1">
      <c r="A37" s="24"/>
      <c r="B37" s="39"/>
      <c r="C37" s="38"/>
      <c r="D37" s="40"/>
      <c r="E37" s="40"/>
      <c r="F37" s="40"/>
      <c r="G37" s="40"/>
      <c r="H37" s="40"/>
      <c r="I37" s="40"/>
      <c r="J37" s="40"/>
      <c r="K37" s="40"/>
      <c r="L37" s="40"/>
      <c r="M37" s="40"/>
      <c r="N37" s="40"/>
      <c r="O37" s="40"/>
      <c r="P37" s="40"/>
      <c r="Q37" s="40"/>
      <c r="R37" s="40"/>
    </row>
    <row r="38" spans="1:18" ht="12" customHeight="1">
      <c r="A38" s="24"/>
      <c r="B38" s="25"/>
      <c r="C38" s="25"/>
      <c r="D38" s="40"/>
      <c r="E38" s="317"/>
      <c r="F38" s="317"/>
      <c r="G38" s="317"/>
      <c r="H38" s="317"/>
      <c r="I38" s="317"/>
      <c r="J38" s="317"/>
      <c r="K38" s="317"/>
      <c r="L38" s="317"/>
      <c r="M38" s="317"/>
      <c r="N38" s="317"/>
      <c r="O38" s="317"/>
      <c r="P38" s="317"/>
      <c r="Q38" s="317"/>
      <c r="R38" s="317"/>
    </row>
    <row r="39" spans="1:18" ht="12.75" customHeight="1">
      <c r="A39" s="39"/>
      <c r="B39" s="39"/>
      <c r="C39" s="38"/>
      <c r="D39" s="40"/>
      <c r="E39" s="40"/>
      <c r="F39" s="43"/>
      <c r="G39" s="40"/>
      <c r="H39" s="40"/>
      <c r="I39" s="40"/>
      <c r="J39" s="40"/>
      <c r="K39" s="40"/>
      <c r="L39" s="40"/>
      <c r="M39" s="40"/>
      <c r="N39" s="40"/>
      <c r="O39" s="40"/>
      <c r="P39" s="40"/>
      <c r="Q39" s="40"/>
      <c r="R39" s="40"/>
    </row>
    <row r="40" spans="1:18" ht="12" customHeight="1">
      <c r="A40" s="24"/>
      <c r="B40" s="39"/>
      <c r="C40" s="38"/>
      <c r="D40" s="366"/>
      <c r="E40" s="366"/>
      <c r="F40" s="366"/>
      <c r="G40" s="366"/>
      <c r="H40" s="366"/>
      <c r="I40" s="366"/>
      <c r="J40" s="366"/>
      <c r="K40" s="366"/>
      <c r="L40" s="366"/>
      <c r="M40" s="366"/>
      <c r="N40" s="366"/>
      <c r="O40" s="366"/>
      <c r="P40" s="366"/>
      <c r="Q40" s="366"/>
      <c r="R40" s="366"/>
    </row>
    <row r="41" spans="1:18" ht="12" customHeight="1">
      <c r="A41" s="24"/>
      <c r="B41" s="44"/>
      <c r="C41" s="38"/>
      <c r="D41" s="367"/>
      <c r="E41" s="40"/>
      <c r="F41" s="43"/>
      <c r="G41" s="40"/>
      <c r="H41" s="40"/>
      <c r="I41" s="40"/>
      <c r="J41" s="40"/>
      <c r="K41" s="40"/>
      <c r="L41" s="40"/>
      <c r="M41" s="40"/>
      <c r="N41" s="40"/>
      <c r="O41" s="40"/>
      <c r="P41" s="40"/>
      <c r="Q41" s="40"/>
      <c r="R41" s="40"/>
    </row>
    <row r="42" spans="1:18" ht="12" customHeight="1">
      <c r="A42" s="24"/>
      <c r="B42" s="25"/>
      <c r="C42" s="25"/>
      <c r="D42" s="26"/>
      <c r="E42" s="26"/>
      <c r="F42" s="26"/>
      <c r="G42" s="26"/>
      <c r="H42" s="26"/>
      <c r="I42" s="26"/>
      <c r="J42" s="26"/>
      <c r="K42" s="26"/>
      <c r="L42" s="26"/>
      <c r="M42" s="26"/>
      <c r="N42" s="26"/>
      <c r="O42" s="26"/>
      <c r="P42" s="26"/>
      <c r="Q42" s="26"/>
      <c r="R42" s="26"/>
    </row>
    <row r="43" spans="1:18" ht="12" customHeight="1">
      <c r="A43" s="42"/>
      <c r="B43" s="25"/>
      <c r="C43" s="25"/>
      <c r="D43" s="26"/>
      <c r="E43" s="26"/>
      <c r="F43" s="26"/>
      <c r="G43" s="26"/>
      <c r="H43" s="26"/>
      <c r="I43" s="26"/>
      <c r="J43" s="26"/>
      <c r="K43" s="26"/>
      <c r="L43" s="26"/>
      <c r="M43" s="26"/>
      <c r="N43" s="26"/>
      <c r="O43" s="26"/>
      <c r="P43" s="26"/>
      <c r="Q43" s="26"/>
      <c r="R43" s="26"/>
    </row>
    <row r="44" spans="1:18" ht="12" customHeight="1">
      <c r="A44" s="38"/>
      <c r="B44" s="38"/>
      <c r="C44" s="38"/>
      <c r="D44" s="26"/>
      <c r="E44" s="38"/>
      <c r="F44" s="38"/>
      <c r="G44" s="38"/>
      <c r="H44" s="38"/>
      <c r="I44" s="38"/>
      <c r="J44" s="38"/>
      <c r="K44" s="38"/>
      <c r="L44" s="38"/>
      <c r="M44" s="38"/>
      <c r="N44" s="38"/>
      <c r="O44" s="38"/>
      <c r="P44" s="38"/>
      <c r="Q44" s="38"/>
      <c r="R44" s="38"/>
    </row>
    <row r="45" spans="1:18" ht="12" customHeight="1">
      <c r="A45" s="38"/>
      <c r="B45" s="38"/>
      <c r="C45" s="38"/>
      <c r="D45" s="38"/>
      <c r="E45" s="38"/>
      <c r="F45" s="38"/>
      <c r="G45" s="38"/>
      <c r="H45" s="38"/>
      <c r="I45" s="38"/>
      <c r="J45" s="38"/>
      <c r="K45" s="38"/>
      <c r="L45" s="38"/>
      <c r="M45" s="38"/>
      <c r="N45" s="38"/>
      <c r="O45" s="38"/>
      <c r="P45" s="38"/>
      <c r="Q45" s="38"/>
      <c r="R45" s="38"/>
    </row>
    <row r="46" spans="1:18" ht="12.75" customHeight="1">
      <c r="A46" s="45"/>
      <c r="B46" s="45"/>
      <c r="C46" s="45"/>
      <c r="D46" s="45"/>
      <c r="E46" s="45"/>
      <c r="F46" s="45"/>
      <c r="G46" s="45"/>
      <c r="H46" s="45"/>
      <c r="I46" s="45"/>
      <c r="J46" s="45"/>
      <c r="K46" s="45"/>
      <c r="L46" s="45"/>
      <c r="M46" s="45"/>
      <c r="N46" s="45"/>
      <c r="O46" s="45"/>
      <c r="P46" s="45"/>
      <c r="Q46" s="45"/>
      <c r="R46" s="45"/>
    </row>
    <row r="47" spans="1:17" ht="12.75" customHeight="1">
      <c r="A47" s="46"/>
      <c r="B47" s="46"/>
      <c r="C47" s="46"/>
      <c r="D47" s="46"/>
      <c r="E47" s="46"/>
      <c r="F47" s="46"/>
      <c r="G47" s="46"/>
      <c r="H47" s="46"/>
      <c r="I47" s="46"/>
      <c r="J47" s="46"/>
      <c r="K47" s="46"/>
      <c r="L47" s="46"/>
      <c r="M47" s="46"/>
      <c r="N47" s="46"/>
      <c r="O47" s="46"/>
      <c r="P47" s="46"/>
      <c r="Q47" s="46"/>
    </row>
    <row r="48" ht="12.75" customHeight="1"/>
    <row r="49" ht="12.75" customHeight="1"/>
    <row r="50" ht="12.75" customHeight="1"/>
    <row r="51" ht="12.75" customHeight="1"/>
  </sheetData>
  <sheetProtection/>
  <hyperlinks>
    <hyperlink ref="A32" location="Contents!A1"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E358"/>
  <sheetViews>
    <sheetView zoomScalePageLayoutView="0" workbookViewId="0" topLeftCell="A1">
      <pane xSplit="1" ySplit="7" topLeftCell="B23" activePane="bottomRight" state="frozen"/>
      <selection pane="topLeft" activeCell="F230" sqref="F230"/>
      <selection pane="topRight" activeCell="F230" sqref="F230"/>
      <selection pane="bottomLeft" activeCell="F230" sqref="F230"/>
      <selection pane="bottomRight" activeCell="A2" sqref="A2"/>
    </sheetView>
  </sheetViews>
  <sheetFormatPr defaultColWidth="8.7109375" defaultRowHeight="12.75"/>
  <cols>
    <col min="1" max="1" width="9.28125" style="236" customWidth="1"/>
    <col min="2" max="2" width="12.00390625" style="131" bestFit="1" customWidth="1"/>
    <col min="3" max="4" width="8.00390625" style="131" customWidth="1"/>
    <col min="5" max="5" width="10.8515625" style="131" customWidth="1"/>
    <col min="6" max="6" width="10.00390625" style="131" customWidth="1"/>
    <col min="7" max="9" width="8.7109375" style="131" customWidth="1"/>
    <col min="10" max="10" width="10.140625" style="131" customWidth="1"/>
    <col min="11" max="14" width="8.7109375" style="131" customWidth="1"/>
    <col min="15" max="15" width="10.28125" style="131" bestFit="1" customWidth="1"/>
    <col min="16" max="16384" width="8.7109375" style="131" customWidth="1"/>
  </cols>
  <sheetData>
    <row r="1" ht="34.5" hidden="1">
      <c r="A1" s="235" t="s">
        <v>92</v>
      </c>
    </row>
    <row r="2" spans="1:16" ht="15">
      <c r="A2" s="320" t="s">
        <v>91</v>
      </c>
      <c r="B2" s="248"/>
      <c r="C2" s="248"/>
      <c r="D2" s="248"/>
      <c r="E2" s="248"/>
      <c r="F2" s="248"/>
      <c r="G2" s="248"/>
      <c r="H2" s="248"/>
      <c r="I2" s="248"/>
      <c r="J2" s="248"/>
      <c r="K2" s="248"/>
      <c r="L2" s="248"/>
      <c r="M2" s="248"/>
      <c r="N2" s="248"/>
      <c r="O2" s="248"/>
      <c r="P2" s="249" t="s">
        <v>67</v>
      </c>
    </row>
    <row r="3" spans="1:16" ht="12">
      <c r="A3" s="244"/>
      <c r="B3" s="245"/>
      <c r="C3" s="245"/>
      <c r="D3" s="245"/>
      <c r="E3" s="245"/>
      <c r="F3" s="245"/>
      <c r="G3" s="245"/>
      <c r="H3" s="245"/>
      <c r="I3" s="245"/>
      <c r="J3" s="245"/>
      <c r="K3" s="245"/>
      <c r="L3" s="245"/>
      <c r="M3" s="245"/>
      <c r="N3" s="245"/>
      <c r="O3" s="245"/>
      <c r="P3" s="245"/>
    </row>
    <row r="4" spans="1:16" ht="18" customHeight="1">
      <c r="A4" s="277"/>
      <c r="B4" s="323" t="s">
        <v>205</v>
      </c>
      <c r="C4" s="307"/>
      <c r="D4" s="324"/>
      <c r="E4" s="349" t="s">
        <v>207</v>
      </c>
      <c r="F4" s="322" t="s">
        <v>2</v>
      </c>
      <c r="G4" s="324"/>
      <c r="H4" s="172"/>
      <c r="I4" s="172"/>
      <c r="J4" s="322" t="s">
        <v>3</v>
      </c>
      <c r="K4" s="324"/>
      <c r="L4" s="172"/>
      <c r="M4" s="172"/>
      <c r="N4" s="172"/>
      <c r="O4" s="172"/>
      <c r="P4" s="173"/>
    </row>
    <row r="5" spans="1:30" ht="32.25" customHeight="1">
      <c r="A5" s="316"/>
      <c r="B5" s="175" t="s">
        <v>204</v>
      </c>
      <c r="C5" s="177" t="s">
        <v>12</v>
      </c>
      <c r="D5" s="176" t="s">
        <v>193</v>
      </c>
      <c r="E5" s="328" t="s">
        <v>70</v>
      </c>
      <c r="F5" s="175" t="s">
        <v>194</v>
      </c>
      <c r="G5" s="178" t="s">
        <v>203</v>
      </c>
      <c r="H5" s="177" t="s">
        <v>206</v>
      </c>
      <c r="I5" s="177" t="s">
        <v>195</v>
      </c>
      <c r="J5" s="175" t="s">
        <v>196</v>
      </c>
      <c r="K5" s="176" t="s">
        <v>197</v>
      </c>
      <c r="L5" s="177" t="s">
        <v>198</v>
      </c>
      <c r="M5" s="177" t="s">
        <v>199</v>
      </c>
      <c r="N5" s="177" t="s">
        <v>200</v>
      </c>
      <c r="O5" s="177" t="s">
        <v>201</v>
      </c>
      <c r="P5" s="176" t="s">
        <v>23</v>
      </c>
      <c r="Q5" s="291"/>
      <c r="R5" s="291"/>
      <c r="S5" s="341"/>
      <c r="T5" s="291"/>
      <c r="U5" s="291"/>
      <c r="V5" s="291"/>
      <c r="W5" s="291"/>
      <c r="X5" s="291"/>
      <c r="Y5" s="291"/>
      <c r="Z5" s="290"/>
      <c r="AA5" s="290"/>
      <c r="AB5" s="291"/>
      <c r="AC5" s="291"/>
      <c r="AD5" s="291"/>
    </row>
    <row r="6" spans="1:16" ht="12" hidden="1">
      <c r="A6" s="250"/>
      <c r="B6" s="253"/>
      <c r="C6" s="253"/>
      <c r="D6" s="253"/>
      <c r="E6" s="253"/>
      <c r="F6" s="347"/>
      <c r="G6" s="253"/>
      <c r="H6" s="253"/>
      <c r="I6" s="253"/>
      <c r="J6" s="253"/>
      <c r="K6" s="253"/>
      <c r="L6" s="253"/>
      <c r="M6" s="253"/>
      <c r="N6" s="253"/>
      <c r="O6" s="253"/>
      <c r="P6" s="253"/>
    </row>
    <row r="7" spans="1:16" ht="12" hidden="1">
      <c r="A7" s="244"/>
      <c r="B7" s="253"/>
      <c r="C7" s="254"/>
      <c r="D7" s="254"/>
      <c r="E7" s="254"/>
      <c r="F7" s="348"/>
      <c r="G7" s="254"/>
      <c r="H7" s="254"/>
      <c r="I7" s="254"/>
      <c r="J7" s="254"/>
      <c r="K7" s="254"/>
      <c r="L7" s="254"/>
      <c r="M7" s="254"/>
      <c r="N7" s="254"/>
      <c r="O7" s="254"/>
      <c r="P7" s="251"/>
    </row>
    <row r="8" spans="1:31" ht="17.25" customHeight="1">
      <c r="A8" s="262">
        <v>1995</v>
      </c>
      <c r="B8" s="285">
        <f>SUM(Quarter!C8:C11)</f>
        <v>92742.93</v>
      </c>
      <c r="C8" s="291">
        <f>SUM(Quarter!D8:D11)</f>
        <v>6480.21</v>
      </c>
      <c r="D8" s="287">
        <f>SUM(Quarter!E8:E11)</f>
        <v>131.3</v>
      </c>
      <c r="E8" s="325">
        <f>SUM(Quarter!F8:F11)</f>
        <v>86131.43</v>
      </c>
      <c r="F8" s="285">
        <f>SUM(Quarter!G8:G11)</f>
        <v>1816.41</v>
      </c>
      <c r="G8" s="287">
        <f>SUM(Quarter!H8:H11)</f>
        <v>133.15</v>
      </c>
      <c r="H8" s="285">
        <f>SUM(Quarter!I8:I11)</f>
        <v>2710.5299999999997</v>
      </c>
      <c r="I8" s="286">
        <f>SUM(Quarter!J8:J11)</f>
        <v>27254.79</v>
      </c>
      <c r="J8" s="287">
        <f>SUM(Quarter!K8:K11)</f>
        <v>7835.76</v>
      </c>
      <c r="K8" s="287">
        <f>SUM(Quarter!L8:L11)</f>
        <v>2923.05</v>
      </c>
      <c r="L8" s="289">
        <f>SUM(Quarter!M8:M11)</f>
        <v>10507.67</v>
      </c>
      <c r="M8" s="290">
        <f>SUM(Quarter!N8:N11)</f>
        <v>16662.22</v>
      </c>
      <c r="N8" s="291">
        <f>SUM(Quarter!O8:O11)</f>
        <v>10968.32</v>
      </c>
      <c r="O8" s="291">
        <f>SUM(Quarter!P8:P11)</f>
        <v>1259.97</v>
      </c>
      <c r="P8" s="286">
        <f>SUM(Quarter!Q8:Q11)</f>
        <v>2458.42</v>
      </c>
      <c r="Q8" s="338"/>
      <c r="R8" s="338"/>
      <c r="S8" s="338"/>
      <c r="T8" s="338"/>
      <c r="U8" s="338"/>
      <c r="V8" s="338"/>
      <c r="W8" s="338"/>
      <c r="X8" s="338"/>
      <c r="Y8" s="338"/>
      <c r="Z8" s="338"/>
      <c r="AA8" s="338"/>
      <c r="AB8" s="338"/>
      <c r="AC8" s="338"/>
      <c r="AD8" s="338"/>
      <c r="AE8" s="338"/>
    </row>
    <row r="9" spans="1:31" ht="12">
      <c r="A9" s="262">
        <v>1996</v>
      </c>
      <c r="B9" s="257">
        <f>SUM(Quarter!C12:C15)</f>
        <v>96661</v>
      </c>
      <c r="C9" s="255">
        <f>SUM(Quarter!D12:D15)</f>
        <v>6623</v>
      </c>
      <c r="D9" s="246">
        <f>SUM(Quarter!E12:E15)</f>
        <v>152</v>
      </c>
      <c r="E9" s="326">
        <f>SUM(Quarter!F12:F15)</f>
        <v>89885</v>
      </c>
      <c r="F9" s="257">
        <f>SUM(Quarter!G12:G15)</f>
        <v>1828</v>
      </c>
      <c r="G9" s="246">
        <f>SUM(Quarter!H12:H15)</f>
        <v>144</v>
      </c>
      <c r="H9" s="257">
        <f>SUM(Quarter!I12:I15)</f>
        <v>2825</v>
      </c>
      <c r="I9" s="256">
        <f>SUM(Quarter!J12:J15)</f>
        <v>28048</v>
      </c>
      <c r="J9" s="246">
        <f>SUM(Quarter!K12:K15)</f>
        <v>8305</v>
      </c>
      <c r="K9" s="246">
        <f>SUM(Quarter!L12:L15)</f>
        <v>3510</v>
      </c>
      <c r="L9" s="258">
        <f>SUM(Quarter!M12:M15)</f>
        <v>11162.45</v>
      </c>
      <c r="M9" s="259">
        <f>SUM(Quarter!N12:N15)</f>
        <v>17738.55</v>
      </c>
      <c r="N9" s="255">
        <f>SUM(Quarter!O12:O15)</f>
        <v>11478</v>
      </c>
      <c r="O9" s="255">
        <f>SUM(Quarter!P12:P15)</f>
        <v>1111</v>
      </c>
      <c r="P9" s="256">
        <f>SUM(Quarter!Q12:Q15)</f>
        <v>2188</v>
      </c>
      <c r="Q9" s="338"/>
      <c r="R9" s="338"/>
      <c r="S9" s="338"/>
      <c r="T9" s="338"/>
      <c r="U9" s="338"/>
      <c r="V9" s="338"/>
      <c r="W9" s="338"/>
      <c r="X9" s="338"/>
      <c r="Y9" s="338"/>
      <c r="Z9" s="338"/>
      <c r="AA9" s="338"/>
      <c r="AB9" s="338"/>
      <c r="AC9" s="338"/>
      <c r="AD9" s="338"/>
      <c r="AE9" s="338"/>
    </row>
    <row r="10" spans="1:31" ht="12">
      <c r="A10" s="262">
        <v>1997</v>
      </c>
      <c r="B10" s="257">
        <f>SUM(Quarter!C16:C19)</f>
        <v>97024.01000000001</v>
      </c>
      <c r="C10" s="255">
        <f>SUM(Quarter!D16:D19)</f>
        <v>6571.52</v>
      </c>
      <c r="D10" s="246">
        <f>SUM(Quarter!E16:E19)</f>
        <v>86.50999999999999</v>
      </c>
      <c r="E10" s="326">
        <f>SUM(Quarter!F16:F19)</f>
        <v>90365.67</v>
      </c>
      <c r="F10" s="257">
        <f>SUM(Quarter!G16:G19)</f>
        <v>1950.0900000000001</v>
      </c>
      <c r="G10" s="246">
        <f>SUM(Quarter!H16:H19)</f>
        <v>138.52</v>
      </c>
      <c r="H10" s="257">
        <f>SUM(Quarter!I16:I19)</f>
        <v>2853.7699999999995</v>
      </c>
      <c r="I10" s="256">
        <f>SUM(Quarter!J16:J19)</f>
        <v>28260.24</v>
      </c>
      <c r="J10" s="246">
        <f>SUM(Quarter!K16:K19)</f>
        <v>8342.33</v>
      </c>
      <c r="K10" s="246">
        <f>SUM(Quarter!L16:L19)</f>
        <v>3335.93</v>
      </c>
      <c r="L10" s="258">
        <f>SUM(Quarter!M16:M19)</f>
        <v>11112.45</v>
      </c>
      <c r="M10" s="259">
        <f>SUM(Quarter!N16:N19)</f>
        <v>17665.16</v>
      </c>
      <c r="N10" s="255">
        <f>SUM(Quarter!O16:O19)</f>
        <v>11746.990000000002</v>
      </c>
      <c r="O10" s="255">
        <f>SUM(Quarter!P16:P19)</f>
        <v>1231.46</v>
      </c>
      <c r="P10" s="256">
        <f>SUM(Quarter!Q16:Q19)</f>
        <v>2258.45</v>
      </c>
      <c r="Q10" s="338"/>
      <c r="R10" s="338"/>
      <c r="S10" s="338"/>
      <c r="T10" s="338"/>
      <c r="U10" s="338"/>
      <c r="V10" s="338"/>
      <c r="W10" s="338"/>
      <c r="X10" s="338"/>
      <c r="Y10" s="338"/>
      <c r="Z10" s="338"/>
      <c r="AA10" s="338"/>
      <c r="AB10" s="338"/>
      <c r="AC10" s="338"/>
      <c r="AD10" s="338"/>
      <c r="AE10" s="338"/>
    </row>
    <row r="11" spans="1:31" ht="12">
      <c r="A11" s="262">
        <v>1998</v>
      </c>
      <c r="B11" s="257">
        <f>SUM(Quarter!C20:C23)</f>
        <v>93797.01999999999</v>
      </c>
      <c r="C11" s="255">
        <f>SUM(Quarter!D20:D23)</f>
        <v>6176.99</v>
      </c>
      <c r="D11" s="246">
        <f>SUM(Quarter!E20:E23)</f>
        <v>1005.02</v>
      </c>
      <c r="E11" s="326">
        <f>SUM(Quarter!F20:F23)</f>
        <v>86615.01</v>
      </c>
      <c r="F11" s="257">
        <f>SUM(Quarter!G20:G23)</f>
        <v>1962</v>
      </c>
      <c r="G11" s="246">
        <f>SUM(Quarter!H20:H23)</f>
        <v>394</v>
      </c>
      <c r="H11" s="257">
        <f>SUM(Quarter!I20:I23)</f>
        <v>2316.01</v>
      </c>
      <c r="I11" s="256">
        <f>SUM(Quarter!J20:J23)</f>
        <v>27165.99</v>
      </c>
      <c r="J11" s="246">
        <f>SUM(Quarter!K20:K23)</f>
        <v>7875.99</v>
      </c>
      <c r="K11" s="246">
        <f>SUM(Quarter!L20:L23)</f>
        <v>3442.0099999999998</v>
      </c>
      <c r="L11" s="258">
        <f>SUM(Quarter!M20:M23)</f>
        <v>10629.619999999999</v>
      </c>
      <c r="M11" s="259">
        <f>SUM(Quarter!N20:N23)</f>
        <v>16902.39</v>
      </c>
      <c r="N11" s="255">
        <f>SUM(Quarter!O20:O23)</f>
        <v>11124.98</v>
      </c>
      <c r="O11" s="255">
        <f>SUM(Quarter!P20:P23)</f>
        <v>1124.99</v>
      </c>
      <c r="P11" s="256">
        <f>SUM(Quarter!Q20:Q23)</f>
        <v>2171.99</v>
      </c>
      <c r="Q11" s="338"/>
      <c r="R11" s="338"/>
      <c r="S11" s="338"/>
      <c r="T11" s="338"/>
      <c r="U11" s="338"/>
      <c r="V11" s="338"/>
      <c r="W11" s="338"/>
      <c r="X11" s="338"/>
      <c r="Y11" s="338"/>
      <c r="Z11" s="338"/>
      <c r="AA11" s="338"/>
      <c r="AB11" s="338"/>
      <c r="AC11" s="338"/>
      <c r="AD11" s="338"/>
      <c r="AE11" s="338"/>
    </row>
    <row r="12" spans="1:31" ht="12">
      <c r="A12" s="262">
        <v>1999</v>
      </c>
      <c r="B12" s="257">
        <f>SUM(Quarter!C24:C27)</f>
        <v>88285.98999999999</v>
      </c>
      <c r="C12" s="255">
        <f>SUM(Quarter!D24:D27)</f>
        <v>5538</v>
      </c>
      <c r="D12" s="246">
        <f>SUM(Quarter!E24:E27)</f>
        <v>1553</v>
      </c>
      <c r="E12" s="326">
        <f>SUM(Quarter!F24:F27)</f>
        <v>81194.99999999999</v>
      </c>
      <c r="F12" s="257">
        <f>SUM(Quarter!G24:G27)</f>
        <v>1975.9899999999998</v>
      </c>
      <c r="G12" s="246">
        <f>SUM(Quarter!H24:H27)</f>
        <v>361.02</v>
      </c>
      <c r="H12" s="257">
        <f>SUM(Quarter!I24:I27)</f>
        <v>2429.99</v>
      </c>
      <c r="I12" s="256">
        <f>SUM(Quarter!J24:J27)</f>
        <v>25230</v>
      </c>
      <c r="J12" s="246">
        <f>SUM(Quarter!K24:K27)</f>
        <v>7249.02</v>
      </c>
      <c r="K12" s="246">
        <f>SUM(Quarter!L24:L27)</f>
        <v>3553</v>
      </c>
      <c r="L12" s="258">
        <f>SUM(Quarter!M24:M27)</f>
        <v>9967.130000000001</v>
      </c>
      <c r="M12" s="259">
        <f>SUM(Quarter!N24:N27)</f>
        <v>15782.86</v>
      </c>
      <c r="N12" s="255">
        <f>SUM(Quarter!O24:O27)</f>
        <v>10446.01</v>
      </c>
      <c r="O12" s="255">
        <f>SUM(Quarter!P24:P27)</f>
        <v>907.0000000000001</v>
      </c>
      <c r="P12" s="256">
        <f>SUM(Quarter!Q24:Q27)</f>
        <v>1643.9900000000002</v>
      </c>
      <c r="Q12" s="338"/>
      <c r="R12" s="338"/>
      <c r="S12" s="338"/>
      <c r="T12" s="338"/>
      <c r="U12" s="338"/>
      <c r="V12" s="338"/>
      <c r="W12" s="338"/>
      <c r="X12" s="338"/>
      <c r="Y12" s="338"/>
      <c r="Z12" s="338"/>
      <c r="AA12" s="338"/>
      <c r="AB12" s="338"/>
      <c r="AC12" s="338"/>
      <c r="AD12" s="338"/>
      <c r="AE12" s="338"/>
    </row>
    <row r="13" spans="1:31" s="242" customFormat="1" ht="12">
      <c r="A13" s="278">
        <v>2000</v>
      </c>
      <c r="B13" s="257">
        <f>SUM(Quarter!C28:C31)</f>
        <v>88013.25000000001</v>
      </c>
      <c r="C13" s="255">
        <f>SUM(Quarter!D28:D31)</f>
        <v>5252.38</v>
      </c>
      <c r="D13" s="246">
        <f>SUM(Quarter!E28:E31)</f>
        <v>1631.7900000000002</v>
      </c>
      <c r="E13" s="326">
        <f>SUM(Quarter!F28:F31)</f>
        <v>81129.09</v>
      </c>
      <c r="F13" s="257">
        <f>SUM(Quarter!G28:G31)</f>
        <v>1918.74</v>
      </c>
      <c r="G13" s="246">
        <f>SUM(Quarter!H28:H31)</f>
        <v>288.01</v>
      </c>
      <c r="H13" s="257">
        <f>SUM(Quarter!I28:I31)</f>
        <v>3081.36</v>
      </c>
      <c r="I13" s="256">
        <f>SUM(Quarter!J28:J31)</f>
        <v>23445</v>
      </c>
      <c r="J13" s="246">
        <f>SUM(Quarter!K28:K31)</f>
        <v>6484</v>
      </c>
      <c r="K13" s="246">
        <f>SUM(Quarter!L28:L31)</f>
        <v>3077.89</v>
      </c>
      <c r="L13" s="258">
        <f>SUM(Quarter!M28:M31)</f>
        <v>10914.41</v>
      </c>
      <c r="M13" s="259">
        <f>SUM(Quarter!N28:N31)</f>
        <v>17308.53</v>
      </c>
      <c r="N13" s="255">
        <f>SUM(Quarter!O28:O31)</f>
        <v>10296</v>
      </c>
      <c r="O13" s="255">
        <f>SUM(Quarter!P28:P31)</f>
        <v>702.06</v>
      </c>
      <c r="P13" s="256">
        <f>SUM(Quarter!Q28:Q31)</f>
        <v>1438.0100000000002</v>
      </c>
      <c r="Q13" s="338"/>
      <c r="R13" s="338"/>
      <c r="S13" s="338"/>
      <c r="T13" s="338"/>
      <c r="U13" s="338"/>
      <c r="V13" s="338"/>
      <c r="W13" s="338"/>
      <c r="X13" s="338"/>
      <c r="Y13" s="338"/>
      <c r="Z13" s="338"/>
      <c r="AA13" s="338"/>
      <c r="AB13" s="338"/>
      <c r="AC13" s="338"/>
      <c r="AD13" s="338"/>
      <c r="AE13" s="338"/>
    </row>
    <row r="14" spans="1:31" ht="12">
      <c r="A14" s="279">
        <v>2001</v>
      </c>
      <c r="B14" s="257">
        <f>SUM(Quarter!C32:C35)</f>
        <v>83342.82</v>
      </c>
      <c r="C14" s="255">
        <f>SUM(Quarter!D32:D35)</f>
        <v>5059.31</v>
      </c>
      <c r="D14" s="246">
        <f>SUM(Quarter!E32:E35)</f>
        <v>1233.3899999999999</v>
      </c>
      <c r="E14" s="326">
        <f>SUM(Quarter!F32:F35)</f>
        <v>77050.13</v>
      </c>
      <c r="F14" s="257">
        <f>SUM(Quarter!G32:G35)</f>
        <v>1763.4499999999998</v>
      </c>
      <c r="G14" s="246">
        <f>SUM(Quarter!H32:H35)</f>
        <v>272.05</v>
      </c>
      <c r="H14" s="257">
        <f>SUM(Quarter!I32:I35)</f>
        <v>3427.5200000000004</v>
      </c>
      <c r="I14" s="256">
        <f>SUM(Quarter!J32:J35)</f>
        <v>21455.43</v>
      </c>
      <c r="J14" s="246">
        <f>SUM(Quarter!K32:K35)</f>
        <v>5909.879999999999</v>
      </c>
      <c r="K14" s="246">
        <f>SUM(Quarter!L32:L35)</f>
        <v>3087.6899999999996</v>
      </c>
      <c r="L14" s="258">
        <f>SUM(Quarter!M32:M35)</f>
        <v>10353.33</v>
      </c>
      <c r="M14" s="259">
        <f>SUM(Quarter!N32:N35)</f>
        <v>16394.79</v>
      </c>
      <c r="N14" s="255">
        <f>SUM(Quarter!O32:O35)</f>
        <v>10179</v>
      </c>
      <c r="O14" s="255">
        <f>SUM(Quarter!P32:P35)</f>
        <v>656.32</v>
      </c>
      <c r="P14" s="256">
        <f>SUM(Quarter!Q32:Q35)</f>
        <v>1706.5500000000002</v>
      </c>
      <c r="Q14" s="338"/>
      <c r="R14" s="338"/>
      <c r="S14" s="338"/>
      <c r="T14" s="338"/>
      <c r="U14" s="338"/>
      <c r="V14" s="338"/>
      <c r="W14" s="338"/>
      <c r="X14" s="338"/>
      <c r="Y14" s="338"/>
      <c r="Z14" s="338"/>
      <c r="AA14" s="338"/>
      <c r="AB14" s="338"/>
      <c r="AC14" s="338"/>
      <c r="AD14" s="338"/>
      <c r="AE14" s="338"/>
    </row>
    <row r="15" spans="1:31" ht="12">
      <c r="A15" s="279" t="s">
        <v>94</v>
      </c>
      <c r="B15" s="257">
        <f>SUM(Quarter!C36:C39)</f>
        <v>84783.93</v>
      </c>
      <c r="C15" s="255">
        <f>SUM(Quarter!D36:D39)</f>
        <v>5677</v>
      </c>
      <c r="D15" s="246">
        <f>SUM(Quarter!E36:E39)</f>
        <v>788.26</v>
      </c>
      <c r="E15" s="326">
        <f>SUM(Quarter!F36:F39)</f>
        <v>78318.63</v>
      </c>
      <c r="F15" s="257">
        <f>SUM(Quarter!G36:G39)</f>
        <v>2138.5499999999997</v>
      </c>
      <c r="G15" s="246">
        <f>SUM(Quarter!H36:H39)</f>
        <v>538</v>
      </c>
      <c r="H15" s="257">
        <f>SUM(Quarter!I36:I39)</f>
        <v>3153.6800000000003</v>
      </c>
      <c r="I15" s="256">
        <f>SUM(Quarter!J36:J39)</f>
        <v>22944.04</v>
      </c>
      <c r="J15" s="246">
        <f>SUM(Quarter!K36:K39)</f>
        <v>5364.59</v>
      </c>
      <c r="K15" s="246">
        <f>SUM(Quarter!L36:L39)</f>
        <v>3505.9</v>
      </c>
      <c r="L15" s="258">
        <f>SUM(Quarter!M36:M39)</f>
        <v>10947.789999999999</v>
      </c>
      <c r="M15" s="259">
        <f>SUM(Quarter!N36:N39)</f>
        <v>17395.870000000003</v>
      </c>
      <c r="N15" s="255">
        <f>SUM(Quarter!O36:O39)</f>
        <v>8506</v>
      </c>
      <c r="O15" s="255">
        <f>SUM(Quarter!P36:P39)</f>
        <v>509.04</v>
      </c>
      <c r="P15" s="256">
        <f>SUM(Quarter!Q36:Q39)</f>
        <v>1918.0300000000002</v>
      </c>
      <c r="Q15" s="338"/>
      <c r="R15" s="338"/>
      <c r="S15" s="338"/>
      <c r="T15" s="338"/>
      <c r="U15" s="338"/>
      <c r="V15" s="338"/>
      <c r="W15" s="338"/>
      <c r="X15" s="338"/>
      <c r="Y15" s="338"/>
      <c r="Z15" s="338"/>
      <c r="AA15" s="338"/>
      <c r="AB15" s="338"/>
      <c r="AC15" s="338"/>
      <c r="AD15" s="338"/>
      <c r="AE15" s="338"/>
    </row>
    <row r="16" spans="1:31" ht="12">
      <c r="A16" s="262">
        <v>2003</v>
      </c>
      <c r="B16" s="257">
        <f>SUM(Quarter!C40:C43)</f>
        <v>84585.02</v>
      </c>
      <c r="C16" s="255">
        <f>SUM(Quarter!D40:D43)</f>
        <v>5455.59</v>
      </c>
      <c r="D16" s="246">
        <f>SUM(Quarter!E40:E43)</f>
        <v>56.18000000000001</v>
      </c>
      <c r="E16" s="326">
        <f>SUM(Quarter!F40:F43)</f>
        <v>79073.22</v>
      </c>
      <c r="F16" s="257">
        <f>SUM(Quarter!G40:G43)</f>
        <v>2281.3900000000003</v>
      </c>
      <c r="G16" s="246">
        <f>SUM(Quarter!H40:H43)</f>
        <v>716.06</v>
      </c>
      <c r="H16" s="257">
        <f>SUM(Quarter!I40:I43)</f>
        <v>3503.5599999999995</v>
      </c>
      <c r="I16" s="256">
        <f>SUM(Quarter!J40:J43)</f>
        <v>22627.28</v>
      </c>
      <c r="J16" s="246">
        <f>SUM(Quarter!K40:K43)</f>
        <v>5277.820000000001</v>
      </c>
      <c r="K16" s="246">
        <f>SUM(Quarter!L40:L43)</f>
        <v>3522</v>
      </c>
      <c r="L16" s="258">
        <f>SUM(Quarter!M40:M43)</f>
        <v>10580.220000000001</v>
      </c>
      <c r="M16" s="259">
        <f>SUM(Quarter!N40:N43)</f>
        <v>16799.72</v>
      </c>
      <c r="N16" s="255">
        <f>SUM(Quarter!O40:O43)</f>
        <v>9494.4</v>
      </c>
      <c r="O16" s="255">
        <f>SUM(Quarter!P40:P43)</f>
        <v>575.87</v>
      </c>
      <c r="P16" s="256">
        <f>SUM(Quarter!Q40:Q43)</f>
        <v>1924.27</v>
      </c>
      <c r="Q16" s="338"/>
      <c r="R16" s="338"/>
      <c r="S16" s="338"/>
      <c r="T16" s="338"/>
      <c r="U16" s="338"/>
      <c r="V16" s="338"/>
      <c r="W16" s="338"/>
      <c r="X16" s="338"/>
      <c r="Y16" s="338"/>
      <c r="Z16" s="338"/>
      <c r="AA16" s="338"/>
      <c r="AB16" s="338"/>
      <c r="AC16" s="338"/>
      <c r="AD16" s="338"/>
      <c r="AE16" s="338"/>
    </row>
    <row r="17" spans="1:31" ht="12">
      <c r="A17" s="262">
        <v>2004</v>
      </c>
      <c r="B17" s="257">
        <f>SUM(Quarter!C44:C47)</f>
        <v>89820.59</v>
      </c>
      <c r="C17" s="255">
        <f>SUM(Quarter!D44:D47)</f>
        <v>5417.6900000000005</v>
      </c>
      <c r="D17" s="246">
        <f>SUM(Quarter!E44:E47)</f>
        <v>-8.120000000000005</v>
      </c>
      <c r="E17" s="326">
        <f>SUM(Quarter!F44:F47)</f>
        <v>84411.03</v>
      </c>
      <c r="F17" s="257">
        <f>SUM(Quarter!G44:G47)</f>
        <v>2150.26</v>
      </c>
      <c r="G17" s="246">
        <f>SUM(Quarter!H44:H47)</f>
        <v>519.8</v>
      </c>
      <c r="H17" s="257">
        <f>SUM(Quarter!I44:I47)</f>
        <v>3168.3199999999997</v>
      </c>
      <c r="I17" s="256">
        <f>SUM(Quarter!J44:J47)</f>
        <v>24590.02</v>
      </c>
      <c r="J17" s="246">
        <f>SUM(Quarter!K44:K47)</f>
        <v>5614.530000000001</v>
      </c>
      <c r="K17" s="246">
        <f>SUM(Quarter!L44:L47)</f>
        <v>3613.4700000000003</v>
      </c>
      <c r="L17" s="258">
        <f>SUM(Quarter!M44:M47)</f>
        <v>11079.52</v>
      </c>
      <c r="M17" s="259">
        <f>SUM(Quarter!N44:N47)</f>
        <v>17566.78</v>
      </c>
      <c r="N17" s="255">
        <f>SUM(Quarter!O44:O47)</f>
        <v>11308.59</v>
      </c>
      <c r="O17" s="255">
        <f>SUM(Quarter!P44:P47)</f>
        <v>1136.81</v>
      </c>
      <c r="P17" s="256">
        <f>SUM(Quarter!Q44:Q47)</f>
        <v>2196.88</v>
      </c>
      <c r="Q17" s="338"/>
      <c r="R17" s="338"/>
      <c r="S17" s="338"/>
      <c r="T17" s="338"/>
      <c r="U17" s="338"/>
      <c r="V17" s="338"/>
      <c r="W17" s="338"/>
      <c r="X17" s="338"/>
      <c r="Y17" s="338"/>
      <c r="Z17" s="338"/>
      <c r="AA17" s="338"/>
      <c r="AB17" s="338"/>
      <c r="AC17" s="338"/>
      <c r="AD17" s="338"/>
      <c r="AE17" s="338"/>
    </row>
    <row r="18" spans="1:31" ht="12">
      <c r="A18" s="262">
        <v>2005</v>
      </c>
      <c r="B18" s="257">
        <f>SUM(Quarter!C48:C51)</f>
        <v>86134.26999999999</v>
      </c>
      <c r="C18" s="255">
        <f>SUM(Quarter!D48:D51)</f>
        <v>5601.300000000001</v>
      </c>
      <c r="D18" s="246">
        <f>SUM(Quarter!E48:E51)</f>
        <v>387.48</v>
      </c>
      <c r="E18" s="326">
        <f>SUM(Quarter!F48:F51)</f>
        <v>80145.45999999999</v>
      </c>
      <c r="F18" s="257">
        <f>SUM(Quarter!G48:G51)</f>
        <v>2184.1899999999996</v>
      </c>
      <c r="G18" s="246">
        <f>SUM(Quarter!H48:H51)</f>
        <v>427.29999999999995</v>
      </c>
      <c r="H18" s="257">
        <f>SUM(Quarter!I48:I51)</f>
        <v>3019.41</v>
      </c>
      <c r="I18" s="256">
        <f>SUM(Quarter!J48:J51)</f>
        <v>22603.77</v>
      </c>
      <c r="J18" s="246">
        <f>SUM(Quarter!K48:K51)</f>
        <v>5167.099999999999</v>
      </c>
      <c r="K18" s="246">
        <f>SUM(Quarter!L48:L51)</f>
        <v>3324.8799999999997</v>
      </c>
      <c r="L18" s="257">
        <f>SUM(Quarter!M48:M51)</f>
        <v>9429.85</v>
      </c>
      <c r="M18" s="255">
        <f>SUM(Quarter!N48:N51)</f>
        <v>19055.9</v>
      </c>
      <c r="N18" s="255">
        <f>SUM(Quarter!O48:O51)</f>
        <v>10154.78</v>
      </c>
      <c r="O18" s="255">
        <f>SUM(Quarter!P48:P51)</f>
        <v>936.3000000000001</v>
      </c>
      <c r="P18" s="256">
        <f>SUM(Quarter!Q48:Q51)</f>
        <v>1911.5699999999997</v>
      </c>
      <c r="Q18" s="338"/>
      <c r="R18" s="338"/>
      <c r="S18" s="338"/>
      <c r="T18" s="338"/>
      <c r="U18" s="338"/>
      <c r="V18" s="338"/>
      <c r="W18" s="338"/>
      <c r="X18" s="338"/>
      <c r="Y18" s="338"/>
      <c r="Z18" s="338"/>
      <c r="AA18" s="338"/>
      <c r="AB18" s="338"/>
      <c r="AC18" s="338"/>
      <c r="AD18" s="338"/>
      <c r="AE18" s="338"/>
    </row>
    <row r="19" spans="1:31" ht="12">
      <c r="A19" s="262">
        <v>2006</v>
      </c>
      <c r="B19" s="257">
        <f>SUM(Quarter!C52:C55)</f>
        <v>83213.1</v>
      </c>
      <c r="C19" s="255">
        <f>SUM(Quarter!D52:D55)</f>
        <v>4877.91</v>
      </c>
      <c r="D19" s="246">
        <f>SUM(Quarter!E52:E55)</f>
        <v>374.40999999999997</v>
      </c>
      <c r="E19" s="326">
        <f>SUM(Quarter!F52:F55)</f>
        <v>77960.82</v>
      </c>
      <c r="F19" s="257">
        <f>SUM(Quarter!G52:G55)</f>
        <v>2104.2999999999997</v>
      </c>
      <c r="G19" s="246">
        <f>SUM(Quarter!H52:H55)</f>
        <v>660.76</v>
      </c>
      <c r="H19" s="257">
        <f>SUM(Quarter!I52:I55)</f>
        <v>2733.8900000000003</v>
      </c>
      <c r="I19" s="256">
        <f>SUM(Quarter!J52:J55)</f>
        <v>21443.23</v>
      </c>
      <c r="J19" s="246">
        <f>SUM(Quarter!K52:K55)</f>
        <v>6260.9400000000005</v>
      </c>
      <c r="K19" s="246">
        <f>SUM(Quarter!L52:L55)</f>
        <v>3373.58</v>
      </c>
      <c r="L19" s="257">
        <f>SUM(Quarter!M52:M55)</f>
        <v>10215.36</v>
      </c>
      <c r="M19" s="255">
        <f>SUM(Quarter!N52:N55)</f>
        <v>15821.14</v>
      </c>
      <c r="N19" s="255">
        <f>SUM(Quarter!O52:O55)</f>
        <v>11279.68</v>
      </c>
      <c r="O19" s="255">
        <f>SUM(Quarter!P52:P55)</f>
        <v>617.03</v>
      </c>
      <c r="P19" s="256">
        <f>SUM(Quarter!Q52:Q55)</f>
        <v>1748.94</v>
      </c>
      <c r="Q19" s="338"/>
      <c r="R19" s="338"/>
      <c r="S19" s="338"/>
      <c r="T19" s="338"/>
      <c r="U19" s="338"/>
      <c r="V19" s="338"/>
      <c r="W19" s="338"/>
      <c r="X19" s="338"/>
      <c r="Y19" s="338"/>
      <c r="Z19" s="338"/>
      <c r="AA19" s="338"/>
      <c r="AB19" s="338"/>
      <c r="AC19" s="338"/>
      <c r="AD19" s="338"/>
      <c r="AE19" s="338"/>
    </row>
    <row r="20" spans="1:31" ht="12">
      <c r="A20" s="262">
        <v>2007</v>
      </c>
      <c r="B20" s="257">
        <f>SUM(Quarter!C56:C59)</f>
        <v>81477.21</v>
      </c>
      <c r="C20" s="255">
        <f>SUM(Quarter!D56:D59)</f>
        <v>4675.6</v>
      </c>
      <c r="D20" s="246">
        <f>SUM(Quarter!E56:E59)</f>
        <v>292.78999999999996</v>
      </c>
      <c r="E20" s="326">
        <f>SUM(Quarter!F56:F59)</f>
        <v>76508.86000000002</v>
      </c>
      <c r="F20" s="257">
        <f>SUM(Quarter!G56:G59)</f>
        <v>2259.2799999999997</v>
      </c>
      <c r="G20" s="246">
        <f>SUM(Quarter!H56:H59)</f>
        <v>516.95</v>
      </c>
      <c r="H20" s="257">
        <f>SUM(Quarter!I56:I59)</f>
        <v>2560.59</v>
      </c>
      <c r="I20" s="256">
        <f>SUM(Quarter!J56:J59)</f>
        <v>21313.339999999997</v>
      </c>
      <c r="J20" s="246">
        <f>SUM(Quarter!K56:K59)</f>
        <v>6176.31</v>
      </c>
      <c r="K20" s="246">
        <f>SUM(Quarter!L56:L59)</f>
        <v>2968.21</v>
      </c>
      <c r="L20" s="257">
        <f>SUM(Quarter!M56:M59)</f>
        <v>10164.78</v>
      </c>
      <c r="M20" s="255">
        <f>SUM(Quarter!N56:N59)</f>
        <v>16138.169999999998</v>
      </c>
      <c r="N20" s="255">
        <f>SUM(Quarter!O56:O59)</f>
        <v>10432.98</v>
      </c>
      <c r="O20" s="255">
        <f>SUM(Quarter!P56:P59)</f>
        <v>547.4</v>
      </c>
      <c r="P20" s="256">
        <f>SUM(Quarter!Q56:Q59)</f>
        <v>1627.78</v>
      </c>
      <c r="Q20" s="338"/>
      <c r="R20" s="338"/>
      <c r="S20" s="338"/>
      <c r="T20" s="338"/>
      <c r="U20" s="338"/>
      <c r="V20" s="338"/>
      <c r="W20" s="338"/>
      <c r="X20" s="338"/>
      <c r="Y20" s="338"/>
      <c r="Z20" s="338"/>
      <c r="AA20" s="338"/>
      <c r="AB20" s="338"/>
      <c r="AC20" s="338"/>
      <c r="AD20" s="338"/>
      <c r="AE20" s="338"/>
    </row>
    <row r="21" spans="1:31" ht="12">
      <c r="A21" s="262">
        <v>2008</v>
      </c>
      <c r="B21" s="257">
        <f>SUM(Quarter!C60:C63)</f>
        <v>81033.6</v>
      </c>
      <c r="C21" s="255">
        <f>SUM(Quarter!D60:D63)</f>
        <v>4706.179999999999</v>
      </c>
      <c r="D21" s="246">
        <f>SUM(Quarter!E60:E63)</f>
        <v>470.13</v>
      </c>
      <c r="E21" s="326">
        <f>SUM(Quarter!F60:F63)</f>
        <v>75857.29000000001</v>
      </c>
      <c r="F21" s="257">
        <f>SUM(Quarter!G60:G63)</f>
        <v>2250.5</v>
      </c>
      <c r="G21" s="246">
        <f>SUM(Quarter!H60:H63)</f>
        <v>368.71</v>
      </c>
      <c r="H21" s="257">
        <f>SUM(Quarter!I60:I63)</f>
        <v>2660.2599999999998</v>
      </c>
      <c r="I21" s="256">
        <f>SUM(Quarter!J60:J63)</f>
        <v>19521.059999999998</v>
      </c>
      <c r="J21" s="246">
        <f>SUM(Quarter!K60:K63)</f>
        <v>6548.69</v>
      </c>
      <c r="K21" s="246">
        <f>SUM(Quarter!L60:L63)</f>
        <v>3091.2999999999997</v>
      </c>
      <c r="L21" s="257">
        <f>SUM(Quarter!M60:M63)</f>
        <v>10566.210000000001</v>
      </c>
      <c r="M21" s="255">
        <f>SUM(Quarter!N60:N63)</f>
        <v>16350.050000000001</v>
      </c>
      <c r="N21" s="255">
        <f>SUM(Quarter!O60:O63)</f>
        <v>10483.41</v>
      </c>
      <c r="O21" s="255">
        <f>SUM(Quarter!P60:P63)</f>
        <v>514.09</v>
      </c>
      <c r="P21" s="256">
        <f>SUM(Quarter!Q60:Q63)</f>
        <v>1485.04</v>
      </c>
      <c r="Q21" s="338"/>
      <c r="R21" s="338"/>
      <c r="S21" s="338"/>
      <c r="T21" s="338"/>
      <c r="U21" s="338"/>
      <c r="V21" s="338"/>
      <c r="W21" s="338"/>
      <c r="X21" s="338"/>
      <c r="Y21" s="338"/>
      <c r="Z21" s="338"/>
      <c r="AA21" s="338"/>
      <c r="AB21" s="338"/>
      <c r="AC21" s="338"/>
      <c r="AD21" s="338"/>
      <c r="AE21" s="338"/>
    </row>
    <row r="22" spans="1:31" ht="12">
      <c r="A22" s="262">
        <v>2009</v>
      </c>
      <c r="B22" s="257">
        <f>SUM(Quarter!C64:C67)</f>
        <v>75550.56999999999</v>
      </c>
      <c r="C22" s="255">
        <f>SUM(Quarter!D64:D67)</f>
        <v>4304.18</v>
      </c>
      <c r="D22" s="246">
        <f>SUM(Quarter!E64:E67)</f>
        <v>723.02</v>
      </c>
      <c r="E22" s="326">
        <f>SUM(Quarter!F64:F67)</f>
        <v>70523.37</v>
      </c>
      <c r="F22" s="257">
        <f>SUM(Quarter!G64:G67)</f>
        <v>2112.98</v>
      </c>
      <c r="G22" s="246">
        <f>SUM(Quarter!H64:H67)</f>
        <v>448.52</v>
      </c>
      <c r="H22" s="257">
        <f>SUM(Quarter!I64:I67)</f>
        <v>2506.76</v>
      </c>
      <c r="I22" s="256">
        <f>SUM(Quarter!J64:J67)</f>
        <v>19184.41</v>
      </c>
      <c r="J22" s="246">
        <f>SUM(Quarter!K64:K67)</f>
        <v>6021.74</v>
      </c>
      <c r="K22" s="246">
        <f>SUM(Quarter!L64:L67)</f>
        <v>2830.2</v>
      </c>
      <c r="L22" s="257">
        <f>SUM(Quarter!M64:M67)</f>
        <v>9487.09</v>
      </c>
      <c r="M22" s="255">
        <f>SUM(Quarter!N64:N67)</f>
        <v>15908.220000000001</v>
      </c>
      <c r="N22" s="255">
        <f>SUM(Quarter!O64:O67)</f>
        <v>8043.17</v>
      </c>
      <c r="O22" s="255">
        <f>SUM(Quarter!P64:P67)</f>
        <v>529.78</v>
      </c>
      <c r="P22" s="256">
        <f>SUM(Quarter!Q64:Q67)</f>
        <v>1337.84</v>
      </c>
      <c r="Q22" s="338"/>
      <c r="R22" s="338"/>
      <c r="S22" s="338"/>
      <c r="T22" s="338"/>
      <c r="U22" s="338"/>
      <c r="V22" s="338"/>
      <c r="W22" s="338"/>
      <c r="X22" s="338"/>
      <c r="Y22" s="338"/>
      <c r="Z22" s="338"/>
      <c r="AA22" s="338"/>
      <c r="AB22" s="338"/>
      <c r="AC22" s="338"/>
      <c r="AD22" s="338"/>
      <c r="AE22" s="338"/>
    </row>
    <row r="23" spans="1:31" ht="12">
      <c r="A23" s="278">
        <v>2010</v>
      </c>
      <c r="B23" s="257">
        <f>SUM(Quarter!C68:C71)</f>
        <v>73542.84</v>
      </c>
      <c r="C23" s="255">
        <f>SUM(Quarter!D68:D71)</f>
        <v>4377.83</v>
      </c>
      <c r="D23" s="246">
        <f>SUM(Quarter!E68:E71)</f>
        <v>565.7600000000001</v>
      </c>
      <c r="E23" s="326">
        <f>SUM(Quarter!F68:F71)</f>
        <v>68599.23999999999</v>
      </c>
      <c r="F23" s="257">
        <f>SUM(Quarter!G68:G71)</f>
        <v>2247.0299999999997</v>
      </c>
      <c r="G23" s="246">
        <f>SUM(Quarter!H68:H71)</f>
        <v>517.64</v>
      </c>
      <c r="H23" s="257">
        <f>SUM(Quarter!I68:I71)</f>
        <v>2440.12</v>
      </c>
      <c r="I23" s="256">
        <f>SUM(Quarter!J68:J71)</f>
        <v>19074.089999999997</v>
      </c>
      <c r="J23" s="246">
        <f>SUM(Quarter!K68:K71)</f>
        <v>5780.72</v>
      </c>
      <c r="K23" s="246">
        <f>SUM(Quarter!L68:L71)</f>
        <v>2569.6500000000005</v>
      </c>
      <c r="L23" s="257">
        <f>SUM(Quarter!M68:M71)</f>
        <v>9504.75</v>
      </c>
      <c r="M23" s="255">
        <f>SUM(Quarter!N68:N71)</f>
        <v>15332.37</v>
      </c>
      <c r="N23" s="255">
        <f>SUM(Quarter!O68:O71)</f>
        <v>7004.13</v>
      </c>
      <c r="O23" s="255">
        <f>SUM(Quarter!P68:P71)</f>
        <v>412.46</v>
      </c>
      <c r="P23" s="256">
        <f>SUM(Quarter!Q68:Q71)</f>
        <v>1276.4099999999999</v>
      </c>
      <c r="Q23" s="338"/>
      <c r="R23" s="338"/>
      <c r="S23" s="338"/>
      <c r="T23" s="338"/>
      <c r="U23" s="338"/>
      <c r="V23" s="338"/>
      <c r="W23" s="338"/>
      <c r="X23" s="338"/>
      <c r="Y23" s="338"/>
      <c r="Z23" s="338"/>
      <c r="AA23" s="338"/>
      <c r="AB23" s="338"/>
      <c r="AC23" s="338"/>
      <c r="AD23" s="338"/>
      <c r="AE23" s="338"/>
    </row>
    <row r="24" spans="1:31" ht="12">
      <c r="A24" s="278">
        <v>2011</v>
      </c>
      <c r="B24" s="257">
        <f>SUM(Quarter!C72:C75)</f>
        <v>75080.26999999999</v>
      </c>
      <c r="C24" s="255">
        <f>SUM(Quarter!D72:D75)</f>
        <v>4585.77</v>
      </c>
      <c r="D24" s="246">
        <f>SUM(Quarter!E72:E75)</f>
        <v>372.85999999999996</v>
      </c>
      <c r="E24" s="326">
        <f>SUM(Quarter!F72:F75)</f>
        <v>70121.69</v>
      </c>
      <c r="F24" s="257">
        <f>SUM(Quarter!G72:G75)</f>
        <v>2598.34</v>
      </c>
      <c r="G24" s="246">
        <f>SUM(Quarter!H72:H75)</f>
        <v>433.90999999999997</v>
      </c>
      <c r="H24" s="257">
        <f>SUM(Quarter!I72:I75)</f>
        <v>2525.59</v>
      </c>
      <c r="I24" s="256">
        <f>SUM(Quarter!J72:J75)</f>
        <v>18822.75</v>
      </c>
      <c r="J24" s="246">
        <f>SUM(Quarter!K72:K75)</f>
        <v>6411.4400000000005</v>
      </c>
      <c r="K24" s="246">
        <f>SUM(Quarter!L72:L75)</f>
        <v>2377.12</v>
      </c>
      <c r="L24" s="257">
        <f>SUM(Quarter!M72:M75)</f>
        <v>8683.470000000001</v>
      </c>
      <c r="M24" s="255">
        <f>SUM(Quarter!N72:N75)</f>
        <v>16800.49</v>
      </c>
      <c r="N24" s="255">
        <f>SUM(Quarter!O72:O75)</f>
        <v>7431.51</v>
      </c>
      <c r="O24" s="255">
        <f>SUM(Quarter!P72:P75)</f>
        <v>430.29</v>
      </c>
      <c r="P24" s="256">
        <f>SUM(Quarter!Q72:Q75)</f>
        <v>1475.86</v>
      </c>
      <c r="Q24" s="338"/>
      <c r="R24" s="338"/>
      <c r="S24" s="338"/>
      <c r="T24" s="338"/>
      <c r="U24" s="338"/>
      <c r="V24" s="338"/>
      <c r="W24" s="338"/>
      <c r="X24" s="338"/>
      <c r="Y24" s="338"/>
      <c r="Z24" s="338"/>
      <c r="AA24" s="338"/>
      <c r="AB24" s="338"/>
      <c r="AC24" s="338"/>
      <c r="AD24" s="338"/>
      <c r="AE24" s="338"/>
    </row>
    <row r="25" spans="1:31" ht="12">
      <c r="A25" s="278">
        <v>2012</v>
      </c>
      <c r="B25" s="257">
        <f>SUM(Quarter!C76:C79)</f>
        <v>71839.11</v>
      </c>
      <c r="C25" s="255">
        <f>SUM(Quarter!D76:D79)</f>
        <v>4299.14</v>
      </c>
      <c r="D25" s="246">
        <f>SUM(Quarter!E76:E79)</f>
        <v>209.18999999999997</v>
      </c>
      <c r="E25" s="326">
        <f>SUM(Quarter!F76:F79)</f>
        <v>67330.78</v>
      </c>
      <c r="F25" s="257">
        <f>SUM(Quarter!G76:G79)</f>
        <v>2512.0800000000004</v>
      </c>
      <c r="G25" s="246">
        <f>SUM(Quarter!H76:H79)</f>
        <v>284.77</v>
      </c>
      <c r="H25" s="257">
        <f>SUM(Quarter!I76:I79)</f>
        <v>2328.19</v>
      </c>
      <c r="I25" s="256">
        <f>SUM(Quarter!J76:J79)</f>
        <v>18650.27</v>
      </c>
      <c r="J25" s="246">
        <f>SUM(Quarter!K76:K79)</f>
        <v>5775.349999999999</v>
      </c>
      <c r="K25" s="246">
        <f>SUM(Quarter!L76:L79)</f>
        <v>2267.53</v>
      </c>
      <c r="L25" s="257">
        <f>SUM(Quarter!M76:M79)</f>
        <v>8940.57</v>
      </c>
      <c r="M25" s="255">
        <f>SUM(Quarter!N76:N79)</f>
        <v>15771.490000000002</v>
      </c>
      <c r="N25" s="255">
        <f>SUM(Quarter!O76:O79)</f>
        <v>7157.94</v>
      </c>
      <c r="O25" s="255">
        <f>SUM(Quarter!P76:P79)</f>
        <v>457.32000000000005</v>
      </c>
      <c r="P25" s="256">
        <f>SUM(Quarter!Q76:Q79)</f>
        <v>1221.83</v>
      </c>
      <c r="Q25" s="338"/>
      <c r="R25" s="338"/>
      <c r="S25" s="338"/>
      <c r="T25" s="338"/>
      <c r="U25" s="338"/>
      <c r="V25" s="338"/>
      <c r="W25" s="338"/>
      <c r="X25" s="338"/>
      <c r="Y25" s="338"/>
      <c r="Z25" s="338"/>
      <c r="AA25" s="338"/>
      <c r="AB25" s="338"/>
      <c r="AC25" s="338"/>
      <c r="AD25" s="338"/>
      <c r="AE25" s="338"/>
    </row>
    <row r="26" spans="1:31" ht="12">
      <c r="A26" s="278">
        <v>2013</v>
      </c>
      <c r="B26" s="257">
        <f>SUM(Quarter!C80:C83)</f>
        <v>65971.89</v>
      </c>
      <c r="C26" s="255">
        <f>SUM(Quarter!D80:D83)</f>
        <v>3758.88</v>
      </c>
      <c r="D26" s="246">
        <f>SUM(Quarter!E80:E83)</f>
        <v>574.91</v>
      </c>
      <c r="E26" s="326">
        <f>SUM(Quarter!F80:F83)</f>
        <v>61638.09</v>
      </c>
      <c r="F26" s="257">
        <f>SUM(Quarter!G80:G83)</f>
        <v>2326.27</v>
      </c>
      <c r="G26" s="246">
        <f>SUM(Quarter!H80:H83)</f>
        <v>351.64</v>
      </c>
      <c r="H26" s="257">
        <f>SUM(Quarter!I80:I83)</f>
        <v>2013.23</v>
      </c>
      <c r="I26" s="256">
        <f>SUM(Quarter!J80:J83)</f>
        <v>17691.25</v>
      </c>
      <c r="J26" s="246">
        <f>SUM(Quarter!K80:K83)</f>
        <v>4527.06</v>
      </c>
      <c r="K26" s="246">
        <f>SUM(Quarter!L80:L83)</f>
        <v>2705.3500000000004</v>
      </c>
      <c r="L26" s="257">
        <f>SUM(Quarter!M80:M83)</f>
        <v>8193.36</v>
      </c>
      <c r="M26" s="255">
        <f>SUM(Quarter!N80:N83)</f>
        <v>14830.63</v>
      </c>
      <c r="N26" s="255">
        <f>SUM(Quarter!O80:O83)</f>
        <v>6229.619999999999</v>
      </c>
      <c r="O26" s="255">
        <f>SUM(Quarter!P80:P83)</f>
        <v>387.24</v>
      </c>
      <c r="P26" s="256">
        <f>SUM(Quarter!Q80:Q83)</f>
        <v>776.63</v>
      </c>
      <c r="Q26" s="338"/>
      <c r="R26" s="338"/>
      <c r="S26" s="338"/>
      <c r="T26" s="338"/>
      <c r="U26" s="338"/>
      <c r="V26" s="338"/>
      <c r="W26" s="338"/>
      <c r="X26" s="338"/>
      <c r="Y26" s="338"/>
      <c r="Z26" s="338"/>
      <c r="AA26" s="338"/>
      <c r="AB26" s="338"/>
      <c r="AC26" s="338"/>
      <c r="AD26" s="338"/>
      <c r="AE26" s="338"/>
    </row>
    <row r="27" spans="1:31" ht="12">
      <c r="A27" s="278">
        <v>2014</v>
      </c>
      <c r="B27" s="257">
        <f>SUM(Quarter!C84:C87)</f>
        <v>61062.55</v>
      </c>
      <c r="C27" s="255">
        <f>SUM(Quarter!D84:D87)</f>
        <v>3198.2699999999995</v>
      </c>
      <c r="D27" s="246">
        <f>SUM(Quarter!E84:E87)</f>
        <v>670.61</v>
      </c>
      <c r="E27" s="326">
        <f>SUM(Quarter!F84:F87)</f>
        <v>57193.649999999994</v>
      </c>
      <c r="F27" s="257">
        <f>SUM(Quarter!G84:G87)</f>
        <v>2127.0599999999995</v>
      </c>
      <c r="G27" s="246">
        <f>SUM(Quarter!H84:H87)</f>
        <v>347.67</v>
      </c>
      <c r="H27" s="257">
        <f>SUM(Quarter!I84:I87)</f>
        <v>2289.97</v>
      </c>
      <c r="I27" s="256">
        <f>SUM(Quarter!J84:J87)</f>
        <v>15709.43</v>
      </c>
      <c r="J27" s="246">
        <f>SUM(Quarter!K84:K87)</f>
        <v>4635.38</v>
      </c>
      <c r="K27" s="246">
        <f>SUM(Quarter!L84:L87)</f>
        <v>2093.37</v>
      </c>
      <c r="L27" s="257">
        <f>SUM(Quarter!M84:M87)</f>
        <v>8048.93</v>
      </c>
      <c r="M27" s="255">
        <f>SUM(Quarter!N84:N87)</f>
        <v>13725.890000000001</v>
      </c>
      <c r="N27" s="255">
        <f>SUM(Quarter!O84:O87)</f>
        <v>5269.18</v>
      </c>
      <c r="O27" s="255">
        <f>SUM(Quarter!P84:P87)</f>
        <v>372.7</v>
      </c>
      <c r="P27" s="256">
        <f>SUM(Quarter!Q84:Q87)</f>
        <v>1006.39</v>
      </c>
      <c r="Q27" s="338"/>
      <c r="R27" s="338"/>
      <c r="S27" s="338"/>
      <c r="T27" s="338"/>
      <c r="U27" s="338"/>
      <c r="V27" s="338"/>
      <c r="W27" s="338"/>
      <c r="X27" s="338"/>
      <c r="Y27" s="338"/>
      <c r="Z27" s="338"/>
      <c r="AA27" s="338"/>
      <c r="AB27" s="338"/>
      <c r="AC27" s="338"/>
      <c r="AD27" s="338"/>
      <c r="AE27" s="338"/>
    </row>
    <row r="28" spans="1:31" ht="12">
      <c r="A28" s="278">
        <v>2015</v>
      </c>
      <c r="B28" s="257">
        <f>SUM(Quarter!C88:C91)</f>
        <v>61390.81</v>
      </c>
      <c r="C28" s="255">
        <f>SUM(Quarter!D88:D91)</f>
        <v>3351.82</v>
      </c>
      <c r="D28" s="246">
        <f>SUM(Quarter!E88:E91)</f>
        <v>462.24</v>
      </c>
      <c r="E28" s="326">
        <f>SUM(Quarter!F88:F91)</f>
        <v>57576.759999999995</v>
      </c>
      <c r="F28" s="257">
        <f>SUM(Quarter!G88:G91)</f>
        <v>2207.69</v>
      </c>
      <c r="G28" s="246">
        <f>SUM(Quarter!H88:H91)</f>
        <v>393.83</v>
      </c>
      <c r="H28" s="257">
        <f>SUM(Quarter!I88:I91)</f>
        <v>2367.7200000000003</v>
      </c>
      <c r="I28" s="256">
        <f>SUM(Quarter!J88:J91)</f>
        <v>16893.5</v>
      </c>
      <c r="J28" s="246">
        <f>SUM(Quarter!K88:K91)</f>
        <v>4972.95</v>
      </c>
      <c r="K28" s="246">
        <f>SUM(Quarter!L88:L91)</f>
        <v>2031.1800000000003</v>
      </c>
      <c r="L28" s="257">
        <f>SUM(Quarter!M88:M91)</f>
        <v>7203.73</v>
      </c>
      <c r="M28" s="255">
        <f>SUM(Quarter!N88:N91)</f>
        <v>13482.59</v>
      </c>
      <c r="N28" s="255">
        <f>SUM(Quarter!O88:O91)</f>
        <v>4818.360000000001</v>
      </c>
      <c r="O28" s="255">
        <f>SUM(Quarter!P88:P91)</f>
        <v>350.01000000000005</v>
      </c>
      <c r="P28" s="256">
        <f>SUM(Quarter!Q88:Q91)</f>
        <v>990.4999999999999</v>
      </c>
      <c r="Q28" s="338"/>
      <c r="R28" s="338"/>
      <c r="S28" s="338"/>
      <c r="T28" s="338"/>
      <c r="U28" s="338"/>
      <c r="V28" s="338"/>
      <c r="W28" s="338"/>
      <c r="X28" s="338"/>
      <c r="Y28" s="338"/>
      <c r="Z28" s="338"/>
      <c r="AA28" s="338"/>
      <c r="AB28" s="338"/>
      <c r="AC28" s="338"/>
      <c r="AD28" s="338"/>
      <c r="AE28" s="338"/>
    </row>
    <row r="29" spans="1:31" ht="12">
      <c r="A29" s="278">
        <v>2016</v>
      </c>
      <c r="B29" s="257">
        <f>SUM(Quarter!C92:C95)</f>
        <v>60395.439999999995</v>
      </c>
      <c r="C29" s="255">
        <f>SUM(Quarter!D92:D95)</f>
        <v>3381.22</v>
      </c>
      <c r="D29" s="246">
        <f>SUM(Quarter!E92:E95)</f>
        <v>426.21</v>
      </c>
      <c r="E29" s="326">
        <f>SUM(Quarter!F92:F95)</f>
        <v>56587.99</v>
      </c>
      <c r="F29" s="257">
        <f>SUM(Quarter!G92:G95)</f>
        <v>2227.3199999999997</v>
      </c>
      <c r="G29" s="246">
        <f>SUM(Quarter!H92:H95)</f>
        <v>452.91999999999996</v>
      </c>
      <c r="H29" s="257">
        <f>SUM(Quarter!I92:I95)</f>
        <v>2305.65</v>
      </c>
      <c r="I29" s="256">
        <f>SUM(Quarter!J92:J95)</f>
        <v>17343.23</v>
      </c>
      <c r="J29" s="246">
        <f>SUM(Quarter!K92:K95)</f>
        <v>4392.47</v>
      </c>
      <c r="K29" s="246">
        <f>SUM(Quarter!L92:L95)</f>
        <v>2049.1</v>
      </c>
      <c r="L29" s="257">
        <f>SUM(Quarter!M92:M95)</f>
        <v>6981.52</v>
      </c>
      <c r="M29" s="255">
        <f>SUM(Quarter!N92:N95)</f>
        <v>13523.910000000002</v>
      </c>
      <c r="N29" s="255">
        <f>SUM(Quarter!O92:O95)</f>
        <v>4096.71</v>
      </c>
      <c r="O29" s="255">
        <f>SUM(Quarter!P92:P95)</f>
        <v>352.40999999999997</v>
      </c>
      <c r="P29" s="256">
        <f>SUM(Quarter!Q92:Q95)</f>
        <v>967.8199999999999</v>
      </c>
      <c r="Q29" s="338"/>
      <c r="R29" s="338"/>
      <c r="S29" s="338"/>
      <c r="T29" s="338"/>
      <c r="U29" s="338"/>
      <c r="V29" s="338"/>
      <c r="W29" s="338"/>
      <c r="X29" s="338"/>
      <c r="Y29" s="338"/>
      <c r="Z29" s="338"/>
      <c r="AA29" s="338"/>
      <c r="AB29" s="338"/>
      <c r="AC29" s="338"/>
      <c r="AD29" s="338"/>
      <c r="AE29" s="338"/>
    </row>
    <row r="30" spans="1:31" ht="12">
      <c r="A30" s="278">
        <v>2017</v>
      </c>
      <c r="B30" s="257">
        <f>SUM(Quarter!C96:C99)</f>
        <v>60256.59</v>
      </c>
      <c r="C30" s="255">
        <f>SUM(Quarter!D96:D99)</f>
        <v>3389.48</v>
      </c>
      <c r="D30" s="246">
        <f>SUM(Quarter!E96:E99)</f>
        <v>460.49</v>
      </c>
      <c r="E30" s="326">
        <f>SUM(Quarter!F96:F99)</f>
        <v>56406.64</v>
      </c>
      <c r="F30" s="257">
        <f>SUM(Quarter!G96:G99)</f>
        <v>2178.17</v>
      </c>
      <c r="G30" s="246">
        <f>SUM(Quarter!H96:H99)</f>
        <v>423.64</v>
      </c>
      <c r="H30" s="257">
        <f>SUM(Quarter!I96:I99)</f>
        <v>2279.97</v>
      </c>
      <c r="I30" s="256">
        <f>SUM(Quarter!J96:J99)</f>
        <v>17415.730000000003</v>
      </c>
      <c r="J30" s="246">
        <f>SUM(Quarter!K96:K99)</f>
        <v>5031.1</v>
      </c>
      <c r="K30" s="246">
        <f>SUM(Quarter!L96:L99)</f>
        <v>2046.76</v>
      </c>
      <c r="L30" s="257">
        <f>SUM(Quarter!M96:M99)</f>
        <v>6877.700000000001</v>
      </c>
      <c r="M30" s="255">
        <f>SUM(Quarter!N96:N99)</f>
        <v>13424.580000000002</v>
      </c>
      <c r="N30" s="255">
        <f>SUM(Quarter!O96:O99)</f>
        <v>3684.83</v>
      </c>
      <c r="O30" s="255">
        <f>SUM(Quarter!P96:P99)</f>
        <v>443.06</v>
      </c>
      <c r="P30" s="256">
        <f>SUM(Quarter!Q96:Q99)</f>
        <v>816.6300000000001</v>
      </c>
      <c r="Q30" s="338"/>
      <c r="R30" s="338"/>
      <c r="S30" s="338"/>
      <c r="T30" s="338"/>
      <c r="U30" s="338"/>
      <c r="V30" s="338"/>
      <c r="W30" s="338"/>
      <c r="X30" s="338"/>
      <c r="Y30" s="338"/>
      <c r="Z30" s="338"/>
      <c r="AA30" s="338"/>
      <c r="AB30" s="338"/>
      <c r="AC30" s="338"/>
      <c r="AD30" s="338"/>
      <c r="AE30" s="338"/>
    </row>
    <row r="31" spans="1:31" ht="12">
      <c r="A31" s="278">
        <v>2018</v>
      </c>
      <c r="B31" s="257">
        <f>SUM(Quarter!C100:C103)</f>
        <v>58697.23999999999</v>
      </c>
      <c r="C31" s="255">
        <f>SUM(Quarter!D100:D103)</f>
        <v>3351.6400000000003</v>
      </c>
      <c r="D31" s="246">
        <f>SUM(Quarter!E100:E103)</f>
        <v>492.6</v>
      </c>
      <c r="E31" s="326">
        <f>SUM(Quarter!F100:F103)</f>
        <v>54853.01</v>
      </c>
      <c r="F31" s="257">
        <f>SUM(Quarter!G100:G103)</f>
        <v>2078.84</v>
      </c>
      <c r="G31" s="246">
        <f>SUM(Quarter!H100:H103)</f>
        <v>305.59</v>
      </c>
      <c r="H31" s="257">
        <f>SUM(Quarter!I100:I103)</f>
        <v>2208.6400000000003</v>
      </c>
      <c r="I31" s="256">
        <f>SUM(Quarter!J100:J103)</f>
        <v>16575.38</v>
      </c>
      <c r="J31" s="246">
        <f>SUM(Quarter!K100:K103)</f>
        <v>5128.950000000001</v>
      </c>
      <c r="K31" s="246">
        <f>SUM(Quarter!L100:L103)</f>
        <v>2052.6400000000003</v>
      </c>
      <c r="L31" s="257">
        <f>SUM(Quarter!M100:M103)</f>
        <v>7443.62</v>
      </c>
      <c r="M31" s="255">
        <f>SUM(Quarter!N100:N103)</f>
        <v>12599.330000000002</v>
      </c>
      <c r="N31" s="255">
        <f>SUM(Quarter!O100:O103)</f>
        <v>3031.62</v>
      </c>
      <c r="O31" s="255">
        <f>SUM(Quarter!P100:P103)</f>
        <v>435.7</v>
      </c>
      <c r="P31" s="256">
        <f>SUM(Quarter!Q100:Q103)</f>
        <v>875.25</v>
      </c>
      <c r="Q31" s="338"/>
      <c r="R31" s="338"/>
      <c r="S31" s="338"/>
      <c r="T31" s="338"/>
      <c r="U31" s="338"/>
      <c r="V31" s="338"/>
      <c r="W31" s="338"/>
      <c r="X31" s="338"/>
      <c r="Y31" s="338"/>
      <c r="Z31" s="338"/>
      <c r="AA31" s="338"/>
      <c r="AB31" s="338"/>
      <c r="AC31" s="338"/>
      <c r="AD31" s="338"/>
      <c r="AE31" s="338"/>
    </row>
    <row r="32" spans="1:31" ht="12">
      <c r="A32" s="278">
        <v>2019</v>
      </c>
      <c r="B32" s="257">
        <f>SUM(Quarter!C104:C107)</f>
        <v>59229.45</v>
      </c>
      <c r="C32" s="255">
        <f>SUM(Quarter!D104:D107)</f>
        <v>3300.05</v>
      </c>
      <c r="D32" s="246">
        <f>SUM(Quarter!E104:E107)</f>
        <v>681.1600000000001</v>
      </c>
      <c r="E32" s="326">
        <f>SUM(Quarter!F104:F107)</f>
        <v>55248.229999999996</v>
      </c>
      <c r="F32" s="257">
        <f>SUM(Quarter!G104:G107)</f>
        <v>2215.7799999999997</v>
      </c>
      <c r="G32" s="246">
        <f>SUM(Quarter!H104:H107)</f>
        <v>250.11</v>
      </c>
      <c r="H32" s="257">
        <f>SUM(Quarter!I104:I107)</f>
        <v>2071.88</v>
      </c>
      <c r="I32" s="256">
        <f>SUM(Quarter!J104:J107)</f>
        <v>16464.3</v>
      </c>
      <c r="J32" s="246">
        <f>SUM(Quarter!K104:K107)</f>
        <v>5178.18</v>
      </c>
      <c r="K32" s="246">
        <f>SUM(Quarter!L104:L107)</f>
        <v>2062.19</v>
      </c>
      <c r="L32" s="257">
        <f>SUM(Quarter!M104:M107)</f>
        <v>7218.620000000001</v>
      </c>
      <c r="M32" s="255">
        <f>SUM(Quarter!N104:N107)</f>
        <v>13275.27</v>
      </c>
      <c r="N32" s="255">
        <f>SUM(Quarter!O104:O107)</f>
        <v>2889.5099999999993</v>
      </c>
      <c r="O32" s="255">
        <f>SUM(Quarter!P104:P107)</f>
        <v>293.46</v>
      </c>
      <c r="P32" s="256">
        <f>SUM(Quarter!Q104:Q107)</f>
        <v>892.3100000000001</v>
      </c>
      <c r="Q32" s="338"/>
      <c r="R32" s="338"/>
      <c r="S32" s="338"/>
      <c r="T32" s="338"/>
      <c r="U32" s="338"/>
      <c r="V32" s="338"/>
      <c r="W32" s="338"/>
      <c r="X32" s="338"/>
      <c r="Y32" s="338"/>
      <c r="Z32" s="338"/>
      <c r="AA32" s="338"/>
      <c r="AB32" s="338"/>
      <c r="AC32" s="338"/>
      <c r="AD32" s="338"/>
      <c r="AE32" s="338"/>
    </row>
    <row r="33" spans="1:31" ht="12">
      <c r="A33" s="346">
        <v>2020</v>
      </c>
      <c r="B33" s="257">
        <f>SUM(Quarter!C108:C111)</f>
        <v>48231.95</v>
      </c>
      <c r="C33" s="255">
        <f>SUM(Quarter!D108:D111)</f>
        <v>2602.61</v>
      </c>
      <c r="D33" s="246">
        <f>SUM(Quarter!E108:E111)</f>
        <v>417.51</v>
      </c>
      <c r="E33" s="326">
        <f>SUM(Quarter!F108:F111)</f>
        <v>45211.83</v>
      </c>
      <c r="F33" s="257">
        <f>SUM(Quarter!G108:G111)</f>
        <v>1749.36</v>
      </c>
      <c r="G33" s="246">
        <f>SUM(Quarter!H108:H111)</f>
        <v>329.23</v>
      </c>
      <c r="H33" s="257">
        <f>SUM(Quarter!I108:I111)</f>
        <v>1843.8200000000002</v>
      </c>
      <c r="I33" s="256">
        <f>SUM(Quarter!J108:J111)</f>
        <v>13154.6</v>
      </c>
      <c r="J33" s="246">
        <f>SUM(Quarter!K108:K111)</f>
        <v>1942.7800000000002</v>
      </c>
      <c r="K33" s="246">
        <f>SUM(Quarter!L108:L111)</f>
        <v>1902.6199999999997</v>
      </c>
      <c r="L33" s="257">
        <f>SUM(Quarter!M108:M111)</f>
        <v>5907.7</v>
      </c>
      <c r="M33" s="255">
        <f>SUM(Quarter!N108:N111)</f>
        <v>12428.67</v>
      </c>
      <c r="N33" s="255">
        <f>SUM(Quarter!O108:O111)</f>
        <v>3073.49</v>
      </c>
      <c r="O33" s="255">
        <f>SUM(Quarter!P108:P111)</f>
        <v>286.16</v>
      </c>
      <c r="P33" s="256">
        <f>SUM(Quarter!Q108:Q111)</f>
        <v>637.58</v>
      </c>
      <c r="Q33" s="338"/>
      <c r="R33" s="338"/>
      <c r="S33" s="338"/>
      <c r="T33" s="338"/>
      <c r="U33" s="338"/>
      <c r="V33" s="338"/>
      <c r="W33" s="338"/>
      <c r="X33" s="338"/>
      <c r="Y33" s="338"/>
      <c r="Z33" s="338"/>
      <c r="AA33" s="338"/>
      <c r="AB33" s="338"/>
      <c r="AC33" s="338"/>
      <c r="AD33" s="338"/>
      <c r="AE33" s="338"/>
    </row>
    <row r="34" spans="2:16" ht="12.75" customHeight="1">
      <c r="B34" s="152"/>
      <c r="C34" s="152"/>
      <c r="D34" s="152"/>
      <c r="E34" s="152"/>
      <c r="F34" s="152"/>
      <c r="G34" s="152"/>
      <c r="H34" s="152"/>
      <c r="I34" s="152"/>
      <c r="J34" s="152"/>
      <c r="K34" s="152"/>
      <c r="L34" s="152"/>
      <c r="M34" s="152"/>
      <c r="N34" s="152"/>
      <c r="O34" s="152"/>
      <c r="P34" s="152"/>
    </row>
    <row r="35" spans="1:16" ht="12">
      <c r="A35" s="124" t="s">
        <v>152</v>
      </c>
      <c r="B35" s="142"/>
      <c r="C35" s="142"/>
      <c r="D35" s="142"/>
      <c r="E35" s="142"/>
      <c r="F35" s="142"/>
      <c r="G35" s="142"/>
      <c r="H35" s="142"/>
      <c r="I35" s="142"/>
      <c r="J35" s="142"/>
      <c r="K35" s="142"/>
      <c r="L35" s="142"/>
      <c r="M35" s="142"/>
      <c r="N35" s="142"/>
      <c r="O35" s="142"/>
      <c r="P35" s="142"/>
    </row>
    <row r="36" spans="2:16" ht="12">
      <c r="B36" s="142"/>
      <c r="C36" s="142"/>
      <c r="D36" s="142"/>
      <c r="E36" s="142"/>
      <c r="F36" s="142"/>
      <c r="G36" s="142"/>
      <c r="H36" s="147"/>
      <c r="I36" s="142"/>
      <c r="J36" s="142"/>
      <c r="K36" s="142"/>
      <c r="L36" s="142"/>
      <c r="M36" s="142"/>
      <c r="N36" s="142"/>
      <c r="O36" s="142"/>
      <c r="P36" s="142"/>
    </row>
    <row r="37" spans="2:16" ht="12">
      <c r="B37" s="142"/>
      <c r="C37" s="142"/>
      <c r="D37" s="142"/>
      <c r="E37" s="142"/>
      <c r="F37" s="142"/>
      <c r="G37" s="142"/>
      <c r="H37" s="142"/>
      <c r="I37" s="142"/>
      <c r="J37" s="142"/>
      <c r="K37" s="142"/>
      <c r="L37" s="142"/>
      <c r="M37" s="142"/>
      <c r="N37" s="142"/>
      <c r="O37" s="142"/>
      <c r="P37" s="142"/>
    </row>
    <row r="38" spans="2:16" ht="12">
      <c r="B38" s="142"/>
      <c r="C38" s="142"/>
      <c r="D38" s="142"/>
      <c r="E38" s="142"/>
      <c r="F38" s="142"/>
      <c r="G38" s="142"/>
      <c r="H38" s="142"/>
      <c r="I38" s="142"/>
      <c r="J38" s="142"/>
      <c r="K38" s="142"/>
      <c r="L38" s="142"/>
      <c r="M38" s="142"/>
      <c r="N38" s="142"/>
      <c r="O38" s="142"/>
      <c r="P38" s="142"/>
    </row>
    <row r="39" spans="2:16" ht="12">
      <c r="B39" s="142"/>
      <c r="C39" s="142"/>
      <c r="D39" s="142"/>
      <c r="E39" s="142"/>
      <c r="F39" s="142"/>
      <c r="G39" s="142"/>
      <c r="H39" s="142"/>
      <c r="I39" s="142"/>
      <c r="J39" s="142"/>
      <c r="K39" s="142"/>
      <c r="L39" s="142"/>
      <c r="M39" s="142"/>
      <c r="N39" s="142"/>
      <c r="O39" s="142"/>
      <c r="P39" s="142"/>
    </row>
    <row r="40" spans="2:16" ht="12">
      <c r="B40" s="142"/>
      <c r="C40" s="142"/>
      <c r="D40" s="142"/>
      <c r="E40" s="142"/>
      <c r="F40" s="142"/>
      <c r="G40" s="142"/>
      <c r="H40" s="142"/>
      <c r="I40" s="142"/>
      <c r="J40" s="142"/>
      <c r="K40" s="142"/>
      <c r="L40" s="142"/>
      <c r="M40" s="142"/>
      <c r="N40" s="142"/>
      <c r="O40" s="142"/>
      <c r="P40" s="142"/>
    </row>
    <row r="41" spans="2:16" ht="12">
      <c r="B41" s="142"/>
      <c r="C41" s="142"/>
      <c r="D41" s="142"/>
      <c r="E41" s="142"/>
      <c r="F41" s="142"/>
      <c r="G41" s="142"/>
      <c r="H41" s="142"/>
      <c r="I41" s="142"/>
      <c r="J41" s="142"/>
      <c r="K41" s="142"/>
      <c r="L41" s="142"/>
      <c r="M41" s="142"/>
      <c r="N41" s="142"/>
      <c r="O41" s="142"/>
      <c r="P41" s="142"/>
    </row>
    <row r="42" spans="2:16" ht="12">
      <c r="B42" s="142"/>
      <c r="C42" s="142"/>
      <c r="D42" s="142"/>
      <c r="E42" s="142"/>
      <c r="F42" s="142"/>
      <c r="G42" s="142"/>
      <c r="H42" s="142"/>
      <c r="I42" s="142"/>
      <c r="J42" s="142"/>
      <c r="K42" s="142"/>
      <c r="L42" s="142"/>
      <c r="M42" s="142"/>
      <c r="N42" s="142"/>
      <c r="O42" s="142"/>
      <c r="P42" s="142"/>
    </row>
    <row r="43" spans="2:16" ht="12">
      <c r="B43" s="142"/>
      <c r="C43" s="142"/>
      <c r="D43" s="142"/>
      <c r="E43" s="142"/>
      <c r="F43" s="142"/>
      <c r="G43" s="142"/>
      <c r="H43" s="142"/>
      <c r="I43" s="142"/>
      <c r="J43" s="142"/>
      <c r="K43" s="142"/>
      <c r="L43" s="142"/>
      <c r="M43" s="142"/>
      <c r="N43" s="142"/>
      <c r="O43" s="142"/>
      <c r="P43" s="142"/>
    </row>
    <row r="44" spans="2:16" ht="12">
      <c r="B44" s="142"/>
      <c r="C44" s="142"/>
      <c r="D44" s="142"/>
      <c r="E44" s="142"/>
      <c r="F44" s="142"/>
      <c r="G44" s="142"/>
      <c r="H44" s="142"/>
      <c r="I44" s="142"/>
      <c r="J44" s="142"/>
      <c r="K44" s="142"/>
      <c r="L44" s="142"/>
      <c r="M44" s="142"/>
      <c r="N44" s="142"/>
      <c r="O44" s="142"/>
      <c r="P44" s="142"/>
    </row>
    <row r="45" spans="2:16" ht="12">
      <c r="B45" s="142"/>
      <c r="C45" s="142"/>
      <c r="D45" s="142"/>
      <c r="E45" s="142"/>
      <c r="F45" s="142"/>
      <c r="G45" s="142"/>
      <c r="H45" s="142"/>
      <c r="I45" s="142"/>
      <c r="J45" s="142"/>
      <c r="K45" s="142"/>
      <c r="L45" s="142"/>
      <c r="M45" s="142"/>
      <c r="N45" s="142"/>
      <c r="O45" s="142"/>
      <c r="P45" s="142"/>
    </row>
    <row r="46" spans="2:16" ht="12">
      <c r="B46" s="142"/>
      <c r="C46" s="142"/>
      <c r="D46" s="142"/>
      <c r="E46" s="142"/>
      <c r="F46" s="142"/>
      <c r="G46" s="142"/>
      <c r="H46" s="142"/>
      <c r="I46" s="142"/>
      <c r="J46" s="142"/>
      <c r="K46" s="142"/>
      <c r="L46" s="142"/>
      <c r="M46" s="142"/>
      <c r="N46" s="142"/>
      <c r="O46" s="142"/>
      <c r="P46" s="142"/>
    </row>
    <row r="47" spans="2:16" ht="12">
      <c r="B47" s="243"/>
      <c r="C47" s="243"/>
      <c r="D47" s="243"/>
      <c r="E47" s="243"/>
      <c r="F47" s="243"/>
      <c r="G47" s="243"/>
      <c r="H47" s="243"/>
      <c r="I47" s="243"/>
      <c r="J47" s="243"/>
      <c r="K47" s="243"/>
      <c r="L47" s="243"/>
      <c r="M47" s="243"/>
      <c r="N47" s="243"/>
      <c r="O47" s="243"/>
      <c r="P47" s="243"/>
    </row>
    <row r="48" spans="2:16" ht="12">
      <c r="B48" s="243"/>
      <c r="C48" s="243"/>
      <c r="D48" s="243"/>
      <c r="E48" s="243"/>
      <c r="F48" s="243"/>
      <c r="G48" s="243"/>
      <c r="H48" s="243"/>
      <c r="I48" s="243"/>
      <c r="J48" s="243"/>
      <c r="K48" s="243"/>
      <c r="L48" s="243"/>
      <c r="M48" s="243"/>
      <c r="N48" s="243"/>
      <c r="O48" s="243"/>
      <c r="P48" s="243"/>
    </row>
    <row r="49" spans="2:16" ht="12">
      <c r="B49" s="243"/>
      <c r="C49" s="243"/>
      <c r="D49" s="243"/>
      <c r="E49" s="243"/>
      <c r="F49" s="243"/>
      <c r="G49" s="243"/>
      <c r="H49" s="243"/>
      <c r="I49" s="243"/>
      <c r="J49" s="243"/>
      <c r="K49" s="243"/>
      <c r="L49" s="243"/>
      <c r="M49" s="243"/>
      <c r="N49" s="243"/>
      <c r="O49" s="243"/>
      <c r="P49" s="243"/>
    </row>
    <row r="50" spans="2:16" ht="12">
      <c r="B50" s="243"/>
      <c r="C50" s="243"/>
      <c r="D50" s="243"/>
      <c r="E50" s="243"/>
      <c r="F50" s="243"/>
      <c r="G50" s="243"/>
      <c r="H50" s="243"/>
      <c r="I50" s="243"/>
      <c r="J50" s="243"/>
      <c r="K50" s="243"/>
      <c r="L50" s="243"/>
      <c r="M50" s="243"/>
      <c r="N50" s="243"/>
      <c r="O50" s="243"/>
      <c r="P50" s="243"/>
    </row>
    <row r="51" spans="2:16" ht="12">
      <c r="B51" s="243"/>
      <c r="C51" s="243"/>
      <c r="D51" s="243"/>
      <c r="E51" s="243"/>
      <c r="F51" s="243"/>
      <c r="G51" s="243"/>
      <c r="H51" s="243"/>
      <c r="I51" s="243"/>
      <c r="J51" s="243"/>
      <c r="K51" s="243"/>
      <c r="L51" s="243"/>
      <c r="M51" s="243"/>
      <c r="N51" s="243"/>
      <c r="O51" s="243"/>
      <c r="P51" s="243"/>
    </row>
    <row r="52" spans="2:16" ht="12">
      <c r="B52" s="243"/>
      <c r="C52" s="243"/>
      <c r="D52" s="243"/>
      <c r="E52" s="243"/>
      <c r="F52" s="243"/>
      <c r="G52" s="243"/>
      <c r="H52" s="243"/>
      <c r="I52" s="243"/>
      <c r="J52" s="243"/>
      <c r="K52" s="243"/>
      <c r="L52" s="243"/>
      <c r="M52" s="243"/>
      <c r="N52" s="243"/>
      <c r="O52" s="243"/>
      <c r="P52" s="243"/>
    </row>
    <row r="53" spans="2:16" ht="12">
      <c r="B53" s="243"/>
      <c r="C53" s="243"/>
      <c r="D53" s="243"/>
      <c r="E53" s="243"/>
      <c r="F53" s="243"/>
      <c r="G53" s="243"/>
      <c r="H53" s="243"/>
      <c r="I53" s="243"/>
      <c r="J53" s="243"/>
      <c r="K53" s="243"/>
      <c r="L53" s="243"/>
      <c r="M53" s="243"/>
      <c r="N53" s="243"/>
      <c r="O53" s="243"/>
      <c r="P53" s="243"/>
    </row>
    <row r="54" spans="2:16" ht="12">
      <c r="B54" s="243"/>
      <c r="C54" s="243"/>
      <c r="D54" s="243"/>
      <c r="E54" s="243"/>
      <c r="F54" s="243"/>
      <c r="G54" s="243"/>
      <c r="H54" s="243"/>
      <c r="I54" s="243"/>
      <c r="J54" s="243"/>
      <c r="K54" s="243"/>
      <c r="L54" s="243"/>
      <c r="M54" s="243"/>
      <c r="N54" s="243"/>
      <c r="O54" s="243"/>
      <c r="P54" s="243"/>
    </row>
    <row r="55" spans="2:16" ht="12">
      <c r="B55" s="243"/>
      <c r="C55" s="243"/>
      <c r="D55" s="243"/>
      <c r="E55" s="243"/>
      <c r="F55" s="243"/>
      <c r="G55" s="243"/>
      <c r="H55" s="243"/>
      <c r="I55" s="243"/>
      <c r="J55" s="243"/>
      <c r="K55" s="243"/>
      <c r="L55" s="243"/>
      <c r="M55" s="243"/>
      <c r="N55" s="243"/>
      <c r="O55" s="243"/>
      <c r="P55" s="243"/>
    </row>
    <row r="56" spans="2:16" ht="12">
      <c r="B56" s="243"/>
      <c r="C56" s="243"/>
      <c r="D56" s="243"/>
      <c r="E56" s="243"/>
      <c r="F56" s="243"/>
      <c r="G56" s="243"/>
      <c r="H56" s="243"/>
      <c r="I56" s="243"/>
      <c r="J56" s="243"/>
      <c r="K56" s="243"/>
      <c r="L56" s="243"/>
      <c r="M56" s="243"/>
      <c r="N56" s="243"/>
      <c r="O56" s="243"/>
      <c r="P56" s="243"/>
    </row>
    <row r="57" spans="2:16" ht="12">
      <c r="B57" s="243"/>
      <c r="C57" s="243"/>
      <c r="D57" s="243"/>
      <c r="E57" s="243"/>
      <c r="F57" s="243"/>
      <c r="G57" s="243"/>
      <c r="H57" s="243"/>
      <c r="I57" s="243"/>
      <c r="J57" s="243"/>
      <c r="K57" s="243"/>
      <c r="L57" s="243"/>
      <c r="M57" s="243"/>
      <c r="N57" s="243"/>
      <c r="O57" s="243"/>
      <c r="P57" s="243"/>
    </row>
    <row r="58" spans="2:16" ht="12">
      <c r="B58" s="243"/>
      <c r="C58" s="243"/>
      <c r="D58" s="243"/>
      <c r="E58" s="243"/>
      <c r="F58" s="243"/>
      <c r="G58" s="243"/>
      <c r="H58" s="243"/>
      <c r="I58" s="243"/>
      <c r="J58" s="243"/>
      <c r="K58" s="243"/>
      <c r="L58" s="243"/>
      <c r="M58" s="243"/>
      <c r="N58" s="243"/>
      <c r="O58" s="243"/>
      <c r="P58" s="243"/>
    </row>
    <row r="59" spans="2:16" ht="12">
      <c r="B59" s="243"/>
      <c r="C59" s="243"/>
      <c r="D59" s="243"/>
      <c r="E59" s="243"/>
      <c r="F59" s="243"/>
      <c r="G59" s="243"/>
      <c r="H59" s="243"/>
      <c r="I59" s="243"/>
      <c r="J59" s="243"/>
      <c r="K59" s="243"/>
      <c r="L59" s="243"/>
      <c r="M59" s="243"/>
      <c r="N59" s="243"/>
      <c r="O59" s="243"/>
      <c r="P59" s="243"/>
    </row>
    <row r="60" spans="2:16" ht="12">
      <c r="B60" s="243"/>
      <c r="C60" s="243"/>
      <c r="D60" s="243"/>
      <c r="E60" s="243"/>
      <c r="F60" s="243"/>
      <c r="G60" s="243"/>
      <c r="H60" s="243"/>
      <c r="I60" s="243"/>
      <c r="J60" s="243"/>
      <c r="K60" s="243"/>
      <c r="L60" s="243"/>
      <c r="M60" s="243"/>
      <c r="N60" s="243"/>
      <c r="O60" s="243"/>
      <c r="P60" s="243"/>
    </row>
    <row r="61" spans="2:16" ht="12">
      <c r="B61" s="243"/>
      <c r="C61" s="243"/>
      <c r="D61" s="243"/>
      <c r="E61" s="243"/>
      <c r="F61" s="243"/>
      <c r="G61" s="243"/>
      <c r="H61" s="243"/>
      <c r="I61" s="243"/>
      <c r="J61" s="243"/>
      <c r="K61" s="243"/>
      <c r="L61" s="243"/>
      <c r="M61" s="243"/>
      <c r="N61" s="243"/>
      <c r="O61" s="243"/>
      <c r="P61" s="243"/>
    </row>
    <row r="62" spans="2:16" ht="12">
      <c r="B62" s="243"/>
      <c r="C62" s="243"/>
      <c r="D62" s="243"/>
      <c r="E62" s="243"/>
      <c r="F62" s="243"/>
      <c r="G62" s="243"/>
      <c r="H62" s="243"/>
      <c r="I62" s="243"/>
      <c r="J62" s="243"/>
      <c r="K62" s="243"/>
      <c r="L62" s="243"/>
      <c r="M62" s="243"/>
      <c r="N62" s="243"/>
      <c r="O62" s="243"/>
      <c r="P62" s="243"/>
    </row>
    <row r="63" spans="2:16" ht="12">
      <c r="B63" s="243"/>
      <c r="C63" s="243"/>
      <c r="D63" s="243"/>
      <c r="E63" s="243"/>
      <c r="F63" s="243"/>
      <c r="G63" s="243"/>
      <c r="H63" s="243"/>
      <c r="I63" s="243"/>
      <c r="J63" s="243"/>
      <c r="K63" s="243"/>
      <c r="L63" s="243"/>
      <c r="M63" s="243"/>
      <c r="N63" s="243"/>
      <c r="O63" s="243"/>
      <c r="P63" s="243"/>
    </row>
    <row r="64" spans="2:16" ht="12">
      <c r="B64" s="243"/>
      <c r="C64" s="243"/>
      <c r="D64" s="243"/>
      <c r="E64" s="243"/>
      <c r="F64" s="243"/>
      <c r="G64" s="243"/>
      <c r="H64" s="243"/>
      <c r="I64" s="243"/>
      <c r="J64" s="243"/>
      <c r="K64" s="243"/>
      <c r="L64" s="243"/>
      <c r="M64" s="243"/>
      <c r="N64" s="243"/>
      <c r="O64" s="243"/>
      <c r="P64" s="243"/>
    </row>
    <row r="65" spans="2:16" ht="12">
      <c r="B65" s="243"/>
      <c r="C65" s="243"/>
      <c r="D65" s="243"/>
      <c r="E65" s="243"/>
      <c r="F65" s="243"/>
      <c r="G65" s="243"/>
      <c r="H65" s="243"/>
      <c r="I65" s="243"/>
      <c r="J65" s="243"/>
      <c r="K65" s="243"/>
      <c r="L65" s="243"/>
      <c r="M65" s="243"/>
      <c r="N65" s="243"/>
      <c r="O65" s="243"/>
      <c r="P65" s="243"/>
    </row>
    <row r="66" spans="2:16" ht="12">
      <c r="B66" s="243"/>
      <c r="C66" s="243"/>
      <c r="D66" s="243"/>
      <c r="E66" s="243"/>
      <c r="F66" s="243"/>
      <c r="G66" s="243"/>
      <c r="H66" s="243"/>
      <c r="I66" s="243"/>
      <c r="J66" s="243"/>
      <c r="K66" s="243"/>
      <c r="L66" s="243"/>
      <c r="M66" s="243"/>
      <c r="N66" s="243"/>
      <c r="O66" s="243"/>
      <c r="P66" s="243"/>
    </row>
    <row r="67" spans="2:16" ht="12">
      <c r="B67" s="243"/>
      <c r="C67" s="243"/>
      <c r="D67" s="243"/>
      <c r="E67" s="243"/>
      <c r="F67" s="243"/>
      <c r="G67" s="243"/>
      <c r="H67" s="243"/>
      <c r="I67" s="243"/>
      <c r="J67" s="243"/>
      <c r="K67" s="243"/>
      <c r="L67" s="243"/>
      <c r="M67" s="243"/>
      <c r="N67" s="243"/>
      <c r="O67" s="243"/>
      <c r="P67" s="243"/>
    </row>
    <row r="68" spans="2:16" ht="12">
      <c r="B68" s="243"/>
      <c r="C68" s="243"/>
      <c r="D68" s="243"/>
      <c r="E68" s="243"/>
      <c r="F68" s="243"/>
      <c r="G68" s="243"/>
      <c r="H68" s="243"/>
      <c r="I68" s="243"/>
      <c r="J68" s="243"/>
      <c r="K68" s="243"/>
      <c r="L68" s="243"/>
      <c r="M68" s="243"/>
      <c r="N68" s="243"/>
      <c r="O68" s="243"/>
      <c r="P68" s="243"/>
    </row>
    <row r="69" spans="2:16" ht="12">
      <c r="B69" s="243"/>
      <c r="C69" s="243"/>
      <c r="D69" s="243"/>
      <c r="E69" s="243"/>
      <c r="F69" s="243"/>
      <c r="G69" s="243"/>
      <c r="H69" s="243"/>
      <c r="I69" s="243"/>
      <c r="J69" s="243"/>
      <c r="K69" s="243"/>
      <c r="L69" s="243"/>
      <c r="M69" s="243"/>
      <c r="N69" s="243"/>
      <c r="O69" s="243"/>
      <c r="P69" s="243"/>
    </row>
    <row r="70" spans="2:16" ht="12">
      <c r="B70" s="243"/>
      <c r="C70" s="243"/>
      <c r="D70" s="243"/>
      <c r="E70" s="243"/>
      <c r="F70" s="243"/>
      <c r="G70" s="243"/>
      <c r="H70" s="243"/>
      <c r="I70" s="243"/>
      <c r="J70" s="243"/>
      <c r="K70" s="243"/>
      <c r="L70" s="243"/>
      <c r="M70" s="243"/>
      <c r="N70" s="243"/>
      <c r="O70" s="243"/>
      <c r="P70" s="243"/>
    </row>
    <row r="71" spans="2:16" ht="12">
      <c r="B71" s="243"/>
      <c r="C71" s="243"/>
      <c r="D71" s="243"/>
      <c r="E71" s="243"/>
      <c r="F71" s="243"/>
      <c r="G71" s="243"/>
      <c r="H71" s="243"/>
      <c r="I71" s="243"/>
      <c r="J71" s="243"/>
      <c r="K71" s="243"/>
      <c r="L71" s="243"/>
      <c r="M71" s="243"/>
      <c r="N71" s="243"/>
      <c r="O71" s="243"/>
      <c r="P71" s="243"/>
    </row>
    <row r="72" spans="2:16" ht="12">
      <c r="B72" s="243"/>
      <c r="C72" s="243"/>
      <c r="D72" s="243"/>
      <c r="E72" s="243"/>
      <c r="F72" s="243"/>
      <c r="G72" s="243"/>
      <c r="H72" s="243"/>
      <c r="I72" s="243"/>
      <c r="J72" s="243"/>
      <c r="K72" s="243"/>
      <c r="L72" s="243"/>
      <c r="M72" s="243"/>
      <c r="N72" s="243"/>
      <c r="O72" s="243"/>
      <c r="P72" s="243"/>
    </row>
    <row r="73" spans="2:16" ht="12">
      <c r="B73" s="243"/>
      <c r="C73" s="243"/>
      <c r="D73" s="243"/>
      <c r="E73" s="243"/>
      <c r="F73" s="243"/>
      <c r="G73" s="243"/>
      <c r="H73" s="243"/>
      <c r="I73" s="243"/>
      <c r="J73" s="243"/>
      <c r="K73" s="243"/>
      <c r="L73" s="243"/>
      <c r="M73" s="243"/>
      <c r="N73" s="243"/>
      <c r="O73" s="243"/>
      <c r="P73" s="243"/>
    </row>
    <row r="74" spans="2:16" ht="12">
      <c r="B74" s="243"/>
      <c r="C74" s="243"/>
      <c r="D74" s="243"/>
      <c r="E74" s="243"/>
      <c r="F74" s="243"/>
      <c r="G74" s="243"/>
      <c r="H74" s="243"/>
      <c r="I74" s="243"/>
      <c r="J74" s="243"/>
      <c r="K74" s="243"/>
      <c r="L74" s="243"/>
      <c r="M74" s="243"/>
      <c r="N74" s="243"/>
      <c r="O74" s="243"/>
      <c r="P74" s="243"/>
    </row>
    <row r="75" spans="2:16" ht="12">
      <c r="B75" s="243"/>
      <c r="C75" s="243"/>
      <c r="D75" s="243"/>
      <c r="E75" s="243"/>
      <c r="F75" s="243"/>
      <c r="G75" s="243"/>
      <c r="H75" s="243"/>
      <c r="I75" s="243"/>
      <c r="J75" s="243"/>
      <c r="K75" s="243"/>
      <c r="L75" s="243"/>
      <c r="M75" s="243"/>
      <c r="N75" s="243"/>
      <c r="O75" s="243"/>
      <c r="P75" s="243"/>
    </row>
    <row r="76" spans="2:16" ht="12">
      <c r="B76" s="243"/>
      <c r="C76" s="243"/>
      <c r="D76" s="243"/>
      <c r="E76" s="243"/>
      <c r="F76" s="243"/>
      <c r="G76" s="243"/>
      <c r="H76" s="243"/>
      <c r="I76" s="243"/>
      <c r="J76" s="243"/>
      <c r="K76" s="243"/>
      <c r="L76" s="243"/>
      <c r="M76" s="243"/>
      <c r="N76" s="243"/>
      <c r="O76" s="243"/>
      <c r="P76" s="243"/>
    </row>
    <row r="77" spans="2:16" ht="12">
      <c r="B77" s="243"/>
      <c r="C77" s="243"/>
      <c r="D77" s="243"/>
      <c r="E77" s="243"/>
      <c r="F77" s="243"/>
      <c r="G77" s="243"/>
      <c r="H77" s="243"/>
      <c r="I77" s="243"/>
      <c r="J77" s="243"/>
      <c r="K77" s="243"/>
      <c r="L77" s="243"/>
      <c r="M77" s="243"/>
      <c r="N77" s="243"/>
      <c r="O77" s="243"/>
      <c r="P77" s="243"/>
    </row>
    <row r="78" spans="2:16" ht="12">
      <c r="B78" s="243"/>
      <c r="C78" s="243"/>
      <c r="D78" s="243"/>
      <c r="E78" s="243"/>
      <c r="F78" s="243"/>
      <c r="G78" s="243"/>
      <c r="H78" s="243"/>
      <c r="I78" s="243"/>
      <c r="J78" s="243"/>
      <c r="K78" s="243"/>
      <c r="L78" s="243"/>
      <c r="M78" s="243"/>
      <c r="N78" s="243"/>
      <c r="O78" s="243"/>
      <c r="P78" s="243"/>
    </row>
    <row r="79" spans="2:16" ht="12">
      <c r="B79" s="243"/>
      <c r="C79" s="243"/>
      <c r="D79" s="243"/>
      <c r="E79" s="243"/>
      <c r="F79" s="243"/>
      <c r="G79" s="243"/>
      <c r="H79" s="243"/>
      <c r="I79" s="243"/>
      <c r="J79" s="243"/>
      <c r="K79" s="243"/>
      <c r="L79" s="243"/>
      <c r="M79" s="243"/>
      <c r="N79" s="243"/>
      <c r="O79" s="243"/>
      <c r="P79" s="243"/>
    </row>
    <row r="80" spans="2:16" ht="12">
      <c r="B80" s="243"/>
      <c r="C80" s="243"/>
      <c r="D80" s="243"/>
      <c r="E80" s="243"/>
      <c r="F80" s="243"/>
      <c r="G80" s="243"/>
      <c r="H80" s="243"/>
      <c r="I80" s="243"/>
      <c r="J80" s="243"/>
      <c r="K80" s="243"/>
      <c r="L80" s="243"/>
      <c r="M80" s="243"/>
      <c r="N80" s="243"/>
      <c r="O80" s="243"/>
      <c r="P80" s="243"/>
    </row>
    <row r="81" spans="2:16" ht="12">
      <c r="B81" s="243"/>
      <c r="C81" s="243"/>
      <c r="D81" s="243"/>
      <c r="E81" s="243"/>
      <c r="F81" s="243"/>
      <c r="G81" s="243"/>
      <c r="H81" s="243"/>
      <c r="I81" s="243"/>
      <c r="J81" s="243"/>
      <c r="K81" s="243"/>
      <c r="L81" s="243"/>
      <c r="M81" s="243"/>
      <c r="N81" s="243"/>
      <c r="O81" s="243"/>
      <c r="P81" s="243"/>
    </row>
    <row r="82" spans="2:16" ht="12">
      <c r="B82" s="243"/>
      <c r="C82" s="243"/>
      <c r="D82" s="243"/>
      <c r="E82" s="243"/>
      <c r="F82" s="243"/>
      <c r="G82" s="243"/>
      <c r="H82" s="243"/>
      <c r="I82" s="243"/>
      <c r="J82" s="243"/>
      <c r="K82" s="243"/>
      <c r="L82" s="243"/>
      <c r="M82" s="243"/>
      <c r="N82" s="243"/>
      <c r="O82" s="243"/>
      <c r="P82" s="243"/>
    </row>
    <row r="83" spans="2:16" ht="12">
      <c r="B83" s="243"/>
      <c r="C83" s="243"/>
      <c r="D83" s="243"/>
      <c r="E83" s="243"/>
      <c r="F83" s="243"/>
      <c r="G83" s="243"/>
      <c r="H83" s="243"/>
      <c r="I83" s="243"/>
      <c r="J83" s="243"/>
      <c r="K83" s="243"/>
      <c r="L83" s="243"/>
      <c r="M83" s="243"/>
      <c r="N83" s="243"/>
      <c r="O83" s="243"/>
      <c r="P83" s="243"/>
    </row>
    <row r="84" spans="2:16" ht="12">
      <c r="B84" s="243"/>
      <c r="C84" s="243"/>
      <c r="D84" s="243"/>
      <c r="E84" s="243"/>
      <c r="F84" s="243"/>
      <c r="G84" s="243"/>
      <c r="H84" s="243"/>
      <c r="I84" s="243"/>
      <c r="J84" s="243"/>
      <c r="K84" s="243"/>
      <c r="L84" s="243"/>
      <c r="M84" s="243"/>
      <c r="N84" s="243"/>
      <c r="O84" s="243"/>
      <c r="P84" s="243"/>
    </row>
    <row r="85" spans="2:16" ht="12">
      <c r="B85" s="243"/>
      <c r="C85" s="243"/>
      <c r="D85" s="243"/>
      <c r="E85" s="243"/>
      <c r="F85" s="243"/>
      <c r="G85" s="243"/>
      <c r="H85" s="243"/>
      <c r="I85" s="243"/>
      <c r="J85" s="243"/>
      <c r="K85" s="243"/>
      <c r="L85" s="243"/>
      <c r="M85" s="243"/>
      <c r="N85" s="243"/>
      <c r="O85" s="243"/>
      <c r="P85" s="243"/>
    </row>
    <row r="86" spans="2:16" ht="12">
      <c r="B86" s="243"/>
      <c r="C86" s="243"/>
      <c r="D86" s="243"/>
      <c r="E86" s="243"/>
      <c r="F86" s="243"/>
      <c r="G86" s="243"/>
      <c r="H86" s="243"/>
      <c r="I86" s="243"/>
      <c r="J86" s="243"/>
      <c r="K86" s="243"/>
      <c r="L86" s="243"/>
      <c r="M86" s="243"/>
      <c r="N86" s="243"/>
      <c r="O86" s="243"/>
      <c r="P86" s="243"/>
    </row>
    <row r="87" spans="2:16" ht="12">
      <c r="B87" s="243"/>
      <c r="C87" s="243"/>
      <c r="D87" s="243"/>
      <c r="E87" s="243"/>
      <c r="F87" s="243"/>
      <c r="G87" s="243"/>
      <c r="H87" s="243"/>
      <c r="I87" s="243"/>
      <c r="J87" s="243"/>
      <c r="K87" s="243"/>
      <c r="L87" s="243"/>
      <c r="M87" s="243"/>
      <c r="N87" s="243"/>
      <c r="O87" s="243"/>
      <c r="P87" s="243"/>
    </row>
    <row r="88" spans="2:16" ht="12">
      <c r="B88" s="243"/>
      <c r="C88" s="243"/>
      <c r="D88" s="243"/>
      <c r="E88" s="243"/>
      <c r="F88" s="243"/>
      <c r="G88" s="243"/>
      <c r="H88" s="243"/>
      <c r="I88" s="243"/>
      <c r="J88" s="243"/>
      <c r="K88" s="243"/>
      <c r="L88" s="243"/>
      <c r="M88" s="243"/>
      <c r="N88" s="243"/>
      <c r="O88" s="243"/>
      <c r="P88" s="243"/>
    </row>
    <row r="89" spans="2:16" ht="12">
      <c r="B89" s="243"/>
      <c r="C89" s="243"/>
      <c r="D89" s="243"/>
      <c r="E89" s="243"/>
      <c r="F89" s="243"/>
      <c r="G89" s="243"/>
      <c r="H89" s="243"/>
      <c r="I89" s="243"/>
      <c r="J89" s="243"/>
      <c r="K89" s="243"/>
      <c r="L89" s="243"/>
      <c r="M89" s="243"/>
      <c r="N89" s="243"/>
      <c r="O89" s="243"/>
      <c r="P89" s="243"/>
    </row>
    <row r="90" spans="2:16" ht="12">
      <c r="B90" s="243"/>
      <c r="C90" s="243"/>
      <c r="D90" s="243"/>
      <c r="E90" s="243"/>
      <c r="F90" s="243"/>
      <c r="G90" s="243"/>
      <c r="H90" s="243"/>
      <c r="I90" s="243"/>
      <c r="J90" s="243"/>
      <c r="K90" s="243"/>
      <c r="L90" s="243"/>
      <c r="M90" s="243"/>
      <c r="N90" s="243"/>
      <c r="O90" s="243"/>
      <c r="P90" s="243"/>
    </row>
    <row r="91" spans="2:16" ht="12">
      <c r="B91" s="243"/>
      <c r="C91" s="243"/>
      <c r="D91" s="243"/>
      <c r="E91" s="243"/>
      <c r="F91" s="243"/>
      <c r="G91" s="243"/>
      <c r="H91" s="243"/>
      <c r="I91" s="243"/>
      <c r="J91" s="243"/>
      <c r="K91" s="243"/>
      <c r="L91" s="243"/>
      <c r="M91" s="243"/>
      <c r="N91" s="243"/>
      <c r="O91" s="243"/>
      <c r="P91" s="243"/>
    </row>
    <row r="92" spans="2:16" ht="12">
      <c r="B92" s="243"/>
      <c r="C92" s="243"/>
      <c r="D92" s="243"/>
      <c r="E92" s="243"/>
      <c r="F92" s="243"/>
      <c r="G92" s="243"/>
      <c r="H92" s="243"/>
      <c r="I92" s="243"/>
      <c r="J92" s="243"/>
      <c r="K92" s="243"/>
      <c r="L92" s="243"/>
      <c r="M92" s="243"/>
      <c r="N92" s="243"/>
      <c r="O92" s="243"/>
      <c r="P92" s="243"/>
    </row>
    <row r="93" spans="2:16" ht="12">
      <c r="B93" s="243"/>
      <c r="C93" s="243"/>
      <c r="D93" s="243"/>
      <c r="E93" s="243"/>
      <c r="F93" s="243"/>
      <c r="G93" s="243"/>
      <c r="H93" s="243"/>
      <c r="I93" s="243"/>
      <c r="J93" s="243"/>
      <c r="K93" s="243"/>
      <c r="L93" s="243"/>
      <c r="M93" s="243"/>
      <c r="N93" s="243"/>
      <c r="O93" s="243"/>
      <c r="P93" s="243"/>
    </row>
    <row r="94" spans="2:16" ht="12">
      <c r="B94" s="243"/>
      <c r="C94" s="243"/>
      <c r="D94" s="243"/>
      <c r="E94" s="243"/>
      <c r="F94" s="243"/>
      <c r="G94" s="243"/>
      <c r="H94" s="243"/>
      <c r="I94" s="243"/>
      <c r="J94" s="243"/>
      <c r="K94" s="243"/>
      <c r="L94" s="243"/>
      <c r="M94" s="243"/>
      <c r="N94" s="243"/>
      <c r="O94" s="243"/>
      <c r="P94" s="243"/>
    </row>
    <row r="95" spans="2:16" ht="12">
      <c r="B95" s="243"/>
      <c r="C95" s="243"/>
      <c r="D95" s="243"/>
      <c r="E95" s="243"/>
      <c r="F95" s="243"/>
      <c r="G95" s="243"/>
      <c r="H95" s="243"/>
      <c r="I95" s="243"/>
      <c r="J95" s="243"/>
      <c r="K95" s="243"/>
      <c r="L95" s="243"/>
      <c r="M95" s="243"/>
      <c r="N95" s="243"/>
      <c r="O95" s="243"/>
      <c r="P95" s="243"/>
    </row>
    <row r="96" spans="2:16" ht="12">
      <c r="B96" s="243"/>
      <c r="C96" s="243"/>
      <c r="D96" s="243"/>
      <c r="E96" s="243"/>
      <c r="F96" s="243"/>
      <c r="G96" s="243"/>
      <c r="H96" s="243"/>
      <c r="I96" s="243"/>
      <c r="J96" s="243"/>
      <c r="K96" s="243"/>
      <c r="L96" s="243"/>
      <c r="M96" s="243"/>
      <c r="N96" s="243"/>
      <c r="O96" s="243"/>
      <c r="P96" s="243"/>
    </row>
    <row r="97" spans="2:16" ht="12">
      <c r="B97" s="243"/>
      <c r="C97" s="243"/>
      <c r="D97" s="243"/>
      <c r="E97" s="243"/>
      <c r="F97" s="243"/>
      <c r="G97" s="243"/>
      <c r="H97" s="243"/>
      <c r="I97" s="243"/>
      <c r="J97" s="243"/>
      <c r="K97" s="243"/>
      <c r="L97" s="243"/>
      <c r="M97" s="243"/>
      <c r="N97" s="243"/>
      <c r="O97" s="243"/>
      <c r="P97" s="243"/>
    </row>
    <row r="98" spans="2:16" ht="12">
      <c r="B98" s="243"/>
      <c r="C98" s="243"/>
      <c r="D98" s="243"/>
      <c r="E98" s="243"/>
      <c r="F98" s="243"/>
      <c r="G98" s="243"/>
      <c r="H98" s="243"/>
      <c r="I98" s="243"/>
      <c r="J98" s="243"/>
      <c r="K98" s="243"/>
      <c r="L98" s="243"/>
      <c r="M98" s="243"/>
      <c r="N98" s="243"/>
      <c r="O98" s="243"/>
      <c r="P98" s="243"/>
    </row>
    <row r="99" spans="2:16" ht="12">
      <c r="B99" s="243"/>
      <c r="C99" s="243"/>
      <c r="D99" s="243"/>
      <c r="E99" s="243"/>
      <c r="F99" s="243"/>
      <c r="G99" s="243"/>
      <c r="H99" s="243"/>
      <c r="I99" s="243"/>
      <c r="J99" s="243"/>
      <c r="K99" s="243"/>
      <c r="L99" s="243"/>
      <c r="M99" s="243"/>
      <c r="N99" s="243"/>
      <c r="O99" s="243"/>
      <c r="P99" s="243"/>
    </row>
    <row r="100" spans="2:16" ht="12">
      <c r="B100" s="243"/>
      <c r="C100" s="243"/>
      <c r="D100" s="243"/>
      <c r="E100" s="243"/>
      <c r="F100" s="243"/>
      <c r="G100" s="243"/>
      <c r="H100" s="243"/>
      <c r="I100" s="243"/>
      <c r="J100" s="243"/>
      <c r="K100" s="243"/>
      <c r="L100" s="243"/>
      <c r="M100" s="243"/>
      <c r="N100" s="243"/>
      <c r="O100" s="243"/>
      <c r="P100" s="243"/>
    </row>
    <row r="101" spans="2:16" ht="12">
      <c r="B101" s="243"/>
      <c r="C101" s="243"/>
      <c r="D101" s="243"/>
      <c r="E101" s="243"/>
      <c r="F101" s="243"/>
      <c r="G101" s="243"/>
      <c r="H101" s="243"/>
      <c r="I101" s="243"/>
      <c r="J101" s="243"/>
      <c r="K101" s="243"/>
      <c r="L101" s="243"/>
      <c r="M101" s="243"/>
      <c r="N101" s="243"/>
      <c r="O101" s="243"/>
      <c r="P101" s="243"/>
    </row>
    <row r="102" spans="2:16" ht="12">
      <c r="B102" s="243"/>
      <c r="C102" s="243"/>
      <c r="D102" s="243"/>
      <c r="E102" s="243"/>
      <c r="F102" s="243"/>
      <c r="G102" s="243"/>
      <c r="H102" s="243"/>
      <c r="I102" s="243"/>
      <c r="J102" s="243"/>
      <c r="K102" s="243"/>
      <c r="L102" s="243"/>
      <c r="M102" s="243"/>
      <c r="N102" s="243"/>
      <c r="O102" s="243"/>
      <c r="P102" s="243"/>
    </row>
    <row r="103" spans="2:16" ht="12">
      <c r="B103" s="243"/>
      <c r="C103" s="243"/>
      <c r="D103" s="243"/>
      <c r="E103" s="243"/>
      <c r="F103" s="243"/>
      <c r="G103" s="243"/>
      <c r="H103" s="243"/>
      <c r="I103" s="243"/>
      <c r="J103" s="243"/>
      <c r="K103" s="243"/>
      <c r="L103" s="243"/>
      <c r="M103" s="243"/>
      <c r="N103" s="243"/>
      <c r="O103" s="243"/>
      <c r="P103" s="243"/>
    </row>
    <row r="104" spans="2:16" ht="12">
      <c r="B104" s="243"/>
      <c r="C104" s="243"/>
      <c r="D104" s="243"/>
      <c r="E104" s="243"/>
      <c r="F104" s="243"/>
      <c r="G104" s="243"/>
      <c r="H104" s="243"/>
      <c r="I104" s="243"/>
      <c r="J104" s="243"/>
      <c r="K104" s="243"/>
      <c r="L104" s="243"/>
      <c r="M104" s="243"/>
      <c r="N104" s="243"/>
      <c r="O104" s="243"/>
      <c r="P104" s="243"/>
    </row>
    <row r="105" spans="2:16" ht="12">
      <c r="B105" s="243"/>
      <c r="C105" s="243"/>
      <c r="D105" s="243"/>
      <c r="E105" s="243"/>
      <c r="F105" s="243"/>
      <c r="G105" s="243"/>
      <c r="H105" s="243"/>
      <c r="I105" s="243"/>
      <c r="J105" s="243"/>
      <c r="K105" s="243"/>
      <c r="L105" s="243"/>
      <c r="M105" s="243"/>
      <c r="N105" s="243"/>
      <c r="O105" s="243"/>
      <c r="P105" s="243"/>
    </row>
    <row r="106" spans="2:16" ht="12">
      <c r="B106" s="243"/>
      <c r="C106" s="243"/>
      <c r="D106" s="243"/>
      <c r="E106" s="243"/>
      <c r="F106" s="243"/>
      <c r="G106" s="243"/>
      <c r="H106" s="243"/>
      <c r="I106" s="243"/>
      <c r="J106" s="243"/>
      <c r="K106" s="243"/>
      <c r="L106" s="243"/>
      <c r="M106" s="243"/>
      <c r="N106" s="243"/>
      <c r="O106" s="243"/>
      <c r="P106" s="243"/>
    </row>
    <row r="107" spans="2:16" ht="12">
      <c r="B107" s="243"/>
      <c r="C107" s="243"/>
      <c r="D107" s="243"/>
      <c r="E107" s="243"/>
      <c r="F107" s="243"/>
      <c r="G107" s="243"/>
      <c r="H107" s="243"/>
      <c r="I107" s="243"/>
      <c r="J107" s="243"/>
      <c r="K107" s="243"/>
      <c r="L107" s="243"/>
      <c r="M107" s="243"/>
      <c r="N107" s="243"/>
      <c r="O107" s="243"/>
      <c r="P107" s="243"/>
    </row>
    <row r="108" spans="2:16" ht="12">
      <c r="B108" s="243"/>
      <c r="C108" s="243"/>
      <c r="D108" s="243"/>
      <c r="E108" s="243"/>
      <c r="F108" s="243"/>
      <c r="G108" s="243"/>
      <c r="H108" s="243"/>
      <c r="I108" s="243"/>
      <c r="J108" s="243"/>
      <c r="K108" s="243"/>
      <c r="L108" s="243"/>
      <c r="M108" s="243"/>
      <c r="N108" s="243"/>
      <c r="O108" s="243"/>
      <c r="P108" s="243"/>
    </row>
    <row r="109" spans="2:16" ht="12">
      <c r="B109" s="243"/>
      <c r="C109" s="243"/>
      <c r="D109" s="243"/>
      <c r="E109" s="243"/>
      <c r="F109" s="243"/>
      <c r="G109" s="243"/>
      <c r="H109" s="243"/>
      <c r="I109" s="243"/>
      <c r="J109" s="243"/>
      <c r="K109" s="243"/>
      <c r="L109" s="243"/>
      <c r="M109" s="243"/>
      <c r="N109" s="243"/>
      <c r="O109" s="243"/>
      <c r="P109" s="243"/>
    </row>
    <row r="110" spans="2:16" ht="12">
      <c r="B110" s="243"/>
      <c r="C110" s="243"/>
      <c r="D110" s="243"/>
      <c r="E110" s="243"/>
      <c r="F110" s="243"/>
      <c r="G110" s="243"/>
      <c r="H110" s="243"/>
      <c r="I110" s="243"/>
      <c r="J110" s="243"/>
      <c r="K110" s="243"/>
      <c r="L110" s="243"/>
      <c r="M110" s="243"/>
      <c r="N110" s="243"/>
      <c r="O110" s="243"/>
      <c r="P110" s="243"/>
    </row>
    <row r="111" spans="2:16" ht="12">
      <c r="B111" s="243"/>
      <c r="C111" s="243"/>
      <c r="D111" s="243"/>
      <c r="E111" s="243"/>
      <c r="F111" s="243"/>
      <c r="G111" s="243"/>
      <c r="H111" s="243"/>
      <c r="I111" s="243"/>
      <c r="J111" s="243"/>
      <c r="K111" s="243"/>
      <c r="L111" s="243"/>
      <c r="M111" s="243"/>
      <c r="N111" s="243"/>
      <c r="O111" s="243"/>
      <c r="P111" s="243"/>
    </row>
    <row r="112" spans="2:16" ht="12">
      <c r="B112" s="243"/>
      <c r="C112" s="243"/>
      <c r="D112" s="243"/>
      <c r="E112" s="243"/>
      <c r="F112" s="243"/>
      <c r="G112" s="243"/>
      <c r="H112" s="243"/>
      <c r="I112" s="243"/>
      <c r="J112" s="243"/>
      <c r="K112" s="243"/>
      <c r="L112" s="243"/>
      <c r="M112" s="243"/>
      <c r="N112" s="243"/>
      <c r="O112" s="243"/>
      <c r="P112" s="243"/>
    </row>
    <row r="113" spans="2:16" ht="12">
      <c r="B113" s="243"/>
      <c r="C113" s="243"/>
      <c r="D113" s="243"/>
      <c r="E113" s="243"/>
      <c r="F113" s="243"/>
      <c r="G113" s="243"/>
      <c r="H113" s="243"/>
      <c r="I113" s="243"/>
      <c r="J113" s="243"/>
      <c r="K113" s="243"/>
      <c r="L113" s="243"/>
      <c r="M113" s="243"/>
      <c r="N113" s="243"/>
      <c r="O113" s="243"/>
      <c r="P113" s="243"/>
    </row>
    <row r="114" spans="2:16" ht="12">
      <c r="B114" s="243"/>
      <c r="C114" s="243"/>
      <c r="D114" s="243"/>
      <c r="E114" s="243"/>
      <c r="F114" s="243"/>
      <c r="G114" s="243"/>
      <c r="H114" s="243"/>
      <c r="I114" s="243"/>
      <c r="J114" s="243"/>
      <c r="K114" s="243"/>
      <c r="L114" s="243"/>
      <c r="M114" s="243"/>
      <c r="N114" s="243"/>
      <c r="O114" s="243"/>
      <c r="P114" s="243"/>
    </row>
    <row r="115" spans="2:16" ht="12">
      <c r="B115" s="243"/>
      <c r="C115" s="243"/>
      <c r="D115" s="243"/>
      <c r="E115" s="243"/>
      <c r="F115" s="243"/>
      <c r="G115" s="243"/>
      <c r="H115" s="243"/>
      <c r="I115" s="243"/>
      <c r="J115" s="243"/>
      <c r="K115" s="243"/>
      <c r="L115" s="243"/>
      <c r="M115" s="243"/>
      <c r="N115" s="243"/>
      <c r="O115" s="243"/>
      <c r="P115" s="243"/>
    </row>
    <row r="116" spans="2:16" ht="12">
      <c r="B116" s="243"/>
      <c r="C116" s="243"/>
      <c r="D116" s="243"/>
      <c r="E116" s="243"/>
      <c r="F116" s="243"/>
      <c r="G116" s="243"/>
      <c r="H116" s="243"/>
      <c r="I116" s="243"/>
      <c r="J116" s="243"/>
      <c r="K116" s="243"/>
      <c r="L116" s="243"/>
      <c r="M116" s="243"/>
      <c r="N116" s="243"/>
      <c r="O116" s="243"/>
      <c r="P116" s="243"/>
    </row>
    <row r="117" spans="2:16" ht="12">
      <c r="B117" s="243"/>
      <c r="C117" s="243"/>
      <c r="D117" s="243"/>
      <c r="E117" s="243"/>
      <c r="F117" s="243"/>
      <c r="G117" s="243"/>
      <c r="H117" s="243"/>
      <c r="I117" s="243"/>
      <c r="J117" s="243"/>
      <c r="K117" s="243"/>
      <c r="L117" s="243"/>
      <c r="M117" s="243"/>
      <c r="N117" s="243"/>
      <c r="O117" s="243"/>
      <c r="P117" s="243"/>
    </row>
    <row r="118" spans="2:16" ht="12">
      <c r="B118" s="243"/>
      <c r="C118" s="243"/>
      <c r="D118" s="243"/>
      <c r="E118" s="243"/>
      <c r="F118" s="243"/>
      <c r="G118" s="243"/>
      <c r="H118" s="243"/>
      <c r="I118" s="243"/>
      <c r="J118" s="243"/>
      <c r="K118" s="243"/>
      <c r="L118" s="243"/>
      <c r="M118" s="243"/>
      <c r="N118" s="243"/>
      <c r="O118" s="243"/>
      <c r="P118" s="243"/>
    </row>
    <row r="119" spans="2:16" ht="12">
      <c r="B119" s="243"/>
      <c r="C119" s="243"/>
      <c r="D119" s="243"/>
      <c r="E119" s="243"/>
      <c r="F119" s="243"/>
      <c r="G119" s="243"/>
      <c r="H119" s="243"/>
      <c r="I119" s="243"/>
      <c r="J119" s="243"/>
      <c r="K119" s="243"/>
      <c r="L119" s="243"/>
      <c r="M119" s="243"/>
      <c r="N119" s="243"/>
      <c r="O119" s="243"/>
      <c r="P119" s="243"/>
    </row>
    <row r="120" spans="2:16" ht="12">
      <c r="B120" s="243"/>
      <c r="C120" s="243"/>
      <c r="D120" s="243"/>
      <c r="E120" s="243"/>
      <c r="F120" s="243"/>
      <c r="G120" s="243"/>
      <c r="H120" s="243"/>
      <c r="I120" s="243"/>
      <c r="J120" s="243"/>
      <c r="K120" s="243"/>
      <c r="L120" s="243"/>
      <c r="M120" s="243"/>
      <c r="N120" s="243"/>
      <c r="O120" s="243"/>
      <c r="P120" s="243"/>
    </row>
    <row r="121" spans="2:16" ht="12">
      <c r="B121" s="243"/>
      <c r="C121" s="243"/>
      <c r="D121" s="243"/>
      <c r="E121" s="243"/>
      <c r="F121" s="243"/>
      <c r="G121" s="243"/>
      <c r="H121" s="243"/>
      <c r="I121" s="243"/>
      <c r="J121" s="243"/>
      <c r="K121" s="243"/>
      <c r="L121" s="243"/>
      <c r="M121" s="243"/>
      <c r="N121" s="243"/>
      <c r="O121" s="243"/>
      <c r="P121" s="243"/>
    </row>
    <row r="122" spans="2:16" ht="12">
      <c r="B122" s="243"/>
      <c r="C122" s="243"/>
      <c r="D122" s="243"/>
      <c r="E122" s="243"/>
      <c r="F122" s="243"/>
      <c r="G122" s="243"/>
      <c r="H122" s="243"/>
      <c r="I122" s="243"/>
      <c r="J122" s="243"/>
      <c r="K122" s="243"/>
      <c r="L122" s="243"/>
      <c r="M122" s="243"/>
      <c r="N122" s="243"/>
      <c r="O122" s="243"/>
      <c r="P122" s="243"/>
    </row>
    <row r="123" spans="2:16" ht="12">
      <c r="B123" s="243"/>
      <c r="C123" s="243"/>
      <c r="D123" s="243"/>
      <c r="E123" s="243"/>
      <c r="F123" s="243"/>
      <c r="G123" s="243"/>
      <c r="H123" s="243"/>
      <c r="I123" s="243"/>
      <c r="J123" s="243"/>
      <c r="K123" s="243"/>
      <c r="L123" s="243"/>
      <c r="M123" s="243"/>
      <c r="N123" s="243"/>
      <c r="O123" s="243"/>
      <c r="P123" s="243"/>
    </row>
    <row r="124" spans="2:16" ht="12">
      <c r="B124" s="243"/>
      <c r="C124" s="243"/>
      <c r="D124" s="243"/>
      <c r="E124" s="243"/>
      <c r="F124" s="243"/>
      <c r="G124" s="243"/>
      <c r="H124" s="243"/>
      <c r="I124" s="243"/>
      <c r="J124" s="243"/>
      <c r="K124" s="243"/>
      <c r="L124" s="243"/>
      <c r="M124" s="243"/>
      <c r="N124" s="243"/>
      <c r="O124" s="243"/>
      <c r="P124" s="243"/>
    </row>
    <row r="125" spans="2:16" ht="12">
      <c r="B125" s="243"/>
      <c r="C125" s="243"/>
      <c r="D125" s="243"/>
      <c r="E125" s="243"/>
      <c r="F125" s="243"/>
      <c r="G125" s="243"/>
      <c r="H125" s="243"/>
      <c r="I125" s="243"/>
      <c r="J125" s="243"/>
      <c r="K125" s="243"/>
      <c r="L125" s="243"/>
      <c r="M125" s="243"/>
      <c r="N125" s="243"/>
      <c r="O125" s="243"/>
      <c r="P125" s="243"/>
    </row>
    <row r="126" spans="2:16" ht="12">
      <c r="B126" s="243"/>
      <c r="C126" s="243"/>
      <c r="D126" s="243"/>
      <c r="E126" s="243"/>
      <c r="F126" s="243"/>
      <c r="G126" s="243"/>
      <c r="H126" s="243"/>
      <c r="I126" s="243"/>
      <c r="J126" s="243"/>
      <c r="K126" s="243"/>
      <c r="L126" s="243"/>
      <c r="M126" s="243"/>
      <c r="N126" s="243"/>
      <c r="O126" s="243"/>
      <c r="P126" s="243"/>
    </row>
    <row r="127" spans="2:16" ht="12">
      <c r="B127" s="243"/>
      <c r="C127" s="243"/>
      <c r="D127" s="243"/>
      <c r="E127" s="243"/>
      <c r="F127" s="243"/>
      <c r="G127" s="243"/>
      <c r="H127" s="243"/>
      <c r="I127" s="243"/>
      <c r="J127" s="243"/>
      <c r="K127" s="243"/>
      <c r="L127" s="243"/>
      <c r="M127" s="243"/>
      <c r="N127" s="243"/>
      <c r="O127" s="243"/>
      <c r="P127" s="243"/>
    </row>
    <row r="128" spans="2:16" ht="12">
      <c r="B128" s="243"/>
      <c r="C128" s="243"/>
      <c r="D128" s="243"/>
      <c r="E128" s="243"/>
      <c r="F128" s="243"/>
      <c r="G128" s="243"/>
      <c r="H128" s="243"/>
      <c r="I128" s="243"/>
      <c r="J128" s="243"/>
      <c r="K128" s="243"/>
      <c r="L128" s="243"/>
      <c r="M128" s="243"/>
      <c r="N128" s="243"/>
      <c r="O128" s="243"/>
      <c r="P128" s="243"/>
    </row>
    <row r="129" spans="2:16" ht="12">
      <c r="B129" s="243"/>
      <c r="C129" s="243"/>
      <c r="D129" s="243"/>
      <c r="E129" s="243"/>
      <c r="F129" s="243"/>
      <c r="G129" s="243"/>
      <c r="H129" s="243"/>
      <c r="I129" s="243"/>
      <c r="J129" s="243"/>
      <c r="K129" s="243"/>
      <c r="L129" s="243"/>
      <c r="M129" s="243"/>
      <c r="N129" s="243"/>
      <c r="O129" s="243"/>
      <c r="P129" s="243"/>
    </row>
    <row r="130" spans="2:16" ht="12">
      <c r="B130" s="243"/>
      <c r="C130" s="243"/>
      <c r="D130" s="243"/>
      <c r="E130" s="243"/>
      <c r="F130" s="243"/>
      <c r="G130" s="243"/>
      <c r="H130" s="243"/>
      <c r="I130" s="243"/>
      <c r="J130" s="243"/>
      <c r="K130" s="243"/>
      <c r="L130" s="243"/>
      <c r="M130" s="243"/>
      <c r="N130" s="243"/>
      <c r="O130" s="243"/>
      <c r="P130" s="243"/>
    </row>
    <row r="131" spans="2:16" ht="12">
      <c r="B131" s="243"/>
      <c r="C131" s="243"/>
      <c r="D131" s="243"/>
      <c r="E131" s="243"/>
      <c r="F131" s="243"/>
      <c r="G131" s="243"/>
      <c r="H131" s="243"/>
      <c r="I131" s="243"/>
      <c r="J131" s="243"/>
      <c r="K131" s="243"/>
      <c r="L131" s="243"/>
      <c r="M131" s="243"/>
      <c r="N131" s="243"/>
      <c r="O131" s="243"/>
      <c r="P131" s="243"/>
    </row>
    <row r="132" spans="2:16" ht="12">
      <c r="B132" s="243"/>
      <c r="C132" s="243"/>
      <c r="D132" s="243"/>
      <c r="E132" s="243"/>
      <c r="F132" s="243"/>
      <c r="G132" s="243"/>
      <c r="H132" s="243"/>
      <c r="I132" s="243"/>
      <c r="J132" s="243"/>
      <c r="K132" s="243"/>
      <c r="L132" s="243"/>
      <c r="M132" s="243"/>
      <c r="N132" s="243"/>
      <c r="O132" s="243"/>
      <c r="P132" s="243"/>
    </row>
    <row r="133" spans="2:16" ht="12">
      <c r="B133" s="243"/>
      <c r="C133" s="243"/>
      <c r="D133" s="243"/>
      <c r="E133" s="243"/>
      <c r="F133" s="243"/>
      <c r="G133" s="243"/>
      <c r="H133" s="243"/>
      <c r="I133" s="243"/>
      <c r="J133" s="243"/>
      <c r="K133" s="243"/>
      <c r="L133" s="243"/>
      <c r="M133" s="243"/>
      <c r="N133" s="243"/>
      <c r="O133" s="243"/>
      <c r="P133" s="243"/>
    </row>
    <row r="134" spans="2:16" ht="12">
      <c r="B134" s="243"/>
      <c r="C134" s="243"/>
      <c r="D134" s="243"/>
      <c r="E134" s="243"/>
      <c r="F134" s="243"/>
      <c r="G134" s="243"/>
      <c r="H134" s="243"/>
      <c r="I134" s="243"/>
      <c r="J134" s="243"/>
      <c r="K134" s="243"/>
      <c r="L134" s="243"/>
      <c r="M134" s="243"/>
      <c r="N134" s="243"/>
      <c r="O134" s="243"/>
      <c r="P134" s="243"/>
    </row>
    <row r="135" spans="2:16" ht="12">
      <c r="B135" s="243"/>
      <c r="C135" s="243"/>
      <c r="D135" s="243"/>
      <c r="E135" s="243"/>
      <c r="F135" s="243"/>
      <c r="G135" s="243"/>
      <c r="H135" s="243"/>
      <c r="I135" s="243"/>
      <c r="J135" s="243"/>
      <c r="K135" s="243"/>
      <c r="L135" s="243"/>
      <c r="M135" s="243"/>
      <c r="N135" s="243"/>
      <c r="O135" s="243"/>
      <c r="P135" s="243"/>
    </row>
    <row r="136" spans="2:16" ht="12">
      <c r="B136" s="243"/>
      <c r="C136" s="243"/>
      <c r="D136" s="243"/>
      <c r="E136" s="243"/>
      <c r="F136" s="243"/>
      <c r="G136" s="243"/>
      <c r="H136" s="243"/>
      <c r="I136" s="243"/>
      <c r="J136" s="243"/>
      <c r="K136" s="243"/>
      <c r="L136" s="243"/>
      <c r="M136" s="243"/>
      <c r="N136" s="243"/>
      <c r="O136" s="243"/>
      <c r="P136" s="243"/>
    </row>
    <row r="137" spans="2:16" ht="12">
      <c r="B137" s="243"/>
      <c r="C137" s="243"/>
      <c r="D137" s="243"/>
      <c r="E137" s="243"/>
      <c r="F137" s="243"/>
      <c r="G137" s="243"/>
      <c r="H137" s="243"/>
      <c r="I137" s="243"/>
      <c r="J137" s="243"/>
      <c r="K137" s="243"/>
      <c r="L137" s="243"/>
      <c r="M137" s="243"/>
      <c r="N137" s="243"/>
      <c r="O137" s="243"/>
      <c r="P137" s="243"/>
    </row>
    <row r="138" spans="2:16" ht="12">
      <c r="B138" s="243"/>
      <c r="C138" s="243"/>
      <c r="D138" s="243"/>
      <c r="E138" s="243"/>
      <c r="F138" s="243"/>
      <c r="G138" s="243"/>
      <c r="H138" s="243"/>
      <c r="I138" s="243"/>
      <c r="J138" s="243"/>
      <c r="K138" s="243"/>
      <c r="L138" s="243"/>
      <c r="M138" s="243"/>
      <c r="N138" s="243"/>
      <c r="O138" s="243"/>
      <c r="P138" s="243"/>
    </row>
    <row r="139" spans="2:16" ht="12">
      <c r="B139" s="243"/>
      <c r="C139" s="243"/>
      <c r="D139" s="243"/>
      <c r="E139" s="243"/>
      <c r="F139" s="243"/>
      <c r="G139" s="243"/>
      <c r="H139" s="243"/>
      <c r="I139" s="243"/>
      <c r="J139" s="243"/>
      <c r="K139" s="243"/>
      <c r="L139" s="243"/>
      <c r="M139" s="243"/>
      <c r="N139" s="243"/>
      <c r="O139" s="243"/>
      <c r="P139" s="243"/>
    </row>
    <row r="140" spans="2:16" ht="12">
      <c r="B140" s="243"/>
      <c r="C140" s="243"/>
      <c r="D140" s="243"/>
      <c r="E140" s="243"/>
      <c r="F140" s="243"/>
      <c r="G140" s="243"/>
      <c r="H140" s="243"/>
      <c r="I140" s="243"/>
      <c r="J140" s="243"/>
      <c r="K140" s="243"/>
      <c r="L140" s="243"/>
      <c r="M140" s="243"/>
      <c r="N140" s="243"/>
      <c r="O140" s="243"/>
      <c r="P140" s="243"/>
    </row>
    <row r="141" spans="2:16" ht="12">
      <c r="B141" s="243"/>
      <c r="C141" s="243"/>
      <c r="D141" s="243"/>
      <c r="E141" s="243"/>
      <c r="F141" s="243"/>
      <c r="G141" s="243"/>
      <c r="H141" s="243"/>
      <c r="I141" s="243"/>
      <c r="J141" s="243"/>
      <c r="K141" s="243"/>
      <c r="L141" s="243"/>
      <c r="M141" s="243"/>
      <c r="N141" s="243"/>
      <c r="O141" s="243"/>
      <c r="P141" s="243"/>
    </row>
    <row r="142" spans="2:16" ht="12">
      <c r="B142" s="243"/>
      <c r="C142" s="243"/>
      <c r="D142" s="243"/>
      <c r="E142" s="243"/>
      <c r="F142" s="243"/>
      <c r="G142" s="243"/>
      <c r="H142" s="243"/>
      <c r="I142" s="243"/>
      <c r="J142" s="243"/>
      <c r="K142" s="243"/>
      <c r="L142" s="243"/>
      <c r="M142" s="243"/>
      <c r="N142" s="243"/>
      <c r="O142" s="243"/>
      <c r="P142" s="243"/>
    </row>
    <row r="143" spans="2:16" ht="12">
      <c r="B143" s="243"/>
      <c r="C143" s="243"/>
      <c r="D143" s="243"/>
      <c r="E143" s="243"/>
      <c r="F143" s="243"/>
      <c r="G143" s="243"/>
      <c r="H143" s="243"/>
      <c r="I143" s="243"/>
      <c r="J143" s="243"/>
      <c r="K143" s="243"/>
      <c r="L143" s="243"/>
      <c r="M143" s="243"/>
      <c r="N143" s="243"/>
      <c r="O143" s="243"/>
      <c r="P143" s="243"/>
    </row>
    <row r="144" spans="2:16" ht="12">
      <c r="B144" s="243"/>
      <c r="C144" s="243"/>
      <c r="D144" s="243"/>
      <c r="E144" s="243"/>
      <c r="F144" s="243"/>
      <c r="G144" s="243"/>
      <c r="H144" s="243"/>
      <c r="I144" s="243"/>
      <c r="J144" s="243"/>
      <c r="K144" s="243"/>
      <c r="L144" s="243"/>
      <c r="M144" s="243"/>
      <c r="N144" s="243"/>
      <c r="O144" s="243"/>
      <c r="P144" s="243"/>
    </row>
    <row r="145" spans="2:16" ht="12">
      <c r="B145" s="243"/>
      <c r="C145" s="243"/>
      <c r="D145" s="243"/>
      <c r="E145" s="243"/>
      <c r="F145" s="243"/>
      <c r="G145" s="243"/>
      <c r="H145" s="243"/>
      <c r="I145" s="243"/>
      <c r="J145" s="243"/>
      <c r="K145" s="243"/>
      <c r="L145" s="243"/>
      <c r="M145" s="243"/>
      <c r="N145" s="243"/>
      <c r="O145" s="243"/>
      <c r="P145" s="243"/>
    </row>
    <row r="146" spans="2:16" ht="12">
      <c r="B146" s="243"/>
      <c r="C146" s="243"/>
      <c r="D146" s="243"/>
      <c r="E146" s="243"/>
      <c r="F146" s="243"/>
      <c r="G146" s="243"/>
      <c r="H146" s="243"/>
      <c r="I146" s="243"/>
      <c r="J146" s="243"/>
      <c r="K146" s="243"/>
      <c r="L146" s="243"/>
      <c r="M146" s="243"/>
      <c r="N146" s="243"/>
      <c r="O146" s="243"/>
      <c r="P146" s="243"/>
    </row>
    <row r="147" spans="2:16" ht="12">
      <c r="B147" s="243"/>
      <c r="C147" s="243"/>
      <c r="D147" s="243"/>
      <c r="E147" s="243"/>
      <c r="F147" s="243"/>
      <c r="G147" s="243"/>
      <c r="H147" s="243"/>
      <c r="I147" s="243"/>
      <c r="J147" s="243"/>
      <c r="K147" s="243"/>
      <c r="L147" s="243"/>
      <c r="M147" s="243"/>
      <c r="N147" s="243"/>
      <c r="O147" s="243"/>
      <c r="P147" s="243"/>
    </row>
    <row r="148" spans="2:16" ht="12">
      <c r="B148" s="243"/>
      <c r="C148" s="243"/>
      <c r="D148" s="243"/>
      <c r="E148" s="243"/>
      <c r="F148" s="243"/>
      <c r="G148" s="243"/>
      <c r="H148" s="243"/>
      <c r="I148" s="243"/>
      <c r="J148" s="243"/>
      <c r="K148" s="243"/>
      <c r="L148" s="243"/>
      <c r="M148" s="243"/>
      <c r="N148" s="243"/>
      <c r="O148" s="243"/>
      <c r="P148" s="243"/>
    </row>
    <row r="149" spans="2:16" ht="12">
      <c r="B149" s="243"/>
      <c r="C149" s="243"/>
      <c r="D149" s="243"/>
      <c r="E149" s="243"/>
      <c r="F149" s="243"/>
      <c r="G149" s="243"/>
      <c r="H149" s="243"/>
      <c r="I149" s="243"/>
      <c r="J149" s="243"/>
      <c r="K149" s="243"/>
      <c r="L149" s="243"/>
      <c r="M149" s="243"/>
      <c r="N149" s="243"/>
      <c r="O149" s="243"/>
      <c r="P149" s="243"/>
    </row>
    <row r="150" spans="2:16" ht="12">
      <c r="B150" s="243"/>
      <c r="C150" s="243"/>
      <c r="D150" s="243"/>
      <c r="E150" s="243"/>
      <c r="F150" s="243"/>
      <c r="G150" s="243"/>
      <c r="H150" s="243"/>
      <c r="I150" s="243"/>
      <c r="J150" s="243"/>
      <c r="K150" s="243"/>
      <c r="L150" s="243"/>
      <c r="M150" s="243"/>
      <c r="N150" s="243"/>
      <c r="O150" s="243"/>
      <c r="P150" s="243"/>
    </row>
    <row r="151" spans="2:16" ht="12">
      <c r="B151" s="243"/>
      <c r="C151" s="243"/>
      <c r="D151" s="243"/>
      <c r="E151" s="243"/>
      <c r="F151" s="243"/>
      <c r="G151" s="243"/>
      <c r="H151" s="243"/>
      <c r="I151" s="243"/>
      <c r="J151" s="243"/>
      <c r="K151" s="243"/>
      <c r="L151" s="243"/>
      <c r="M151" s="243"/>
      <c r="N151" s="243"/>
      <c r="O151" s="243"/>
      <c r="P151" s="243"/>
    </row>
    <row r="152" spans="2:16" ht="12">
      <c r="B152" s="243"/>
      <c r="C152" s="243"/>
      <c r="D152" s="243"/>
      <c r="E152" s="243"/>
      <c r="F152" s="243"/>
      <c r="G152" s="243"/>
      <c r="H152" s="243"/>
      <c r="I152" s="243"/>
      <c r="J152" s="243"/>
      <c r="K152" s="243"/>
      <c r="L152" s="243"/>
      <c r="M152" s="243"/>
      <c r="N152" s="243"/>
      <c r="O152" s="243"/>
      <c r="P152" s="243"/>
    </row>
    <row r="153" spans="2:16" ht="12">
      <c r="B153" s="243"/>
      <c r="C153" s="243"/>
      <c r="D153" s="243"/>
      <c r="E153" s="243"/>
      <c r="F153" s="243"/>
      <c r="G153" s="243"/>
      <c r="H153" s="243"/>
      <c r="I153" s="243"/>
      <c r="J153" s="243"/>
      <c r="K153" s="243"/>
      <c r="L153" s="243"/>
      <c r="M153" s="243"/>
      <c r="N153" s="243"/>
      <c r="O153" s="243"/>
      <c r="P153" s="243"/>
    </row>
    <row r="154" spans="2:16" ht="12">
      <c r="B154" s="243"/>
      <c r="C154" s="243"/>
      <c r="D154" s="243"/>
      <c r="E154" s="243"/>
      <c r="F154" s="243"/>
      <c r="G154" s="243"/>
      <c r="H154" s="243"/>
      <c r="I154" s="243"/>
      <c r="J154" s="243"/>
      <c r="K154" s="243"/>
      <c r="L154" s="243"/>
      <c r="M154" s="243"/>
      <c r="N154" s="243"/>
      <c r="O154" s="243"/>
      <c r="P154" s="243"/>
    </row>
    <row r="155" spans="2:16" ht="12">
      <c r="B155" s="243"/>
      <c r="C155" s="243"/>
      <c r="D155" s="243"/>
      <c r="E155" s="243"/>
      <c r="F155" s="243"/>
      <c r="G155" s="243"/>
      <c r="H155" s="243"/>
      <c r="I155" s="243"/>
      <c r="J155" s="243"/>
      <c r="K155" s="243"/>
      <c r="L155" s="243"/>
      <c r="M155" s="243"/>
      <c r="N155" s="243"/>
      <c r="O155" s="243"/>
      <c r="P155" s="243"/>
    </row>
    <row r="156" spans="2:16" ht="12">
      <c r="B156" s="243"/>
      <c r="C156" s="243"/>
      <c r="D156" s="243"/>
      <c r="E156" s="243"/>
      <c r="F156" s="243"/>
      <c r="G156" s="243"/>
      <c r="H156" s="243"/>
      <c r="I156" s="243"/>
      <c r="J156" s="243"/>
      <c r="K156" s="243"/>
      <c r="L156" s="243"/>
      <c r="M156" s="243"/>
      <c r="N156" s="243"/>
      <c r="O156" s="243"/>
      <c r="P156" s="243"/>
    </row>
    <row r="157" spans="2:16" ht="12">
      <c r="B157" s="243"/>
      <c r="C157" s="243"/>
      <c r="D157" s="243"/>
      <c r="E157" s="243"/>
      <c r="F157" s="243"/>
      <c r="G157" s="243"/>
      <c r="H157" s="243"/>
      <c r="I157" s="243"/>
      <c r="J157" s="243"/>
      <c r="K157" s="243"/>
      <c r="L157" s="243"/>
      <c r="M157" s="243"/>
      <c r="N157" s="243"/>
      <c r="O157" s="243"/>
      <c r="P157" s="243"/>
    </row>
    <row r="158" spans="2:16" ht="12">
      <c r="B158" s="243"/>
      <c r="C158" s="243"/>
      <c r="D158" s="243"/>
      <c r="E158" s="243"/>
      <c r="F158" s="243"/>
      <c r="G158" s="243"/>
      <c r="H158" s="243"/>
      <c r="I158" s="243"/>
      <c r="J158" s="243"/>
      <c r="K158" s="243"/>
      <c r="L158" s="243"/>
      <c r="M158" s="243"/>
      <c r="N158" s="243"/>
      <c r="O158" s="243"/>
      <c r="P158" s="243"/>
    </row>
    <row r="159" spans="2:16" ht="12">
      <c r="B159" s="243"/>
      <c r="C159" s="243"/>
      <c r="D159" s="243"/>
      <c r="E159" s="243"/>
      <c r="F159" s="243"/>
      <c r="G159" s="243"/>
      <c r="H159" s="243"/>
      <c r="I159" s="243"/>
      <c r="J159" s="243"/>
      <c r="K159" s="243"/>
      <c r="L159" s="243"/>
      <c r="M159" s="243"/>
      <c r="N159" s="243"/>
      <c r="O159" s="243"/>
      <c r="P159" s="243"/>
    </row>
    <row r="160" spans="2:16" ht="12">
      <c r="B160" s="243"/>
      <c r="C160" s="243"/>
      <c r="D160" s="243"/>
      <c r="E160" s="243"/>
      <c r="F160" s="243"/>
      <c r="G160" s="243"/>
      <c r="H160" s="243"/>
      <c r="I160" s="243"/>
      <c r="J160" s="243"/>
      <c r="K160" s="243"/>
      <c r="L160" s="243"/>
      <c r="M160" s="243"/>
      <c r="N160" s="243"/>
      <c r="O160" s="243"/>
      <c r="P160" s="243"/>
    </row>
    <row r="161" spans="2:16" ht="12">
      <c r="B161" s="243"/>
      <c r="C161" s="243"/>
      <c r="D161" s="243"/>
      <c r="E161" s="243"/>
      <c r="F161" s="243"/>
      <c r="G161" s="243"/>
      <c r="H161" s="243"/>
      <c r="I161" s="243"/>
      <c r="J161" s="243"/>
      <c r="K161" s="243"/>
      <c r="L161" s="243"/>
      <c r="M161" s="243"/>
      <c r="N161" s="243"/>
      <c r="O161" s="243"/>
      <c r="P161" s="243"/>
    </row>
    <row r="162" spans="2:16" ht="12">
      <c r="B162" s="243"/>
      <c r="C162" s="243"/>
      <c r="D162" s="243"/>
      <c r="E162" s="243"/>
      <c r="F162" s="243"/>
      <c r="G162" s="243"/>
      <c r="H162" s="243"/>
      <c r="I162" s="243"/>
      <c r="J162" s="243"/>
      <c r="K162" s="243"/>
      <c r="L162" s="243"/>
      <c r="M162" s="243"/>
      <c r="N162" s="243"/>
      <c r="O162" s="243"/>
      <c r="P162" s="243"/>
    </row>
    <row r="163" spans="2:16" ht="12">
      <c r="B163" s="243"/>
      <c r="C163" s="243"/>
      <c r="D163" s="243"/>
      <c r="E163" s="243"/>
      <c r="F163" s="243"/>
      <c r="G163" s="243"/>
      <c r="H163" s="243"/>
      <c r="I163" s="243"/>
      <c r="J163" s="243"/>
      <c r="K163" s="243"/>
      <c r="L163" s="243"/>
      <c r="M163" s="243"/>
      <c r="N163" s="243"/>
      <c r="O163" s="243"/>
      <c r="P163" s="243"/>
    </row>
    <row r="164" spans="2:16" ht="12">
      <c r="B164" s="243"/>
      <c r="C164" s="243"/>
      <c r="D164" s="243"/>
      <c r="E164" s="243"/>
      <c r="F164" s="243"/>
      <c r="G164" s="243"/>
      <c r="H164" s="243"/>
      <c r="I164" s="243"/>
      <c r="J164" s="243"/>
      <c r="K164" s="243"/>
      <c r="L164" s="243"/>
      <c r="M164" s="243"/>
      <c r="N164" s="243"/>
      <c r="O164" s="243"/>
      <c r="P164" s="243"/>
    </row>
    <row r="165" spans="2:16" ht="12">
      <c r="B165" s="243"/>
      <c r="C165" s="243"/>
      <c r="D165" s="243"/>
      <c r="E165" s="243"/>
      <c r="F165" s="243"/>
      <c r="G165" s="243"/>
      <c r="H165" s="243"/>
      <c r="I165" s="243"/>
      <c r="J165" s="243"/>
      <c r="K165" s="243"/>
      <c r="L165" s="243"/>
      <c r="M165" s="243"/>
      <c r="N165" s="243"/>
      <c r="O165" s="243"/>
      <c r="P165" s="243"/>
    </row>
    <row r="166" spans="2:16" ht="12">
      <c r="B166" s="243"/>
      <c r="C166" s="243"/>
      <c r="D166" s="243"/>
      <c r="E166" s="243"/>
      <c r="F166" s="243"/>
      <c r="G166" s="243"/>
      <c r="H166" s="243"/>
      <c r="I166" s="243"/>
      <c r="J166" s="243"/>
      <c r="K166" s="243"/>
      <c r="L166" s="243"/>
      <c r="M166" s="243"/>
      <c r="N166" s="243"/>
      <c r="O166" s="243"/>
      <c r="P166" s="243"/>
    </row>
    <row r="167" spans="2:16" ht="12">
      <c r="B167" s="243"/>
      <c r="C167" s="243"/>
      <c r="D167" s="243"/>
      <c r="E167" s="243"/>
      <c r="F167" s="243"/>
      <c r="G167" s="243"/>
      <c r="H167" s="243"/>
      <c r="I167" s="243"/>
      <c r="J167" s="243"/>
      <c r="K167" s="243"/>
      <c r="L167" s="243"/>
      <c r="M167" s="243"/>
      <c r="N167" s="243"/>
      <c r="O167" s="243"/>
      <c r="P167" s="243"/>
    </row>
    <row r="168" spans="2:16" ht="12">
      <c r="B168" s="243"/>
      <c r="C168" s="243"/>
      <c r="D168" s="243"/>
      <c r="E168" s="243"/>
      <c r="F168" s="243"/>
      <c r="G168" s="243"/>
      <c r="H168" s="243"/>
      <c r="I168" s="243"/>
      <c r="J168" s="243"/>
      <c r="K168" s="243"/>
      <c r="L168" s="243"/>
      <c r="M168" s="243"/>
      <c r="N168" s="243"/>
      <c r="O168" s="243"/>
      <c r="P168" s="243"/>
    </row>
    <row r="169" spans="2:16" ht="12">
      <c r="B169" s="243"/>
      <c r="C169" s="243"/>
      <c r="D169" s="243"/>
      <c r="E169" s="243"/>
      <c r="F169" s="243"/>
      <c r="G169" s="243"/>
      <c r="H169" s="243"/>
      <c r="I169" s="243"/>
      <c r="J169" s="243"/>
      <c r="K169" s="243"/>
      <c r="L169" s="243"/>
      <c r="M169" s="243"/>
      <c r="N169" s="243"/>
      <c r="O169" s="243"/>
      <c r="P169" s="243"/>
    </row>
    <row r="170" spans="2:16" ht="12">
      <c r="B170" s="243"/>
      <c r="C170" s="243"/>
      <c r="D170" s="243"/>
      <c r="E170" s="243"/>
      <c r="F170" s="243"/>
      <c r="G170" s="243"/>
      <c r="H170" s="243"/>
      <c r="I170" s="243"/>
      <c r="J170" s="243"/>
      <c r="K170" s="243"/>
      <c r="L170" s="243"/>
      <c r="M170" s="243"/>
      <c r="N170" s="243"/>
      <c r="O170" s="243"/>
      <c r="P170" s="243"/>
    </row>
    <row r="171" spans="2:16" ht="12">
      <c r="B171" s="243"/>
      <c r="C171" s="243"/>
      <c r="D171" s="243"/>
      <c r="E171" s="243"/>
      <c r="F171" s="243"/>
      <c r="G171" s="243"/>
      <c r="H171" s="243"/>
      <c r="I171" s="243"/>
      <c r="J171" s="243"/>
      <c r="K171" s="243"/>
      <c r="L171" s="243"/>
      <c r="M171" s="243"/>
      <c r="N171" s="243"/>
      <c r="O171" s="243"/>
      <c r="P171" s="243"/>
    </row>
    <row r="172" spans="2:16" ht="12">
      <c r="B172" s="243"/>
      <c r="C172" s="243"/>
      <c r="D172" s="243"/>
      <c r="E172" s="243"/>
      <c r="F172" s="243"/>
      <c r="G172" s="243"/>
      <c r="H172" s="243"/>
      <c r="I172" s="243"/>
      <c r="J172" s="243"/>
      <c r="K172" s="243"/>
      <c r="L172" s="243"/>
      <c r="M172" s="243"/>
      <c r="N172" s="243"/>
      <c r="O172" s="243"/>
      <c r="P172" s="243"/>
    </row>
    <row r="173" spans="2:16" ht="12">
      <c r="B173" s="243"/>
      <c r="C173" s="243"/>
      <c r="D173" s="243"/>
      <c r="E173" s="243"/>
      <c r="F173" s="243"/>
      <c r="G173" s="243"/>
      <c r="H173" s="243"/>
      <c r="I173" s="243"/>
      <c r="J173" s="243"/>
      <c r="K173" s="243"/>
      <c r="L173" s="243"/>
      <c r="M173" s="243"/>
      <c r="N173" s="243"/>
      <c r="O173" s="243"/>
      <c r="P173" s="243"/>
    </row>
    <row r="174" spans="2:16" ht="12">
      <c r="B174" s="243"/>
      <c r="C174" s="243"/>
      <c r="D174" s="243"/>
      <c r="E174" s="243"/>
      <c r="F174" s="243"/>
      <c r="G174" s="243"/>
      <c r="H174" s="243"/>
      <c r="I174" s="243"/>
      <c r="J174" s="243"/>
      <c r="K174" s="243"/>
      <c r="L174" s="243"/>
      <c r="M174" s="243"/>
      <c r="N174" s="243"/>
      <c r="O174" s="243"/>
      <c r="P174" s="243"/>
    </row>
    <row r="175" spans="2:16" ht="12">
      <c r="B175" s="243"/>
      <c r="C175" s="243"/>
      <c r="D175" s="243"/>
      <c r="E175" s="243"/>
      <c r="F175" s="243"/>
      <c r="G175" s="243"/>
      <c r="H175" s="243"/>
      <c r="I175" s="243"/>
      <c r="J175" s="243"/>
      <c r="K175" s="243"/>
      <c r="L175" s="243"/>
      <c r="M175" s="243"/>
      <c r="N175" s="243"/>
      <c r="O175" s="243"/>
      <c r="P175" s="243"/>
    </row>
    <row r="176" spans="2:16" ht="12">
      <c r="B176" s="243"/>
      <c r="C176" s="243"/>
      <c r="D176" s="243"/>
      <c r="E176" s="243"/>
      <c r="F176" s="243"/>
      <c r="G176" s="243"/>
      <c r="H176" s="243"/>
      <c r="I176" s="243"/>
      <c r="J176" s="243"/>
      <c r="K176" s="243"/>
      <c r="L176" s="243"/>
      <c r="M176" s="243"/>
      <c r="N176" s="243"/>
      <c r="O176" s="243"/>
      <c r="P176" s="243"/>
    </row>
    <row r="177" spans="2:16" ht="12">
      <c r="B177" s="243"/>
      <c r="C177" s="243"/>
      <c r="D177" s="243"/>
      <c r="E177" s="243"/>
      <c r="F177" s="243"/>
      <c r="G177" s="243"/>
      <c r="H177" s="243"/>
      <c r="I177" s="243"/>
      <c r="J177" s="243"/>
      <c r="K177" s="243"/>
      <c r="L177" s="243"/>
      <c r="M177" s="243"/>
      <c r="N177" s="243"/>
      <c r="O177" s="243"/>
      <c r="P177" s="243"/>
    </row>
    <row r="178" spans="2:16" ht="12">
      <c r="B178" s="243"/>
      <c r="C178" s="243"/>
      <c r="D178" s="243"/>
      <c r="E178" s="243"/>
      <c r="F178" s="243"/>
      <c r="G178" s="243"/>
      <c r="H178" s="243"/>
      <c r="I178" s="243"/>
      <c r="J178" s="243"/>
      <c r="K178" s="243"/>
      <c r="L178" s="243"/>
      <c r="M178" s="243"/>
      <c r="N178" s="243"/>
      <c r="O178" s="243"/>
      <c r="P178" s="243"/>
    </row>
    <row r="179" spans="2:16" ht="12">
      <c r="B179" s="243"/>
      <c r="C179" s="243"/>
      <c r="D179" s="243"/>
      <c r="E179" s="243"/>
      <c r="F179" s="243"/>
      <c r="G179" s="243"/>
      <c r="H179" s="243"/>
      <c r="I179" s="243"/>
      <c r="J179" s="243"/>
      <c r="K179" s="243"/>
      <c r="L179" s="243"/>
      <c r="M179" s="243"/>
      <c r="N179" s="243"/>
      <c r="O179" s="243"/>
      <c r="P179" s="243"/>
    </row>
    <row r="180" spans="2:16" ht="12">
      <c r="B180" s="243"/>
      <c r="C180" s="243"/>
      <c r="D180" s="243"/>
      <c r="E180" s="243"/>
      <c r="F180" s="243"/>
      <c r="G180" s="243"/>
      <c r="H180" s="243"/>
      <c r="I180" s="243"/>
      <c r="J180" s="243"/>
      <c r="K180" s="243"/>
      <c r="L180" s="243"/>
      <c r="M180" s="243"/>
      <c r="N180" s="243"/>
      <c r="O180" s="243"/>
      <c r="P180" s="243"/>
    </row>
    <row r="181" spans="2:16" ht="12">
      <c r="B181" s="243"/>
      <c r="C181" s="243"/>
      <c r="D181" s="243"/>
      <c r="E181" s="243"/>
      <c r="F181" s="243"/>
      <c r="G181" s="243"/>
      <c r="H181" s="243"/>
      <c r="I181" s="243"/>
      <c r="J181" s="243"/>
      <c r="K181" s="243"/>
      <c r="L181" s="243"/>
      <c r="M181" s="243"/>
      <c r="N181" s="243"/>
      <c r="O181" s="243"/>
      <c r="P181" s="243"/>
    </row>
    <row r="182" spans="2:16" ht="12">
      <c r="B182" s="243"/>
      <c r="C182" s="243"/>
      <c r="D182" s="243"/>
      <c r="E182" s="243"/>
      <c r="F182" s="243"/>
      <c r="G182" s="243"/>
      <c r="H182" s="243"/>
      <c r="I182" s="243"/>
      <c r="J182" s="243"/>
      <c r="K182" s="243"/>
      <c r="L182" s="243"/>
      <c r="M182" s="243"/>
      <c r="N182" s="243"/>
      <c r="O182" s="243"/>
      <c r="P182" s="243"/>
    </row>
    <row r="183" spans="2:16" ht="12">
      <c r="B183" s="243"/>
      <c r="C183" s="243"/>
      <c r="D183" s="243"/>
      <c r="E183" s="243"/>
      <c r="F183" s="243"/>
      <c r="G183" s="243"/>
      <c r="H183" s="243"/>
      <c r="I183" s="243"/>
      <c r="J183" s="243"/>
      <c r="K183" s="243"/>
      <c r="L183" s="243"/>
      <c r="M183" s="243"/>
      <c r="N183" s="243"/>
      <c r="O183" s="243"/>
      <c r="P183" s="243"/>
    </row>
    <row r="184" spans="2:16" ht="12">
      <c r="B184" s="243"/>
      <c r="C184" s="243"/>
      <c r="D184" s="243"/>
      <c r="E184" s="243"/>
      <c r="F184" s="243"/>
      <c r="G184" s="243"/>
      <c r="H184" s="243"/>
      <c r="I184" s="243"/>
      <c r="J184" s="243"/>
      <c r="K184" s="243"/>
      <c r="L184" s="243"/>
      <c r="M184" s="243"/>
      <c r="N184" s="243"/>
      <c r="O184" s="243"/>
      <c r="P184" s="243"/>
    </row>
    <row r="185" spans="2:16" ht="12">
      <c r="B185" s="243"/>
      <c r="C185" s="243"/>
      <c r="D185" s="243"/>
      <c r="E185" s="243"/>
      <c r="F185" s="243"/>
      <c r="G185" s="243"/>
      <c r="H185" s="243"/>
      <c r="I185" s="243"/>
      <c r="J185" s="243"/>
      <c r="K185" s="243"/>
      <c r="L185" s="243"/>
      <c r="M185" s="243"/>
      <c r="N185" s="243"/>
      <c r="O185" s="243"/>
      <c r="P185" s="243"/>
    </row>
    <row r="186" spans="2:16" ht="12">
      <c r="B186" s="243"/>
      <c r="C186" s="243"/>
      <c r="D186" s="243"/>
      <c r="E186" s="243"/>
      <c r="F186" s="243"/>
      <c r="G186" s="243"/>
      <c r="H186" s="243"/>
      <c r="I186" s="243"/>
      <c r="J186" s="243"/>
      <c r="K186" s="243"/>
      <c r="L186" s="243"/>
      <c r="M186" s="243"/>
      <c r="N186" s="243"/>
      <c r="O186" s="243"/>
      <c r="P186" s="243"/>
    </row>
    <row r="187" spans="2:16" ht="12">
      <c r="B187" s="243"/>
      <c r="C187" s="243"/>
      <c r="D187" s="243"/>
      <c r="E187" s="243"/>
      <c r="F187" s="243"/>
      <c r="G187" s="243"/>
      <c r="H187" s="243"/>
      <c r="I187" s="243"/>
      <c r="J187" s="243"/>
      <c r="K187" s="243"/>
      <c r="L187" s="243"/>
      <c r="M187" s="243"/>
      <c r="N187" s="243"/>
      <c r="O187" s="243"/>
      <c r="P187" s="243"/>
    </row>
    <row r="188" spans="2:16" ht="12">
      <c r="B188" s="243"/>
      <c r="C188" s="243"/>
      <c r="D188" s="243"/>
      <c r="E188" s="243"/>
      <c r="F188" s="243"/>
      <c r="G188" s="243"/>
      <c r="H188" s="243"/>
      <c r="I188" s="243"/>
      <c r="J188" s="243"/>
      <c r="K188" s="243"/>
      <c r="L188" s="243"/>
      <c r="M188" s="243"/>
      <c r="N188" s="243"/>
      <c r="O188" s="243"/>
      <c r="P188" s="243"/>
    </row>
    <row r="189" spans="2:16" ht="12">
      <c r="B189" s="243"/>
      <c r="C189" s="243"/>
      <c r="D189" s="243"/>
      <c r="E189" s="243"/>
      <c r="F189" s="243"/>
      <c r="G189" s="243"/>
      <c r="H189" s="243"/>
      <c r="I189" s="243"/>
      <c r="J189" s="243"/>
      <c r="K189" s="243"/>
      <c r="L189" s="243"/>
      <c r="M189" s="243"/>
      <c r="N189" s="243"/>
      <c r="O189" s="243"/>
      <c r="P189" s="243"/>
    </row>
    <row r="190" spans="2:16" ht="12">
      <c r="B190" s="243"/>
      <c r="C190" s="243"/>
      <c r="D190" s="243"/>
      <c r="E190" s="243"/>
      <c r="F190" s="243"/>
      <c r="G190" s="243"/>
      <c r="H190" s="243"/>
      <c r="I190" s="243"/>
      <c r="J190" s="243"/>
      <c r="K190" s="243"/>
      <c r="L190" s="243"/>
      <c r="M190" s="243"/>
      <c r="N190" s="243"/>
      <c r="O190" s="243"/>
      <c r="P190" s="243"/>
    </row>
    <row r="191" spans="2:16" ht="12">
      <c r="B191" s="243"/>
      <c r="C191" s="243"/>
      <c r="D191" s="243"/>
      <c r="E191" s="243"/>
      <c r="F191" s="243"/>
      <c r="G191" s="243"/>
      <c r="H191" s="243"/>
      <c r="I191" s="243"/>
      <c r="J191" s="243"/>
      <c r="K191" s="243"/>
      <c r="L191" s="243"/>
      <c r="M191" s="243"/>
      <c r="N191" s="243"/>
      <c r="O191" s="243"/>
      <c r="P191" s="243"/>
    </row>
    <row r="192" spans="2:16" ht="12">
      <c r="B192" s="243"/>
      <c r="C192" s="243"/>
      <c r="D192" s="243"/>
      <c r="E192" s="243"/>
      <c r="F192" s="243"/>
      <c r="G192" s="243"/>
      <c r="H192" s="243"/>
      <c r="I192" s="243"/>
      <c r="J192" s="243"/>
      <c r="K192" s="243"/>
      <c r="L192" s="243"/>
      <c r="M192" s="243"/>
      <c r="N192" s="243"/>
      <c r="O192" s="243"/>
      <c r="P192" s="243"/>
    </row>
    <row r="193" spans="2:16" ht="12">
      <c r="B193" s="243"/>
      <c r="C193" s="243"/>
      <c r="D193" s="243"/>
      <c r="E193" s="243"/>
      <c r="F193" s="243"/>
      <c r="G193" s="243"/>
      <c r="H193" s="243"/>
      <c r="I193" s="243"/>
      <c r="J193" s="243"/>
      <c r="K193" s="243"/>
      <c r="L193" s="243"/>
      <c r="M193" s="243"/>
      <c r="N193" s="243"/>
      <c r="O193" s="243"/>
      <c r="P193" s="243"/>
    </row>
    <row r="194" spans="2:16" ht="12">
      <c r="B194" s="243"/>
      <c r="C194" s="243"/>
      <c r="D194" s="243"/>
      <c r="E194" s="243"/>
      <c r="F194" s="243"/>
      <c r="G194" s="243"/>
      <c r="H194" s="243"/>
      <c r="I194" s="243"/>
      <c r="J194" s="243"/>
      <c r="K194" s="243"/>
      <c r="L194" s="243"/>
      <c r="M194" s="243"/>
      <c r="N194" s="243"/>
      <c r="O194" s="243"/>
      <c r="P194" s="243"/>
    </row>
    <row r="195" spans="2:16" ht="12">
      <c r="B195" s="243"/>
      <c r="C195" s="243"/>
      <c r="D195" s="243"/>
      <c r="E195" s="243"/>
      <c r="F195" s="243"/>
      <c r="G195" s="243"/>
      <c r="H195" s="243"/>
      <c r="I195" s="243"/>
      <c r="J195" s="243"/>
      <c r="K195" s="243"/>
      <c r="L195" s="243"/>
      <c r="M195" s="243"/>
      <c r="N195" s="243"/>
      <c r="O195" s="243"/>
      <c r="P195" s="243"/>
    </row>
    <row r="196" spans="2:16" ht="12">
      <c r="B196" s="243"/>
      <c r="C196" s="243"/>
      <c r="D196" s="243"/>
      <c r="E196" s="243"/>
      <c r="F196" s="243"/>
      <c r="G196" s="243"/>
      <c r="H196" s="243"/>
      <c r="I196" s="243"/>
      <c r="J196" s="243"/>
      <c r="K196" s="243"/>
      <c r="L196" s="243"/>
      <c r="M196" s="243"/>
      <c r="N196" s="243"/>
      <c r="O196" s="243"/>
      <c r="P196" s="243"/>
    </row>
    <row r="197" spans="2:16" ht="12">
      <c r="B197" s="243"/>
      <c r="C197" s="243"/>
      <c r="D197" s="243"/>
      <c r="E197" s="243"/>
      <c r="F197" s="243"/>
      <c r="G197" s="243"/>
      <c r="H197" s="243"/>
      <c r="I197" s="243"/>
      <c r="J197" s="243"/>
      <c r="K197" s="243"/>
      <c r="L197" s="243"/>
      <c r="M197" s="243"/>
      <c r="N197" s="243"/>
      <c r="O197" s="243"/>
      <c r="P197" s="243"/>
    </row>
    <row r="198" spans="2:16" ht="12">
      <c r="B198" s="243"/>
      <c r="C198" s="243"/>
      <c r="D198" s="243"/>
      <c r="E198" s="243"/>
      <c r="F198" s="243"/>
      <c r="G198" s="243"/>
      <c r="H198" s="243"/>
      <c r="I198" s="243"/>
      <c r="J198" s="243"/>
      <c r="K198" s="243"/>
      <c r="L198" s="243"/>
      <c r="M198" s="243"/>
      <c r="N198" s="243"/>
      <c r="O198" s="243"/>
      <c r="P198" s="243"/>
    </row>
    <row r="199" spans="2:16" ht="12">
      <c r="B199" s="243"/>
      <c r="C199" s="243"/>
      <c r="D199" s="243"/>
      <c r="E199" s="243"/>
      <c r="F199" s="243"/>
      <c r="G199" s="243"/>
      <c r="H199" s="243"/>
      <c r="I199" s="243"/>
      <c r="J199" s="243"/>
      <c r="K199" s="243"/>
      <c r="L199" s="243"/>
      <c r="M199" s="243"/>
      <c r="N199" s="243"/>
      <c r="O199" s="243"/>
      <c r="P199" s="243"/>
    </row>
    <row r="200" spans="2:16" ht="12">
      <c r="B200" s="243"/>
      <c r="C200" s="243"/>
      <c r="D200" s="243"/>
      <c r="E200" s="243"/>
      <c r="F200" s="243"/>
      <c r="G200" s="243"/>
      <c r="H200" s="243"/>
      <c r="I200" s="243"/>
      <c r="J200" s="243"/>
      <c r="K200" s="243"/>
      <c r="L200" s="243"/>
      <c r="M200" s="243"/>
      <c r="N200" s="243"/>
      <c r="O200" s="243"/>
      <c r="P200" s="243"/>
    </row>
    <row r="201" spans="2:16" ht="12">
      <c r="B201" s="243"/>
      <c r="C201" s="243"/>
      <c r="D201" s="243"/>
      <c r="E201" s="243"/>
      <c r="F201" s="243"/>
      <c r="G201" s="243"/>
      <c r="H201" s="243"/>
      <c r="I201" s="243"/>
      <c r="J201" s="243"/>
      <c r="K201" s="243"/>
      <c r="L201" s="243"/>
      <c r="M201" s="243"/>
      <c r="N201" s="243"/>
      <c r="O201" s="243"/>
      <c r="P201" s="243"/>
    </row>
    <row r="202" spans="2:16" ht="12">
      <c r="B202" s="243"/>
      <c r="C202" s="243"/>
      <c r="D202" s="243"/>
      <c r="E202" s="243"/>
      <c r="F202" s="243"/>
      <c r="G202" s="243"/>
      <c r="H202" s="243"/>
      <c r="I202" s="243"/>
      <c r="J202" s="243"/>
      <c r="K202" s="243"/>
      <c r="L202" s="243"/>
      <c r="M202" s="243"/>
      <c r="N202" s="243"/>
      <c r="O202" s="243"/>
      <c r="P202" s="243"/>
    </row>
    <row r="203" spans="2:16" ht="12">
      <c r="B203" s="243"/>
      <c r="C203" s="243"/>
      <c r="D203" s="243"/>
      <c r="E203" s="243"/>
      <c r="F203" s="243"/>
      <c r="G203" s="243"/>
      <c r="H203" s="243"/>
      <c r="I203" s="243"/>
      <c r="J203" s="243"/>
      <c r="K203" s="243"/>
      <c r="L203" s="243"/>
      <c r="M203" s="243"/>
      <c r="N203" s="243"/>
      <c r="O203" s="243"/>
      <c r="P203" s="243"/>
    </row>
    <row r="204" spans="2:16" ht="12">
      <c r="B204" s="243"/>
      <c r="C204" s="243"/>
      <c r="D204" s="243"/>
      <c r="E204" s="243"/>
      <c r="F204" s="243"/>
      <c r="G204" s="243"/>
      <c r="H204" s="243"/>
      <c r="I204" s="243"/>
      <c r="J204" s="243"/>
      <c r="K204" s="243"/>
      <c r="L204" s="243"/>
      <c r="M204" s="243"/>
      <c r="N204" s="243"/>
      <c r="O204" s="243"/>
      <c r="P204" s="243"/>
    </row>
    <row r="205" spans="2:16" ht="12">
      <c r="B205" s="243"/>
      <c r="C205" s="243"/>
      <c r="D205" s="243"/>
      <c r="E205" s="243"/>
      <c r="F205" s="243"/>
      <c r="G205" s="243"/>
      <c r="H205" s="243"/>
      <c r="I205" s="243"/>
      <c r="J205" s="243"/>
      <c r="K205" s="243"/>
      <c r="L205" s="243"/>
      <c r="M205" s="243"/>
      <c r="N205" s="243"/>
      <c r="O205" s="243"/>
      <c r="P205" s="243"/>
    </row>
    <row r="206" spans="2:16" ht="12">
      <c r="B206" s="243"/>
      <c r="C206" s="243"/>
      <c r="D206" s="243"/>
      <c r="E206" s="243"/>
      <c r="F206" s="243"/>
      <c r="G206" s="243"/>
      <c r="H206" s="243"/>
      <c r="I206" s="243"/>
      <c r="J206" s="243"/>
      <c r="K206" s="243"/>
      <c r="L206" s="243"/>
      <c r="M206" s="243"/>
      <c r="N206" s="243"/>
      <c r="O206" s="243"/>
      <c r="P206" s="243"/>
    </row>
    <row r="207" spans="2:16" ht="12">
      <c r="B207" s="243"/>
      <c r="C207" s="243"/>
      <c r="D207" s="243"/>
      <c r="E207" s="243"/>
      <c r="F207" s="243"/>
      <c r="G207" s="243"/>
      <c r="H207" s="243"/>
      <c r="I207" s="243"/>
      <c r="J207" s="243"/>
      <c r="K207" s="243"/>
      <c r="L207" s="243"/>
      <c r="M207" s="243"/>
      <c r="N207" s="243"/>
      <c r="O207" s="243"/>
      <c r="P207" s="243"/>
    </row>
    <row r="208" spans="2:16" ht="12">
      <c r="B208" s="243"/>
      <c r="C208" s="243"/>
      <c r="D208" s="243"/>
      <c r="E208" s="243"/>
      <c r="F208" s="243"/>
      <c r="G208" s="243"/>
      <c r="H208" s="243"/>
      <c r="I208" s="243"/>
      <c r="J208" s="243"/>
      <c r="K208" s="243"/>
      <c r="L208" s="243"/>
      <c r="M208" s="243"/>
      <c r="N208" s="243"/>
      <c r="O208" s="243"/>
      <c r="P208" s="243"/>
    </row>
    <row r="209" spans="2:16" ht="12">
      <c r="B209" s="243"/>
      <c r="C209" s="243"/>
      <c r="D209" s="243"/>
      <c r="E209" s="243"/>
      <c r="F209" s="243"/>
      <c r="G209" s="243"/>
      <c r="H209" s="243"/>
      <c r="I209" s="243"/>
      <c r="J209" s="243"/>
      <c r="K209" s="243"/>
      <c r="L209" s="243"/>
      <c r="M209" s="243"/>
      <c r="N209" s="243"/>
      <c r="O209" s="243"/>
      <c r="P209" s="243"/>
    </row>
    <row r="210" spans="2:16" ht="12">
      <c r="B210" s="243"/>
      <c r="C210" s="243"/>
      <c r="D210" s="243"/>
      <c r="E210" s="243"/>
      <c r="F210" s="243"/>
      <c r="G210" s="243"/>
      <c r="H210" s="243"/>
      <c r="I210" s="243"/>
      <c r="J210" s="243"/>
      <c r="K210" s="243"/>
      <c r="L210" s="243"/>
      <c r="M210" s="243"/>
      <c r="N210" s="243"/>
      <c r="O210" s="243"/>
      <c r="P210" s="243"/>
    </row>
    <row r="211" spans="2:16" ht="12">
      <c r="B211" s="243"/>
      <c r="C211" s="243"/>
      <c r="D211" s="243"/>
      <c r="E211" s="243"/>
      <c r="F211" s="243"/>
      <c r="G211" s="243"/>
      <c r="H211" s="243"/>
      <c r="I211" s="243"/>
      <c r="J211" s="243"/>
      <c r="K211" s="243"/>
      <c r="L211" s="243"/>
      <c r="M211" s="243"/>
      <c r="N211" s="243"/>
      <c r="O211" s="243"/>
      <c r="P211" s="243"/>
    </row>
    <row r="212" spans="2:16" ht="12">
      <c r="B212" s="243"/>
      <c r="C212" s="243"/>
      <c r="D212" s="243"/>
      <c r="E212" s="243"/>
      <c r="F212" s="243"/>
      <c r="G212" s="243"/>
      <c r="H212" s="243"/>
      <c r="I212" s="243"/>
      <c r="J212" s="243"/>
      <c r="K212" s="243"/>
      <c r="L212" s="243"/>
      <c r="M212" s="243"/>
      <c r="N212" s="243"/>
      <c r="O212" s="243"/>
      <c r="P212" s="243"/>
    </row>
    <row r="213" spans="2:16" ht="12">
      <c r="B213" s="243"/>
      <c r="C213" s="243"/>
      <c r="D213" s="243"/>
      <c r="E213" s="243"/>
      <c r="F213" s="243"/>
      <c r="G213" s="243"/>
      <c r="H213" s="243"/>
      <c r="I213" s="243"/>
      <c r="J213" s="243"/>
      <c r="K213" s="243"/>
      <c r="L213" s="243"/>
      <c r="M213" s="243"/>
      <c r="N213" s="243"/>
      <c r="O213" s="243"/>
      <c r="P213" s="243"/>
    </row>
    <row r="214" spans="2:16" ht="12">
      <c r="B214" s="243"/>
      <c r="C214" s="243"/>
      <c r="D214" s="243"/>
      <c r="E214" s="243"/>
      <c r="F214" s="243"/>
      <c r="G214" s="243"/>
      <c r="H214" s="243"/>
      <c r="I214" s="243"/>
      <c r="J214" s="243"/>
      <c r="K214" s="243"/>
      <c r="L214" s="243"/>
      <c r="M214" s="243"/>
      <c r="N214" s="243"/>
      <c r="O214" s="243"/>
      <c r="P214" s="243"/>
    </row>
    <row r="215" spans="2:16" ht="12">
      <c r="B215" s="243"/>
      <c r="C215" s="243"/>
      <c r="D215" s="243"/>
      <c r="E215" s="243"/>
      <c r="F215" s="243"/>
      <c r="G215" s="243"/>
      <c r="H215" s="243"/>
      <c r="I215" s="243"/>
      <c r="J215" s="243"/>
      <c r="K215" s="243"/>
      <c r="L215" s="243"/>
      <c r="M215" s="243"/>
      <c r="N215" s="243"/>
      <c r="O215" s="243"/>
      <c r="P215" s="243"/>
    </row>
    <row r="216" spans="2:16" ht="12">
      <c r="B216" s="243"/>
      <c r="C216" s="243"/>
      <c r="D216" s="243"/>
      <c r="E216" s="243"/>
      <c r="F216" s="243"/>
      <c r="G216" s="243"/>
      <c r="H216" s="243"/>
      <c r="I216" s="243"/>
      <c r="J216" s="243"/>
      <c r="K216" s="243"/>
      <c r="L216" s="243"/>
      <c r="M216" s="243"/>
      <c r="N216" s="243"/>
      <c r="O216" s="243"/>
      <c r="P216" s="243"/>
    </row>
    <row r="217" spans="2:16" ht="12">
      <c r="B217" s="243"/>
      <c r="C217" s="243"/>
      <c r="D217" s="243"/>
      <c r="E217" s="243"/>
      <c r="F217" s="243"/>
      <c r="G217" s="243"/>
      <c r="H217" s="243"/>
      <c r="I217" s="243"/>
      <c r="J217" s="243"/>
      <c r="K217" s="243"/>
      <c r="L217" s="243"/>
      <c r="M217" s="243"/>
      <c r="N217" s="243"/>
      <c r="O217" s="243"/>
      <c r="P217" s="243"/>
    </row>
    <row r="218" spans="2:16" ht="12">
      <c r="B218" s="243"/>
      <c r="C218" s="243"/>
      <c r="D218" s="243"/>
      <c r="E218" s="243"/>
      <c r="F218" s="243"/>
      <c r="G218" s="243"/>
      <c r="H218" s="243"/>
      <c r="I218" s="243"/>
      <c r="J218" s="243"/>
      <c r="K218" s="243"/>
      <c r="L218" s="243"/>
      <c r="M218" s="243"/>
      <c r="N218" s="243"/>
      <c r="O218" s="243"/>
      <c r="P218" s="243"/>
    </row>
    <row r="219" spans="2:16" ht="12">
      <c r="B219" s="243"/>
      <c r="C219" s="243"/>
      <c r="D219" s="243"/>
      <c r="E219" s="243"/>
      <c r="F219" s="243"/>
      <c r="G219" s="243"/>
      <c r="H219" s="243"/>
      <c r="I219" s="243"/>
      <c r="J219" s="243"/>
      <c r="K219" s="243"/>
      <c r="L219" s="243"/>
      <c r="M219" s="243"/>
      <c r="N219" s="243"/>
      <c r="O219" s="243"/>
      <c r="P219" s="243"/>
    </row>
    <row r="220" spans="2:16" ht="12">
      <c r="B220" s="243"/>
      <c r="C220" s="243"/>
      <c r="D220" s="243"/>
      <c r="E220" s="243"/>
      <c r="F220" s="243"/>
      <c r="G220" s="243"/>
      <c r="H220" s="243"/>
      <c r="I220" s="243"/>
      <c r="J220" s="243"/>
      <c r="K220" s="243"/>
      <c r="L220" s="243"/>
      <c r="M220" s="243"/>
      <c r="N220" s="243"/>
      <c r="O220" s="243"/>
      <c r="P220" s="243"/>
    </row>
    <row r="221" spans="2:16" ht="12">
      <c r="B221" s="243"/>
      <c r="C221" s="243"/>
      <c r="D221" s="243"/>
      <c r="E221" s="243"/>
      <c r="F221" s="243"/>
      <c r="G221" s="243"/>
      <c r="H221" s="243"/>
      <c r="I221" s="243"/>
      <c r="J221" s="243"/>
      <c r="K221" s="243"/>
      <c r="L221" s="243"/>
      <c r="M221" s="243"/>
      <c r="N221" s="243"/>
      <c r="O221" s="243"/>
      <c r="P221" s="243"/>
    </row>
    <row r="222" spans="2:16" ht="12">
      <c r="B222" s="243"/>
      <c r="C222" s="243"/>
      <c r="D222" s="243"/>
      <c r="E222" s="243"/>
      <c r="F222" s="243"/>
      <c r="G222" s="243"/>
      <c r="H222" s="243"/>
      <c r="I222" s="243"/>
      <c r="J222" s="243"/>
      <c r="K222" s="243"/>
      <c r="L222" s="243"/>
      <c r="M222" s="243"/>
      <c r="N222" s="243"/>
      <c r="O222" s="243"/>
      <c r="P222" s="243"/>
    </row>
    <row r="223" spans="2:16" ht="12">
      <c r="B223" s="243"/>
      <c r="C223" s="243"/>
      <c r="D223" s="243"/>
      <c r="E223" s="243"/>
      <c r="F223" s="243"/>
      <c r="G223" s="243"/>
      <c r="H223" s="243"/>
      <c r="I223" s="243"/>
      <c r="J223" s="243"/>
      <c r="K223" s="243"/>
      <c r="L223" s="243"/>
      <c r="M223" s="243"/>
      <c r="N223" s="243"/>
      <c r="O223" s="243"/>
      <c r="P223" s="243"/>
    </row>
    <row r="224" spans="2:16" ht="12">
      <c r="B224" s="243"/>
      <c r="C224" s="243"/>
      <c r="D224" s="243"/>
      <c r="E224" s="243"/>
      <c r="F224" s="243"/>
      <c r="G224" s="243"/>
      <c r="H224" s="243"/>
      <c r="I224" s="243"/>
      <c r="J224" s="243"/>
      <c r="K224" s="243"/>
      <c r="L224" s="243"/>
      <c r="M224" s="243"/>
      <c r="N224" s="243"/>
      <c r="O224" s="243"/>
      <c r="P224" s="243"/>
    </row>
    <row r="225" spans="2:16" ht="12">
      <c r="B225" s="243"/>
      <c r="C225" s="243"/>
      <c r="D225" s="243"/>
      <c r="E225" s="243"/>
      <c r="F225" s="243"/>
      <c r="G225" s="243"/>
      <c r="H225" s="243"/>
      <c r="I225" s="243"/>
      <c r="J225" s="243"/>
      <c r="K225" s="243"/>
      <c r="L225" s="243"/>
      <c r="M225" s="243"/>
      <c r="N225" s="243"/>
      <c r="O225" s="243"/>
      <c r="P225" s="243"/>
    </row>
    <row r="226" spans="2:16" ht="12">
      <c r="B226" s="243"/>
      <c r="C226" s="243"/>
      <c r="D226" s="243"/>
      <c r="E226" s="243"/>
      <c r="F226" s="243"/>
      <c r="G226" s="243"/>
      <c r="H226" s="243"/>
      <c r="I226" s="243"/>
      <c r="J226" s="243"/>
      <c r="K226" s="243"/>
      <c r="L226" s="243"/>
      <c r="M226" s="243"/>
      <c r="N226" s="243"/>
      <c r="O226" s="243"/>
      <c r="P226" s="243"/>
    </row>
    <row r="227" spans="2:16" ht="12">
      <c r="B227" s="243"/>
      <c r="C227" s="243"/>
      <c r="D227" s="243"/>
      <c r="E227" s="243"/>
      <c r="F227" s="243"/>
      <c r="G227" s="243"/>
      <c r="H227" s="243"/>
      <c r="I227" s="243"/>
      <c r="J227" s="243"/>
      <c r="K227" s="243"/>
      <c r="L227" s="243"/>
      <c r="M227" s="243"/>
      <c r="N227" s="243"/>
      <c r="O227" s="243"/>
      <c r="P227" s="243"/>
    </row>
    <row r="228" spans="2:16" ht="12">
      <c r="B228" s="243"/>
      <c r="C228" s="243"/>
      <c r="D228" s="243"/>
      <c r="E228" s="243"/>
      <c r="F228" s="243"/>
      <c r="G228" s="243"/>
      <c r="H228" s="243"/>
      <c r="I228" s="243"/>
      <c r="J228" s="243"/>
      <c r="K228" s="243"/>
      <c r="L228" s="243"/>
      <c r="M228" s="243"/>
      <c r="N228" s="243"/>
      <c r="O228" s="243"/>
      <c r="P228" s="243"/>
    </row>
    <row r="229" spans="2:16" ht="12">
      <c r="B229" s="243"/>
      <c r="C229" s="243"/>
      <c r="D229" s="243"/>
      <c r="E229" s="243"/>
      <c r="F229" s="243"/>
      <c r="G229" s="243"/>
      <c r="H229" s="243"/>
      <c r="I229" s="243"/>
      <c r="J229" s="243"/>
      <c r="K229" s="243"/>
      <c r="L229" s="243"/>
      <c r="M229" s="243"/>
      <c r="N229" s="243"/>
      <c r="O229" s="243"/>
      <c r="P229" s="243"/>
    </row>
    <row r="230" spans="2:16" ht="12">
      <c r="B230" s="243"/>
      <c r="C230" s="243"/>
      <c r="D230" s="243"/>
      <c r="E230" s="243"/>
      <c r="F230" s="243"/>
      <c r="G230" s="243"/>
      <c r="H230" s="243"/>
      <c r="I230" s="243"/>
      <c r="J230" s="243"/>
      <c r="K230" s="243"/>
      <c r="L230" s="243"/>
      <c r="M230" s="243"/>
      <c r="N230" s="243"/>
      <c r="O230" s="243"/>
      <c r="P230" s="243"/>
    </row>
    <row r="231" spans="2:16" ht="12">
      <c r="B231" s="243"/>
      <c r="C231" s="243"/>
      <c r="D231" s="243"/>
      <c r="E231" s="243"/>
      <c r="F231" s="243"/>
      <c r="G231" s="243"/>
      <c r="H231" s="243"/>
      <c r="I231" s="243"/>
      <c r="J231" s="243"/>
      <c r="K231" s="243"/>
      <c r="L231" s="243"/>
      <c r="M231" s="243"/>
      <c r="N231" s="243"/>
      <c r="O231" s="243"/>
      <c r="P231" s="243"/>
    </row>
    <row r="232" spans="2:16" ht="12">
      <c r="B232" s="243"/>
      <c r="C232" s="243"/>
      <c r="D232" s="243"/>
      <c r="E232" s="243"/>
      <c r="F232" s="243"/>
      <c r="G232" s="243"/>
      <c r="H232" s="243"/>
      <c r="I232" s="243"/>
      <c r="J232" s="243"/>
      <c r="K232" s="243"/>
      <c r="L232" s="243"/>
      <c r="M232" s="243"/>
      <c r="N232" s="243"/>
      <c r="O232" s="243"/>
      <c r="P232" s="243"/>
    </row>
    <row r="233" spans="2:16" ht="12">
      <c r="B233" s="243"/>
      <c r="C233" s="243"/>
      <c r="D233" s="243"/>
      <c r="E233" s="243"/>
      <c r="F233" s="243"/>
      <c r="G233" s="243"/>
      <c r="H233" s="243"/>
      <c r="I233" s="243"/>
      <c r="J233" s="243"/>
      <c r="K233" s="243"/>
      <c r="L233" s="243"/>
      <c r="M233" s="243"/>
      <c r="N233" s="243"/>
      <c r="O233" s="243"/>
      <c r="P233" s="243"/>
    </row>
    <row r="234" spans="2:16" ht="12">
      <c r="B234" s="243"/>
      <c r="C234" s="243"/>
      <c r="D234" s="243"/>
      <c r="E234" s="243"/>
      <c r="F234" s="243"/>
      <c r="G234" s="243"/>
      <c r="H234" s="243"/>
      <c r="I234" s="243"/>
      <c r="J234" s="243"/>
      <c r="K234" s="243"/>
      <c r="L234" s="243"/>
      <c r="M234" s="243"/>
      <c r="N234" s="243"/>
      <c r="O234" s="243"/>
      <c r="P234" s="243"/>
    </row>
    <row r="235" spans="2:16" ht="12">
      <c r="B235" s="243"/>
      <c r="C235" s="243"/>
      <c r="D235" s="243"/>
      <c r="E235" s="243"/>
      <c r="F235" s="243"/>
      <c r="G235" s="243"/>
      <c r="H235" s="243"/>
      <c r="I235" s="243"/>
      <c r="J235" s="243"/>
      <c r="K235" s="243"/>
      <c r="L235" s="243"/>
      <c r="M235" s="243"/>
      <c r="N235" s="243"/>
      <c r="O235" s="243"/>
      <c r="P235" s="243"/>
    </row>
    <row r="236" spans="2:16" ht="12">
      <c r="B236" s="243"/>
      <c r="C236" s="243"/>
      <c r="D236" s="243"/>
      <c r="E236" s="243"/>
      <c r="F236" s="243"/>
      <c r="G236" s="243"/>
      <c r="H236" s="243"/>
      <c r="I236" s="243"/>
      <c r="J236" s="243"/>
      <c r="K236" s="243"/>
      <c r="L236" s="243"/>
      <c r="M236" s="243"/>
      <c r="N236" s="243"/>
      <c r="O236" s="243"/>
      <c r="P236" s="243"/>
    </row>
    <row r="237" spans="2:16" ht="12">
      <c r="B237" s="243"/>
      <c r="C237" s="243"/>
      <c r="D237" s="243"/>
      <c r="E237" s="243"/>
      <c r="F237" s="243"/>
      <c r="G237" s="243"/>
      <c r="H237" s="243"/>
      <c r="I237" s="243"/>
      <c r="J237" s="243"/>
      <c r="K237" s="243"/>
      <c r="L237" s="243"/>
      <c r="M237" s="243"/>
      <c r="N237" s="243"/>
      <c r="O237" s="243"/>
      <c r="P237" s="243"/>
    </row>
    <row r="238" spans="2:16" ht="12">
      <c r="B238" s="243"/>
      <c r="C238" s="243"/>
      <c r="D238" s="243"/>
      <c r="E238" s="243"/>
      <c r="F238" s="243"/>
      <c r="G238" s="243"/>
      <c r="H238" s="243"/>
      <c r="I238" s="243"/>
      <c r="J238" s="243"/>
      <c r="K238" s="243"/>
      <c r="L238" s="243"/>
      <c r="M238" s="243"/>
      <c r="N238" s="243"/>
      <c r="O238" s="243"/>
      <c r="P238" s="243"/>
    </row>
    <row r="239" spans="2:16" ht="12">
      <c r="B239" s="243"/>
      <c r="C239" s="243"/>
      <c r="D239" s="243"/>
      <c r="E239" s="243"/>
      <c r="F239" s="243"/>
      <c r="G239" s="243"/>
      <c r="H239" s="243"/>
      <c r="I239" s="243"/>
      <c r="J239" s="243"/>
      <c r="K239" s="243"/>
      <c r="L239" s="243"/>
      <c r="M239" s="243"/>
      <c r="N239" s="243"/>
      <c r="O239" s="243"/>
      <c r="P239" s="243"/>
    </row>
    <row r="240" spans="2:16" ht="12">
      <c r="B240" s="243"/>
      <c r="C240" s="243"/>
      <c r="D240" s="243"/>
      <c r="E240" s="243"/>
      <c r="F240" s="243"/>
      <c r="G240" s="243"/>
      <c r="H240" s="243"/>
      <c r="I240" s="243"/>
      <c r="J240" s="243"/>
      <c r="K240" s="243"/>
      <c r="L240" s="243"/>
      <c r="M240" s="243"/>
      <c r="N240" s="243"/>
      <c r="O240" s="243"/>
      <c r="P240" s="243"/>
    </row>
    <row r="241" spans="2:16" ht="12">
      <c r="B241" s="243"/>
      <c r="C241" s="243"/>
      <c r="D241" s="243"/>
      <c r="E241" s="243"/>
      <c r="F241" s="243"/>
      <c r="G241" s="243"/>
      <c r="H241" s="243"/>
      <c r="I241" s="243"/>
      <c r="J241" s="243"/>
      <c r="K241" s="243"/>
      <c r="L241" s="243"/>
      <c r="M241" s="243"/>
      <c r="N241" s="243"/>
      <c r="O241" s="243"/>
      <c r="P241" s="243"/>
    </row>
    <row r="242" spans="2:16" ht="12">
      <c r="B242" s="243"/>
      <c r="C242" s="243"/>
      <c r="D242" s="243"/>
      <c r="E242" s="243"/>
      <c r="F242" s="243"/>
      <c r="G242" s="243"/>
      <c r="H242" s="243"/>
      <c r="I242" s="243"/>
      <c r="J242" s="243"/>
      <c r="K242" s="243"/>
      <c r="L242" s="243"/>
      <c r="M242" s="243"/>
      <c r="N242" s="243"/>
      <c r="O242" s="243"/>
      <c r="P242" s="243"/>
    </row>
    <row r="243" spans="2:16" ht="12">
      <c r="B243" s="243"/>
      <c r="C243" s="243"/>
      <c r="D243" s="243"/>
      <c r="E243" s="243"/>
      <c r="F243" s="243"/>
      <c r="G243" s="243"/>
      <c r="H243" s="243"/>
      <c r="I243" s="243"/>
      <c r="J243" s="243"/>
      <c r="K243" s="243"/>
      <c r="L243" s="243"/>
      <c r="M243" s="243"/>
      <c r="N243" s="243"/>
      <c r="O243" s="243"/>
      <c r="P243" s="243"/>
    </row>
    <row r="244" spans="2:16" ht="12">
      <c r="B244" s="243"/>
      <c r="C244" s="243"/>
      <c r="D244" s="243"/>
      <c r="E244" s="243"/>
      <c r="F244" s="243"/>
      <c r="G244" s="243"/>
      <c r="H244" s="243"/>
      <c r="I244" s="243"/>
      <c r="J244" s="243"/>
      <c r="K244" s="243"/>
      <c r="L244" s="243"/>
      <c r="M244" s="243"/>
      <c r="N244" s="243"/>
      <c r="O244" s="243"/>
      <c r="P244" s="243"/>
    </row>
    <row r="245" spans="2:16" ht="12">
      <c r="B245" s="243"/>
      <c r="C245" s="243"/>
      <c r="D245" s="243"/>
      <c r="E245" s="243"/>
      <c r="F245" s="243"/>
      <c r="G245" s="243"/>
      <c r="H245" s="243"/>
      <c r="I245" s="243"/>
      <c r="J245" s="243"/>
      <c r="K245" s="243"/>
      <c r="L245" s="243"/>
      <c r="M245" s="243"/>
      <c r="N245" s="243"/>
      <c r="O245" s="243"/>
      <c r="P245" s="243"/>
    </row>
    <row r="246" spans="2:16" ht="12">
      <c r="B246" s="243"/>
      <c r="C246" s="243"/>
      <c r="D246" s="243"/>
      <c r="E246" s="243"/>
      <c r="F246" s="243"/>
      <c r="G246" s="243"/>
      <c r="H246" s="243"/>
      <c r="I246" s="243"/>
      <c r="J246" s="243"/>
      <c r="K246" s="243"/>
      <c r="L246" s="243"/>
      <c r="M246" s="243"/>
      <c r="N246" s="243"/>
      <c r="O246" s="243"/>
      <c r="P246" s="243"/>
    </row>
    <row r="247" spans="2:16" ht="12">
      <c r="B247" s="243"/>
      <c r="C247" s="243"/>
      <c r="D247" s="243"/>
      <c r="E247" s="243"/>
      <c r="F247" s="243"/>
      <c r="G247" s="243"/>
      <c r="H247" s="243"/>
      <c r="I247" s="243"/>
      <c r="J247" s="243"/>
      <c r="K247" s="243"/>
      <c r="L247" s="243"/>
      <c r="M247" s="243"/>
      <c r="N247" s="243"/>
      <c r="O247" s="243"/>
      <c r="P247" s="243"/>
    </row>
    <row r="248" spans="2:16" ht="12">
      <c r="B248" s="243"/>
      <c r="C248" s="243"/>
      <c r="D248" s="243"/>
      <c r="E248" s="243"/>
      <c r="F248" s="243"/>
      <c r="G248" s="243"/>
      <c r="H248" s="243"/>
      <c r="I248" s="243"/>
      <c r="J248" s="243"/>
      <c r="K248" s="243"/>
      <c r="L248" s="243"/>
      <c r="M248" s="243"/>
      <c r="N248" s="243"/>
      <c r="O248" s="243"/>
      <c r="P248" s="243"/>
    </row>
    <row r="249" spans="2:16" ht="12">
      <c r="B249" s="243"/>
      <c r="C249" s="243"/>
      <c r="D249" s="243"/>
      <c r="E249" s="243"/>
      <c r="F249" s="243"/>
      <c r="G249" s="243"/>
      <c r="H249" s="243"/>
      <c r="I249" s="243"/>
      <c r="J249" s="243"/>
      <c r="K249" s="243"/>
      <c r="L249" s="243"/>
      <c r="M249" s="243"/>
      <c r="N249" s="243"/>
      <c r="O249" s="243"/>
      <c r="P249" s="243"/>
    </row>
    <row r="250" spans="2:16" ht="12">
      <c r="B250" s="243"/>
      <c r="C250" s="243"/>
      <c r="D250" s="243"/>
      <c r="E250" s="243"/>
      <c r="F250" s="243"/>
      <c r="G250" s="243"/>
      <c r="H250" s="243"/>
      <c r="I250" s="243"/>
      <c r="J250" s="243"/>
      <c r="K250" s="243"/>
      <c r="L250" s="243"/>
      <c r="M250" s="243"/>
      <c r="N250" s="243"/>
      <c r="O250" s="243"/>
      <c r="P250" s="243"/>
    </row>
    <row r="251" spans="2:16" ht="12">
      <c r="B251" s="243"/>
      <c r="C251" s="243"/>
      <c r="D251" s="243"/>
      <c r="E251" s="243"/>
      <c r="F251" s="243"/>
      <c r="G251" s="243"/>
      <c r="H251" s="243"/>
      <c r="I251" s="243"/>
      <c r="J251" s="243"/>
      <c r="K251" s="243"/>
      <c r="L251" s="243"/>
      <c r="M251" s="243"/>
      <c r="N251" s="243"/>
      <c r="O251" s="243"/>
      <c r="P251" s="243"/>
    </row>
    <row r="252" spans="2:16" ht="12">
      <c r="B252" s="243"/>
      <c r="C252" s="243"/>
      <c r="D252" s="243"/>
      <c r="E252" s="243"/>
      <c r="F252" s="243"/>
      <c r="G252" s="243"/>
      <c r="H252" s="243"/>
      <c r="I252" s="243"/>
      <c r="J252" s="243"/>
      <c r="K252" s="243"/>
      <c r="L252" s="243"/>
      <c r="M252" s="243"/>
      <c r="N252" s="243"/>
      <c r="O252" s="243"/>
      <c r="P252" s="243"/>
    </row>
    <row r="253" spans="2:16" ht="12">
      <c r="B253" s="243"/>
      <c r="C253" s="243"/>
      <c r="D253" s="243"/>
      <c r="E253" s="243"/>
      <c r="F253" s="243"/>
      <c r="G253" s="243"/>
      <c r="H253" s="243"/>
      <c r="I253" s="243"/>
      <c r="J253" s="243"/>
      <c r="K253" s="243"/>
      <c r="L253" s="243"/>
      <c r="M253" s="243"/>
      <c r="N253" s="243"/>
      <c r="O253" s="243"/>
      <c r="P253" s="243"/>
    </row>
    <row r="254" spans="2:16" ht="12">
      <c r="B254" s="243"/>
      <c r="C254" s="243"/>
      <c r="D254" s="243"/>
      <c r="E254" s="243"/>
      <c r="F254" s="243"/>
      <c r="G254" s="243"/>
      <c r="H254" s="243"/>
      <c r="I254" s="243"/>
      <c r="J254" s="243"/>
      <c r="K254" s="243"/>
      <c r="L254" s="243"/>
      <c r="M254" s="243"/>
      <c r="N254" s="243"/>
      <c r="O254" s="243"/>
      <c r="P254" s="243"/>
    </row>
    <row r="255" spans="2:16" ht="12">
      <c r="B255" s="243"/>
      <c r="C255" s="243"/>
      <c r="D255" s="243"/>
      <c r="E255" s="243"/>
      <c r="F255" s="243"/>
      <c r="G255" s="243"/>
      <c r="H255" s="243"/>
      <c r="I255" s="243"/>
      <c r="J255" s="243"/>
      <c r="K255" s="243"/>
      <c r="L255" s="243"/>
      <c r="M255" s="243"/>
      <c r="N255" s="243"/>
      <c r="O255" s="243"/>
      <c r="P255" s="243"/>
    </row>
    <row r="256" spans="2:16" ht="12">
      <c r="B256" s="243"/>
      <c r="C256" s="243"/>
      <c r="D256" s="243"/>
      <c r="E256" s="243"/>
      <c r="F256" s="243"/>
      <c r="G256" s="243"/>
      <c r="H256" s="243"/>
      <c r="I256" s="243"/>
      <c r="J256" s="243"/>
      <c r="K256" s="243"/>
      <c r="L256" s="243"/>
      <c r="M256" s="243"/>
      <c r="N256" s="243"/>
      <c r="O256" s="243"/>
      <c r="P256" s="243"/>
    </row>
    <row r="257" spans="2:16" ht="12">
      <c r="B257" s="243"/>
      <c r="C257" s="243"/>
      <c r="D257" s="243"/>
      <c r="E257" s="243"/>
      <c r="F257" s="243"/>
      <c r="G257" s="243"/>
      <c r="H257" s="243"/>
      <c r="I257" s="243"/>
      <c r="J257" s="243"/>
      <c r="K257" s="243"/>
      <c r="L257" s="243"/>
      <c r="M257" s="243"/>
      <c r="N257" s="243"/>
      <c r="O257" s="243"/>
      <c r="P257" s="243"/>
    </row>
    <row r="261" spans="2:16" ht="12">
      <c r="B261" s="243"/>
      <c r="C261" s="243"/>
      <c r="D261" s="243"/>
      <c r="E261" s="243"/>
      <c r="F261" s="243"/>
      <c r="G261" s="243"/>
      <c r="H261" s="243"/>
      <c r="I261" s="243"/>
      <c r="J261" s="243"/>
      <c r="K261" s="243"/>
      <c r="L261" s="243"/>
      <c r="M261" s="243"/>
      <c r="N261" s="243"/>
      <c r="O261" s="243"/>
      <c r="P261" s="243"/>
    </row>
    <row r="262" spans="2:16" ht="12">
      <c r="B262" s="243"/>
      <c r="C262" s="243"/>
      <c r="D262" s="243"/>
      <c r="E262" s="243"/>
      <c r="F262" s="243"/>
      <c r="G262" s="243"/>
      <c r="H262" s="243"/>
      <c r="I262" s="243"/>
      <c r="J262" s="243"/>
      <c r="K262" s="243"/>
      <c r="L262" s="243"/>
      <c r="M262" s="243"/>
      <c r="N262" s="243"/>
      <c r="O262" s="243"/>
      <c r="P262" s="243"/>
    </row>
    <row r="263" spans="2:16" ht="12">
      <c r="B263" s="243"/>
      <c r="C263" s="243"/>
      <c r="D263" s="243"/>
      <c r="E263" s="243"/>
      <c r="F263" s="243"/>
      <c r="G263" s="243"/>
      <c r="H263" s="243"/>
      <c r="I263" s="243"/>
      <c r="J263" s="243"/>
      <c r="K263" s="243"/>
      <c r="L263" s="243"/>
      <c r="M263" s="243"/>
      <c r="N263" s="243"/>
      <c r="O263" s="243"/>
      <c r="P263" s="243"/>
    </row>
    <row r="264" spans="2:16" ht="12">
      <c r="B264" s="243"/>
      <c r="C264" s="243"/>
      <c r="D264" s="243"/>
      <c r="E264" s="243"/>
      <c r="F264" s="243"/>
      <c r="G264" s="243"/>
      <c r="H264" s="243"/>
      <c r="I264" s="243"/>
      <c r="J264" s="243"/>
      <c r="K264" s="243"/>
      <c r="L264" s="243"/>
      <c r="M264" s="243"/>
      <c r="N264" s="243"/>
      <c r="O264" s="243"/>
      <c r="P264" s="243"/>
    </row>
    <row r="265" spans="2:16" ht="12">
      <c r="B265" s="243"/>
      <c r="C265" s="243"/>
      <c r="D265" s="243"/>
      <c r="E265" s="243"/>
      <c r="F265" s="243"/>
      <c r="G265" s="243"/>
      <c r="H265" s="243"/>
      <c r="I265" s="243"/>
      <c r="J265" s="243"/>
      <c r="K265" s="243"/>
      <c r="L265" s="243"/>
      <c r="M265" s="243"/>
      <c r="N265" s="243"/>
      <c r="O265" s="243"/>
      <c r="P265" s="243"/>
    </row>
    <row r="266" spans="2:16" ht="12">
      <c r="B266" s="243"/>
      <c r="C266" s="243"/>
      <c r="D266" s="243"/>
      <c r="E266" s="243"/>
      <c r="F266" s="243"/>
      <c r="G266" s="243"/>
      <c r="H266" s="243"/>
      <c r="I266" s="243"/>
      <c r="J266" s="243"/>
      <c r="K266" s="243"/>
      <c r="L266" s="243"/>
      <c r="M266" s="243"/>
      <c r="N266" s="243"/>
      <c r="O266" s="243"/>
      <c r="P266" s="243"/>
    </row>
    <row r="267" spans="2:16" ht="12">
      <c r="B267" s="243"/>
      <c r="C267" s="243"/>
      <c r="D267" s="243"/>
      <c r="E267" s="243"/>
      <c r="F267" s="243"/>
      <c r="G267" s="243"/>
      <c r="H267" s="243"/>
      <c r="I267" s="243"/>
      <c r="J267" s="243"/>
      <c r="K267" s="243"/>
      <c r="L267" s="243"/>
      <c r="M267" s="243"/>
      <c r="N267" s="243"/>
      <c r="O267" s="243"/>
      <c r="P267" s="243"/>
    </row>
    <row r="268" spans="2:16" ht="12">
      <c r="B268" s="243"/>
      <c r="C268" s="243"/>
      <c r="D268" s="243"/>
      <c r="E268" s="243"/>
      <c r="F268" s="243"/>
      <c r="G268" s="243"/>
      <c r="H268" s="243"/>
      <c r="I268" s="243"/>
      <c r="J268" s="243"/>
      <c r="K268" s="243"/>
      <c r="L268" s="243"/>
      <c r="M268" s="243"/>
      <c r="N268" s="243"/>
      <c r="O268" s="243"/>
      <c r="P268" s="243"/>
    </row>
    <row r="269" spans="2:16" ht="12">
      <c r="B269" s="243"/>
      <c r="C269" s="243"/>
      <c r="D269" s="243"/>
      <c r="E269" s="243"/>
      <c r="F269" s="243"/>
      <c r="G269" s="243"/>
      <c r="H269" s="243"/>
      <c r="I269" s="243"/>
      <c r="J269" s="243"/>
      <c r="K269" s="243"/>
      <c r="L269" s="243"/>
      <c r="M269" s="243"/>
      <c r="N269" s="243"/>
      <c r="O269" s="243"/>
      <c r="P269" s="243"/>
    </row>
    <row r="270" spans="2:16" ht="12">
      <c r="B270" s="243"/>
      <c r="C270" s="243"/>
      <c r="D270" s="243"/>
      <c r="E270" s="243"/>
      <c r="F270" s="243"/>
      <c r="G270" s="243"/>
      <c r="H270" s="243"/>
      <c r="I270" s="243"/>
      <c r="J270" s="243"/>
      <c r="K270" s="243"/>
      <c r="L270" s="243"/>
      <c r="M270" s="243"/>
      <c r="N270" s="243"/>
      <c r="O270" s="243"/>
      <c r="P270" s="243"/>
    </row>
    <row r="271" spans="2:16" ht="12">
      <c r="B271" s="243"/>
      <c r="C271" s="243"/>
      <c r="D271" s="243"/>
      <c r="E271" s="243"/>
      <c r="F271" s="243"/>
      <c r="G271" s="243"/>
      <c r="H271" s="243"/>
      <c r="I271" s="243"/>
      <c r="J271" s="243"/>
      <c r="K271" s="243"/>
      <c r="L271" s="243"/>
      <c r="M271" s="243"/>
      <c r="N271" s="243"/>
      <c r="O271" s="243"/>
      <c r="P271" s="243"/>
    </row>
    <row r="272" spans="2:16" ht="12">
      <c r="B272" s="243"/>
      <c r="C272" s="243"/>
      <c r="D272" s="243"/>
      <c r="E272" s="243"/>
      <c r="F272" s="243"/>
      <c r="G272" s="243"/>
      <c r="H272" s="243"/>
      <c r="I272" s="243"/>
      <c r="J272" s="243"/>
      <c r="K272" s="243"/>
      <c r="L272" s="243"/>
      <c r="M272" s="243"/>
      <c r="N272" s="243"/>
      <c r="O272" s="243"/>
      <c r="P272" s="243"/>
    </row>
    <row r="273" spans="2:16" ht="12">
      <c r="B273" s="243"/>
      <c r="C273" s="243"/>
      <c r="D273" s="243"/>
      <c r="E273" s="243"/>
      <c r="F273" s="243"/>
      <c r="G273" s="243"/>
      <c r="H273" s="243"/>
      <c r="I273" s="243"/>
      <c r="J273" s="243"/>
      <c r="K273" s="243"/>
      <c r="L273" s="243"/>
      <c r="M273" s="243"/>
      <c r="N273" s="243"/>
      <c r="O273" s="243"/>
      <c r="P273" s="243"/>
    </row>
    <row r="274" spans="2:16" ht="12">
      <c r="B274" s="243"/>
      <c r="C274" s="243"/>
      <c r="D274" s="243"/>
      <c r="E274" s="243"/>
      <c r="F274" s="243"/>
      <c r="G274" s="243"/>
      <c r="H274" s="243"/>
      <c r="I274" s="243"/>
      <c r="J274" s="243"/>
      <c r="K274" s="243"/>
      <c r="L274" s="243"/>
      <c r="M274" s="243"/>
      <c r="N274" s="243"/>
      <c r="O274" s="243"/>
      <c r="P274" s="243"/>
    </row>
    <row r="275" spans="2:16" ht="12">
      <c r="B275" s="243"/>
      <c r="C275" s="243"/>
      <c r="D275" s="243"/>
      <c r="E275" s="243"/>
      <c r="F275" s="243"/>
      <c r="G275" s="243"/>
      <c r="H275" s="243"/>
      <c r="I275" s="243"/>
      <c r="J275" s="243"/>
      <c r="K275" s="243"/>
      <c r="L275" s="243"/>
      <c r="M275" s="243"/>
      <c r="N275" s="243"/>
      <c r="O275" s="243"/>
      <c r="P275" s="243"/>
    </row>
    <row r="276" spans="2:16" ht="12">
      <c r="B276" s="243"/>
      <c r="C276" s="243"/>
      <c r="D276" s="243"/>
      <c r="E276" s="243"/>
      <c r="F276" s="243"/>
      <c r="G276" s="243"/>
      <c r="H276" s="243"/>
      <c r="I276" s="243"/>
      <c r="J276" s="243"/>
      <c r="K276" s="243"/>
      <c r="L276" s="243"/>
      <c r="M276" s="243"/>
      <c r="N276" s="243"/>
      <c r="O276" s="243"/>
      <c r="P276" s="243"/>
    </row>
    <row r="277" spans="2:16" ht="12">
      <c r="B277" s="243"/>
      <c r="C277" s="243"/>
      <c r="D277" s="243"/>
      <c r="E277" s="243"/>
      <c r="F277" s="243"/>
      <c r="G277" s="243"/>
      <c r="H277" s="243"/>
      <c r="I277" s="243"/>
      <c r="J277" s="243"/>
      <c r="K277" s="243"/>
      <c r="L277" s="243"/>
      <c r="M277" s="243"/>
      <c r="N277" s="243"/>
      <c r="O277" s="243"/>
      <c r="P277" s="243"/>
    </row>
    <row r="278" spans="2:16" ht="12">
      <c r="B278" s="243"/>
      <c r="C278" s="243"/>
      <c r="D278" s="243"/>
      <c r="E278" s="243"/>
      <c r="F278" s="243"/>
      <c r="G278" s="243"/>
      <c r="H278" s="243"/>
      <c r="I278" s="243"/>
      <c r="J278" s="243"/>
      <c r="K278" s="243"/>
      <c r="L278" s="243"/>
      <c r="M278" s="243"/>
      <c r="N278" s="243"/>
      <c r="O278" s="243"/>
      <c r="P278" s="243"/>
    </row>
    <row r="279" spans="2:16" ht="12">
      <c r="B279" s="243"/>
      <c r="C279" s="243"/>
      <c r="D279" s="243"/>
      <c r="E279" s="243"/>
      <c r="F279" s="243"/>
      <c r="G279" s="243"/>
      <c r="H279" s="243"/>
      <c r="I279" s="243"/>
      <c r="J279" s="243"/>
      <c r="K279" s="243"/>
      <c r="L279" s="243"/>
      <c r="M279" s="243"/>
      <c r="N279" s="243"/>
      <c r="O279" s="243"/>
      <c r="P279" s="243"/>
    </row>
    <row r="280" spans="2:16" ht="12">
      <c r="B280" s="243"/>
      <c r="C280" s="243"/>
      <c r="D280" s="243"/>
      <c r="E280" s="243"/>
      <c r="F280" s="243"/>
      <c r="G280" s="243"/>
      <c r="H280" s="243"/>
      <c r="I280" s="243"/>
      <c r="J280" s="243"/>
      <c r="K280" s="243"/>
      <c r="L280" s="243"/>
      <c r="M280" s="243"/>
      <c r="N280" s="243"/>
      <c r="O280" s="243"/>
      <c r="P280" s="243"/>
    </row>
    <row r="281" spans="2:16" ht="12">
      <c r="B281" s="243"/>
      <c r="C281" s="243"/>
      <c r="D281" s="243"/>
      <c r="E281" s="243"/>
      <c r="F281" s="243"/>
      <c r="G281" s="243"/>
      <c r="H281" s="243"/>
      <c r="I281" s="243"/>
      <c r="J281" s="243"/>
      <c r="K281" s="243"/>
      <c r="L281" s="243"/>
      <c r="M281" s="243"/>
      <c r="N281" s="243"/>
      <c r="O281" s="243"/>
      <c r="P281" s="243"/>
    </row>
    <row r="282" spans="2:16" ht="12">
      <c r="B282" s="243"/>
      <c r="C282" s="243"/>
      <c r="D282" s="243"/>
      <c r="E282" s="243"/>
      <c r="F282" s="243"/>
      <c r="G282" s="243"/>
      <c r="H282" s="243"/>
      <c r="I282" s="243"/>
      <c r="J282" s="243"/>
      <c r="K282" s="243"/>
      <c r="L282" s="243"/>
      <c r="M282" s="243"/>
      <c r="N282" s="243"/>
      <c r="O282" s="243"/>
      <c r="P282" s="243"/>
    </row>
    <row r="283" spans="2:16" ht="12">
      <c r="B283" s="243"/>
      <c r="C283" s="243"/>
      <c r="D283" s="243"/>
      <c r="E283" s="243"/>
      <c r="F283" s="243"/>
      <c r="G283" s="243"/>
      <c r="H283" s="243"/>
      <c r="I283" s="243"/>
      <c r="J283" s="243"/>
      <c r="K283" s="243"/>
      <c r="L283" s="243"/>
      <c r="M283" s="243"/>
      <c r="N283" s="243"/>
      <c r="O283" s="243"/>
      <c r="P283" s="243"/>
    </row>
    <row r="284" spans="2:16" ht="12">
      <c r="B284" s="243"/>
      <c r="C284" s="243"/>
      <c r="D284" s="243"/>
      <c r="E284" s="243"/>
      <c r="F284" s="243"/>
      <c r="G284" s="243"/>
      <c r="H284" s="243"/>
      <c r="I284" s="243"/>
      <c r="J284" s="243"/>
      <c r="K284" s="243"/>
      <c r="L284" s="243"/>
      <c r="M284" s="243"/>
      <c r="N284" s="243"/>
      <c r="O284" s="243"/>
      <c r="P284" s="243"/>
    </row>
    <row r="285" spans="2:16" ht="12">
      <c r="B285" s="243"/>
      <c r="C285" s="243"/>
      <c r="D285" s="243"/>
      <c r="E285" s="243"/>
      <c r="F285" s="243"/>
      <c r="G285" s="243"/>
      <c r="H285" s="243"/>
      <c r="I285" s="243"/>
      <c r="J285" s="243"/>
      <c r="K285" s="243"/>
      <c r="L285" s="243"/>
      <c r="M285" s="243"/>
      <c r="N285" s="243"/>
      <c r="O285" s="243"/>
      <c r="P285" s="243"/>
    </row>
    <row r="286" spans="2:16" ht="12">
      <c r="B286" s="243"/>
      <c r="C286" s="243"/>
      <c r="D286" s="243"/>
      <c r="E286" s="243"/>
      <c r="F286" s="243"/>
      <c r="G286" s="243"/>
      <c r="H286" s="243"/>
      <c r="I286" s="243"/>
      <c r="J286" s="243"/>
      <c r="K286" s="243"/>
      <c r="L286" s="243"/>
      <c r="M286" s="243"/>
      <c r="N286" s="243"/>
      <c r="O286" s="243"/>
      <c r="P286" s="243"/>
    </row>
    <row r="287" spans="2:16" ht="12">
      <c r="B287" s="243"/>
      <c r="C287" s="243"/>
      <c r="D287" s="243"/>
      <c r="E287" s="243"/>
      <c r="F287" s="243"/>
      <c r="G287" s="243"/>
      <c r="H287" s="243"/>
      <c r="I287" s="243"/>
      <c r="J287" s="243"/>
      <c r="K287" s="243"/>
      <c r="L287" s="243"/>
      <c r="M287" s="243"/>
      <c r="N287" s="243"/>
      <c r="O287" s="243"/>
      <c r="P287" s="243"/>
    </row>
    <row r="288" spans="2:16" ht="12">
      <c r="B288" s="243"/>
      <c r="C288" s="243"/>
      <c r="D288" s="243"/>
      <c r="E288" s="243"/>
      <c r="F288" s="243"/>
      <c r="G288" s="243"/>
      <c r="H288" s="243"/>
      <c r="I288" s="243"/>
      <c r="J288" s="243"/>
      <c r="K288" s="243"/>
      <c r="L288" s="243"/>
      <c r="M288" s="243"/>
      <c r="N288" s="243"/>
      <c r="O288" s="243"/>
      <c r="P288" s="243"/>
    </row>
    <row r="289" spans="2:16" ht="12">
      <c r="B289" s="243"/>
      <c r="C289" s="243"/>
      <c r="D289" s="243"/>
      <c r="E289" s="243"/>
      <c r="F289" s="243"/>
      <c r="G289" s="243"/>
      <c r="H289" s="243"/>
      <c r="I289" s="243"/>
      <c r="J289" s="243"/>
      <c r="K289" s="243"/>
      <c r="L289" s="243"/>
      <c r="M289" s="243"/>
      <c r="N289" s="243"/>
      <c r="O289" s="243"/>
      <c r="P289" s="243"/>
    </row>
    <row r="290" spans="2:16" ht="12">
      <c r="B290" s="243"/>
      <c r="C290" s="243"/>
      <c r="D290" s="243"/>
      <c r="E290" s="243"/>
      <c r="F290" s="243"/>
      <c r="G290" s="243"/>
      <c r="H290" s="243"/>
      <c r="I290" s="243"/>
      <c r="J290" s="243"/>
      <c r="K290" s="243"/>
      <c r="L290" s="243"/>
      <c r="M290" s="243"/>
      <c r="N290" s="243"/>
      <c r="O290" s="243"/>
      <c r="P290" s="243"/>
    </row>
    <row r="291" spans="2:16" ht="12">
      <c r="B291" s="243"/>
      <c r="C291" s="243"/>
      <c r="D291" s="243"/>
      <c r="E291" s="243"/>
      <c r="F291" s="243"/>
      <c r="G291" s="243"/>
      <c r="H291" s="243"/>
      <c r="I291" s="243"/>
      <c r="J291" s="243"/>
      <c r="K291" s="243"/>
      <c r="L291" s="243"/>
      <c r="M291" s="243"/>
      <c r="N291" s="243"/>
      <c r="O291" s="243"/>
      <c r="P291" s="243"/>
    </row>
    <row r="292" spans="2:16" ht="12">
      <c r="B292" s="243"/>
      <c r="C292" s="243"/>
      <c r="D292" s="243"/>
      <c r="E292" s="243"/>
      <c r="F292" s="243"/>
      <c r="G292" s="243"/>
      <c r="H292" s="243"/>
      <c r="I292" s="243"/>
      <c r="J292" s="243"/>
      <c r="K292" s="243"/>
      <c r="L292" s="243"/>
      <c r="M292" s="243"/>
      <c r="N292" s="243"/>
      <c r="O292" s="243"/>
      <c r="P292" s="243"/>
    </row>
    <row r="293" spans="2:16" ht="12">
      <c r="B293" s="243"/>
      <c r="C293" s="243"/>
      <c r="D293" s="243"/>
      <c r="E293" s="243"/>
      <c r="F293" s="243"/>
      <c r="G293" s="243"/>
      <c r="H293" s="243"/>
      <c r="I293" s="243"/>
      <c r="J293" s="243"/>
      <c r="K293" s="243"/>
      <c r="L293" s="243"/>
      <c r="M293" s="243"/>
      <c r="N293" s="243"/>
      <c r="O293" s="243"/>
      <c r="P293" s="243"/>
    </row>
    <row r="294" spans="2:16" ht="12">
      <c r="B294" s="243"/>
      <c r="C294" s="243"/>
      <c r="D294" s="243"/>
      <c r="E294" s="243"/>
      <c r="F294" s="243"/>
      <c r="G294" s="243"/>
      <c r="H294" s="243"/>
      <c r="I294" s="243"/>
      <c r="J294" s="243"/>
      <c r="K294" s="243"/>
      <c r="L294" s="243"/>
      <c r="M294" s="243"/>
      <c r="N294" s="243"/>
      <c r="O294" s="243"/>
      <c r="P294" s="243"/>
    </row>
    <row r="295" spans="2:16" ht="12">
      <c r="B295" s="243"/>
      <c r="C295" s="243"/>
      <c r="D295" s="243"/>
      <c r="E295" s="243"/>
      <c r="F295" s="243"/>
      <c r="G295" s="243"/>
      <c r="H295" s="243"/>
      <c r="I295" s="243"/>
      <c r="J295" s="243"/>
      <c r="K295" s="243"/>
      <c r="L295" s="243"/>
      <c r="M295" s="243"/>
      <c r="N295" s="243"/>
      <c r="O295" s="243"/>
      <c r="P295" s="243"/>
    </row>
    <row r="296" spans="2:16" ht="12">
      <c r="B296" s="243"/>
      <c r="C296" s="243"/>
      <c r="D296" s="243"/>
      <c r="E296" s="243"/>
      <c r="F296" s="243"/>
      <c r="G296" s="243"/>
      <c r="H296" s="243"/>
      <c r="I296" s="243"/>
      <c r="J296" s="243"/>
      <c r="K296" s="243"/>
      <c r="L296" s="243"/>
      <c r="M296" s="243"/>
      <c r="N296" s="243"/>
      <c r="O296" s="243"/>
      <c r="P296" s="243"/>
    </row>
    <row r="297" spans="2:16" ht="12">
      <c r="B297" s="243"/>
      <c r="C297" s="243"/>
      <c r="D297" s="243"/>
      <c r="E297" s="243"/>
      <c r="F297" s="243"/>
      <c r="G297" s="243"/>
      <c r="H297" s="243"/>
      <c r="I297" s="243"/>
      <c r="J297" s="243"/>
      <c r="K297" s="243"/>
      <c r="L297" s="243"/>
      <c r="M297" s="243"/>
      <c r="N297" s="243"/>
      <c r="O297" s="243"/>
      <c r="P297" s="243"/>
    </row>
    <row r="298" spans="2:16" ht="12">
      <c r="B298" s="243"/>
      <c r="C298" s="243"/>
      <c r="D298" s="243"/>
      <c r="E298" s="243"/>
      <c r="F298" s="243"/>
      <c r="G298" s="243"/>
      <c r="H298" s="243"/>
      <c r="I298" s="243"/>
      <c r="J298" s="243"/>
      <c r="K298" s="243"/>
      <c r="L298" s="243"/>
      <c r="M298" s="243"/>
      <c r="N298" s="243"/>
      <c r="O298" s="243"/>
      <c r="P298" s="243"/>
    </row>
    <row r="299" spans="2:16" ht="12">
      <c r="B299" s="243"/>
      <c r="C299" s="243"/>
      <c r="D299" s="243"/>
      <c r="E299" s="243"/>
      <c r="F299" s="243"/>
      <c r="G299" s="243"/>
      <c r="H299" s="243"/>
      <c r="I299" s="243"/>
      <c r="J299" s="243"/>
      <c r="K299" s="243"/>
      <c r="L299" s="243"/>
      <c r="M299" s="243"/>
      <c r="N299" s="243"/>
      <c r="O299" s="243"/>
      <c r="P299" s="243"/>
    </row>
    <row r="300" spans="2:16" ht="12">
      <c r="B300" s="243"/>
      <c r="C300" s="243"/>
      <c r="D300" s="243"/>
      <c r="E300" s="243"/>
      <c r="F300" s="243"/>
      <c r="G300" s="243"/>
      <c r="H300" s="243"/>
      <c r="I300" s="243"/>
      <c r="J300" s="243"/>
      <c r="K300" s="243"/>
      <c r="L300" s="243"/>
      <c r="M300" s="243"/>
      <c r="N300" s="243"/>
      <c r="O300" s="243"/>
      <c r="P300" s="243"/>
    </row>
    <row r="301" spans="2:16" ht="12">
      <c r="B301" s="243"/>
      <c r="C301" s="243"/>
      <c r="D301" s="243"/>
      <c r="E301" s="243"/>
      <c r="F301" s="243"/>
      <c r="G301" s="243"/>
      <c r="H301" s="243"/>
      <c r="I301" s="243"/>
      <c r="J301" s="243"/>
      <c r="K301" s="243"/>
      <c r="L301" s="243"/>
      <c r="M301" s="243"/>
      <c r="N301" s="243"/>
      <c r="O301" s="243"/>
      <c r="P301" s="243"/>
    </row>
    <row r="302" spans="2:16" ht="12">
      <c r="B302" s="243"/>
      <c r="C302" s="243"/>
      <c r="D302" s="243"/>
      <c r="E302" s="243"/>
      <c r="F302" s="243"/>
      <c r="G302" s="243"/>
      <c r="H302" s="243"/>
      <c r="I302" s="243"/>
      <c r="J302" s="243"/>
      <c r="K302" s="243"/>
      <c r="L302" s="243"/>
      <c r="M302" s="243"/>
      <c r="N302" s="243"/>
      <c r="O302" s="243"/>
      <c r="P302" s="243"/>
    </row>
    <row r="303" spans="2:16" ht="12">
      <c r="B303" s="243"/>
      <c r="C303" s="243"/>
      <c r="D303" s="243"/>
      <c r="E303" s="243"/>
      <c r="F303" s="243"/>
      <c r="G303" s="243"/>
      <c r="H303" s="243"/>
      <c r="I303" s="243"/>
      <c r="J303" s="243"/>
      <c r="K303" s="243"/>
      <c r="L303" s="243"/>
      <c r="M303" s="243"/>
      <c r="N303" s="243"/>
      <c r="O303" s="243"/>
      <c r="P303" s="243"/>
    </row>
    <row r="304" spans="2:16" ht="12">
      <c r="B304" s="243"/>
      <c r="C304" s="243"/>
      <c r="D304" s="243"/>
      <c r="E304" s="243"/>
      <c r="F304" s="243"/>
      <c r="G304" s="243"/>
      <c r="H304" s="243"/>
      <c r="I304" s="243"/>
      <c r="J304" s="243"/>
      <c r="K304" s="243"/>
      <c r="L304" s="243"/>
      <c r="M304" s="243"/>
      <c r="N304" s="243"/>
      <c r="O304" s="243"/>
      <c r="P304" s="243"/>
    </row>
    <row r="305" spans="2:16" ht="12">
      <c r="B305" s="243"/>
      <c r="C305" s="243"/>
      <c r="D305" s="243"/>
      <c r="E305" s="243"/>
      <c r="F305" s="243"/>
      <c r="G305" s="243"/>
      <c r="H305" s="243"/>
      <c r="I305" s="243"/>
      <c r="J305" s="243"/>
      <c r="K305" s="243"/>
      <c r="L305" s="243"/>
      <c r="M305" s="243"/>
      <c r="N305" s="243"/>
      <c r="O305" s="243"/>
      <c r="P305" s="243"/>
    </row>
    <row r="306" spans="2:16" ht="12">
      <c r="B306" s="243"/>
      <c r="C306" s="243"/>
      <c r="D306" s="243"/>
      <c r="E306" s="243"/>
      <c r="F306" s="243"/>
      <c r="G306" s="243"/>
      <c r="H306" s="243"/>
      <c r="I306" s="243"/>
      <c r="J306" s="243"/>
      <c r="K306" s="243"/>
      <c r="L306" s="243"/>
      <c r="M306" s="243"/>
      <c r="N306" s="243"/>
      <c r="O306" s="243"/>
      <c r="P306" s="243"/>
    </row>
    <row r="307" spans="2:16" ht="12">
      <c r="B307" s="243"/>
      <c r="C307" s="243"/>
      <c r="D307" s="243"/>
      <c r="E307" s="243"/>
      <c r="F307" s="243"/>
      <c r="G307" s="243"/>
      <c r="H307" s="243"/>
      <c r="I307" s="243"/>
      <c r="J307" s="243"/>
      <c r="K307" s="243"/>
      <c r="L307" s="243"/>
      <c r="M307" s="243"/>
      <c r="N307" s="243"/>
      <c r="O307" s="243"/>
      <c r="P307" s="243"/>
    </row>
    <row r="308" spans="2:16" ht="12">
      <c r="B308" s="243"/>
      <c r="C308" s="243"/>
      <c r="D308" s="243"/>
      <c r="E308" s="243"/>
      <c r="F308" s="243"/>
      <c r="G308" s="243"/>
      <c r="H308" s="243"/>
      <c r="I308" s="243"/>
      <c r="J308" s="243"/>
      <c r="K308" s="243"/>
      <c r="L308" s="243"/>
      <c r="M308" s="243"/>
      <c r="N308" s="243"/>
      <c r="O308" s="243"/>
      <c r="P308" s="243"/>
    </row>
    <row r="309" spans="2:16" ht="12">
      <c r="B309" s="243"/>
      <c r="C309" s="243"/>
      <c r="D309" s="243"/>
      <c r="E309" s="243"/>
      <c r="F309" s="243"/>
      <c r="G309" s="243"/>
      <c r="H309" s="243"/>
      <c r="I309" s="243"/>
      <c r="J309" s="243"/>
      <c r="K309" s="243"/>
      <c r="L309" s="243"/>
      <c r="M309" s="243"/>
      <c r="N309" s="243"/>
      <c r="O309" s="243"/>
      <c r="P309" s="243"/>
    </row>
    <row r="310" spans="2:16" ht="12">
      <c r="B310" s="243"/>
      <c r="C310" s="243"/>
      <c r="D310" s="243"/>
      <c r="E310" s="243"/>
      <c r="F310" s="243"/>
      <c r="G310" s="243"/>
      <c r="H310" s="243"/>
      <c r="I310" s="243"/>
      <c r="J310" s="243"/>
      <c r="K310" s="243"/>
      <c r="L310" s="243"/>
      <c r="M310" s="243"/>
      <c r="N310" s="243"/>
      <c r="O310" s="243"/>
      <c r="P310" s="243"/>
    </row>
    <row r="311" spans="2:16" ht="12">
      <c r="B311" s="243"/>
      <c r="C311" s="243"/>
      <c r="D311" s="243"/>
      <c r="E311" s="243"/>
      <c r="F311" s="243"/>
      <c r="G311" s="243"/>
      <c r="H311" s="243"/>
      <c r="I311" s="243"/>
      <c r="J311" s="243"/>
      <c r="K311" s="243"/>
      <c r="L311" s="243"/>
      <c r="M311" s="243"/>
      <c r="N311" s="243"/>
      <c r="O311" s="243"/>
      <c r="P311" s="243"/>
    </row>
    <row r="312" spans="2:16" ht="12">
      <c r="B312" s="243"/>
      <c r="C312" s="243"/>
      <c r="D312" s="243"/>
      <c r="E312" s="243"/>
      <c r="F312" s="243"/>
      <c r="G312" s="243"/>
      <c r="H312" s="243"/>
      <c r="I312" s="243"/>
      <c r="J312" s="243"/>
      <c r="K312" s="243"/>
      <c r="L312" s="243"/>
      <c r="M312" s="243"/>
      <c r="N312" s="243"/>
      <c r="O312" s="243"/>
      <c r="P312" s="243"/>
    </row>
    <row r="313" spans="2:16" ht="12">
      <c r="B313" s="243"/>
      <c r="C313" s="243"/>
      <c r="D313" s="243"/>
      <c r="E313" s="243"/>
      <c r="F313" s="243"/>
      <c r="G313" s="243"/>
      <c r="H313" s="243"/>
      <c r="I313" s="243"/>
      <c r="J313" s="243"/>
      <c r="K313" s="243"/>
      <c r="L313" s="243"/>
      <c r="M313" s="243"/>
      <c r="N313" s="243"/>
      <c r="O313" s="243"/>
      <c r="P313" s="243"/>
    </row>
    <row r="314" spans="2:16" ht="12">
      <c r="B314" s="243"/>
      <c r="C314" s="243"/>
      <c r="D314" s="243"/>
      <c r="E314" s="243"/>
      <c r="F314" s="243"/>
      <c r="G314" s="243"/>
      <c r="H314" s="243"/>
      <c r="I314" s="243"/>
      <c r="J314" s="243"/>
      <c r="K314" s="243"/>
      <c r="L314" s="243"/>
      <c r="M314" s="243"/>
      <c r="N314" s="243"/>
      <c r="O314" s="243"/>
      <c r="P314" s="243"/>
    </row>
    <row r="315" spans="2:16" ht="12">
      <c r="B315" s="243"/>
      <c r="C315" s="243"/>
      <c r="D315" s="243"/>
      <c r="E315" s="243"/>
      <c r="F315" s="243"/>
      <c r="G315" s="243"/>
      <c r="H315" s="243"/>
      <c r="I315" s="243"/>
      <c r="J315" s="243"/>
      <c r="K315" s="243"/>
      <c r="L315" s="243"/>
      <c r="M315" s="243"/>
      <c r="N315" s="243"/>
      <c r="O315" s="243"/>
      <c r="P315" s="243"/>
    </row>
    <row r="316" spans="2:16" ht="12">
      <c r="B316" s="243"/>
      <c r="C316" s="243"/>
      <c r="D316" s="243"/>
      <c r="E316" s="243"/>
      <c r="F316" s="243"/>
      <c r="G316" s="243"/>
      <c r="H316" s="243"/>
      <c r="I316" s="243"/>
      <c r="J316" s="243"/>
      <c r="K316" s="243"/>
      <c r="L316" s="243"/>
      <c r="M316" s="243"/>
      <c r="N316" s="243"/>
      <c r="O316" s="243"/>
      <c r="P316" s="243"/>
    </row>
    <row r="317" spans="2:16" ht="12">
      <c r="B317" s="243"/>
      <c r="C317" s="243"/>
      <c r="D317" s="243"/>
      <c r="E317" s="243"/>
      <c r="F317" s="243"/>
      <c r="G317" s="243"/>
      <c r="H317" s="243"/>
      <c r="I317" s="243"/>
      <c r="J317" s="243"/>
      <c r="K317" s="243"/>
      <c r="L317" s="243"/>
      <c r="M317" s="243"/>
      <c r="N317" s="243"/>
      <c r="O317" s="243"/>
      <c r="P317" s="243"/>
    </row>
    <row r="318" spans="2:16" ht="12">
      <c r="B318" s="243"/>
      <c r="C318" s="243"/>
      <c r="D318" s="243"/>
      <c r="E318" s="243"/>
      <c r="F318" s="243"/>
      <c r="G318" s="243"/>
      <c r="H318" s="243"/>
      <c r="I318" s="243"/>
      <c r="J318" s="243"/>
      <c r="K318" s="243"/>
      <c r="L318" s="243"/>
      <c r="M318" s="243"/>
      <c r="N318" s="243"/>
      <c r="O318" s="243"/>
      <c r="P318" s="243"/>
    </row>
    <row r="319" spans="2:16" ht="12">
      <c r="B319" s="243"/>
      <c r="C319" s="243"/>
      <c r="D319" s="243"/>
      <c r="E319" s="243"/>
      <c r="F319" s="243"/>
      <c r="G319" s="243"/>
      <c r="H319" s="243"/>
      <c r="I319" s="243"/>
      <c r="J319" s="243"/>
      <c r="K319" s="243"/>
      <c r="L319" s="243"/>
      <c r="M319" s="243"/>
      <c r="N319" s="243"/>
      <c r="O319" s="243"/>
      <c r="P319" s="243"/>
    </row>
    <row r="320" spans="2:16" ht="12">
      <c r="B320" s="243"/>
      <c r="C320" s="243"/>
      <c r="D320" s="243"/>
      <c r="E320" s="243"/>
      <c r="F320" s="243"/>
      <c r="G320" s="243"/>
      <c r="H320" s="243"/>
      <c r="I320" s="243"/>
      <c r="J320" s="243"/>
      <c r="K320" s="243"/>
      <c r="L320" s="243"/>
      <c r="M320" s="243"/>
      <c r="N320" s="243"/>
      <c r="O320" s="243"/>
      <c r="P320" s="243"/>
    </row>
    <row r="321" spans="2:16" ht="12">
      <c r="B321" s="243"/>
      <c r="C321" s="243"/>
      <c r="D321" s="243"/>
      <c r="E321" s="243"/>
      <c r="F321" s="243"/>
      <c r="G321" s="243"/>
      <c r="H321" s="243"/>
      <c r="I321" s="243"/>
      <c r="J321" s="243"/>
      <c r="K321" s="243"/>
      <c r="L321" s="243"/>
      <c r="M321" s="243"/>
      <c r="N321" s="243"/>
      <c r="O321" s="243"/>
      <c r="P321" s="243"/>
    </row>
    <row r="322" spans="2:16" ht="12">
      <c r="B322" s="243"/>
      <c r="C322" s="243"/>
      <c r="D322" s="243"/>
      <c r="E322" s="243"/>
      <c r="F322" s="243"/>
      <c r="G322" s="243"/>
      <c r="H322" s="243"/>
      <c r="I322" s="243"/>
      <c r="J322" s="243"/>
      <c r="K322" s="243"/>
      <c r="L322" s="243"/>
      <c r="M322" s="243"/>
      <c r="N322" s="243"/>
      <c r="O322" s="243"/>
      <c r="P322" s="243"/>
    </row>
    <row r="323" spans="2:16" ht="12">
      <c r="B323" s="243"/>
      <c r="C323" s="243"/>
      <c r="D323" s="243"/>
      <c r="E323" s="243"/>
      <c r="F323" s="243"/>
      <c r="G323" s="243"/>
      <c r="H323" s="243"/>
      <c r="I323" s="243"/>
      <c r="J323" s="243"/>
      <c r="K323" s="243"/>
      <c r="L323" s="243"/>
      <c r="M323" s="243"/>
      <c r="N323" s="243"/>
      <c r="O323" s="243"/>
      <c r="P323" s="243"/>
    </row>
    <row r="324" spans="2:16" ht="12">
      <c r="B324" s="243"/>
      <c r="C324" s="243"/>
      <c r="D324" s="243"/>
      <c r="E324" s="243"/>
      <c r="F324" s="243"/>
      <c r="G324" s="243"/>
      <c r="H324" s="243"/>
      <c r="I324" s="243"/>
      <c r="J324" s="243"/>
      <c r="K324" s="243"/>
      <c r="L324" s="243"/>
      <c r="M324" s="243"/>
      <c r="N324" s="243"/>
      <c r="O324" s="243"/>
      <c r="P324" s="243"/>
    </row>
    <row r="325" spans="2:16" ht="12">
      <c r="B325" s="243"/>
      <c r="C325" s="243"/>
      <c r="D325" s="243"/>
      <c r="E325" s="243"/>
      <c r="F325" s="243"/>
      <c r="G325" s="243"/>
      <c r="H325" s="243"/>
      <c r="I325" s="243"/>
      <c r="J325" s="243"/>
      <c r="K325" s="243"/>
      <c r="L325" s="243"/>
      <c r="M325" s="243"/>
      <c r="N325" s="243"/>
      <c r="O325" s="243"/>
      <c r="P325" s="243"/>
    </row>
    <row r="326" spans="2:16" ht="12">
      <c r="B326" s="243"/>
      <c r="C326" s="243"/>
      <c r="D326" s="243"/>
      <c r="E326" s="243"/>
      <c r="F326" s="243"/>
      <c r="G326" s="243"/>
      <c r="H326" s="243"/>
      <c r="I326" s="243"/>
      <c r="J326" s="243"/>
      <c r="K326" s="243"/>
      <c r="L326" s="243"/>
      <c r="M326" s="243"/>
      <c r="N326" s="243"/>
      <c r="O326" s="243"/>
      <c r="P326" s="243"/>
    </row>
    <row r="327" spans="2:16" ht="12">
      <c r="B327" s="243"/>
      <c r="C327" s="243"/>
      <c r="D327" s="243"/>
      <c r="E327" s="243"/>
      <c r="F327" s="243"/>
      <c r="G327" s="243"/>
      <c r="H327" s="243"/>
      <c r="I327" s="243"/>
      <c r="J327" s="243"/>
      <c r="K327" s="243"/>
      <c r="L327" s="243"/>
      <c r="M327" s="243"/>
      <c r="N327" s="243"/>
      <c r="O327" s="243"/>
      <c r="P327" s="243"/>
    </row>
    <row r="328" spans="2:16" ht="12">
      <c r="B328" s="243"/>
      <c r="C328" s="243"/>
      <c r="D328" s="243"/>
      <c r="E328" s="243"/>
      <c r="F328" s="243"/>
      <c r="G328" s="243"/>
      <c r="H328" s="243"/>
      <c r="I328" s="243"/>
      <c r="J328" s="243"/>
      <c r="K328" s="243"/>
      <c r="L328" s="243"/>
      <c r="M328" s="243"/>
      <c r="N328" s="243"/>
      <c r="O328" s="243"/>
      <c r="P328" s="243"/>
    </row>
    <row r="329" spans="2:16" ht="12">
      <c r="B329" s="243"/>
      <c r="C329" s="243"/>
      <c r="D329" s="243"/>
      <c r="E329" s="243"/>
      <c r="F329" s="243"/>
      <c r="G329" s="243"/>
      <c r="H329" s="243"/>
      <c r="I329" s="243"/>
      <c r="J329" s="243"/>
      <c r="K329" s="243"/>
      <c r="L329" s="243"/>
      <c r="M329" s="243"/>
      <c r="N329" s="243"/>
      <c r="O329" s="243"/>
      <c r="P329" s="243"/>
    </row>
    <row r="330" spans="2:16" ht="12">
      <c r="B330" s="243"/>
      <c r="C330" s="243"/>
      <c r="D330" s="243"/>
      <c r="E330" s="243"/>
      <c r="F330" s="243"/>
      <c r="G330" s="243"/>
      <c r="H330" s="243"/>
      <c r="I330" s="243"/>
      <c r="J330" s="243"/>
      <c r="K330" s="243"/>
      <c r="L330" s="243"/>
      <c r="M330" s="243"/>
      <c r="N330" s="243"/>
      <c r="O330" s="243"/>
      <c r="P330" s="243"/>
    </row>
    <row r="331" spans="2:16" ht="12">
      <c r="B331" s="243"/>
      <c r="C331" s="243"/>
      <c r="D331" s="243"/>
      <c r="E331" s="243"/>
      <c r="F331" s="243"/>
      <c r="G331" s="243"/>
      <c r="H331" s="243"/>
      <c r="I331" s="243"/>
      <c r="J331" s="243"/>
      <c r="K331" s="243"/>
      <c r="L331" s="243"/>
      <c r="M331" s="243"/>
      <c r="N331" s="243"/>
      <c r="O331" s="243"/>
      <c r="P331" s="243"/>
    </row>
    <row r="332" spans="2:16" ht="12">
      <c r="B332" s="243"/>
      <c r="C332" s="243"/>
      <c r="D332" s="243"/>
      <c r="E332" s="243"/>
      <c r="F332" s="243"/>
      <c r="G332" s="243"/>
      <c r="H332" s="243"/>
      <c r="I332" s="243"/>
      <c r="J332" s="243"/>
      <c r="K332" s="243"/>
      <c r="L332" s="243"/>
      <c r="M332" s="243"/>
      <c r="N332" s="243"/>
      <c r="O332" s="243"/>
      <c r="P332" s="243"/>
    </row>
    <row r="333" spans="2:16" ht="12">
      <c r="B333" s="243"/>
      <c r="C333" s="243"/>
      <c r="D333" s="243"/>
      <c r="E333" s="243"/>
      <c r="F333" s="243"/>
      <c r="G333" s="243"/>
      <c r="H333" s="243"/>
      <c r="I333" s="243"/>
      <c r="J333" s="243"/>
      <c r="K333" s="243"/>
      <c r="L333" s="243"/>
      <c r="M333" s="243"/>
      <c r="N333" s="243"/>
      <c r="O333" s="243"/>
      <c r="P333" s="243"/>
    </row>
    <row r="334" spans="2:16" ht="12">
      <c r="B334" s="243"/>
      <c r="C334" s="243"/>
      <c r="D334" s="243"/>
      <c r="E334" s="243"/>
      <c r="F334" s="243"/>
      <c r="G334" s="243"/>
      <c r="H334" s="243"/>
      <c r="I334" s="243"/>
      <c r="J334" s="243"/>
      <c r="K334" s="243"/>
      <c r="L334" s="243"/>
      <c r="M334" s="243"/>
      <c r="N334" s="243"/>
      <c r="O334" s="243"/>
      <c r="P334" s="243"/>
    </row>
    <row r="335" spans="2:16" ht="12">
      <c r="B335" s="243"/>
      <c r="C335" s="243"/>
      <c r="D335" s="243"/>
      <c r="E335" s="243"/>
      <c r="F335" s="243"/>
      <c r="G335" s="243"/>
      <c r="H335" s="243"/>
      <c r="I335" s="243"/>
      <c r="J335" s="243"/>
      <c r="K335" s="243"/>
      <c r="L335" s="243"/>
      <c r="M335" s="243"/>
      <c r="N335" s="243"/>
      <c r="O335" s="243"/>
      <c r="P335" s="243"/>
    </row>
    <row r="336" spans="2:16" ht="12">
      <c r="B336" s="243"/>
      <c r="C336" s="243"/>
      <c r="D336" s="243"/>
      <c r="E336" s="243"/>
      <c r="F336" s="243"/>
      <c r="G336" s="243"/>
      <c r="H336" s="243"/>
      <c r="I336" s="243"/>
      <c r="J336" s="243"/>
      <c r="K336" s="243"/>
      <c r="L336" s="243"/>
      <c r="M336" s="243"/>
      <c r="N336" s="243"/>
      <c r="O336" s="243"/>
      <c r="P336" s="243"/>
    </row>
    <row r="337" spans="2:16" ht="12">
      <c r="B337" s="243"/>
      <c r="C337" s="243"/>
      <c r="D337" s="243"/>
      <c r="E337" s="243"/>
      <c r="F337" s="243"/>
      <c r="G337" s="243"/>
      <c r="H337" s="243"/>
      <c r="I337" s="243"/>
      <c r="J337" s="243"/>
      <c r="K337" s="243"/>
      <c r="L337" s="243"/>
      <c r="M337" s="243"/>
      <c r="N337" s="243"/>
      <c r="O337" s="243"/>
      <c r="P337" s="243"/>
    </row>
    <row r="338" spans="2:16" ht="12">
      <c r="B338" s="243"/>
      <c r="C338" s="243"/>
      <c r="D338" s="243"/>
      <c r="E338" s="243"/>
      <c r="F338" s="243"/>
      <c r="G338" s="243"/>
      <c r="H338" s="243"/>
      <c r="I338" s="243"/>
      <c r="J338" s="243"/>
      <c r="K338" s="243"/>
      <c r="L338" s="243"/>
      <c r="M338" s="243"/>
      <c r="N338" s="243"/>
      <c r="O338" s="243"/>
      <c r="P338" s="243"/>
    </row>
    <row r="339" spans="2:16" ht="12">
      <c r="B339" s="243"/>
      <c r="C339" s="243"/>
      <c r="D339" s="243"/>
      <c r="E339" s="243"/>
      <c r="F339" s="243"/>
      <c r="G339" s="243"/>
      <c r="H339" s="243"/>
      <c r="I339" s="243"/>
      <c r="J339" s="243"/>
      <c r="K339" s="243"/>
      <c r="L339" s="243"/>
      <c r="M339" s="243"/>
      <c r="N339" s="243"/>
      <c r="O339" s="243"/>
      <c r="P339" s="243"/>
    </row>
    <row r="340" spans="2:16" ht="12">
      <c r="B340" s="243"/>
      <c r="C340" s="243"/>
      <c r="D340" s="243"/>
      <c r="E340" s="243"/>
      <c r="F340" s="243"/>
      <c r="G340" s="243"/>
      <c r="H340" s="243"/>
      <c r="I340" s="243"/>
      <c r="J340" s="243"/>
      <c r="K340" s="243"/>
      <c r="L340" s="243"/>
      <c r="M340" s="243"/>
      <c r="N340" s="243"/>
      <c r="O340" s="243"/>
      <c r="P340" s="243"/>
    </row>
    <row r="341" spans="2:16" ht="12">
      <c r="B341" s="243"/>
      <c r="C341" s="243"/>
      <c r="D341" s="243"/>
      <c r="E341" s="243"/>
      <c r="F341" s="243"/>
      <c r="G341" s="243"/>
      <c r="H341" s="243"/>
      <c r="I341" s="243"/>
      <c r="J341" s="243"/>
      <c r="K341" s="243"/>
      <c r="L341" s="243"/>
      <c r="M341" s="243"/>
      <c r="N341" s="243"/>
      <c r="O341" s="243"/>
      <c r="P341" s="243"/>
    </row>
    <row r="342" spans="2:16" ht="12">
      <c r="B342" s="243"/>
      <c r="C342" s="243"/>
      <c r="D342" s="243"/>
      <c r="E342" s="243"/>
      <c r="F342" s="243"/>
      <c r="G342" s="243"/>
      <c r="H342" s="243"/>
      <c r="I342" s="243"/>
      <c r="J342" s="243"/>
      <c r="K342" s="243"/>
      <c r="L342" s="243"/>
      <c r="M342" s="243"/>
      <c r="N342" s="243"/>
      <c r="O342" s="243"/>
      <c r="P342" s="243"/>
    </row>
    <row r="343" spans="2:16" ht="12">
      <c r="B343" s="243"/>
      <c r="C343" s="243"/>
      <c r="D343" s="243"/>
      <c r="E343" s="243"/>
      <c r="F343" s="243"/>
      <c r="G343" s="243"/>
      <c r="H343" s="243"/>
      <c r="I343" s="243"/>
      <c r="J343" s="243"/>
      <c r="K343" s="243"/>
      <c r="L343" s="243"/>
      <c r="M343" s="243"/>
      <c r="N343" s="243"/>
      <c r="O343" s="243"/>
      <c r="P343" s="243"/>
    </row>
    <row r="344" spans="2:16" ht="12">
      <c r="B344" s="243"/>
      <c r="C344" s="243"/>
      <c r="D344" s="243"/>
      <c r="E344" s="243"/>
      <c r="F344" s="243"/>
      <c r="G344" s="243"/>
      <c r="H344" s="243"/>
      <c r="I344" s="243"/>
      <c r="J344" s="243"/>
      <c r="K344" s="243"/>
      <c r="L344" s="243"/>
      <c r="M344" s="243"/>
      <c r="N344" s="243"/>
      <c r="O344" s="243"/>
      <c r="P344" s="243"/>
    </row>
    <row r="345" spans="2:16" ht="12">
      <c r="B345" s="243"/>
      <c r="C345" s="243"/>
      <c r="D345" s="243"/>
      <c r="E345" s="243"/>
      <c r="F345" s="243"/>
      <c r="G345" s="243"/>
      <c r="H345" s="243"/>
      <c r="I345" s="243"/>
      <c r="J345" s="243"/>
      <c r="K345" s="243"/>
      <c r="L345" s="243"/>
      <c r="M345" s="243"/>
      <c r="N345" s="243"/>
      <c r="O345" s="243"/>
      <c r="P345" s="243"/>
    </row>
    <row r="346" spans="2:16" ht="12">
      <c r="B346" s="243"/>
      <c r="C346" s="243"/>
      <c r="D346" s="243"/>
      <c r="E346" s="243"/>
      <c r="F346" s="243"/>
      <c r="G346" s="243"/>
      <c r="H346" s="243"/>
      <c r="I346" s="243"/>
      <c r="J346" s="243"/>
      <c r="K346" s="243"/>
      <c r="L346" s="243"/>
      <c r="M346" s="243"/>
      <c r="N346" s="243"/>
      <c r="O346" s="243"/>
      <c r="P346" s="243"/>
    </row>
    <row r="347" spans="2:16" ht="12">
      <c r="B347" s="243"/>
      <c r="C347" s="243"/>
      <c r="D347" s="243"/>
      <c r="E347" s="243"/>
      <c r="F347" s="243"/>
      <c r="G347" s="243"/>
      <c r="H347" s="243"/>
      <c r="I347" s="243"/>
      <c r="J347" s="243"/>
      <c r="K347" s="243"/>
      <c r="L347" s="243"/>
      <c r="M347" s="243"/>
      <c r="N347" s="243"/>
      <c r="O347" s="243"/>
      <c r="P347" s="243"/>
    </row>
    <row r="348" spans="2:16" ht="12">
      <c r="B348" s="243"/>
      <c r="C348" s="243"/>
      <c r="D348" s="243"/>
      <c r="E348" s="243"/>
      <c r="F348" s="243"/>
      <c r="G348" s="243"/>
      <c r="H348" s="243"/>
      <c r="I348" s="243"/>
      <c r="J348" s="243"/>
      <c r="K348" s="243"/>
      <c r="L348" s="243"/>
      <c r="M348" s="243"/>
      <c r="N348" s="243"/>
      <c r="O348" s="243"/>
      <c r="P348" s="243"/>
    </row>
    <row r="349" spans="2:16" ht="12">
      <c r="B349" s="243"/>
      <c r="C349" s="243"/>
      <c r="D349" s="243"/>
      <c r="E349" s="243"/>
      <c r="F349" s="243"/>
      <c r="G349" s="243"/>
      <c r="H349" s="243"/>
      <c r="I349" s="243"/>
      <c r="J349" s="243"/>
      <c r="K349" s="243"/>
      <c r="L349" s="243"/>
      <c r="M349" s="243"/>
      <c r="N349" s="243"/>
      <c r="O349" s="243"/>
      <c r="P349" s="243"/>
    </row>
    <row r="350" spans="2:16" ht="12">
      <c r="B350" s="243"/>
      <c r="C350" s="243"/>
      <c r="D350" s="243"/>
      <c r="E350" s="243"/>
      <c r="F350" s="243"/>
      <c r="G350" s="243"/>
      <c r="H350" s="243"/>
      <c r="I350" s="243"/>
      <c r="J350" s="243"/>
      <c r="K350" s="243"/>
      <c r="L350" s="243"/>
      <c r="M350" s="243"/>
      <c r="N350" s="243"/>
      <c r="O350" s="243"/>
      <c r="P350" s="243"/>
    </row>
    <row r="351" spans="2:16" ht="12">
      <c r="B351" s="243"/>
      <c r="C351" s="243"/>
      <c r="D351" s="243"/>
      <c r="E351" s="243"/>
      <c r="F351" s="243"/>
      <c r="G351" s="243"/>
      <c r="H351" s="243"/>
      <c r="I351" s="243"/>
      <c r="J351" s="243"/>
      <c r="K351" s="243"/>
      <c r="L351" s="243"/>
      <c r="M351" s="243"/>
      <c r="N351" s="243"/>
      <c r="O351" s="243"/>
      <c r="P351" s="243"/>
    </row>
    <row r="352" spans="2:16" ht="12">
      <c r="B352" s="243"/>
      <c r="C352" s="243"/>
      <c r="D352" s="243"/>
      <c r="E352" s="243"/>
      <c r="F352" s="243"/>
      <c r="G352" s="243"/>
      <c r="H352" s="243"/>
      <c r="I352" s="243"/>
      <c r="J352" s="243"/>
      <c r="K352" s="243"/>
      <c r="L352" s="243"/>
      <c r="M352" s="243"/>
      <c r="N352" s="243"/>
      <c r="O352" s="243"/>
      <c r="P352" s="243"/>
    </row>
    <row r="353" spans="2:16" ht="12">
      <c r="B353" s="243"/>
      <c r="C353" s="243"/>
      <c r="D353" s="243"/>
      <c r="E353" s="243"/>
      <c r="F353" s="243"/>
      <c r="G353" s="243"/>
      <c r="H353" s="243"/>
      <c r="I353" s="243"/>
      <c r="J353" s="243"/>
      <c r="K353" s="243"/>
      <c r="L353" s="243"/>
      <c r="M353" s="243"/>
      <c r="N353" s="243"/>
      <c r="O353" s="243"/>
      <c r="P353" s="243"/>
    </row>
    <row r="354" spans="2:16" ht="12">
      <c r="B354" s="243"/>
      <c r="C354" s="243"/>
      <c r="D354" s="243"/>
      <c r="E354" s="243"/>
      <c r="F354" s="243"/>
      <c r="G354" s="243"/>
      <c r="H354" s="243"/>
      <c r="I354" s="243"/>
      <c r="J354" s="243"/>
      <c r="K354" s="243"/>
      <c r="L354" s="243"/>
      <c r="M354" s="243"/>
      <c r="N354" s="243"/>
      <c r="O354" s="243"/>
      <c r="P354" s="243"/>
    </row>
    <row r="355" spans="2:16" ht="12">
      <c r="B355" s="243"/>
      <c r="C355" s="243"/>
      <c r="D355" s="243"/>
      <c r="E355" s="243"/>
      <c r="F355" s="243"/>
      <c r="G355" s="243"/>
      <c r="H355" s="243"/>
      <c r="I355" s="243"/>
      <c r="J355" s="243"/>
      <c r="K355" s="243"/>
      <c r="L355" s="243"/>
      <c r="M355" s="243"/>
      <c r="N355" s="243"/>
      <c r="O355" s="243"/>
      <c r="P355" s="243"/>
    </row>
    <row r="356" spans="2:16" ht="12">
      <c r="B356" s="243"/>
      <c r="C356" s="243"/>
      <c r="D356" s="243"/>
      <c r="E356" s="243"/>
      <c r="F356" s="243"/>
      <c r="G356" s="243"/>
      <c r="H356" s="243"/>
      <c r="I356" s="243"/>
      <c r="J356" s="243"/>
      <c r="K356" s="243"/>
      <c r="L356" s="243"/>
      <c r="M356" s="243"/>
      <c r="N356" s="243"/>
      <c r="O356" s="243"/>
      <c r="P356" s="243"/>
    </row>
    <row r="357" spans="2:16" ht="12">
      <c r="B357" s="243"/>
      <c r="C357" s="243"/>
      <c r="D357" s="243"/>
      <c r="E357" s="243"/>
      <c r="F357" s="243"/>
      <c r="G357" s="243"/>
      <c r="H357" s="243"/>
      <c r="I357" s="243"/>
      <c r="J357" s="243"/>
      <c r="K357" s="243"/>
      <c r="L357" s="243"/>
      <c r="M357" s="243"/>
      <c r="N357" s="243"/>
      <c r="O357" s="243"/>
      <c r="P357" s="243"/>
    </row>
    <row r="358" spans="2:16" ht="12">
      <c r="B358" s="243"/>
      <c r="C358" s="243"/>
      <c r="D358" s="243"/>
      <c r="E358" s="243"/>
      <c r="F358" s="243"/>
      <c r="G358" s="243"/>
      <c r="H358" s="243"/>
      <c r="I358" s="243"/>
      <c r="J358" s="243"/>
      <c r="K358" s="243"/>
      <c r="L358" s="243"/>
      <c r="M358" s="243"/>
      <c r="N358" s="243"/>
      <c r="O358" s="243"/>
      <c r="P358" s="243"/>
    </row>
  </sheetData>
  <sheetProtection/>
  <conditionalFormatting sqref="B45:P62">
    <cfRule type="cellIs" priority="1" dxfId="1" operator="notEqual" stopIfTrue="1">
      <formula>0</formula>
    </cfRule>
  </conditionalFormatting>
  <hyperlinks>
    <hyperlink ref="A35" location="Contents!A1"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90" r:id="rId1"/>
  <ignoredErrors>
    <ignoredError sqref="A15" numberStoredAsText="1"/>
  </ignoredErrors>
</worksheet>
</file>

<file path=xl/worksheets/sheet6.xml><?xml version="1.0" encoding="utf-8"?>
<worksheet xmlns="http://schemas.openxmlformats.org/spreadsheetml/2006/main" xmlns:r="http://schemas.openxmlformats.org/officeDocument/2006/relationships">
  <sheetPr codeName="Sheet4">
    <pageSetUpPr fitToPage="1"/>
  </sheetPr>
  <dimension ref="A1:R113"/>
  <sheetViews>
    <sheetView zoomScalePageLayoutView="0" workbookViewId="0" topLeftCell="A1">
      <pane xSplit="2" ySplit="7" topLeftCell="C100" activePane="bottomRight" state="frozen"/>
      <selection pane="topLeft" activeCell="F230" sqref="F230"/>
      <selection pane="topRight" activeCell="F230" sqref="F230"/>
      <selection pane="bottomLeft" activeCell="F230" sqref="F230"/>
      <selection pane="bottomRight" activeCell="A2" sqref="A2"/>
    </sheetView>
  </sheetViews>
  <sheetFormatPr defaultColWidth="8.7109375" defaultRowHeight="12.75"/>
  <cols>
    <col min="1" max="1" width="11.00390625" style="236" customWidth="1"/>
    <col min="2" max="2" width="12.28125" style="131" bestFit="1" customWidth="1"/>
    <col min="3" max="3" width="12.00390625" style="131" bestFit="1" customWidth="1"/>
    <col min="4" max="5" width="8.7109375" style="131" customWidth="1"/>
    <col min="6" max="7" width="10.7109375" style="131" customWidth="1"/>
    <col min="8" max="10" width="8.7109375" style="131" customWidth="1"/>
    <col min="11" max="11" width="11.00390625" style="131" customWidth="1"/>
    <col min="12" max="15" width="8.7109375" style="131" customWidth="1"/>
    <col min="16" max="16" width="10.28125" style="131" bestFit="1" customWidth="1"/>
    <col min="17" max="16384" width="8.7109375" style="131" customWidth="1"/>
  </cols>
  <sheetData>
    <row r="1" ht="34.5" hidden="1">
      <c r="A1" s="235" t="s">
        <v>92</v>
      </c>
    </row>
    <row r="2" spans="1:18" ht="15">
      <c r="A2" s="320" t="s">
        <v>91</v>
      </c>
      <c r="B2" s="248"/>
      <c r="C2" s="248"/>
      <c r="D2" s="248"/>
      <c r="E2" s="248"/>
      <c r="F2" s="248"/>
      <c r="G2" s="248"/>
      <c r="H2" s="248"/>
      <c r="I2" s="248"/>
      <c r="J2" s="248"/>
      <c r="K2" s="248"/>
      <c r="L2" s="248"/>
      <c r="M2" s="248"/>
      <c r="N2" s="248"/>
      <c r="O2" s="248"/>
      <c r="P2" s="248"/>
      <c r="Q2" s="249" t="s">
        <v>67</v>
      </c>
      <c r="R2" s="319"/>
    </row>
    <row r="3" spans="1:17" ht="12">
      <c r="A3" s="244"/>
      <c r="B3" s="245"/>
      <c r="C3" s="245"/>
      <c r="D3" s="245"/>
      <c r="E3" s="245"/>
      <c r="F3" s="245"/>
      <c r="G3" s="245"/>
      <c r="H3" s="245"/>
      <c r="I3" s="245"/>
      <c r="J3" s="245"/>
      <c r="K3" s="245"/>
      <c r="L3" s="245"/>
      <c r="M3" s="245"/>
      <c r="N3" s="245"/>
      <c r="O3" s="245"/>
      <c r="P3" s="245"/>
      <c r="Q3" s="245"/>
    </row>
    <row r="4" spans="1:17" ht="12" hidden="1">
      <c r="A4" s="244"/>
      <c r="B4" s="245"/>
      <c r="C4" s="251"/>
      <c r="D4" s="252"/>
      <c r="E4" s="252"/>
      <c r="F4" s="253"/>
      <c r="G4" s="252"/>
      <c r="H4" s="252"/>
      <c r="I4" s="253"/>
      <c r="J4" s="253"/>
      <c r="K4" s="252"/>
      <c r="L4" s="252"/>
      <c r="M4" s="253"/>
      <c r="N4" s="253"/>
      <c r="O4" s="253"/>
      <c r="P4" s="251"/>
      <c r="Q4" s="251"/>
    </row>
    <row r="5" spans="1:17" ht="12" hidden="1">
      <c r="A5" s="261"/>
      <c r="B5" s="245"/>
      <c r="C5" s="253"/>
      <c r="D5" s="253"/>
      <c r="E5" s="253"/>
      <c r="F5" s="253"/>
      <c r="G5" s="253"/>
      <c r="H5" s="253"/>
      <c r="I5" s="253"/>
      <c r="J5" s="253"/>
      <c r="K5" s="253"/>
      <c r="L5" s="253"/>
      <c r="M5" s="253"/>
      <c r="N5" s="253"/>
      <c r="O5" s="253"/>
      <c r="P5" s="251"/>
      <c r="Q5" s="251"/>
    </row>
    <row r="6" spans="1:17" ht="21" customHeight="1">
      <c r="A6" s="280"/>
      <c r="B6" s="281"/>
      <c r="C6" s="323" t="s">
        <v>205</v>
      </c>
      <c r="D6" s="307"/>
      <c r="E6" s="324"/>
      <c r="F6" s="349" t="s">
        <v>207</v>
      </c>
      <c r="G6" s="350" t="s">
        <v>2</v>
      </c>
      <c r="H6" s="324"/>
      <c r="I6" s="172"/>
      <c r="J6" s="172"/>
      <c r="K6" s="350" t="s">
        <v>3</v>
      </c>
      <c r="L6" s="324"/>
      <c r="M6" s="172"/>
      <c r="N6" s="172"/>
      <c r="O6" s="172"/>
      <c r="P6" s="172"/>
      <c r="Q6" s="173"/>
    </row>
    <row r="7" spans="1:17" ht="31.5" customHeight="1">
      <c r="A7" s="315"/>
      <c r="B7" s="315"/>
      <c r="C7" s="175" t="s">
        <v>204</v>
      </c>
      <c r="D7" s="177" t="s">
        <v>12</v>
      </c>
      <c r="E7" s="176" t="s">
        <v>193</v>
      </c>
      <c r="F7" s="328" t="s">
        <v>70</v>
      </c>
      <c r="G7" s="175" t="s">
        <v>194</v>
      </c>
      <c r="H7" s="178" t="s">
        <v>203</v>
      </c>
      <c r="I7" s="177" t="s">
        <v>206</v>
      </c>
      <c r="J7" s="177" t="s">
        <v>195</v>
      </c>
      <c r="K7" s="175" t="s">
        <v>196</v>
      </c>
      <c r="L7" s="176" t="s">
        <v>197</v>
      </c>
      <c r="M7" s="177" t="s">
        <v>198</v>
      </c>
      <c r="N7" s="177" t="s">
        <v>199</v>
      </c>
      <c r="O7" s="177" t="s">
        <v>200</v>
      </c>
      <c r="P7" s="177" t="s">
        <v>201</v>
      </c>
      <c r="Q7" s="176" t="s">
        <v>23</v>
      </c>
    </row>
    <row r="8" spans="1:17" ht="18" customHeight="1">
      <c r="A8" s="262">
        <v>1995</v>
      </c>
      <c r="B8" s="263" t="s">
        <v>71</v>
      </c>
      <c r="C8" s="341">
        <f>SUM(Month!C8:C10)</f>
        <v>22172</v>
      </c>
      <c r="D8" s="291">
        <f>SUM(Month!D8:D10)</f>
        <v>1602</v>
      </c>
      <c r="E8" s="286">
        <f>SUM(Month!E8:E10)</f>
        <v>37</v>
      </c>
      <c r="F8" s="325">
        <f>SUM(Month!F8:F10)</f>
        <v>20532</v>
      </c>
      <c r="G8" s="285">
        <f>SUM(Month!G8:G10)</f>
        <v>436</v>
      </c>
      <c r="H8" s="286">
        <f>SUM(Month!H8:H10)</f>
        <v>36</v>
      </c>
      <c r="I8" s="287">
        <f>SUM(Month!I8:I10)</f>
        <v>749</v>
      </c>
      <c r="J8" s="287">
        <f>SUM(Month!J8:J10)</f>
        <v>6373</v>
      </c>
      <c r="K8" s="285">
        <f>SUM(Month!K8:K10)</f>
        <v>1689</v>
      </c>
      <c r="L8" s="286">
        <f>SUM(Month!L8:L10)</f>
        <v>933</v>
      </c>
      <c r="M8" s="288">
        <f>SUM(Month!M8:M10)</f>
        <v>2709.98</v>
      </c>
      <c r="N8" s="288">
        <f>SUM(Month!N8:N10)</f>
        <v>3939.02</v>
      </c>
      <c r="O8" s="287">
        <f>SUM(Month!O8:O10)</f>
        <v>2445</v>
      </c>
      <c r="P8" s="287">
        <f>SUM(Month!P8:P10)</f>
        <v>331</v>
      </c>
      <c r="Q8" s="286">
        <f>SUM(Month!Q8:Q10)</f>
        <v>528</v>
      </c>
    </row>
    <row r="9" spans="1:17" ht="12">
      <c r="A9" s="262">
        <v>1995</v>
      </c>
      <c r="B9" s="263" t="s">
        <v>72</v>
      </c>
      <c r="C9" s="342">
        <f>SUM(Month!C11:C13)</f>
        <v>21684</v>
      </c>
      <c r="D9" s="255">
        <f>SUM(Month!D11:D13)</f>
        <v>1523</v>
      </c>
      <c r="E9" s="256">
        <f>SUM(Month!E11:E13)</f>
        <v>-6</v>
      </c>
      <c r="F9" s="326">
        <f>SUM(Month!F11:F13)</f>
        <v>20169</v>
      </c>
      <c r="G9" s="257">
        <f>SUM(Month!G11:G13)</f>
        <v>485</v>
      </c>
      <c r="H9" s="256">
        <f>SUM(Month!H11:H13)</f>
        <v>33</v>
      </c>
      <c r="I9" s="246">
        <f>SUM(Month!I11:I13)</f>
        <v>675</v>
      </c>
      <c r="J9" s="246">
        <f>SUM(Month!J11:J13)</f>
        <v>6262</v>
      </c>
      <c r="K9" s="257">
        <f>SUM(Month!K11:K13)</f>
        <v>1930</v>
      </c>
      <c r="L9" s="256">
        <f>SUM(Month!L11:L13)</f>
        <v>551</v>
      </c>
      <c r="M9" s="247">
        <f>SUM(Month!M11:M13)</f>
        <v>2319.32</v>
      </c>
      <c r="N9" s="247">
        <f>SUM(Month!N11:N13)</f>
        <v>3972.6800000000003</v>
      </c>
      <c r="O9" s="246">
        <f>SUM(Month!O11:O13)</f>
        <v>2606</v>
      </c>
      <c r="P9" s="246">
        <f>SUM(Month!P11:P13)</f>
        <v>282</v>
      </c>
      <c r="Q9" s="256">
        <f>SUM(Month!Q11:Q13)</f>
        <v>653</v>
      </c>
    </row>
    <row r="10" spans="1:17" ht="12">
      <c r="A10" s="262">
        <v>1995</v>
      </c>
      <c r="B10" s="263" t="s">
        <v>73</v>
      </c>
      <c r="C10" s="342">
        <f>SUM(Month!C14:C16)</f>
        <v>23909</v>
      </c>
      <c r="D10" s="255">
        <f>SUM(Month!D14:D16)</f>
        <v>1646</v>
      </c>
      <c r="E10" s="256">
        <f>SUM(Month!E14:E16)</f>
        <v>55</v>
      </c>
      <c r="F10" s="326">
        <f>SUM(Month!F14:F16)</f>
        <v>22207</v>
      </c>
      <c r="G10" s="257">
        <f>SUM(Month!G14:G16)</f>
        <v>461</v>
      </c>
      <c r="H10" s="256">
        <f>SUM(Month!H14:H16)</f>
        <v>31</v>
      </c>
      <c r="I10" s="246">
        <f>SUM(Month!I14:I16)</f>
        <v>556</v>
      </c>
      <c r="J10" s="246">
        <f>SUM(Month!J14:J16)</f>
        <v>7219</v>
      </c>
      <c r="K10" s="257">
        <f>SUM(Month!K14:K16)</f>
        <v>2151</v>
      </c>
      <c r="L10" s="256">
        <f>SUM(Month!L14:L16)</f>
        <v>560</v>
      </c>
      <c r="M10" s="247">
        <f>SUM(Month!M14:M16)</f>
        <v>2564.4399999999996</v>
      </c>
      <c r="N10" s="247">
        <f>SUM(Month!N14:N16)</f>
        <v>4314.56</v>
      </c>
      <c r="O10" s="246">
        <f>SUM(Month!O14:O16)</f>
        <v>2922</v>
      </c>
      <c r="P10" s="246">
        <f>SUM(Month!P14:P16)</f>
        <v>323</v>
      </c>
      <c r="Q10" s="256">
        <f>SUM(Month!Q14:Q16)</f>
        <v>691</v>
      </c>
    </row>
    <row r="11" spans="1:17" ht="12">
      <c r="A11" s="264">
        <v>1995</v>
      </c>
      <c r="B11" s="265" t="s">
        <v>74</v>
      </c>
      <c r="C11" s="266">
        <f>SUM(Month!C17:C19)</f>
        <v>24977.93</v>
      </c>
      <c r="D11" s="267">
        <f>SUM(Month!D17:D19)</f>
        <v>1709.21</v>
      </c>
      <c r="E11" s="283">
        <f>SUM(Month!E17:E19)</f>
        <v>45.300000000000004</v>
      </c>
      <c r="F11" s="327">
        <f>SUM(Month!F17:F19)</f>
        <v>23223.43</v>
      </c>
      <c r="G11" s="282">
        <f>SUM(Month!G17:G19)</f>
        <v>434.41</v>
      </c>
      <c r="H11" s="283">
        <f>SUM(Month!H17:H19)</f>
        <v>33.15</v>
      </c>
      <c r="I11" s="267">
        <f>SUM(Month!I17:I19)</f>
        <v>730.53</v>
      </c>
      <c r="J11" s="267">
        <f>SUM(Month!J17:J19)</f>
        <v>7400.789999999999</v>
      </c>
      <c r="K11" s="282">
        <f>SUM(Month!K17:K19)</f>
        <v>2065.7599999999998</v>
      </c>
      <c r="L11" s="283">
        <f>SUM(Month!L17:L19)</f>
        <v>879.05</v>
      </c>
      <c r="M11" s="268">
        <f>SUM(Month!M17:M19)</f>
        <v>2913.9300000000003</v>
      </c>
      <c r="N11" s="268">
        <f>SUM(Month!N17:N19)</f>
        <v>4435.96</v>
      </c>
      <c r="O11" s="267">
        <f>SUM(Month!O17:O19)</f>
        <v>2995.32</v>
      </c>
      <c r="P11" s="267">
        <f>SUM(Month!P17:P19)</f>
        <v>323.97</v>
      </c>
      <c r="Q11" s="283">
        <f>SUM(Month!Q17:Q19)</f>
        <v>586.42</v>
      </c>
    </row>
    <row r="12" spans="1:17" ht="12">
      <c r="A12" s="262">
        <v>1996</v>
      </c>
      <c r="B12" s="263" t="s">
        <v>71</v>
      </c>
      <c r="C12" s="342">
        <f>SUM(Month!C20:C22)</f>
        <v>22788</v>
      </c>
      <c r="D12" s="255">
        <f>SUM(Month!D20:D22)</f>
        <v>1635</v>
      </c>
      <c r="E12" s="256">
        <f>SUM(Month!E20:E22)</f>
        <v>75</v>
      </c>
      <c r="F12" s="326">
        <f>SUM(Month!F20:F22)</f>
        <v>21078</v>
      </c>
      <c r="G12" s="257">
        <f>SUM(Month!G20:G22)</f>
        <v>406</v>
      </c>
      <c r="H12" s="256">
        <f>SUM(Month!H20:H22)</f>
        <v>32</v>
      </c>
      <c r="I12" s="246">
        <f>SUM(Month!I20:I22)</f>
        <v>691</v>
      </c>
      <c r="J12" s="246">
        <f>SUM(Month!J20:J22)</f>
        <v>6477</v>
      </c>
      <c r="K12" s="257">
        <f>SUM(Month!K20:K22)</f>
        <v>1824</v>
      </c>
      <c r="L12" s="256">
        <f>SUM(Month!L20:L22)</f>
        <v>1087</v>
      </c>
      <c r="M12" s="247">
        <f>SUM(Month!M20:M22)</f>
        <v>2722.68</v>
      </c>
      <c r="N12" s="247">
        <f>SUM(Month!N20:N22)</f>
        <v>3950.32</v>
      </c>
      <c r="O12" s="246">
        <f>SUM(Month!O20:O22)</f>
        <v>2724</v>
      </c>
      <c r="P12" s="246">
        <f>SUM(Month!P20:P22)</f>
        <v>295</v>
      </c>
      <c r="Q12" s="256">
        <f>SUM(Month!Q20:Q22)</f>
        <v>455</v>
      </c>
    </row>
    <row r="13" spans="1:17" ht="12">
      <c r="A13" s="262">
        <v>1996</v>
      </c>
      <c r="B13" s="263" t="s">
        <v>72</v>
      </c>
      <c r="C13" s="342">
        <f>SUM(Month!C23:C25)</f>
        <v>24178</v>
      </c>
      <c r="D13" s="255">
        <f>SUM(Month!D23:D25)</f>
        <v>1620</v>
      </c>
      <c r="E13" s="256">
        <f>SUM(Month!E23:E25)</f>
        <v>52</v>
      </c>
      <c r="F13" s="326">
        <f>SUM(Month!F23:F25)</f>
        <v>22506</v>
      </c>
      <c r="G13" s="257">
        <f>SUM(Month!G23:G25)</f>
        <v>513</v>
      </c>
      <c r="H13" s="256">
        <f>SUM(Month!H23:H25)</f>
        <v>33</v>
      </c>
      <c r="I13" s="246">
        <f>SUM(Month!I23:I25)</f>
        <v>726</v>
      </c>
      <c r="J13" s="246">
        <f>SUM(Month!J23:J25)</f>
        <v>6884</v>
      </c>
      <c r="K13" s="257">
        <f>SUM(Month!K23:K25)</f>
        <v>2194</v>
      </c>
      <c r="L13" s="256">
        <f>SUM(Month!L23:L25)</f>
        <v>799</v>
      </c>
      <c r="M13" s="247">
        <f>SUM(Month!M23:M25)</f>
        <v>2628.52</v>
      </c>
      <c r="N13" s="247">
        <f>SUM(Month!N23:N25)</f>
        <v>4493.48</v>
      </c>
      <c r="O13" s="246">
        <f>SUM(Month!O23:O25)</f>
        <v>3023</v>
      </c>
      <c r="P13" s="246">
        <f>SUM(Month!P23:P25)</f>
        <v>284</v>
      </c>
      <c r="Q13" s="256">
        <f>SUM(Month!Q23:Q25)</f>
        <v>560</v>
      </c>
    </row>
    <row r="14" spans="1:17" ht="12">
      <c r="A14" s="262">
        <v>1996</v>
      </c>
      <c r="B14" s="263" t="s">
        <v>73</v>
      </c>
      <c r="C14" s="342">
        <f>SUM(Month!C26:C28)</f>
        <v>24772</v>
      </c>
      <c r="D14" s="255">
        <f>SUM(Month!D26:D28)</f>
        <v>1645</v>
      </c>
      <c r="E14" s="256">
        <f>SUM(Month!E26:E28)</f>
        <v>62</v>
      </c>
      <c r="F14" s="326">
        <f>SUM(Month!F26:F28)</f>
        <v>23065</v>
      </c>
      <c r="G14" s="257">
        <f>SUM(Month!G26:G28)</f>
        <v>473</v>
      </c>
      <c r="H14" s="256">
        <f>SUM(Month!H26:H28)</f>
        <v>40</v>
      </c>
      <c r="I14" s="246">
        <f>SUM(Month!I26:I28)</f>
        <v>675</v>
      </c>
      <c r="J14" s="246">
        <f>SUM(Month!J26:J28)</f>
        <v>7353</v>
      </c>
      <c r="K14" s="257">
        <f>SUM(Month!K26:K28)</f>
        <v>2323</v>
      </c>
      <c r="L14" s="256">
        <f>SUM(Month!L26:L28)</f>
        <v>657</v>
      </c>
      <c r="M14" s="247">
        <f>SUM(Month!M26:M28)</f>
        <v>2748.57</v>
      </c>
      <c r="N14" s="247">
        <f>SUM(Month!N26:N28)</f>
        <v>4629.43</v>
      </c>
      <c r="O14" s="246">
        <f>SUM(Month!O26:O28)</f>
        <v>2903</v>
      </c>
      <c r="P14" s="246">
        <f>SUM(Month!P26:P28)</f>
        <v>242</v>
      </c>
      <c r="Q14" s="256">
        <f>SUM(Month!Q26:Q28)</f>
        <v>633</v>
      </c>
    </row>
    <row r="15" spans="1:17" ht="12">
      <c r="A15" s="264">
        <v>1996</v>
      </c>
      <c r="B15" s="265" t="s">
        <v>74</v>
      </c>
      <c r="C15" s="266">
        <f>SUM(Month!C29:C31)</f>
        <v>24923</v>
      </c>
      <c r="D15" s="267">
        <f>SUM(Month!D29:D31)</f>
        <v>1723</v>
      </c>
      <c r="E15" s="283">
        <f>SUM(Month!E29:E31)</f>
        <v>-37</v>
      </c>
      <c r="F15" s="327">
        <f>SUM(Month!F29:F31)</f>
        <v>23236</v>
      </c>
      <c r="G15" s="282">
        <f>SUM(Month!G29:G31)</f>
        <v>436</v>
      </c>
      <c r="H15" s="283">
        <f>SUM(Month!H29:H31)</f>
        <v>39</v>
      </c>
      <c r="I15" s="267">
        <f>SUM(Month!I29:I31)</f>
        <v>733</v>
      </c>
      <c r="J15" s="267">
        <f>SUM(Month!J29:J31)</f>
        <v>7334</v>
      </c>
      <c r="K15" s="282">
        <f>SUM(Month!K29:K31)</f>
        <v>1964</v>
      </c>
      <c r="L15" s="283">
        <f>SUM(Month!L29:L31)</f>
        <v>967</v>
      </c>
      <c r="M15" s="268">
        <f>SUM(Month!M29:M31)</f>
        <v>3062.68</v>
      </c>
      <c r="N15" s="268">
        <f>SUM(Month!N29:N31)</f>
        <v>4665.32</v>
      </c>
      <c r="O15" s="267">
        <f>SUM(Month!O29:O31)</f>
        <v>2828</v>
      </c>
      <c r="P15" s="267">
        <f>SUM(Month!P29:P31)</f>
        <v>290</v>
      </c>
      <c r="Q15" s="283">
        <f>SUM(Month!Q29:Q31)</f>
        <v>540</v>
      </c>
    </row>
    <row r="16" spans="1:17" ht="12">
      <c r="A16" s="262">
        <v>1997</v>
      </c>
      <c r="B16" s="263" t="s">
        <v>71</v>
      </c>
      <c r="C16" s="342">
        <f>SUM(Month!C32:C34)</f>
        <v>23352.010000000002</v>
      </c>
      <c r="D16" s="255">
        <f>SUM(Month!D32:D34)</f>
        <v>1650.52</v>
      </c>
      <c r="E16" s="256">
        <f>SUM(Month!E32:E34)</f>
        <v>-34.31999999999999</v>
      </c>
      <c r="F16" s="326">
        <f>SUM(Month!F32:F34)</f>
        <v>21735.9</v>
      </c>
      <c r="G16" s="257">
        <f>SUM(Month!G32:G34)</f>
        <v>484.22</v>
      </c>
      <c r="H16" s="256">
        <f>SUM(Month!H32:H34)</f>
        <v>34.17</v>
      </c>
      <c r="I16" s="246">
        <f>SUM(Month!I32:I34)</f>
        <v>732.8699999999999</v>
      </c>
      <c r="J16" s="246">
        <f>SUM(Month!J32:J34)</f>
        <v>6754.39</v>
      </c>
      <c r="K16" s="257">
        <f>SUM(Month!K32:K34)</f>
        <v>2038.8600000000001</v>
      </c>
      <c r="L16" s="256">
        <f>SUM(Month!L32:L34)</f>
        <v>986.48</v>
      </c>
      <c r="M16" s="247">
        <f>SUM(Month!M32:M34)</f>
        <v>2806.36</v>
      </c>
      <c r="N16" s="247">
        <f>SUM(Month!N32:N34)</f>
        <v>4073.87</v>
      </c>
      <c r="O16" s="246">
        <f>SUM(Month!O32:O34)</f>
        <v>2712.8199999999997</v>
      </c>
      <c r="P16" s="246">
        <f>SUM(Month!P32:P34)</f>
        <v>274.21</v>
      </c>
      <c r="Q16" s="256">
        <f>SUM(Month!Q32:Q34)</f>
        <v>446.52</v>
      </c>
    </row>
    <row r="17" spans="1:17" ht="12">
      <c r="A17" s="262">
        <v>1997</v>
      </c>
      <c r="B17" s="263" t="s">
        <v>72</v>
      </c>
      <c r="C17" s="342">
        <f>SUM(Month!C35:C37)</f>
        <v>23667</v>
      </c>
      <c r="D17" s="255">
        <f>SUM(Month!D35:D37)</f>
        <v>1545.22</v>
      </c>
      <c r="E17" s="256">
        <f>SUM(Month!E35:E37)</f>
        <v>82.94999999999999</v>
      </c>
      <c r="F17" s="326">
        <f>SUM(Month!F35:F37)</f>
        <v>22038.260000000002</v>
      </c>
      <c r="G17" s="257">
        <f>SUM(Month!G35:G37)</f>
        <v>483.56</v>
      </c>
      <c r="H17" s="256">
        <f>SUM(Month!H35:H37)</f>
        <v>26.39</v>
      </c>
      <c r="I17" s="246">
        <f>SUM(Month!I35:I37)</f>
        <v>752.11</v>
      </c>
      <c r="J17" s="246">
        <f>SUM(Month!J35:J37)</f>
        <v>6801.63</v>
      </c>
      <c r="K17" s="257">
        <f>SUM(Month!K35:K37)</f>
        <v>2081.88</v>
      </c>
      <c r="L17" s="256">
        <f>SUM(Month!L35:L37)</f>
        <v>672.88</v>
      </c>
      <c r="M17" s="247">
        <f>SUM(Month!M35:M37)</f>
        <v>2615.56</v>
      </c>
      <c r="N17" s="247">
        <f>SUM(Month!N35:N37)</f>
        <v>4463.13</v>
      </c>
      <c r="O17" s="246">
        <f>SUM(Month!O35:O37)</f>
        <v>2912.28</v>
      </c>
      <c r="P17" s="246">
        <f>SUM(Month!P35:P37)</f>
        <v>312.44</v>
      </c>
      <c r="Q17" s="256">
        <f>SUM(Month!Q35:Q37)</f>
        <v>635.78</v>
      </c>
    </row>
    <row r="18" spans="1:17" ht="12">
      <c r="A18" s="262">
        <v>1997</v>
      </c>
      <c r="B18" s="263" t="s">
        <v>73</v>
      </c>
      <c r="C18" s="342">
        <f>SUM(Month!C38:C40)</f>
        <v>25407</v>
      </c>
      <c r="D18" s="255">
        <f>SUM(Month!D38:D40)</f>
        <v>1661.7600000000002</v>
      </c>
      <c r="E18" s="256">
        <f>SUM(Month!E38:E40)</f>
        <v>16.05</v>
      </c>
      <c r="F18" s="326">
        <f>SUM(Month!F38:F40)</f>
        <v>23729.51</v>
      </c>
      <c r="G18" s="257">
        <f>SUM(Month!G38:G40)</f>
        <v>502.48</v>
      </c>
      <c r="H18" s="256">
        <f>SUM(Month!H38:H40)</f>
        <v>31.47</v>
      </c>
      <c r="I18" s="246">
        <f>SUM(Month!I38:I40)</f>
        <v>696.97</v>
      </c>
      <c r="J18" s="246">
        <f>SUM(Month!J38:J40)</f>
        <v>7247.92</v>
      </c>
      <c r="K18" s="257">
        <f>SUM(Month!K38:K40)</f>
        <v>2267.33</v>
      </c>
      <c r="L18" s="256">
        <f>SUM(Month!L38:L40)</f>
        <v>735.47</v>
      </c>
      <c r="M18" s="247">
        <f>SUM(Month!M38:M40)</f>
        <v>2847.96</v>
      </c>
      <c r="N18" s="247">
        <f>SUM(Month!N38:N40)</f>
        <v>4801.29</v>
      </c>
      <c r="O18" s="246">
        <f>SUM(Month!O38:O40)</f>
        <v>3212.37</v>
      </c>
      <c r="P18" s="246">
        <f>SUM(Month!P38:P40)</f>
        <v>337.7</v>
      </c>
      <c r="Q18" s="256">
        <f>SUM(Month!Q38:Q40)</f>
        <v>652.97</v>
      </c>
    </row>
    <row r="19" spans="1:17" ht="12">
      <c r="A19" s="264">
        <v>1997</v>
      </c>
      <c r="B19" s="265" t="s">
        <v>74</v>
      </c>
      <c r="C19" s="266">
        <f>SUM(Month!C41:C43)</f>
        <v>24598</v>
      </c>
      <c r="D19" s="267">
        <f>SUM(Month!D41:D43)</f>
        <v>1714.0200000000002</v>
      </c>
      <c r="E19" s="283">
        <f>SUM(Month!E41:E43)</f>
        <v>21.83</v>
      </c>
      <c r="F19" s="327">
        <f>SUM(Month!F41:F43)</f>
        <v>22862</v>
      </c>
      <c r="G19" s="282">
        <f>SUM(Month!G41:G43)</f>
        <v>479.83000000000004</v>
      </c>
      <c r="H19" s="283">
        <f>SUM(Month!H41:H43)</f>
        <v>46.49</v>
      </c>
      <c r="I19" s="267">
        <f>SUM(Month!I41:I43)</f>
        <v>671.8199999999999</v>
      </c>
      <c r="J19" s="267">
        <f>SUM(Month!J41:J43)</f>
        <v>7456.3</v>
      </c>
      <c r="K19" s="282">
        <f>SUM(Month!K41:K43)</f>
        <v>1954.2600000000002</v>
      </c>
      <c r="L19" s="283">
        <f>SUM(Month!L41:L43)</f>
        <v>941.0999999999999</v>
      </c>
      <c r="M19" s="268">
        <f>SUM(Month!M41:M43)</f>
        <v>2842.57</v>
      </c>
      <c r="N19" s="268">
        <f>SUM(Month!N41:N43)</f>
        <v>4326.87</v>
      </c>
      <c r="O19" s="267">
        <f>SUM(Month!O41:O43)</f>
        <v>2909.52</v>
      </c>
      <c r="P19" s="267">
        <f>SUM(Month!P41:P43)</f>
        <v>307.11</v>
      </c>
      <c r="Q19" s="283">
        <f>SUM(Month!Q41:Q43)</f>
        <v>523.1800000000001</v>
      </c>
    </row>
    <row r="20" spans="1:17" ht="12">
      <c r="A20" s="262">
        <v>1998</v>
      </c>
      <c r="B20" s="263" t="s">
        <v>71</v>
      </c>
      <c r="C20" s="342">
        <f>SUM(Month!C44:C46)</f>
        <v>22559.14</v>
      </c>
      <c r="D20" s="255">
        <f>SUM(Month!D44:D46)</f>
        <v>1499.92</v>
      </c>
      <c r="E20" s="256">
        <f>SUM(Month!E44:E46)</f>
        <v>256.38</v>
      </c>
      <c r="F20" s="326">
        <f>SUM(Month!F44:F46)</f>
        <v>20802.829999999998</v>
      </c>
      <c r="G20" s="257">
        <f>SUM(Month!G44:G46)</f>
        <v>445.43</v>
      </c>
      <c r="H20" s="256">
        <f>SUM(Month!H44:H46)</f>
        <v>61.67</v>
      </c>
      <c r="I20" s="246">
        <f>SUM(Month!I44:I46)</f>
        <v>589.12</v>
      </c>
      <c r="J20" s="246">
        <f>SUM(Month!J44:J46)</f>
        <v>6664.5599999999995</v>
      </c>
      <c r="K20" s="257">
        <f>SUM(Month!K44:K46)</f>
        <v>1693.29</v>
      </c>
      <c r="L20" s="256">
        <f>SUM(Month!L44:L46)</f>
        <v>962.5</v>
      </c>
      <c r="M20" s="247">
        <f>SUM(Month!M44:M46)</f>
        <v>2709.1800000000003</v>
      </c>
      <c r="N20" s="247">
        <f>SUM(Month!N44:N46)</f>
        <v>3928.33</v>
      </c>
      <c r="O20" s="246">
        <f>SUM(Month!O44:O46)</f>
        <v>2644.5</v>
      </c>
      <c r="P20" s="246">
        <f>SUM(Month!P44:P46)</f>
        <v>283.87</v>
      </c>
      <c r="Q20" s="256">
        <f>SUM(Month!Q44:Q46)</f>
        <v>425.91999999999996</v>
      </c>
    </row>
    <row r="21" spans="1:17" ht="12">
      <c r="A21" s="262">
        <v>1998</v>
      </c>
      <c r="B21" s="263" t="s">
        <v>72</v>
      </c>
      <c r="C21" s="342">
        <f>SUM(Month!C47:C49)</f>
        <v>24634.559999999998</v>
      </c>
      <c r="D21" s="255">
        <f>SUM(Month!D47:D49)</f>
        <v>1592.25</v>
      </c>
      <c r="E21" s="256">
        <f>SUM(Month!E47:E49)</f>
        <v>216.01999999999998</v>
      </c>
      <c r="F21" s="326">
        <f>SUM(Month!F47:F49)</f>
        <v>22826.28</v>
      </c>
      <c r="G21" s="257">
        <f>SUM(Month!G47:G49)</f>
        <v>526.57</v>
      </c>
      <c r="H21" s="256">
        <f>SUM(Month!H47:H49)</f>
        <v>92.75</v>
      </c>
      <c r="I21" s="246">
        <f>SUM(Month!I47:I49)</f>
        <v>662.53</v>
      </c>
      <c r="J21" s="246">
        <f>SUM(Month!J47:J49)</f>
        <v>6994.01</v>
      </c>
      <c r="K21" s="257">
        <f>SUM(Month!K47:K49)</f>
        <v>2210.18</v>
      </c>
      <c r="L21" s="256">
        <f>SUM(Month!L47:L49)</f>
        <v>799.94</v>
      </c>
      <c r="M21" s="247">
        <f>SUM(Month!M47:M49)</f>
        <v>2704.73</v>
      </c>
      <c r="N21" s="247">
        <f>SUM(Month!N47:N49)</f>
        <v>4625.6</v>
      </c>
      <c r="O21" s="246">
        <f>SUM(Month!O47:O49)</f>
        <v>2906.83</v>
      </c>
      <c r="P21" s="246">
        <f>SUM(Month!P47:P49)</f>
        <v>295.14000000000004</v>
      </c>
      <c r="Q21" s="256">
        <f>SUM(Month!Q47:Q49)</f>
        <v>628.14</v>
      </c>
    </row>
    <row r="22" spans="1:17" ht="12">
      <c r="A22" s="262">
        <v>1998</v>
      </c>
      <c r="B22" s="263" t="s">
        <v>73</v>
      </c>
      <c r="C22" s="342">
        <f>SUM(Month!C50:C52)</f>
        <v>22769.03</v>
      </c>
      <c r="D22" s="255">
        <f>SUM(Month!D50:D52)</f>
        <v>1541.81</v>
      </c>
      <c r="E22" s="256">
        <f>SUM(Month!E50:E52)</f>
        <v>194.88</v>
      </c>
      <c r="F22" s="326">
        <f>SUM(Month!F50:F52)</f>
        <v>21032.34</v>
      </c>
      <c r="G22" s="257">
        <f>SUM(Month!G50:G52)</f>
        <v>487.23</v>
      </c>
      <c r="H22" s="256">
        <f>SUM(Month!H50:H52)</f>
        <v>128.57</v>
      </c>
      <c r="I22" s="246">
        <f>SUM(Month!I50:I52)</f>
        <v>446.61</v>
      </c>
      <c r="J22" s="246">
        <f>SUM(Month!J50:J52)</f>
        <v>6672.01</v>
      </c>
      <c r="K22" s="257">
        <f>SUM(Month!K50:K52)</f>
        <v>2121.71</v>
      </c>
      <c r="L22" s="256">
        <f>SUM(Month!L50:L52)</f>
        <v>594.26</v>
      </c>
      <c r="M22" s="247">
        <f>SUM(Month!M50:M52)</f>
        <v>2465.59</v>
      </c>
      <c r="N22" s="247">
        <f>SUM(Month!N50:N52)</f>
        <v>4160.72</v>
      </c>
      <c r="O22" s="246">
        <f>SUM(Month!O50:O52)</f>
        <v>2674.64</v>
      </c>
      <c r="P22" s="246">
        <f>SUM(Month!P50:P52)</f>
        <v>283.09000000000003</v>
      </c>
      <c r="Q22" s="256">
        <f>SUM(Month!Q50:Q52)</f>
        <v>641.14</v>
      </c>
    </row>
    <row r="23" spans="1:17" ht="12">
      <c r="A23" s="264">
        <v>1998</v>
      </c>
      <c r="B23" s="265" t="s">
        <v>74</v>
      </c>
      <c r="C23" s="266">
        <f>SUM(Month!C53:C55)</f>
        <v>23834.29</v>
      </c>
      <c r="D23" s="267">
        <f>SUM(Month!D53:D55)</f>
        <v>1543.01</v>
      </c>
      <c r="E23" s="283">
        <f>SUM(Month!E53:E55)</f>
        <v>337.74</v>
      </c>
      <c r="F23" s="327">
        <f>SUM(Month!F53:F55)</f>
        <v>21953.559999999998</v>
      </c>
      <c r="G23" s="282">
        <f>SUM(Month!G53:G55)</f>
        <v>502.77</v>
      </c>
      <c r="H23" s="283">
        <f>SUM(Month!H53:H55)</f>
        <v>111.01</v>
      </c>
      <c r="I23" s="267">
        <f>SUM(Month!I53:I55)</f>
        <v>617.75</v>
      </c>
      <c r="J23" s="267">
        <f>SUM(Month!J53:J55)</f>
        <v>6835.410000000001</v>
      </c>
      <c r="K23" s="282">
        <f>SUM(Month!K53:K55)</f>
        <v>1850.81</v>
      </c>
      <c r="L23" s="283">
        <f>SUM(Month!L53:L55)</f>
        <v>1085.31</v>
      </c>
      <c r="M23" s="268">
        <f>SUM(Month!M53:M55)</f>
        <v>2750.12</v>
      </c>
      <c r="N23" s="268">
        <f>SUM(Month!N53:N55)</f>
        <v>4187.74</v>
      </c>
      <c r="O23" s="267">
        <f>SUM(Month!O53:O55)</f>
        <v>2899.0099999999998</v>
      </c>
      <c r="P23" s="267">
        <f>SUM(Month!P53:P55)</f>
        <v>262.89</v>
      </c>
      <c r="Q23" s="283">
        <f>SUM(Month!Q53:Q55)</f>
        <v>476.78999999999996</v>
      </c>
    </row>
    <row r="24" spans="1:17" ht="12">
      <c r="A24" s="262">
        <v>1999</v>
      </c>
      <c r="B24" s="263" t="s">
        <v>71</v>
      </c>
      <c r="C24" s="342">
        <f>SUM(Month!C56:C58)</f>
        <v>22666.66</v>
      </c>
      <c r="D24" s="255">
        <f>SUM(Month!D56:D58)</f>
        <v>1424.8600000000001</v>
      </c>
      <c r="E24" s="256">
        <f>SUM(Month!E56:E58)</f>
        <v>341.04999999999995</v>
      </c>
      <c r="F24" s="326">
        <f>SUM(Month!F56:F58)</f>
        <v>20900.739999999998</v>
      </c>
      <c r="G24" s="257">
        <f>SUM(Month!G56:G58)</f>
        <v>496.91</v>
      </c>
      <c r="H24" s="256">
        <f>SUM(Month!H56:H58)</f>
        <v>98.05</v>
      </c>
      <c r="I24" s="246">
        <f>SUM(Month!I56:I58)</f>
        <v>583.52</v>
      </c>
      <c r="J24" s="246">
        <f>SUM(Month!J56:J58)</f>
        <v>6464.799999999999</v>
      </c>
      <c r="K24" s="257">
        <f>SUM(Month!K56:K58)</f>
        <v>1625.18</v>
      </c>
      <c r="L24" s="256">
        <f>SUM(Month!L56:L58)</f>
        <v>1218.29</v>
      </c>
      <c r="M24" s="247">
        <f>SUM(Month!M56:M58)</f>
        <v>2778.28</v>
      </c>
      <c r="N24" s="247">
        <f>SUM(Month!N56:N58)</f>
        <v>4033.56</v>
      </c>
      <c r="O24" s="246">
        <f>SUM(Month!O56:O58)</f>
        <v>2547.13</v>
      </c>
      <c r="P24" s="246">
        <f>SUM(Month!P56:P58)</f>
        <v>272.26</v>
      </c>
      <c r="Q24" s="256">
        <f>SUM(Month!Q56:Q58)</f>
        <v>418.79</v>
      </c>
    </row>
    <row r="25" spans="1:17" ht="12">
      <c r="A25" s="262">
        <v>1999</v>
      </c>
      <c r="B25" s="263" t="s">
        <v>72</v>
      </c>
      <c r="C25" s="342">
        <f>SUM(Month!C59:C61)</f>
        <v>22020.28</v>
      </c>
      <c r="D25" s="255">
        <f>SUM(Month!D59:D61)</f>
        <v>1404.3899999999999</v>
      </c>
      <c r="E25" s="256">
        <f>SUM(Month!E59:E61)</f>
        <v>377.24</v>
      </c>
      <c r="F25" s="326">
        <f>SUM(Month!F59:F61)</f>
        <v>20238.66</v>
      </c>
      <c r="G25" s="257">
        <f>SUM(Month!G59:G61)</f>
        <v>490.9</v>
      </c>
      <c r="H25" s="256">
        <f>SUM(Month!H59:H61)</f>
        <v>78.88999999999999</v>
      </c>
      <c r="I25" s="246">
        <f>SUM(Month!I59:I61)</f>
        <v>681.84</v>
      </c>
      <c r="J25" s="246">
        <f>SUM(Month!J59:J61)</f>
        <v>6416.02</v>
      </c>
      <c r="K25" s="257">
        <f>SUM(Month!K59:K61)</f>
        <v>1908.16</v>
      </c>
      <c r="L25" s="256">
        <f>SUM(Month!L59:L61)</f>
        <v>760.4</v>
      </c>
      <c r="M25" s="247">
        <f>SUM(Month!M59:M61)</f>
        <v>2275.3799999999997</v>
      </c>
      <c r="N25" s="247">
        <f>SUM(Month!N59:N61)</f>
        <v>3891.6400000000003</v>
      </c>
      <c r="O25" s="246">
        <f>SUM(Month!O59:O61)</f>
        <v>2657.97</v>
      </c>
      <c r="P25" s="246">
        <f>SUM(Month!P59:P61)</f>
        <v>206.97</v>
      </c>
      <c r="Q25" s="256">
        <f>SUM(Month!Q59:Q61)</f>
        <v>414.38</v>
      </c>
    </row>
    <row r="26" spans="1:17" ht="12">
      <c r="A26" s="262">
        <v>1999</v>
      </c>
      <c r="B26" s="263" t="s">
        <v>73</v>
      </c>
      <c r="C26" s="342">
        <f>SUM(Month!C62:C64)</f>
        <v>21474.62</v>
      </c>
      <c r="D26" s="255">
        <f>SUM(Month!D62:D64)</f>
        <v>1357.38</v>
      </c>
      <c r="E26" s="256">
        <f>SUM(Month!E62:E64)</f>
        <v>358.4</v>
      </c>
      <c r="F26" s="326">
        <f>SUM(Month!F62:F64)</f>
        <v>19758.84</v>
      </c>
      <c r="G26" s="257">
        <f>SUM(Month!G62:G64)</f>
        <v>483.33</v>
      </c>
      <c r="H26" s="256">
        <f>SUM(Month!H62:H64)</f>
        <v>99.22</v>
      </c>
      <c r="I26" s="246">
        <f>SUM(Month!I62:I64)</f>
        <v>583.5899999999999</v>
      </c>
      <c r="J26" s="246">
        <f>SUM(Month!J62:J64)</f>
        <v>6123.31</v>
      </c>
      <c r="K26" s="257">
        <f>SUM(Month!K62:K64)</f>
        <v>1945.4099999999999</v>
      </c>
      <c r="L26" s="256">
        <f>SUM(Month!L62:L64)</f>
        <v>618.4399999999999</v>
      </c>
      <c r="M26" s="247">
        <f>SUM(Month!M62:M64)</f>
        <v>2309.92</v>
      </c>
      <c r="N26" s="247">
        <f>SUM(Month!N62:N64)</f>
        <v>3893.84</v>
      </c>
      <c r="O26" s="246">
        <f>SUM(Month!O62:O64)</f>
        <v>2493.93</v>
      </c>
      <c r="P26" s="246">
        <f>SUM(Month!P62:P64)</f>
        <v>271.17</v>
      </c>
      <c r="Q26" s="256">
        <f>SUM(Month!Q62:Q64)</f>
        <v>471.23</v>
      </c>
    </row>
    <row r="27" spans="1:17" ht="12">
      <c r="A27" s="264">
        <v>1999</v>
      </c>
      <c r="B27" s="265" t="s">
        <v>74</v>
      </c>
      <c r="C27" s="266">
        <f>SUM(Month!C65:C67)</f>
        <v>22124.43</v>
      </c>
      <c r="D27" s="267">
        <f>SUM(Month!D65:D67)</f>
        <v>1351.37</v>
      </c>
      <c r="E27" s="283">
        <f>SUM(Month!E65:E67)</f>
        <v>476.31</v>
      </c>
      <c r="F27" s="327">
        <f>SUM(Month!F65:F67)</f>
        <v>20296.76</v>
      </c>
      <c r="G27" s="282">
        <f>SUM(Month!G65:G67)</f>
        <v>504.85</v>
      </c>
      <c r="H27" s="283">
        <f>SUM(Month!H65:H67)</f>
        <v>84.86</v>
      </c>
      <c r="I27" s="267">
        <f>SUM(Month!I65:I67)</f>
        <v>581.04</v>
      </c>
      <c r="J27" s="267">
        <f>SUM(Month!J65:J67)</f>
        <v>6225.870000000001</v>
      </c>
      <c r="K27" s="282">
        <f>SUM(Month!K65:K67)</f>
        <v>1770.27</v>
      </c>
      <c r="L27" s="283">
        <f>SUM(Month!L65:L67)</f>
        <v>955.87</v>
      </c>
      <c r="M27" s="268">
        <f>SUM(Month!M65:M67)</f>
        <v>2603.55</v>
      </c>
      <c r="N27" s="268">
        <f>SUM(Month!N65:N67)</f>
        <v>3963.8199999999997</v>
      </c>
      <c r="O27" s="267">
        <f>SUM(Month!O65:O67)</f>
        <v>2746.98</v>
      </c>
      <c r="P27" s="267">
        <f>SUM(Month!P65:P67)</f>
        <v>156.6</v>
      </c>
      <c r="Q27" s="283">
        <f>SUM(Month!Q65:Q67)</f>
        <v>339.59000000000003</v>
      </c>
    </row>
    <row r="28" spans="1:17" ht="12">
      <c r="A28" s="262">
        <v>2000</v>
      </c>
      <c r="B28" s="263" t="s">
        <v>71</v>
      </c>
      <c r="C28" s="342">
        <f>SUM(Month!C68:C70)</f>
        <v>22225.170000000002</v>
      </c>
      <c r="D28" s="255">
        <f>SUM(Month!D68:D70)</f>
        <v>1273.1399999999999</v>
      </c>
      <c r="E28" s="256">
        <f>SUM(Month!E68:E70)</f>
        <v>649.5</v>
      </c>
      <c r="F28" s="326">
        <f>SUM(Month!F68:F70)</f>
        <v>20302.53</v>
      </c>
      <c r="G28" s="257">
        <f>SUM(Month!G68:G70)</f>
        <v>460.3299999999999</v>
      </c>
      <c r="H28" s="256">
        <f>SUM(Month!H68:H70)</f>
        <v>74.98</v>
      </c>
      <c r="I28" s="246">
        <f>SUM(Month!I68:I70)</f>
        <v>806.85</v>
      </c>
      <c r="J28" s="246">
        <f>SUM(Month!J68:J70)</f>
        <v>6075.25</v>
      </c>
      <c r="K28" s="257">
        <f>SUM(Month!K68:K70)</f>
        <v>1492</v>
      </c>
      <c r="L28" s="256">
        <f>SUM(Month!L68:L70)</f>
        <v>944.28</v>
      </c>
      <c r="M28" s="247">
        <f>SUM(Month!M68:M70)</f>
        <v>2870.69</v>
      </c>
      <c r="N28" s="247">
        <f>SUM(Month!N68:N70)</f>
        <v>4168.9800000000005</v>
      </c>
      <c r="O28" s="246">
        <f>SUM(Month!O68:O70)</f>
        <v>2594.77</v>
      </c>
      <c r="P28" s="246">
        <f>SUM(Month!P68:P70)</f>
        <v>114.25999999999999</v>
      </c>
      <c r="Q28" s="256">
        <f>SUM(Month!Q68:Q70)</f>
        <v>321.5</v>
      </c>
    </row>
    <row r="29" spans="1:17" ht="12">
      <c r="A29" s="269">
        <v>2000</v>
      </c>
      <c r="B29" s="263" t="s">
        <v>72</v>
      </c>
      <c r="C29" s="342">
        <f>SUM(Month!C71:C73)</f>
        <v>21522.84</v>
      </c>
      <c r="D29" s="255">
        <f>SUM(Month!D71:D73)</f>
        <v>1294.43</v>
      </c>
      <c r="E29" s="256">
        <f>SUM(Month!E71:E73)</f>
        <v>422.66</v>
      </c>
      <c r="F29" s="326">
        <f>SUM(Month!F71:F73)</f>
        <v>19805.77</v>
      </c>
      <c r="G29" s="257">
        <f>SUM(Month!G71:G73)</f>
        <v>530.35</v>
      </c>
      <c r="H29" s="256">
        <f>SUM(Month!H71:H73)</f>
        <v>73.28</v>
      </c>
      <c r="I29" s="246">
        <f>SUM(Month!I71:I73)</f>
        <v>796.9699999999999</v>
      </c>
      <c r="J29" s="246">
        <f>SUM(Month!J71:J73)</f>
        <v>5918.44</v>
      </c>
      <c r="K29" s="257">
        <f>SUM(Month!K71:K73)</f>
        <v>1676</v>
      </c>
      <c r="L29" s="256">
        <f>SUM(Month!L71:L73)</f>
        <v>609.22</v>
      </c>
      <c r="M29" s="247">
        <f>SUM(Month!M71:M73)</f>
        <v>2486.5</v>
      </c>
      <c r="N29" s="247">
        <f>SUM(Month!N71:N73)</f>
        <v>4248.54</v>
      </c>
      <c r="O29" s="246">
        <f>SUM(Month!O71:O73)</f>
        <v>2513.4700000000003</v>
      </c>
      <c r="P29" s="246">
        <f>SUM(Month!P71:P73)</f>
        <v>183.37</v>
      </c>
      <c r="Q29" s="256">
        <f>SUM(Month!Q71:Q73)</f>
        <v>363.84000000000003</v>
      </c>
    </row>
    <row r="30" spans="1:17" ht="12">
      <c r="A30" s="262">
        <v>2000</v>
      </c>
      <c r="B30" s="263" t="s">
        <v>73</v>
      </c>
      <c r="C30" s="342">
        <f>SUM(Month!C74:C76)</f>
        <v>21845.22</v>
      </c>
      <c r="D30" s="255">
        <f>SUM(Month!D74:D76)</f>
        <v>1310.01</v>
      </c>
      <c r="E30" s="256">
        <f>SUM(Month!E74:E76)</f>
        <v>349.1</v>
      </c>
      <c r="F30" s="326">
        <f>SUM(Month!F74:F76)</f>
        <v>20186.1</v>
      </c>
      <c r="G30" s="257">
        <f>SUM(Month!G74:G76)</f>
        <v>488.56</v>
      </c>
      <c r="H30" s="256">
        <f>SUM(Month!H74:H76)</f>
        <v>58.75</v>
      </c>
      <c r="I30" s="246">
        <f>SUM(Month!I74:I76)</f>
        <v>677.89</v>
      </c>
      <c r="J30" s="246">
        <f>SUM(Month!J74:J76)</f>
        <v>5756.700000000001</v>
      </c>
      <c r="K30" s="257">
        <f>SUM(Month!K74:K76)</f>
        <v>1798</v>
      </c>
      <c r="L30" s="256">
        <f>SUM(Month!L74:L76)</f>
        <v>607.39</v>
      </c>
      <c r="M30" s="247">
        <f>SUM(Month!M74:M76)</f>
        <v>2686.27</v>
      </c>
      <c r="N30" s="247">
        <f>SUM(Month!N74:N76)</f>
        <v>4522.32</v>
      </c>
      <c r="O30" s="246">
        <f>SUM(Month!O74:O76)</f>
        <v>2513.46</v>
      </c>
      <c r="P30" s="246">
        <f>SUM(Month!P74:P76)</f>
        <v>208.82</v>
      </c>
      <c r="Q30" s="256">
        <f>SUM(Month!Q74:Q76)</f>
        <v>420.3</v>
      </c>
    </row>
    <row r="31" spans="1:17" ht="12">
      <c r="A31" s="264">
        <v>2000</v>
      </c>
      <c r="B31" s="265" t="s">
        <v>74</v>
      </c>
      <c r="C31" s="266">
        <f>SUM(Month!C77:C79)</f>
        <v>22420.02</v>
      </c>
      <c r="D31" s="267">
        <f>SUM(Month!D77:D79)</f>
        <v>1374.8000000000002</v>
      </c>
      <c r="E31" s="283">
        <f>SUM(Month!E77:E79)</f>
        <v>210.53</v>
      </c>
      <c r="F31" s="327">
        <f>SUM(Month!F77:F79)</f>
        <v>20834.690000000002</v>
      </c>
      <c r="G31" s="282">
        <f>SUM(Month!G77:G79)</f>
        <v>439.5</v>
      </c>
      <c r="H31" s="283">
        <f>SUM(Month!H77:H79)</f>
        <v>81</v>
      </c>
      <c r="I31" s="267">
        <f>SUM(Month!I77:I79)</f>
        <v>799.6500000000001</v>
      </c>
      <c r="J31" s="267">
        <f>SUM(Month!J77:J79)</f>
        <v>5694.610000000001</v>
      </c>
      <c r="K31" s="282">
        <f>SUM(Month!K77:K79)</f>
        <v>1518</v>
      </c>
      <c r="L31" s="283">
        <f>SUM(Month!L77:L79)</f>
        <v>917</v>
      </c>
      <c r="M31" s="268">
        <f>SUM(Month!M77:M79)</f>
        <v>2870.95</v>
      </c>
      <c r="N31" s="268">
        <f>SUM(Month!N77:N79)</f>
        <v>4368.6900000000005</v>
      </c>
      <c r="O31" s="267">
        <f>SUM(Month!O77:O79)</f>
        <v>2674.3</v>
      </c>
      <c r="P31" s="267">
        <f>SUM(Month!P77:P79)</f>
        <v>195.61</v>
      </c>
      <c r="Q31" s="283">
        <f>SUM(Month!Q77:Q79)</f>
        <v>332.37</v>
      </c>
    </row>
    <row r="32" spans="1:17" ht="12">
      <c r="A32" s="262">
        <v>2001</v>
      </c>
      <c r="B32" s="270" t="s">
        <v>71</v>
      </c>
      <c r="C32" s="342">
        <f>SUM(Month!C80:C82)</f>
        <v>20676.91</v>
      </c>
      <c r="D32" s="255">
        <f>SUM(Month!D80:D82)</f>
        <v>1215.22</v>
      </c>
      <c r="E32" s="256">
        <f>SUM(Month!E80:E82)</f>
        <v>637.49</v>
      </c>
      <c r="F32" s="326">
        <f>SUM(Month!F80:F82)</f>
        <v>18824.219999999998</v>
      </c>
      <c r="G32" s="257">
        <f>SUM(Month!G80:G82)</f>
        <v>431.12</v>
      </c>
      <c r="H32" s="256">
        <f>SUM(Month!H80:H82)</f>
        <v>144.5</v>
      </c>
      <c r="I32" s="246">
        <f>SUM(Month!I80:I82)</f>
        <v>842.4200000000001</v>
      </c>
      <c r="J32" s="246">
        <f>SUM(Month!J80:J82)</f>
        <v>4720.57</v>
      </c>
      <c r="K32" s="257">
        <f>SUM(Month!K80:K82)</f>
        <v>1212.76</v>
      </c>
      <c r="L32" s="256">
        <f>SUM(Month!L80:L82)</f>
        <v>1165.6399999999999</v>
      </c>
      <c r="M32" s="247">
        <f>SUM(Month!M80:M82)</f>
        <v>2686.84</v>
      </c>
      <c r="N32" s="247">
        <f>SUM(Month!N80:N82)</f>
        <v>3915.9199999999996</v>
      </c>
      <c r="O32" s="246">
        <f>SUM(Month!O80:O82)</f>
        <v>2712.2799999999997</v>
      </c>
      <c r="P32" s="246">
        <f>SUM(Month!P80:P82)</f>
        <v>191.00000000000003</v>
      </c>
      <c r="Q32" s="256">
        <f>SUM(Month!Q80:Q82)</f>
        <v>300.65</v>
      </c>
    </row>
    <row r="33" spans="1:17" ht="12">
      <c r="A33" s="262">
        <v>2001</v>
      </c>
      <c r="B33" s="263" t="s">
        <v>72</v>
      </c>
      <c r="C33" s="342">
        <f>SUM(Month!C83:C85)</f>
        <v>18062.23</v>
      </c>
      <c r="D33" s="255">
        <f>SUM(Month!D83:D85)</f>
        <v>1132.2600000000002</v>
      </c>
      <c r="E33" s="256">
        <f>SUM(Month!E83:E85)</f>
        <v>5.239999999999995</v>
      </c>
      <c r="F33" s="326">
        <f>SUM(Month!F83:F85)</f>
        <v>16924.72</v>
      </c>
      <c r="G33" s="257">
        <f>SUM(Month!G83:G85)</f>
        <v>469.53</v>
      </c>
      <c r="H33" s="256">
        <f>SUM(Month!H83:H85)</f>
        <v>79.78999999999999</v>
      </c>
      <c r="I33" s="246">
        <f>SUM(Month!I83:I85)</f>
        <v>782.2</v>
      </c>
      <c r="J33" s="246">
        <f>SUM(Month!J83:J85)</f>
        <v>4561.26</v>
      </c>
      <c r="K33" s="257">
        <f>SUM(Month!K83:K85)</f>
        <v>1421.19</v>
      </c>
      <c r="L33" s="256">
        <f>SUM(Month!L83:L85)</f>
        <v>541.39</v>
      </c>
      <c r="M33" s="247">
        <f>SUM(Month!M83:M85)</f>
        <v>2081.94</v>
      </c>
      <c r="N33" s="247">
        <f>SUM(Month!N83:N85)</f>
        <v>3552.9300000000003</v>
      </c>
      <c r="O33" s="246">
        <f>SUM(Month!O83:O85)</f>
        <v>2523.51</v>
      </c>
      <c r="P33" s="246">
        <f>SUM(Month!P83:P85)</f>
        <v>173.82999999999998</v>
      </c>
      <c r="Q33" s="256">
        <f>SUM(Month!Q83:Q85)</f>
        <v>398.61</v>
      </c>
    </row>
    <row r="34" spans="1:17" ht="12">
      <c r="A34" s="262">
        <v>2001</v>
      </c>
      <c r="B34" s="271" t="s">
        <v>73</v>
      </c>
      <c r="C34" s="342">
        <f>SUM(Month!C86:C88)</f>
        <v>22073.61</v>
      </c>
      <c r="D34" s="255">
        <f>SUM(Month!D86:D88)</f>
        <v>1365.04</v>
      </c>
      <c r="E34" s="256">
        <f>SUM(Month!E86:E88)</f>
        <v>185.78</v>
      </c>
      <c r="F34" s="326">
        <f>SUM(Month!F86:F88)</f>
        <v>20522.79</v>
      </c>
      <c r="G34" s="257">
        <f>SUM(Month!G86:G88)</f>
        <v>513.8399999999999</v>
      </c>
      <c r="H34" s="256">
        <f>SUM(Month!H86:H88)</f>
        <v>38.949999999999996</v>
      </c>
      <c r="I34" s="246">
        <f>SUM(Month!I86:I88)</f>
        <v>950.8600000000001</v>
      </c>
      <c r="J34" s="246">
        <f>SUM(Month!J86:J88)</f>
        <v>5949.4</v>
      </c>
      <c r="K34" s="257">
        <f>SUM(Month!K86:K88)</f>
        <v>1849.58</v>
      </c>
      <c r="L34" s="256">
        <f>SUM(Month!L86:L88)</f>
        <v>584</v>
      </c>
      <c r="M34" s="247">
        <f>SUM(Month!M86:M88)</f>
        <v>2629.32</v>
      </c>
      <c r="N34" s="247">
        <f>SUM(Month!N86:N88)</f>
        <v>4424.26</v>
      </c>
      <c r="O34" s="246">
        <f>SUM(Month!O86:O88)</f>
        <v>2448.0099999999998</v>
      </c>
      <c r="P34" s="246">
        <f>SUM(Month!P86:P88)</f>
        <v>130.07999999999998</v>
      </c>
      <c r="Q34" s="256">
        <f>SUM(Month!Q86:Q88)</f>
        <v>513.21</v>
      </c>
    </row>
    <row r="35" spans="1:17" ht="12">
      <c r="A35" s="264">
        <v>2001</v>
      </c>
      <c r="B35" s="272" t="s">
        <v>74</v>
      </c>
      <c r="C35" s="266">
        <f>SUM(Month!C89:C91)</f>
        <v>22530.07</v>
      </c>
      <c r="D35" s="267">
        <f>SUM(Month!D89:D91)</f>
        <v>1346.79</v>
      </c>
      <c r="E35" s="283">
        <f>SUM(Month!E89:E91)</f>
        <v>404.88</v>
      </c>
      <c r="F35" s="327">
        <f>SUM(Month!F89:F91)</f>
        <v>20778.399999999998</v>
      </c>
      <c r="G35" s="282">
        <f>SUM(Month!G89:G91)</f>
        <v>348.96</v>
      </c>
      <c r="H35" s="283">
        <f>SUM(Month!H89:H91)</f>
        <v>8.81</v>
      </c>
      <c r="I35" s="267">
        <f>SUM(Month!I89:I91)</f>
        <v>852.04</v>
      </c>
      <c r="J35" s="267">
        <f>SUM(Month!J89:J91)</f>
        <v>6224.2</v>
      </c>
      <c r="K35" s="282">
        <f>SUM(Month!K89:K91)</f>
        <v>1426.35</v>
      </c>
      <c r="L35" s="283">
        <f>SUM(Month!L89:L91)</f>
        <v>796.66</v>
      </c>
      <c r="M35" s="268">
        <f>SUM(Month!M89:M91)</f>
        <v>2955.23</v>
      </c>
      <c r="N35" s="268">
        <f>SUM(Month!N89:N91)</f>
        <v>4501.68</v>
      </c>
      <c r="O35" s="267">
        <f>SUM(Month!O89:O91)</f>
        <v>2495.2</v>
      </c>
      <c r="P35" s="267">
        <f>SUM(Month!P89:P91)</f>
        <v>161.41</v>
      </c>
      <c r="Q35" s="283">
        <f>SUM(Month!Q89:Q91)</f>
        <v>494.08000000000004</v>
      </c>
    </row>
    <row r="36" spans="1:17" ht="12">
      <c r="A36" s="262">
        <v>2002</v>
      </c>
      <c r="B36" s="273" t="s">
        <v>71</v>
      </c>
      <c r="C36" s="342">
        <f>SUM(Month!C92:C94)</f>
        <v>21135.61</v>
      </c>
      <c r="D36" s="255">
        <f>SUM(Month!D92:D94)</f>
        <v>1457.38</v>
      </c>
      <c r="E36" s="256">
        <f>SUM(Month!E92:E94)</f>
        <v>151.75</v>
      </c>
      <c r="F36" s="326">
        <f>SUM(Month!F92:F94)</f>
        <v>19526.46</v>
      </c>
      <c r="G36" s="257">
        <f>SUM(Month!G92:G94)</f>
        <v>492.07000000000005</v>
      </c>
      <c r="H36" s="256">
        <f>SUM(Month!H92:H94)</f>
        <v>122.31</v>
      </c>
      <c r="I36" s="246">
        <f>SUM(Month!I92:I94)</f>
        <v>764.1300000000001</v>
      </c>
      <c r="J36" s="246">
        <f>SUM(Month!J92:J94)</f>
        <v>5776.63</v>
      </c>
      <c r="K36" s="257">
        <f>SUM(Month!K92:K94)</f>
        <v>1158.62</v>
      </c>
      <c r="L36" s="256">
        <f>SUM(Month!L92:L94)</f>
        <v>1185.45</v>
      </c>
      <c r="M36" s="247">
        <f>SUM(Month!M92:M94)</f>
        <v>2838.66</v>
      </c>
      <c r="N36" s="247">
        <f>SUM(Month!N92:N94)</f>
        <v>4123.55</v>
      </c>
      <c r="O36" s="246">
        <f>SUM(Month!O92:O94)</f>
        <v>2204.09</v>
      </c>
      <c r="P36" s="246">
        <f>SUM(Month!P92:P94)</f>
        <v>128.83999999999997</v>
      </c>
      <c r="Q36" s="256">
        <f>SUM(Month!Q92:Q94)</f>
        <v>376.93</v>
      </c>
    </row>
    <row r="37" spans="1:17" ht="12">
      <c r="A37" s="262">
        <v>2002</v>
      </c>
      <c r="B37" s="273" t="s">
        <v>72</v>
      </c>
      <c r="C37" s="342">
        <f>SUM(Month!C95:C97)</f>
        <v>20909.87</v>
      </c>
      <c r="D37" s="255">
        <f>SUM(Month!D95:D97)</f>
        <v>1360.78</v>
      </c>
      <c r="E37" s="256">
        <f>SUM(Month!E95:E97)</f>
        <v>248.22</v>
      </c>
      <c r="F37" s="326">
        <f>SUM(Month!F95:F97)</f>
        <v>19300.870000000003</v>
      </c>
      <c r="G37" s="257">
        <f>SUM(Month!G95:G97)</f>
        <v>580.16</v>
      </c>
      <c r="H37" s="256">
        <f>SUM(Month!H95:H97)</f>
        <v>143.26000000000002</v>
      </c>
      <c r="I37" s="246">
        <f>SUM(Month!I95:I97)</f>
        <v>673.5</v>
      </c>
      <c r="J37" s="246">
        <f>SUM(Month!J95:J97)</f>
        <v>5724.01</v>
      </c>
      <c r="K37" s="257">
        <f>SUM(Month!K95:K97)</f>
        <v>1405.74</v>
      </c>
      <c r="L37" s="256">
        <f>SUM(Month!L95:L97)</f>
        <v>697.56</v>
      </c>
      <c r="M37" s="247">
        <f>SUM(Month!M95:M97)</f>
        <v>2611.8900000000003</v>
      </c>
      <c r="N37" s="247">
        <f>SUM(Month!N95:N97)</f>
        <v>4460.469999999999</v>
      </c>
      <c r="O37" s="246">
        <f>SUM(Month!O95:O97)</f>
        <v>2001.75</v>
      </c>
      <c r="P37" s="246">
        <f>SUM(Month!P95:P97)</f>
        <v>135.92000000000002</v>
      </c>
      <c r="Q37" s="256">
        <f>SUM(Month!Q95:Q97)</f>
        <v>498.70000000000005</v>
      </c>
    </row>
    <row r="38" spans="1:17" ht="12">
      <c r="A38" s="262">
        <v>2002</v>
      </c>
      <c r="B38" s="273" t="s">
        <v>73</v>
      </c>
      <c r="C38" s="342">
        <f>SUM(Month!C98:C100)</f>
        <v>21812.21</v>
      </c>
      <c r="D38" s="255">
        <f>SUM(Month!D98:D100)</f>
        <v>1449.25</v>
      </c>
      <c r="E38" s="256">
        <f>SUM(Month!E98:E100)</f>
        <v>230.6</v>
      </c>
      <c r="F38" s="326">
        <f>SUM(Month!F98:F100)</f>
        <v>20132.34</v>
      </c>
      <c r="G38" s="257">
        <f>SUM(Month!G98:G100)</f>
        <v>564.0899999999999</v>
      </c>
      <c r="H38" s="256">
        <f>SUM(Month!H98:H100)</f>
        <v>144.17</v>
      </c>
      <c r="I38" s="246">
        <f>SUM(Month!I98:I100)</f>
        <v>806.46</v>
      </c>
      <c r="J38" s="246">
        <f>SUM(Month!J98:J100)</f>
        <v>5928.1900000000005</v>
      </c>
      <c r="K38" s="257">
        <f>SUM(Month!K98:K100)</f>
        <v>1446.8799999999999</v>
      </c>
      <c r="L38" s="256">
        <f>SUM(Month!L98:L100)</f>
        <v>692.5</v>
      </c>
      <c r="M38" s="247">
        <f>SUM(Month!M98:M100)</f>
        <v>2748.5</v>
      </c>
      <c r="N38" s="247">
        <f>SUM(Month!N98:N100)</f>
        <v>4632.72</v>
      </c>
      <c r="O38" s="246">
        <f>SUM(Month!O98:O100)</f>
        <v>2079.94</v>
      </c>
      <c r="P38" s="246">
        <f>SUM(Month!P98:P100)</f>
        <v>131.09</v>
      </c>
      <c r="Q38" s="256">
        <f>SUM(Month!Q98:Q100)</f>
        <v>576.97</v>
      </c>
    </row>
    <row r="39" spans="1:17" ht="12">
      <c r="A39" s="264">
        <v>2002</v>
      </c>
      <c r="B39" s="274" t="s">
        <v>74</v>
      </c>
      <c r="C39" s="266">
        <f>SUM(Month!C101:C103)</f>
        <v>20926.239999999998</v>
      </c>
      <c r="D39" s="267">
        <f>SUM(Month!D101:D103)</f>
        <v>1409.59</v>
      </c>
      <c r="E39" s="283">
        <f>SUM(Month!E101:E103)</f>
        <v>157.69</v>
      </c>
      <c r="F39" s="327">
        <f>SUM(Month!F101:F103)</f>
        <v>19358.96</v>
      </c>
      <c r="G39" s="282">
        <f>SUM(Month!G101:G103)</f>
        <v>502.22999999999996</v>
      </c>
      <c r="H39" s="283">
        <f>SUM(Month!H101:H103)</f>
        <v>128.26</v>
      </c>
      <c r="I39" s="267">
        <f>SUM(Month!I101:I103)</f>
        <v>909.5899999999999</v>
      </c>
      <c r="J39" s="267">
        <f>SUM(Month!J101:J103)</f>
        <v>5515.21</v>
      </c>
      <c r="K39" s="282">
        <f>SUM(Month!K101:K103)</f>
        <v>1353.35</v>
      </c>
      <c r="L39" s="283">
        <f>SUM(Month!L101:L103)</f>
        <v>930.39</v>
      </c>
      <c r="M39" s="268">
        <f>SUM(Month!M101:M103)</f>
        <v>2748.7400000000002</v>
      </c>
      <c r="N39" s="268">
        <f>SUM(Month!N101:N103)</f>
        <v>4179.13</v>
      </c>
      <c r="O39" s="267">
        <f>SUM(Month!O101:O103)</f>
        <v>2220.2200000000003</v>
      </c>
      <c r="P39" s="267">
        <f>SUM(Month!P101:P103)</f>
        <v>113.19</v>
      </c>
      <c r="Q39" s="283">
        <f>SUM(Month!Q101:Q103)</f>
        <v>465.43</v>
      </c>
    </row>
    <row r="40" spans="1:17" ht="12">
      <c r="A40" s="262">
        <v>2003</v>
      </c>
      <c r="B40" s="273" t="s">
        <v>71</v>
      </c>
      <c r="C40" s="342">
        <f>SUM(Month!C104:C106)</f>
        <v>21461.260000000002</v>
      </c>
      <c r="D40" s="255">
        <f>SUM(Month!D104:D106)</f>
        <v>1493.69</v>
      </c>
      <c r="E40" s="256">
        <f>SUM(Month!E104:E106)</f>
        <v>44.74</v>
      </c>
      <c r="F40" s="326">
        <f>SUM(Month!F104:F106)</f>
        <v>19922.81</v>
      </c>
      <c r="G40" s="257">
        <f>SUM(Month!G104:G106)</f>
        <v>567.19</v>
      </c>
      <c r="H40" s="256">
        <f>SUM(Month!H104:H106)</f>
        <v>153.24</v>
      </c>
      <c r="I40" s="246">
        <f>SUM(Month!I104:I106)</f>
        <v>1013.53</v>
      </c>
      <c r="J40" s="246">
        <f>SUM(Month!J104:J106)</f>
        <v>5817.25</v>
      </c>
      <c r="K40" s="257">
        <f>SUM(Month!K104:K106)</f>
        <v>1112.96</v>
      </c>
      <c r="L40" s="256">
        <f>SUM(Month!L104:L106)</f>
        <v>1225.73</v>
      </c>
      <c r="M40" s="247">
        <f>SUM(Month!M104:M106)</f>
        <v>2771.7000000000003</v>
      </c>
      <c r="N40" s="247">
        <f>SUM(Month!N104:N106)</f>
        <v>4017.3900000000003</v>
      </c>
      <c r="O40" s="246">
        <f>SUM(Month!O104:O106)</f>
        <v>2321.7200000000003</v>
      </c>
      <c r="P40" s="246">
        <f>SUM(Month!P104:P106)</f>
        <v>133.41</v>
      </c>
      <c r="Q40" s="256">
        <f>SUM(Month!Q104:Q106)</f>
        <v>352.78999999999996</v>
      </c>
    </row>
    <row r="41" spans="1:17" ht="12">
      <c r="A41" s="262">
        <v>2003</v>
      </c>
      <c r="B41" s="273" t="s">
        <v>72</v>
      </c>
      <c r="C41" s="342">
        <f>SUM(Month!C107:C109)</f>
        <v>21732.010000000002</v>
      </c>
      <c r="D41" s="255">
        <f>SUM(Month!D107:D109)</f>
        <v>1241.83</v>
      </c>
      <c r="E41" s="256">
        <f>SUM(Month!E107:E109)</f>
        <v>-1.5999999999999943</v>
      </c>
      <c r="F41" s="326">
        <f>SUM(Month!F107:F109)</f>
        <v>20491.77</v>
      </c>
      <c r="G41" s="257">
        <f>SUM(Month!G107:G109)</f>
        <v>676.38</v>
      </c>
      <c r="H41" s="256">
        <f>SUM(Month!H107:H109)</f>
        <v>198.64</v>
      </c>
      <c r="I41" s="246">
        <f>SUM(Month!I107:I109)</f>
        <v>885.8</v>
      </c>
      <c r="J41" s="246">
        <f>SUM(Month!J107:J109)</f>
        <v>5790.1900000000005</v>
      </c>
      <c r="K41" s="257">
        <f>SUM(Month!K107:K109)</f>
        <v>1533.16</v>
      </c>
      <c r="L41" s="256">
        <f>SUM(Month!L107:L109)</f>
        <v>637.36</v>
      </c>
      <c r="M41" s="247">
        <f>SUM(Month!M107:M109)</f>
        <v>2648.3199999999997</v>
      </c>
      <c r="N41" s="247">
        <f>SUM(Month!N107:N109)</f>
        <v>4526.84</v>
      </c>
      <c r="O41" s="246">
        <f>SUM(Month!O107:O109)</f>
        <v>2334.99</v>
      </c>
      <c r="P41" s="246">
        <f>SUM(Month!P107:P109)</f>
        <v>136.60999999999999</v>
      </c>
      <c r="Q41" s="256">
        <f>SUM(Month!Q107:Q109)</f>
        <v>561.64</v>
      </c>
    </row>
    <row r="42" spans="1:17" ht="12">
      <c r="A42" s="262">
        <v>2003</v>
      </c>
      <c r="B42" s="273" t="s">
        <v>73</v>
      </c>
      <c r="C42" s="342">
        <f>SUM(Month!C110:C112)</f>
        <v>20560.42</v>
      </c>
      <c r="D42" s="255">
        <f>SUM(Month!D110:D112)</f>
        <v>1367.1799999999998</v>
      </c>
      <c r="E42" s="256">
        <f>SUM(Month!E110:E112)</f>
        <v>74.88000000000001</v>
      </c>
      <c r="F42" s="326">
        <f>SUM(Month!F110:F112)</f>
        <v>19118.36</v>
      </c>
      <c r="G42" s="257">
        <f>SUM(Month!G110:G112)</f>
        <v>563.5899999999999</v>
      </c>
      <c r="H42" s="256">
        <f>SUM(Month!H110:H112)</f>
        <v>153.57</v>
      </c>
      <c r="I42" s="246">
        <f>SUM(Month!I110:I112)</f>
        <v>786.1199999999999</v>
      </c>
      <c r="J42" s="246">
        <f>SUM(Month!J110:J112)</f>
        <v>5471.17</v>
      </c>
      <c r="K42" s="257">
        <f>SUM(Month!K110:K112)</f>
        <v>1468.98</v>
      </c>
      <c r="L42" s="256">
        <f>SUM(Month!L110:L112)</f>
        <v>656.86</v>
      </c>
      <c r="M42" s="247">
        <f>SUM(Month!M110:M112)</f>
        <v>2476.68</v>
      </c>
      <c r="N42" s="247">
        <f>SUM(Month!N110:N112)</f>
        <v>4170.9400000000005</v>
      </c>
      <c r="O42" s="246">
        <f>SUM(Month!O110:O112)</f>
        <v>2236.54</v>
      </c>
      <c r="P42" s="246">
        <f>SUM(Month!P110:P112)</f>
        <v>148.37</v>
      </c>
      <c r="Q42" s="256">
        <f>SUM(Month!Q110:Q112)</f>
        <v>559.57</v>
      </c>
    </row>
    <row r="43" spans="1:17" ht="12">
      <c r="A43" s="264">
        <v>2003</v>
      </c>
      <c r="B43" s="272" t="s">
        <v>74</v>
      </c>
      <c r="C43" s="266">
        <f>SUM(Month!C113:C115)</f>
        <v>20831.33</v>
      </c>
      <c r="D43" s="267">
        <f>SUM(Month!D113:D115)</f>
        <v>1352.8899999999999</v>
      </c>
      <c r="E43" s="283">
        <f>SUM(Month!E113:E115)</f>
        <v>-61.84</v>
      </c>
      <c r="F43" s="327">
        <f>SUM(Month!F113:F115)</f>
        <v>19540.28</v>
      </c>
      <c r="G43" s="282">
        <f>SUM(Month!G113:G115)</f>
        <v>474.23</v>
      </c>
      <c r="H43" s="283">
        <f>SUM(Month!H113:H115)</f>
        <v>210.61</v>
      </c>
      <c r="I43" s="267">
        <f>SUM(Month!I113:I115)</f>
        <v>818.1099999999999</v>
      </c>
      <c r="J43" s="267">
        <f>SUM(Month!J113:J115)</f>
        <v>5548.67</v>
      </c>
      <c r="K43" s="282">
        <f>SUM(Month!K113:K115)</f>
        <v>1162.72</v>
      </c>
      <c r="L43" s="283">
        <f>SUM(Month!L113:L115)</f>
        <v>1002.05</v>
      </c>
      <c r="M43" s="268">
        <f>SUM(Month!M113:M115)</f>
        <v>2683.52</v>
      </c>
      <c r="N43" s="268">
        <f>SUM(Month!N113:N115)</f>
        <v>4084.55</v>
      </c>
      <c r="O43" s="267">
        <f>SUM(Month!O113:O115)</f>
        <v>2601.1499999999996</v>
      </c>
      <c r="P43" s="267">
        <f>SUM(Month!P113:P115)</f>
        <v>157.48</v>
      </c>
      <c r="Q43" s="283">
        <f>SUM(Month!Q113:Q115)</f>
        <v>450.27</v>
      </c>
    </row>
    <row r="44" spans="1:17" ht="12">
      <c r="A44" s="262">
        <v>2004</v>
      </c>
      <c r="B44" s="270" t="s">
        <v>71</v>
      </c>
      <c r="C44" s="342">
        <f>SUM(Month!C116:C118)</f>
        <v>21414.23</v>
      </c>
      <c r="D44" s="255">
        <f>SUM(Month!D116:D118)</f>
        <v>1252.84</v>
      </c>
      <c r="E44" s="256">
        <f>SUM(Month!E116:E118)</f>
        <v>72.78999999999999</v>
      </c>
      <c r="F44" s="326">
        <f>SUM(Month!F116:F118)</f>
        <v>20088.620000000003</v>
      </c>
      <c r="G44" s="257">
        <f>SUM(Month!G116:G118)</f>
        <v>421.15</v>
      </c>
      <c r="H44" s="256">
        <f>SUM(Month!H116:H118)</f>
        <v>125.47</v>
      </c>
      <c r="I44" s="246">
        <f>SUM(Month!I116:I118)</f>
        <v>754.71</v>
      </c>
      <c r="J44" s="246">
        <f>SUM(Month!J116:J118)</f>
        <v>5783.54</v>
      </c>
      <c r="K44" s="257">
        <f>SUM(Month!K116:K118)</f>
        <v>1143.75</v>
      </c>
      <c r="L44" s="256">
        <f>SUM(Month!L116:L118)</f>
        <v>1227.09</v>
      </c>
      <c r="M44" s="247">
        <f>SUM(Month!M116:M118)</f>
        <v>2827.94</v>
      </c>
      <c r="N44" s="247">
        <f>SUM(Month!N116:N118)</f>
        <v>4103.14</v>
      </c>
      <c r="O44" s="246">
        <f>SUM(Month!O116:O118)</f>
        <v>2784.74</v>
      </c>
      <c r="P44" s="246">
        <f>SUM(Month!P116:P118)</f>
        <v>257.17</v>
      </c>
      <c r="Q44" s="256">
        <f>SUM(Month!Q116:Q118)</f>
        <v>400.89</v>
      </c>
    </row>
    <row r="45" spans="1:17" ht="12">
      <c r="A45" s="262">
        <v>2004</v>
      </c>
      <c r="B45" s="270" t="s">
        <v>72</v>
      </c>
      <c r="C45" s="342">
        <f>SUM(Month!C119:C121)</f>
        <v>22216.579999999998</v>
      </c>
      <c r="D45" s="255">
        <f>SUM(Month!D119:D121)</f>
        <v>1413.16</v>
      </c>
      <c r="E45" s="256">
        <f>SUM(Month!E119:E121)</f>
        <v>-84.67999999999999</v>
      </c>
      <c r="F45" s="326">
        <f>SUM(Month!F119:F121)</f>
        <v>20888.09</v>
      </c>
      <c r="G45" s="257">
        <f>SUM(Month!G119:G121)</f>
        <v>671.08</v>
      </c>
      <c r="H45" s="256">
        <f>SUM(Month!H119:H121)</f>
        <v>130.82</v>
      </c>
      <c r="I45" s="246">
        <f>SUM(Month!I119:I121)</f>
        <v>705.4</v>
      </c>
      <c r="J45" s="246">
        <f>SUM(Month!J119:J121)</f>
        <v>6347.13</v>
      </c>
      <c r="K45" s="257">
        <f>SUM(Month!K119:K121)</f>
        <v>1633.06</v>
      </c>
      <c r="L45" s="256">
        <f>SUM(Month!L119:L121)</f>
        <v>798.7</v>
      </c>
      <c r="M45" s="247">
        <f>SUM(Month!M119:M121)</f>
        <v>2482.72</v>
      </c>
      <c r="N45" s="247">
        <f>SUM(Month!N119:N121)</f>
        <v>4236.24</v>
      </c>
      <c r="O45" s="246">
        <f>SUM(Month!O119:O121)</f>
        <v>2677.23</v>
      </c>
      <c r="P45" s="246">
        <f>SUM(Month!P119:P121)</f>
        <v>266.13</v>
      </c>
      <c r="Q45" s="256">
        <f>SUM(Month!Q119:Q121)</f>
        <v>585.49</v>
      </c>
    </row>
    <row r="46" spans="1:17" ht="12">
      <c r="A46" s="262">
        <v>2004</v>
      </c>
      <c r="B46" s="270" t="s">
        <v>73</v>
      </c>
      <c r="C46" s="342">
        <f>SUM(Month!C122:C124)</f>
        <v>23005.72</v>
      </c>
      <c r="D46" s="255">
        <f>SUM(Month!D122:D124)</f>
        <v>1315.38</v>
      </c>
      <c r="E46" s="256">
        <f>SUM(Month!E122:E124)</f>
        <v>-128.31</v>
      </c>
      <c r="F46" s="326">
        <f>SUM(Month!F122:F124)</f>
        <v>21818.64</v>
      </c>
      <c r="G46" s="257">
        <f>SUM(Month!G122:G124)</f>
        <v>566.48</v>
      </c>
      <c r="H46" s="256">
        <f>SUM(Month!H122:H124)</f>
        <v>124.82000000000001</v>
      </c>
      <c r="I46" s="246">
        <f>SUM(Month!I122:I124)</f>
        <v>762.4300000000001</v>
      </c>
      <c r="J46" s="246">
        <f>SUM(Month!J122:J124)</f>
        <v>6146.049999999999</v>
      </c>
      <c r="K46" s="257">
        <f>SUM(Month!K122:K124)</f>
        <v>1644.6999999999998</v>
      </c>
      <c r="L46" s="256">
        <f>SUM(Month!L122:L124)</f>
        <v>552.73</v>
      </c>
      <c r="M46" s="247">
        <f>SUM(Month!M122:M124)</f>
        <v>2752.3</v>
      </c>
      <c r="N46" s="247">
        <f>SUM(Month!N122:N124)</f>
        <v>4635.05</v>
      </c>
      <c r="O46" s="246">
        <f>SUM(Month!O122:O124)</f>
        <v>3235.3</v>
      </c>
      <c r="P46" s="246">
        <f>SUM(Month!P122:P124)</f>
        <v>314.01</v>
      </c>
      <c r="Q46" s="256">
        <f>SUM(Month!Q122:Q124)</f>
        <v>702.58</v>
      </c>
    </row>
    <row r="47" spans="1:17" ht="12">
      <c r="A47" s="264">
        <v>2004</v>
      </c>
      <c r="B47" s="274" t="s">
        <v>74</v>
      </c>
      <c r="C47" s="266">
        <f>SUM(Month!C125:C127)</f>
        <v>23184.06</v>
      </c>
      <c r="D47" s="267">
        <f>SUM(Month!D125:D127)</f>
        <v>1436.31</v>
      </c>
      <c r="E47" s="283">
        <f>SUM(Month!E125:E127)</f>
        <v>132.07999999999998</v>
      </c>
      <c r="F47" s="327">
        <f>SUM(Month!F125:F127)</f>
        <v>21615.68</v>
      </c>
      <c r="G47" s="282">
        <f>SUM(Month!G125:G127)</f>
        <v>491.55</v>
      </c>
      <c r="H47" s="283">
        <f>SUM(Month!H125:H127)</f>
        <v>138.69</v>
      </c>
      <c r="I47" s="267">
        <f>SUM(Month!I125:I127)</f>
        <v>945.78</v>
      </c>
      <c r="J47" s="267">
        <f>SUM(Month!J125:J127)</f>
        <v>6313.3</v>
      </c>
      <c r="K47" s="282">
        <f>SUM(Month!K125:K127)</f>
        <v>1193.02</v>
      </c>
      <c r="L47" s="283">
        <f>SUM(Month!L125:L127)</f>
        <v>1034.95</v>
      </c>
      <c r="M47" s="268">
        <f>SUM(Month!M125:M127)</f>
        <v>3016.56</v>
      </c>
      <c r="N47" s="268">
        <f>SUM(Month!N125:N127)</f>
        <v>4592.349999999999</v>
      </c>
      <c r="O47" s="267">
        <f>SUM(Month!O125:O127)</f>
        <v>2611.3199999999997</v>
      </c>
      <c r="P47" s="267">
        <f>SUM(Month!P125:P127)</f>
        <v>299.5</v>
      </c>
      <c r="Q47" s="283">
        <f>SUM(Month!Q125:Q127)</f>
        <v>507.91999999999996</v>
      </c>
    </row>
    <row r="48" spans="1:17" ht="12">
      <c r="A48" s="262">
        <v>2005</v>
      </c>
      <c r="B48" s="273" t="s">
        <v>71</v>
      </c>
      <c r="C48" s="342">
        <f>SUM(Month!C128:C130)</f>
        <v>20978.29</v>
      </c>
      <c r="D48" s="255">
        <f>SUM(Month!D128:D130)</f>
        <v>1379.0700000000002</v>
      </c>
      <c r="E48" s="284">
        <f>SUM(Month!E128:E130)</f>
        <v>154.52</v>
      </c>
      <c r="F48" s="326">
        <f>SUM(Month!F128:F130)</f>
        <v>19444.68</v>
      </c>
      <c r="G48" s="257">
        <f>SUM(Month!G128:G130)</f>
        <v>425.77</v>
      </c>
      <c r="H48" s="256">
        <f>SUM(Month!H128:H130)</f>
        <v>105.75</v>
      </c>
      <c r="I48" s="246">
        <f>SUM(Month!I128:I130)</f>
        <v>857.0999999999999</v>
      </c>
      <c r="J48" s="246">
        <f>SUM(Month!J128:J130)</f>
        <v>5446.27</v>
      </c>
      <c r="K48" s="257">
        <f>SUM(Month!K128:K130)</f>
        <v>959.59</v>
      </c>
      <c r="L48" s="256">
        <f>SUM(Month!L128:L130)</f>
        <v>1041.27</v>
      </c>
      <c r="M48" s="246">
        <f>SUM(Month!M128:M130)</f>
        <v>2480.8999999999996</v>
      </c>
      <c r="N48" s="246">
        <f>SUM(Month!N128:N130)</f>
        <v>4533.54</v>
      </c>
      <c r="O48" s="246">
        <f>SUM(Month!O128:O130)</f>
        <v>2473.3199999999997</v>
      </c>
      <c r="P48" s="246">
        <f>SUM(Month!P128:P130)</f>
        <v>260.39000000000004</v>
      </c>
      <c r="Q48" s="256">
        <f>SUM(Month!Q128:Q130)</f>
        <v>367.6</v>
      </c>
    </row>
    <row r="49" spans="1:17" ht="12">
      <c r="A49" s="262">
        <v>2005</v>
      </c>
      <c r="B49" s="273" t="s">
        <v>72</v>
      </c>
      <c r="C49" s="342">
        <f>SUM(Month!C131:C133)</f>
        <v>20998.21</v>
      </c>
      <c r="D49" s="255">
        <f>SUM(Month!D131:D133)</f>
        <v>1413.63</v>
      </c>
      <c r="E49" s="256">
        <f>SUM(Month!E131:E133)</f>
        <v>128.27</v>
      </c>
      <c r="F49" s="326">
        <f>SUM(Month!F131:F133)</f>
        <v>19456.3</v>
      </c>
      <c r="G49" s="257">
        <f>SUM(Month!G131:G133)</f>
        <v>636.97</v>
      </c>
      <c r="H49" s="256">
        <f>SUM(Month!H131:H133)</f>
        <v>101.21999999999998</v>
      </c>
      <c r="I49" s="246">
        <f>SUM(Month!I131:I133)</f>
        <v>731.38</v>
      </c>
      <c r="J49" s="246">
        <f>SUM(Month!J131:J133)</f>
        <v>5334.08</v>
      </c>
      <c r="K49" s="257">
        <f>SUM(Month!K131:K133)</f>
        <v>1438.3999999999999</v>
      </c>
      <c r="L49" s="256">
        <f>SUM(Month!L131:L133)</f>
        <v>664.62</v>
      </c>
      <c r="M49" s="246">
        <f>SUM(Month!M131:M133)</f>
        <v>1976.94</v>
      </c>
      <c r="N49" s="246">
        <f>SUM(Month!N131:N133)</f>
        <v>4687.08</v>
      </c>
      <c r="O49" s="246">
        <f>SUM(Month!O131:O133)</f>
        <v>2596.66</v>
      </c>
      <c r="P49" s="246">
        <f>SUM(Month!P131:P133)</f>
        <v>280.85</v>
      </c>
      <c r="Q49" s="256">
        <f>SUM(Month!Q131:Q133)</f>
        <v>526.54</v>
      </c>
    </row>
    <row r="50" spans="1:17" ht="12">
      <c r="A50" s="262">
        <v>2005</v>
      </c>
      <c r="B50" s="273" t="s">
        <v>73</v>
      </c>
      <c r="C50" s="342">
        <f>SUM(Month!C134:C136)</f>
        <v>22610.920000000002</v>
      </c>
      <c r="D50" s="255">
        <f>SUM(Month!D134:D136)</f>
        <v>1412.17</v>
      </c>
      <c r="E50" s="256">
        <f>SUM(Month!E134:E136)</f>
        <v>3.8400000000000034</v>
      </c>
      <c r="F50" s="326">
        <f>SUM(Month!F134:F136)</f>
        <v>21194.91</v>
      </c>
      <c r="G50" s="257">
        <f>SUM(Month!G134:G136)</f>
        <v>640.17</v>
      </c>
      <c r="H50" s="256">
        <f>SUM(Month!H134:H136)</f>
        <v>113.43</v>
      </c>
      <c r="I50" s="246">
        <f>SUM(Month!I134:I136)</f>
        <v>732.6300000000001</v>
      </c>
      <c r="J50" s="246">
        <f>SUM(Month!J134:J136)</f>
        <v>5992.78</v>
      </c>
      <c r="K50" s="257">
        <f>SUM(Month!K134:K136)</f>
        <v>1590.78</v>
      </c>
      <c r="L50" s="256">
        <f>SUM(Month!L134:L136)</f>
        <v>597.35</v>
      </c>
      <c r="M50" s="246">
        <f>SUM(Month!M134:M136)</f>
        <v>2476.55</v>
      </c>
      <c r="N50" s="246">
        <f>SUM(Month!N134:N136)</f>
        <v>5099.16</v>
      </c>
      <c r="O50" s="246">
        <f>SUM(Month!O134:O136)</f>
        <v>2663.78</v>
      </c>
      <c r="P50" s="246">
        <f>SUM(Month!P134:P136)</f>
        <v>274.7</v>
      </c>
      <c r="Q50" s="256">
        <f>SUM(Month!Q134:Q136)</f>
        <v>542.8299999999999</v>
      </c>
    </row>
    <row r="51" spans="1:17" ht="12">
      <c r="A51" s="264">
        <v>2005</v>
      </c>
      <c r="B51" s="274" t="s">
        <v>74</v>
      </c>
      <c r="C51" s="266">
        <f>SUM(Month!C137:C139)</f>
        <v>21546.85</v>
      </c>
      <c r="D51" s="343">
        <f>SUM(Month!D137:D139)</f>
        <v>1396.43</v>
      </c>
      <c r="E51" s="283">
        <f>SUM(Month!E137:E139)</f>
        <v>100.85000000000001</v>
      </c>
      <c r="F51" s="327">
        <f>SUM(Month!F137:F139)</f>
        <v>20049.57</v>
      </c>
      <c r="G51" s="282">
        <f>SUM(Month!G137:G139)</f>
        <v>481.28</v>
      </c>
      <c r="H51" s="283">
        <f>SUM(Month!H137:H139)</f>
        <v>106.9</v>
      </c>
      <c r="I51" s="267">
        <f>SUM(Month!I137:I139)</f>
        <v>698.3</v>
      </c>
      <c r="J51" s="267">
        <f>SUM(Month!J137:J139)</f>
        <v>5830.639999999999</v>
      </c>
      <c r="K51" s="282">
        <f>SUM(Month!K137:K139)</f>
        <v>1178.33</v>
      </c>
      <c r="L51" s="283">
        <f>SUM(Month!L137:L139)</f>
        <v>1021.64</v>
      </c>
      <c r="M51" s="267">
        <f>SUM(Month!M137:M139)</f>
        <v>2495.46</v>
      </c>
      <c r="N51" s="267">
        <f>SUM(Month!N137:N139)</f>
        <v>4736.120000000001</v>
      </c>
      <c r="O51" s="267">
        <f>SUM(Month!O137:O139)</f>
        <v>2421.02</v>
      </c>
      <c r="P51" s="267">
        <f>SUM(Month!P137:P139)</f>
        <v>120.36</v>
      </c>
      <c r="Q51" s="283">
        <f>SUM(Month!Q137:Q139)</f>
        <v>474.6</v>
      </c>
    </row>
    <row r="52" spans="1:17" ht="12">
      <c r="A52" s="262">
        <v>2006</v>
      </c>
      <c r="B52" s="270" t="s">
        <v>71</v>
      </c>
      <c r="C52" s="342">
        <f>SUM(Month!C140:C142)</f>
        <v>20112.66</v>
      </c>
      <c r="D52" s="255">
        <f>SUM(Month!D140:D142)</f>
        <v>1113.02</v>
      </c>
      <c r="E52" s="256">
        <f>SUM(Month!E140:E142)</f>
        <v>146.89999999999998</v>
      </c>
      <c r="F52" s="326">
        <f>SUM(Month!F140:F142)</f>
        <v>18852.760000000002</v>
      </c>
      <c r="G52" s="257">
        <f>SUM(Month!G140:G142)</f>
        <v>626.69</v>
      </c>
      <c r="H52" s="256">
        <f>SUM(Month!H140:H142)</f>
        <v>145.54000000000002</v>
      </c>
      <c r="I52" s="246">
        <f>SUM(Month!I140:I142)</f>
        <v>878.0500000000001</v>
      </c>
      <c r="J52" s="246">
        <f>SUM(Month!J140:J142)</f>
        <v>5036.9</v>
      </c>
      <c r="K52" s="257">
        <f>SUM(Month!K140:K142)</f>
        <v>1274.15</v>
      </c>
      <c r="L52" s="256">
        <f>SUM(Month!L140:L142)</f>
        <v>1211.22</v>
      </c>
      <c r="M52" s="246">
        <f>SUM(Month!M140:M142)</f>
        <v>2388.08</v>
      </c>
      <c r="N52" s="246">
        <f>SUM(Month!N140:N142)</f>
        <v>3658.6400000000003</v>
      </c>
      <c r="O52" s="246">
        <f>SUM(Month!O140:O142)</f>
        <v>2755.87</v>
      </c>
      <c r="P52" s="246">
        <f>SUM(Month!P140:P142)</f>
        <v>159.01</v>
      </c>
      <c r="Q52" s="256">
        <f>SUM(Month!Q140:Q142)</f>
        <v>344.7</v>
      </c>
    </row>
    <row r="53" spans="1:17" ht="12">
      <c r="A53" s="262">
        <v>2006</v>
      </c>
      <c r="B53" s="270" t="s">
        <v>72</v>
      </c>
      <c r="C53" s="342">
        <f>SUM(Month!C143:C145)</f>
        <v>20982.26</v>
      </c>
      <c r="D53" s="255">
        <f>SUM(Month!D143:D145)</f>
        <v>1285.59</v>
      </c>
      <c r="E53" s="256">
        <f>SUM(Month!E143:E145)</f>
        <v>-125.89</v>
      </c>
      <c r="F53" s="326">
        <f>SUM(Month!F143:F145)</f>
        <v>19822.58</v>
      </c>
      <c r="G53" s="257">
        <f>SUM(Month!G143:G145)</f>
        <v>781.53</v>
      </c>
      <c r="H53" s="256">
        <f>SUM(Month!H143:H145)</f>
        <v>152.41</v>
      </c>
      <c r="I53" s="246">
        <f>SUM(Month!I143:I145)</f>
        <v>514.82</v>
      </c>
      <c r="J53" s="246">
        <f>SUM(Month!J143:J145)</f>
        <v>5409.5</v>
      </c>
      <c r="K53" s="257">
        <f>SUM(Month!K143:K145)</f>
        <v>1753.1</v>
      </c>
      <c r="L53" s="256">
        <f>SUM(Month!L143:L145)</f>
        <v>812.4000000000001</v>
      </c>
      <c r="M53" s="246">
        <f>SUM(Month!M143:M145)</f>
        <v>2535.1800000000003</v>
      </c>
      <c r="N53" s="246">
        <f>SUM(Month!N143:N145)</f>
        <v>4122.8</v>
      </c>
      <c r="O53" s="246">
        <f>SUM(Month!O143:O145)</f>
        <v>2729.16</v>
      </c>
      <c r="P53" s="246">
        <f>SUM(Month!P143:P145)</f>
        <v>134.79</v>
      </c>
      <c r="Q53" s="256">
        <f>SUM(Month!Q143:Q145)</f>
        <v>482.28999999999996</v>
      </c>
    </row>
    <row r="54" spans="1:17" ht="12">
      <c r="A54" s="262">
        <v>2006</v>
      </c>
      <c r="B54" s="270" t="s">
        <v>73</v>
      </c>
      <c r="C54" s="342">
        <f>SUM(Month!C146:C148)</f>
        <v>21614.39</v>
      </c>
      <c r="D54" s="255">
        <f>SUM(Month!D146:D148)</f>
        <v>1278.11</v>
      </c>
      <c r="E54" s="256">
        <f>SUM(Month!E146:E148)</f>
        <v>215.70999999999998</v>
      </c>
      <c r="F54" s="326">
        <f>SUM(Month!F146:F148)</f>
        <v>20120.57</v>
      </c>
      <c r="G54" s="257">
        <f>SUM(Month!G146:G148)</f>
        <v>470.13</v>
      </c>
      <c r="H54" s="256">
        <f>SUM(Month!H146:H148)</f>
        <v>165.32</v>
      </c>
      <c r="I54" s="246">
        <f>SUM(Month!I146:I148)</f>
        <v>638.4300000000001</v>
      </c>
      <c r="J54" s="246">
        <f>SUM(Month!J146:J148)</f>
        <v>5512.7</v>
      </c>
      <c r="K54" s="257">
        <f>SUM(Month!K146:K148)</f>
        <v>1978.27</v>
      </c>
      <c r="L54" s="256">
        <f>SUM(Month!L146:L148)</f>
        <v>427.16999999999996</v>
      </c>
      <c r="M54" s="246">
        <f>SUM(Month!M146:M148)</f>
        <v>2631.14</v>
      </c>
      <c r="N54" s="246">
        <f>SUM(Month!N146:N148)</f>
        <v>4285.38</v>
      </c>
      <c r="O54" s="246">
        <f>SUM(Month!O146:O148)</f>
        <v>2854.71</v>
      </c>
      <c r="P54" s="246">
        <f>SUM(Month!P146:P148)</f>
        <v>171.52</v>
      </c>
      <c r="Q54" s="256">
        <f>SUM(Month!Q146:Q148)</f>
        <v>532.32</v>
      </c>
    </row>
    <row r="55" spans="1:17" ht="12">
      <c r="A55" s="264">
        <v>2006</v>
      </c>
      <c r="B55" s="274" t="s">
        <v>74</v>
      </c>
      <c r="C55" s="266">
        <f>SUM(Month!C$149:C$151)</f>
        <v>20503.79</v>
      </c>
      <c r="D55" s="267">
        <f>SUM(Month!D149:D151)</f>
        <v>1201.19</v>
      </c>
      <c r="E55" s="283">
        <f>SUM(Month!E$149:E$151)</f>
        <v>137.69</v>
      </c>
      <c r="F55" s="327">
        <f>SUM(Month!F$149:F$151)</f>
        <v>19164.91</v>
      </c>
      <c r="G55" s="282">
        <f>SUM(Month!G$149:G$151)</f>
        <v>225.95</v>
      </c>
      <c r="H55" s="283">
        <f>SUM(Month!H$149:H$151)</f>
        <v>197.49</v>
      </c>
      <c r="I55" s="267">
        <f>SUM(Month!I$149:I$151)</f>
        <v>702.59</v>
      </c>
      <c r="J55" s="267">
        <f>SUM(Month!J$149:J$151)</f>
        <v>5484.13</v>
      </c>
      <c r="K55" s="282">
        <f>SUM(Month!K$149:K$151)</f>
        <v>1255.42</v>
      </c>
      <c r="L55" s="283">
        <f>SUM(Month!L$149:L$151)</f>
        <v>922.79</v>
      </c>
      <c r="M55" s="267">
        <f>SUM(Month!M$149:M$151)</f>
        <v>2660.96</v>
      </c>
      <c r="N55" s="267">
        <f>SUM(Month!N149:N151)</f>
        <v>3754.3199999999997</v>
      </c>
      <c r="O55" s="267">
        <f>SUM(Month!O$149:O$151)</f>
        <v>2939.9399999999996</v>
      </c>
      <c r="P55" s="267">
        <f>SUM(Month!P$149:P$151)</f>
        <v>151.71</v>
      </c>
      <c r="Q55" s="283">
        <f>SUM(Month!Q$149:Q$151)</f>
        <v>389.63</v>
      </c>
    </row>
    <row r="56" spans="1:17" ht="12">
      <c r="A56" s="262">
        <v>2007</v>
      </c>
      <c r="B56" s="270" t="s">
        <v>71</v>
      </c>
      <c r="C56" s="342">
        <f>SUM(Month!C152:C154)</f>
        <v>19272.04</v>
      </c>
      <c r="D56" s="255">
        <f>SUM(Month!D152:D154)</f>
        <v>1077.85</v>
      </c>
      <c r="E56" s="256">
        <f>SUM(Month!E152:E154)</f>
        <v>125.44</v>
      </c>
      <c r="F56" s="326">
        <f>SUM(Month!F152:F154)</f>
        <v>18068.760000000002</v>
      </c>
      <c r="G56" s="257">
        <f>SUM(Month!G152:G154)</f>
        <v>508.66</v>
      </c>
      <c r="H56" s="256">
        <f>SUM(Month!H152:H154)</f>
        <v>160.24</v>
      </c>
      <c r="I56" s="246">
        <f>SUM(Month!I152:I154)</f>
        <v>766.14</v>
      </c>
      <c r="J56" s="246">
        <f>SUM(Month!J152:J154)</f>
        <v>4987.99</v>
      </c>
      <c r="K56" s="257">
        <f>SUM(Month!K152:K154)</f>
        <v>1170.69</v>
      </c>
      <c r="L56" s="256">
        <f>SUM(Month!L152:L154)</f>
        <v>1016.7199999999999</v>
      </c>
      <c r="M56" s="246">
        <f>SUM(Month!M152:M154)</f>
        <v>2667.79</v>
      </c>
      <c r="N56" s="246">
        <f>SUM(Month!N152:N154)</f>
        <v>3446.29</v>
      </c>
      <c r="O56" s="246">
        <f>SUM(Month!O152:O154)</f>
        <v>2436.46</v>
      </c>
      <c r="P56" s="246">
        <f>SUM(Month!P152:P154)</f>
        <v>133.39</v>
      </c>
      <c r="Q56" s="256">
        <f>SUM(Month!Q152:Q154)</f>
        <v>330.37</v>
      </c>
    </row>
    <row r="57" spans="1:17" ht="12">
      <c r="A57" s="262">
        <v>2007</v>
      </c>
      <c r="B57" s="270" t="s">
        <v>72</v>
      </c>
      <c r="C57" s="342">
        <f>SUM(Month!C155:C157)</f>
        <v>21106.33</v>
      </c>
      <c r="D57" s="344">
        <f>SUM(Month!D155:D157)</f>
        <v>1199.6</v>
      </c>
      <c r="E57" s="284">
        <f>SUM(Month!E155:E157)</f>
        <v>318.67</v>
      </c>
      <c r="F57" s="326">
        <f>SUM(Month!F155:F157)</f>
        <v>19588.07</v>
      </c>
      <c r="G57" s="257">
        <f>SUM(Month!G155:G157)</f>
        <v>699.1899999999999</v>
      </c>
      <c r="H57" s="256">
        <f>SUM(Month!H155:H157)</f>
        <v>139.65</v>
      </c>
      <c r="I57" s="246">
        <f>SUM(Month!I155:I157)</f>
        <v>534.22</v>
      </c>
      <c r="J57" s="246">
        <f>SUM(Month!J155:J157)</f>
        <v>5633.75</v>
      </c>
      <c r="K57" s="257">
        <f>SUM(Month!K155:K157)</f>
        <v>1708.02</v>
      </c>
      <c r="L57" s="256">
        <f>SUM(Month!L155:L157)</f>
        <v>579.36</v>
      </c>
      <c r="M57" s="246">
        <f>SUM(Month!M155:M157)</f>
        <v>2333.33</v>
      </c>
      <c r="N57" s="246">
        <f>SUM(Month!N155:N157)</f>
        <v>4416.5</v>
      </c>
      <c r="O57" s="246">
        <f>SUM(Month!O155:O157)</f>
        <v>2569.6</v>
      </c>
      <c r="P57" s="246">
        <f>SUM(Month!P155:P157)</f>
        <v>101.66</v>
      </c>
      <c r="Q57" s="256">
        <f>SUM(Month!Q155:Q157)</f>
        <v>431.81</v>
      </c>
    </row>
    <row r="58" spans="1:17" ht="12">
      <c r="A58" s="262">
        <v>2007</v>
      </c>
      <c r="B58" s="270" t="s">
        <v>73</v>
      </c>
      <c r="C58" s="342">
        <f>SUM(Month!C158:C160)</f>
        <v>21041.940000000002</v>
      </c>
      <c r="D58" s="344">
        <f>SUM(Month!D158:D160)</f>
        <v>1212.8</v>
      </c>
      <c r="E58" s="284">
        <f>SUM(Month!E158:E160)</f>
        <v>-130.22</v>
      </c>
      <c r="F58" s="326">
        <f>SUM(Month!F158:F160)</f>
        <v>19959.38</v>
      </c>
      <c r="G58" s="257">
        <f>SUM(Month!G158:G160)</f>
        <v>548.25</v>
      </c>
      <c r="H58" s="256">
        <f>SUM(Month!H158:H160)</f>
        <v>104.98</v>
      </c>
      <c r="I58" s="246">
        <f>SUM(Month!I158:I160)</f>
        <v>572.6999999999999</v>
      </c>
      <c r="J58" s="246">
        <f>SUM(Month!J158:J160)</f>
        <v>5654.429999999999</v>
      </c>
      <c r="K58" s="257">
        <f>SUM(Month!K158:K160)</f>
        <v>1915.5900000000001</v>
      </c>
      <c r="L58" s="256">
        <f>SUM(Month!L158:L160)</f>
        <v>420</v>
      </c>
      <c r="M58" s="246">
        <f>SUM(Month!M158:M160)</f>
        <v>2521.2200000000003</v>
      </c>
      <c r="N58" s="246">
        <f>SUM(Month!N158:N160)</f>
        <v>4509.17</v>
      </c>
      <c r="O58" s="246">
        <f>SUM(Month!O158:O160)</f>
        <v>2542.76</v>
      </c>
      <c r="P58" s="246">
        <f>SUM(Month!P158:P160)</f>
        <v>205</v>
      </c>
      <c r="Q58" s="256">
        <f>SUM(Month!Q158:Q160)</f>
        <v>486.31</v>
      </c>
    </row>
    <row r="59" spans="1:17" ht="12">
      <c r="A59" s="264">
        <v>2007</v>
      </c>
      <c r="B59" s="274" t="s">
        <v>74</v>
      </c>
      <c r="C59" s="266">
        <f>SUM(Month!C161:C163)</f>
        <v>20056.9</v>
      </c>
      <c r="D59" s="267">
        <f>SUM(Month!D161:D163)</f>
        <v>1185.3500000000001</v>
      </c>
      <c r="E59" s="283">
        <f>SUM(Month!E161:E163)</f>
        <v>-21.099999999999994</v>
      </c>
      <c r="F59" s="327">
        <f>SUM(Month!F161:F163)</f>
        <v>18892.65</v>
      </c>
      <c r="G59" s="282">
        <f>SUM(Month!G161:G163)</f>
        <v>503.17999999999995</v>
      </c>
      <c r="H59" s="283">
        <f>SUM(Month!H161:H163)</f>
        <v>112.07999999999998</v>
      </c>
      <c r="I59" s="267">
        <f>SUM(Month!I161:I163)</f>
        <v>687.53</v>
      </c>
      <c r="J59" s="267">
        <f>SUM(Month!J161:J163)</f>
        <v>5037.17</v>
      </c>
      <c r="K59" s="282">
        <f>SUM(Month!K161:K163)</f>
        <v>1382.01</v>
      </c>
      <c r="L59" s="283">
        <f>SUM(Month!L161:L163)</f>
        <v>952.1300000000001</v>
      </c>
      <c r="M59" s="267">
        <f>SUM(Month!M161:M163)</f>
        <v>2642.44</v>
      </c>
      <c r="N59" s="267">
        <f>SUM(Month!N161:N163)</f>
        <v>3766.21</v>
      </c>
      <c r="O59" s="267">
        <f>SUM(Month!O161:O163)</f>
        <v>2884.16</v>
      </c>
      <c r="P59" s="267">
        <f>SUM(Month!P161:P163)</f>
        <v>107.35000000000001</v>
      </c>
      <c r="Q59" s="283">
        <f>SUM(Month!Q161:Q163)</f>
        <v>379.28999999999996</v>
      </c>
    </row>
    <row r="60" spans="1:17" ht="12">
      <c r="A60" s="262">
        <v>2008</v>
      </c>
      <c r="B60" s="270" t="s">
        <v>71</v>
      </c>
      <c r="C60" s="342">
        <f>SUM(Month!C164:C166)</f>
        <v>19511.47</v>
      </c>
      <c r="D60" s="255">
        <f>SUM(Month!D164:D166)</f>
        <v>1176.03</v>
      </c>
      <c r="E60" s="256">
        <f>SUM(Month!E164:E166)</f>
        <v>246.64</v>
      </c>
      <c r="F60" s="326">
        <f>SUM(Month!F164:F166)</f>
        <v>18088.800000000003</v>
      </c>
      <c r="G60" s="257">
        <f>SUM(Month!G164:G166)</f>
        <v>555.4300000000001</v>
      </c>
      <c r="H60" s="256">
        <f>SUM(Month!H164:H166)</f>
        <v>93.58</v>
      </c>
      <c r="I60" s="246">
        <f>SUM(Month!I164:I166)</f>
        <v>828.38</v>
      </c>
      <c r="J60" s="246">
        <f>SUM(Month!J164:J166)</f>
        <v>4587.14</v>
      </c>
      <c r="K60" s="257">
        <f>SUM(Month!K164:K166)</f>
        <v>1298.54</v>
      </c>
      <c r="L60" s="256">
        <f>SUM(Month!L164:L166)</f>
        <v>1040.6399999999999</v>
      </c>
      <c r="M60" s="246">
        <f>SUM(Month!M164:M166)</f>
        <v>2600.06</v>
      </c>
      <c r="N60" s="246">
        <f>SUM(Month!N164:N166)</f>
        <v>3368.1900000000005</v>
      </c>
      <c r="O60" s="246">
        <f>SUM(Month!O164:O166)</f>
        <v>2828.85</v>
      </c>
      <c r="P60" s="246">
        <f>SUM(Month!P164:P166)</f>
        <v>135.07</v>
      </c>
      <c r="Q60" s="256">
        <f>SUM(Month!Q164:Q166)</f>
        <v>302.06</v>
      </c>
    </row>
    <row r="61" spans="1:17" ht="12">
      <c r="A61" s="262">
        <v>2008</v>
      </c>
      <c r="B61" s="270" t="s">
        <v>72</v>
      </c>
      <c r="C61" s="342">
        <f>SUM(Month!C167:C169)</f>
        <v>20732.32</v>
      </c>
      <c r="D61" s="255">
        <f>SUM(Month!D167:D169)</f>
        <v>1187.6599999999999</v>
      </c>
      <c r="E61" s="256">
        <f>SUM(Month!E167:E169)</f>
        <v>138.15</v>
      </c>
      <c r="F61" s="326">
        <f>SUM(Month!F167:F169)</f>
        <v>19406.5</v>
      </c>
      <c r="G61" s="257">
        <f>SUM(Month!G167:G169)</f>
        <v>660.16</v>
      </c>
      <c r="H61" s="256">
        <f>SUM(Month!H167:H169)</f>
        <v>87.37</v>
      </c>
      <c r="I61" s="246">
        <f>SUM(Month!I167:I169)</f>
        <v>728.86</v>
      </c>
      <c r="J61" s="246">
        <f>SUM(Month!J167:J169)</f>
        <v>4986.889999999999</v>
      </c>
      <c r="K61" s="257">
        <f>SUM(Month!K167:K169)</f>
        <v>1696.9100000000003</v>
      </c>
      <c r="L61" s="256">
        <f>SUM(Month!L167:L169)</f>
        <v>635.18</v>
      </c>
      <c r="M61" s="246">
        <f>SUM(Month!M167:M169)</f>
        <v>2554.82</v>
      </c>
      <c r="N61" s="246">
        <f>SUM(Month!N167:N169)</f>
        <v>4197.9400000000005</v>
      </c>
      <c r="O61" s="246">
        <f>SUM(Month!O167:O169)</f>
        <v>2930.88</v>
      </c>
      <c r="P61" s="246">
        <f>SUM(Month!P167:P169)</f>
        <v>135.91</v>
      </c>
      <c r="Q61" s="256">
        <f>SUM(Month!Q167:Q169)</f>
        <v>423.97</v>
      </c>
    </row>
    <row r="62" spans="1:17" ht="12">
      <c r="A62" s="262">
        <v>2008</v>
      </c>
      <c r="B62" s="270" t="s">
        <v>73</v>
      </c>
      <c r="C62" s="342">
        <f>SUM(Month!C170:C172)</f>
        <v>20899.38</v>
      </c>
      <c r="D62" s="255">
        <f>SUM(Month!D170:D172)</f>
        <v>1175.06</v>
      </c>
      <c r="E62" s="256">
        <f>SUM(Month!E170:E172)</f>
        <v>-18.810000000000002</v>
      </c>
      <c r="F62" s="326">
        <f>SUM(Month!F170:F172)</f>
        <v>19743.14</v>
      </c>
      <c r="G62" s="257">
        <f>SUM(Month!G170:G172)</f>
        <v>614.9200000000001</v>
      </c>
      <c r="H62" s="256">
        <f>SUM(Month!H170:H172)</f>
        <v>82.69</v>
      </c>
      <c r="I62" s="246">
        <f>SUM(Month!I170:I172)</f>
        <v>672.3299999999999</v>
      </c>
      <c r="J62" s="246">
        <f>SUM(Month!J170:J172)</f>
        <v>5016.98</v>
      </c>
      <c r="K62" s="257">
        <f>SUM(Month!K170:K172)</f>
        <v>2149.7799999999997</v>
      </c>
      <c r="L62" s="256">
        <f>SUM(Month!L170:L172)</f>
        <v>434.23</v>
      </c>
      <c r="M62" s="246">
        <f>SUM(Month!M170:M172)</f>
        <v>2755.3900000000003</v>
      </c>
      <c r="N62" s="246">
        <f>SUM(Month!N170:N172)</f>
        <v>4374.25</v>
      </c>
      <c r="O62" s="246">
        <f>SUM(Month!O170:O172)</f>
        <v>2445.24</v>
      </c>
      <c r="P62" s="246">
        <f>SUM(Month!P170:P172)</f>
        <v>148.25</v>
      </c>
      <c r="Q62" s="256">
        <f>SUM(Month!Q170:Q172)</f>
        <v>422.12</v>
      </c>
    </row>
    <row r="63" spans="1:17" ht="12">
      <c r="A63" s="264">
        <v>2008</v>
      </c>
      <c r="B63" s="274" t="s">
        <v>74</v>
      </c>
      <c r="C63" s="266">
        <f>SUM(Month!C173:C175)</f>
        <v>19890.43</v>
      </c>
      <c r="D63" s="267">
        <f>SUM(Month!D173:D175)</f>
        <v>1167.4299999999998</v>
      </c>
      <c r="E63" s="283">
        <f>SUM(Month!E173:E175)</f>
        <v>104.15</v>
      </c>
      <c r="F63" s="327">
        <f>SUM(Month!F173:F175)</f>
        <v>18618.85</v>
      </c>
      <c r="G63" s="282">
        <f>SUM(Month!G173:G175)</f>
        <v>419.99</v>
      </c>
      <c r="H63" s="283">
        <f>SUM(Month!H173:H175)</f>
        <v>105.07</v>
      </c>
      <c r="I63" s="267">
        <f>SUM(Month!I173:I175)</f>
        <v>430.69</v>
      </c>
      <c r="J63" s="267">
        <f>SUM(Month!J173:J175)</f>
        <v>4930.049999999999</v>
      </c>
      <c r="K63" s="282">
        <f>SUM(Month!K173:K175)</f>
        <v>1403.46</v>
      </c>
      <c r="L63" s="283">
        <f>SUM(Month!L173:L175)</f>
        <v>981.25</v>
      </c>
      <c r="M63" s="267">
        <f>SUM(Month!M173:M175)</f>
        <v>2655.94</v>
      </c>
      <c r="N63" s="267">
        <f>SUM(Month!N173:N175)</f>
        <v>4409.67</v>
      </c>
      <c r="O63" s="267">
        <f>SUM(Month!O173:O175)</f>
        <v>2278.44</v>
      </c>
      <c r="P63" s="267">
        <f>SUM(Month!P173:P175)</f>
        <v>94.86</v>
      </c>
      <c r="Q63" s="283">
        <f>SUM(Month!Q173:Q175)</f>
        <v>336.89</v>
      </c>
    </row>
    <row r="64" spans="1:17" ht="12">
      <c r="A64" s="262">
        <v>2009</v>
      </c>
      <c r="B64" s="270" t="s">
        <v>71</v>
      </c>
      <c r="C64" s="342">
        <f>SUM(Month!C176:C178)</f>
        <v>19721.440000000002</v>
      </c>
      <c r="D64" s="255">
        <f>SUM(Month!D176:D178)</f>
        <v>1150.1</v>
      </c>
      <c r="E64" s="256">
        <f>SUM(Month!E176:E178)</f>
        <v>254.99</v>
      </c>
      <c r="F64" s="326">
        <f>SUM(Month!F176:F178)</f>
        <v>18316.339999999997</v>
      </c>
      <c r="G64" s="257">
        <f>SUM(Month!G176:G178)</f>
        <v>516.9000000000001</v>
      </c>
      <c r="H64" s="256">
        <f>SUM(Month!H176:H178)</f>
        <v>110.56</v>
      </c>
      <c r="I64" s="246">
        <f>SUM(Month!I176:I178)</f>
        <v>853.98</v>
      </c>
      <c r="J64" s="246">
        <f>SUM(Month!J176:J178)</f>
        <v>4749.06</v>
      </c>
      <c r="K64" s="257">
        <f>SUM(Month!K176:K178)</f>
        <v>1316.55</v>
      </c>
      <c r="L64" s="256">
        <f>SUM(Month!L176:L178)</f>
        <v>1031.47</v>
      </c>
      <c r="M64" s="246">
        <f>SUM(Month!M176:M178)</f>
        <v>2621.69</v>
      </c>
      <c r="N64" s="246">
        <f>SUM(Month!N176:N178)</f>
        <v>3966.6100000000006</v>
      </c>
      <c r="O64" s="246">
        <f>SUM(Month!O176:O178)</f>
        <v>2326.93</v>
      </c>
      <c r="P64" s="246">
        <f>SUM(Month!P176:P178)</f>
        <v>81.11</v>
      </c>
      <c r="Q64" s="256">
        <f>SUM(Month!Q176:Q178)</f>
        <v>219.49</v>
      </c>
    </row>
    <row r="65" spans="1:17" ht="12">
      <c r="A65" s="262">
        <v>2009</v>
      </c>
      <c r="B65" s="270" t="s">
        <v>72</v>
      </c>
      <c r="C65" s="342">
        <f>SUM(Month!C179:C181)</f>
        <v>18326.09</v>
      </c>
      <c r="D65" s="255">
        <f>SUM(Month!D179:D181)</f>
        <v>1028.26</v>
      </c>
      <c r="E65" s="256">
        <f>SUM(Month!E179:E181)</f>
        <v>190.15</v>
      </c>
      <c r="F65" s="326">
        <f>SUM(Month!F179:F181)</f>
        <v>17107.7</v>
      </c>
      <c r="G65" s="257">
        <f>SUM(Month!G179:G181)</f>
        <v>609.76</v>
      </c>
      <c r="H65" s="256">
        <f>SUM(Month!H179:H181)</f>
        <v>100.46000000000001</v>
      </c>
      <c r="I65" s="246">
        <f>SUM(Month!I179:I181)</f>
        <v>560.94</v>
      </c>
      <c r="J65" s="246">
        <f>SUM(Month!J179:J181)</f>
        <v>4728.59</v>
      </c>
      <c r="K65" s="257">
        <f>SUM(Month!K179:K181)</f>
        <v>1577.21</v>
      </c>
      <c r="L65" s="256">
        <f>SUM(Month!L179:L181)</f>
        <v>492.44000000000005</v>
      </c>
      <c r="M65" s="246">
        <f>SUM(Month!M179:M181)</f>
        <v>2184.9800000000005</v>
      </c>
      <c r="N65" s="246">
        <f>SUM(Month!N179:N181)</f>
        <v>3998.9400000000005</v>
      </c>
      <c r="O65" s="246">
        <f>SUM(Month!O179:O181)</f>
        <v>1929.6</v>
      </c>
      <c r="P65" s="246">
        <f>SUM(Month!P179:P181)</f>
        <v>91.24</v>
      </c>
      <c r="Q65" s="256">
        <f>SUM(Month!Q179:Q181)</f>
        <v>376.85</v>
      </c>
    </row>
    <row r="66" spans="1:17" ht="12">
      <c r="A66" s="262">
        <v>2009</v>
      </c>
      <c r="B66" s="270" t="s">
        <v>73</v>
      </c>
      <c r="C66" s="342">
        <f>SUM(Month!C182:C184)</f>
        <v>19232.37</v>
      </c>
      <c r="D66" s="255">
        <f>SUM(Month!D182:D184)</f>
        <v>1042.76</v>
      </c>
      <c r="E66" s="256">
        <f>SUM(Month!E182:E184)</f>
        <v>54.88</v>
      </c>
      <c r="F66" s="326">
        <f>SUM(Month!F182:F184)</f>
        <v>18134.730000000003</v>
      </c>
      <c r="G66" s="257">
        <f>SUM(Month!G182:G184)</f>
        <v>506.11</v>
      </c>
      <c r="H66" s="256">
        <f>SUM(Month!H182:H184)</f>
        <v>119.28999999999999</v>
      </c>
      <c r="I66" s="246">
        <f>SUM(Month!I182:I184)</f>
        <v>516.4</v>
      </c>
      <c r="J66" s="246">
        <f>SUM(Month!J182:J184)</f>
        <v>4971.3099999999995</v>
      </c>
      <c r="K66" s="257">
        <f>SUM(Month!K182:K184)</f>
        <v>1813.9799999999998</v>
      </c>
      <c r="L66" s="256">
        <f>SUM(Month!L182:L184)</f>
        <v>456.78</v>
      </c>
      <c r="M66" s="246">
        <f>SUM(Month!M182:M184)</f>
        <v>2320.94</v>
      </c>
      <c r="N66" s="246">
        <f>SUM(Month!N182:N184)</f>
        <v>4212.72</v>
      </c>
      <c r="O66" s="246">
        <f>SUM(Month!O182:O184)</f>
        <v>2002.6999999999998</v>
      </c>
      <c r="P66" s="246">
        <f>SUM(Month!P182:P184)</f>
        <v>208.6</v>
      </c>
      <c r="Q66" s="256">
        <f>SUM(Month!Q182:Q184)</f>
        <v>433.21</v>
      </c>
    </row>
    <row r="67" spans="1:17" ht="12">
      <c r="A67" s="264">
        <v>2009</v>
      </c>
      <c r="B67" s="274" t="s">
        <v>74</v>
      </c>
      <c r="C67" s="266">
        <f>SUM(Month!C185:C187)</f>
        <v>18270.67</v>
      </c>
      <c r="D67" s="267">
        <f>SUM(Month!D185:D187)</f>
        <v>1083.06</v>
      </c>
      <c r="E67" s="283">
        <f>SUM(Month!E185:E187)</f>
        <v>223.00000000000003</v>
      </c>
      <c r="F67" s="327">
        <f>SUM(Month!F185:F187)</f>
        <v>16964.6</v>
      </c>
      <c r="G67" s="282">
        <f>SUM(Month!G185:G187)</f>
        <v>480.21</v>
      </c>
      <c r="H67" s="283">
        <f>SUM(Month!H185:H187)</f>
        <v>118.21000000000001</v>
      </c>
      <c r="I67" s="267">
        <f>SUM(Month!I185:I187)</f>
        <v>575.44</v>
      </c>
      <c r="J67" s="267">
        <f>SUM(Month!J185:J187)</f>
        <v>4735.45</v>
      </c>
      <c r="K67" s="282">
        <f>SUM(Month!K185:K187)</f>
        <v>1314</v>
      </c>
      <c r="L67" s="283">
        <f>SUM(Month!L185:L187)</f>
        <v>849.51</v>
      </c>
      <c r="M67" s="267">
        <f>SUM(Month!M185:M187)</f>
        <v>2359.48</v>
      </c>
      <c r="N67" s="267">
        <f>SUM(Month!N185:N187)</f>
        <v>3729.95</v>
      </c>
      <c r="O67" s="267">
        <f>SUM(Month!O185:O187)</f>
        <v>1783.94</v>
      </c>
      <c r="P67" s="267">
        <f>SUM(Month!P185:P187)</f>
        <v>148.82999999999998</v>
      </c>
      <c r="Q67" s="283">
        <f>SUM(Month!Q185:Q187)</f>
        <v>308.28999999999996</v>
      </c>
    </row>
    <row r="68" spans="1:17" ht="12">
      <c r="A68" s="262">
        <v>2010</v>
      </c>
      <c r="B68" s="270" t="s">
        <v>71</v>
      </c>
      <c r="C68" s="342">
        <f>SUM(Month!C188:C190)</f>
        <v>17570.58</v>
      </c>
      <c r="D68" s="255">
        <f>SUM(Month!D188:D190)</f>
        <v>941.6</v>
      </c>
      <c r="E68" s="256">
        <f>SUM(Month!E188:E190)</f>
        <v>357.20000000000005</v>
      </c>
      <c r="F68" s="326">
        <f>SUM(Month!F188:F190)</f>
        <v>16271.779999999999</v>
      </c>
      <c r="G68" s="257">
        <f>SUM(Month!G188:G190)</f>
        <v>456.47</v>
      </c>
      <c r="H68" s="256">
        <f>SUM(Month!H188:H190)</f>
        <v>136.09</v>
      </c>
      <c r="I68" s="246">
        <f>SUM(Month!I188:I190)</f>
        <v>835.34</v>
      </c>
      <c r="J68" s="246">
        <f>SUM(Month!J188:J190)</f>
        <v>4553.33</v>
      </c>
      <c r="K68" s="257">
        <f>SUM(Month!K188:K190)</f>
        <v>1195.7</v>
      </c>
      <c r="L68" s="256">
        <f>SUM(Month!L188:L190)</f>
        <v>962.4300000000001</v>
      </c>
      <c r="M68" s="246">
        <f>SUM(Month!M188:M190)</f>
        <v>2054.83</v>
      </c>
      <c r="N68" s="246">
        <f>SUM(Month!N188:N190)</f>
        <v>3445.86</v>
      </c>
      <c r="O68" s="246">
        <f>SUM(Month!O188:O190)</f>
        <v>1708.6200000000001</v>
      </c>
      <c r="P68" s="246">
        <f>SUM(Month!P188:P190)</f>
        <v>133.08999999999997</v>
      </c>
      <c r="Q68" s="256">
        <f>SUM(Month!Q188:Q190)</f>
        <v>182.32</v>
      </c>
    </row>
    <row r="69" spans="1:17" ht="12">
      <c r="A69" s="262">
        <v>2010</v>
      </c>
      <c r="B69" s="270" t="s">
        <v>72</v>
      </c>
      <c r="C69" s="342">
        <f>SUM(Month!C191:C193)</f>
        <v>18356.95</v>
      </c>
      <c r="D69" s="255">
        <f>SUM(Month!D191:D193)</f>
        <v>1094.58</v>
      </c>
      <c r="E69" s="256">
        <f>SUM(Month!E191:E193)</f>
        <v>213.29000000000002</v>
      </c>
      <c r="F69" s="326">
        <f>SUM(Month!F191:F193)</f>
        <v>17049.07</v>
      </c>
      <c r="G69" s="257">
        <f>SUM(Month!G191:G193)</f>
        <v>640.25</v>
      </c>
      <c r="H69" s="256">
        <f>SUM(Month!H191:H193)</f>
        <v>140.57999999999998</v>
      </c>
      <c r="I69" s="246">
        <f>SUM(Month!I191:I193)</f>
        <v>498.82</v>
      </c>
      <c r="J69" s="246">
        <f>SUM(Month!J191:J193)</f>
        <v>4716.25</v>
      </c>
      <c r="K69" s="257">
        <f>SUM(Month!K191:K193)</f>
        <v>1541.5900000000001</v>
      </c>
      <c r="L69" s="256">
        <f>SUM(Month!L191:L193)</f>
        <v>454.2900000000001</v>
      </c>
      <c r="M69" s="246">
        <f>SUM(Month!M191:M193)</f>
        <v>2461.24</v>
      </c>
      <c r="N69" s="246">
        <f>SUM(Month!N191:N193)</f>
        <v>3852.6899999999996</v>
      </c>
      <c r="O69" s="246">
        <f>SUM(Month!O191:O193)</f>
        <v>1693.42</v>
      </c>
      <c r="P69" s="246">
        <f>SUM(Month!P191:P193)</f>
        <v>47.53</v>
      </c>
      <c r="Q69" s="256">
        <f>SUM(Month!Q191:Q193)</f>
        <v>375.37</v>
      </c>
    </row>
    <row r="70" spans="1:17" ht="12">
      <c r="A70" s="262">
        <v>2010</v>
      </c>
      <c r="B70" s="270" t="s">
        <v>73</v>
      </c>
      <c r="C70" s="342">
        <f>SUM(Month!C194:C196)</f>
        <v>18890.95</v>
      </c>
      <c r="D70" s="255">
        <f>SUM(Month!D194:D196)</f>
        <v>1173.46</v>
      </c>
      <c r="E70" s="256">
        <f>SUM(Month!E194:E196)</f>
        <v>-50.31999999999999</v>
      </c>
      <c r="F70" s="326">
        <f>SUM(Month!F194:F196)</f>
        <v>17767.809999999998</v>
      </c>
      <c r="G70" s="257">
        <f>SUM(Month!G194:G196)</f>
        <v>584.88</v>
      </c>
      <c r="H70" s="256">
        <f>SUM(Month!H194:H196)</f>
        <v>133.11</v>
      </c>
      <c r="I70" s="246">
        <f>SUM(Month!I194:I196)</f>
        <v>508.64</v>
      </c>
      <c r="J70" s="246">
        <f>SUM(Month!J194:J196)</f>
        <v>4868.679999999999</v>
      </c>
      <c r="K70" s="257">
        <f>SUM(Month!K194:K196)</f>
        <v>1735.29</v>
      </c>
      <c r="L70" s="256">
        <f>SUM(Month!L194:L196)</f>
        <v>424.36</v>
      </c>
      <c r="M70" s="246">
        <f>SUM(Month!M194:M196)</f>
        <v>2505.7200000000003</v>
      </c>
      <c r="N70" s="246">
        <f>SUM(Month!N194:N196)</f>
        <v>4102.72</v>
      </c>
      <c r="O70" s="246">
        <f>SUM(Month!O194:O196)</f>
        <v>1809.1599999999999</v>
      </c>
      <c r="P70" s="246">
        <f>SUM(Month!P194:P196)</f>
        <v>103.10000000000001</v>
      </c>
      <c r="Q70" s="256">
        <f>SUM(Month!Q194:Q196)</f>
        <v>405.93999999999994</v>
      </c>
    </row>
    <row r="71" spans="1:17" ht="12">
      <c r="A71" s="264">
        <v>2010</v>
      </c>
      <c r="B71" s="274" t="s">
        <v>74</v>
      </c>
      <c r="C71" s="266">
        <f>SUM(Month!C197:C199)</f>
        <v>18724.36</v>
      </c>
      <c r="D71" s="267">
        <f>SUM(Month!D197:D199)</f>
        <v>1168.19</v>
      </c>
      <c r="E71" s="283">
        <f>SUM(Month!E197:E199)</f>
        <v>45.589999999999996</v>
      </c>
      <c r="F71" s="327">
        <f>SUM(Month!F197:F199)</f>
        <v>17510.579999999998</v>
      </c>
      <c r="G71" s="282">
        <f>SUM(Month!G197:G199)</f>
        <v>565.4300000000001</v>
      </c>
      <c r="H71" s="283">
        <f>SUM(Month!H197:H199)</f>
        <v>107.86000000000001</v>
      </c>
      <c r="I71" s="267">
        <f>SUM(Month!I197:I199)</f>
        <v>597.3199999999999</v>
      </c>
      <c r="J71" s="267">
        <f>SUM(Month!J197:J199)</f>
        <v>4935.83</v>
      </c>
      <c r="K71" s="282">
        <f>SUM(Month!K197:K199)</f>
        <v>1308.14</v>
      </c>
      <c r="L71" s="283">
        <f>SUM(Month!L197:L199)</f>
        <v>728.57</v>
      </c>
      <c r="M71" s="267">
        <f>SUM(Month!M197:M199)</f>
        <v>2482.96</v>
      </c>
      <c r="N71" s="267">
        <f>SUM(Month!N197:N199)</f>
        <v>3931.1</v>
      </c>
      <c r="O71" s="267">
        <f>SUM(Month!O197:O199)</f>
        <v>1792.93</v>
      </c>
      <c r="P71" s="267">
        <f>SUM(Month!P197:P199)</f>
        <v>128.74</v>
      </c>
      <c r="Q71" s="283">
        <f>SUM(Month!Q197:Q199)</f>
        <v>312.78</v>
      </c>
    </row>
    <row r="72" spans="1:17" ht="12">
      <c r="A72" s="262">
        <v>2011</v>
      </c>
      <c r="B72" s="270" t="s">
        <v>71</v>
      </c>
      <c r="C72" s="342">
        <f>SUM(Month!C200:C202)</f>
        <v>18206.03</v>
      </c>
      <c r="D72" s="255">
        <f>SUM(Month!D200:D202)</f>
        <v>1142.31</v>
      </c>
      <c r="E72" s="256">
        <f>SUM(Month!E200:E202)</f>
        <v>144.98999999999998</v>
      </c>
      <c r="F72" s="326">
        <f>SUM(Month!F200:F202)</f>
        <v>16918.74</v>
      </c>
      <c r="G72" s="257">
        <f>SUM(Month!G200:G202)</f>
        <v>586.74</v>
      </c>
      <c r="H72" s="256">
        <f>SUM(Month!H200:H202)</f>
        <v>93.59</v>
      </c>
      <c r="I72" s="246">
        <f>SUM(Month!I200:I202)</f>
        <v>851.8599999999999</v>
      </c>
      <c r="J72" s="246">
        <f>SUM(Month!J200:J202)</f>
        <v>4304.7</v>
      </c>
      <c r="K72" s="257">
        <f>SUM(Month!K200:K202)</f>
        <v>1311.26</v>
      </c>
      <c r="L72" s="256">
        <f>SUM(Month!L200:L202)</f>
        <v>742.1199999999999</v>
      </c>
      <c r="M72" s="246">
        <f>SUM(Month!M200:M202)</f>
        <v>2128.8199999999997</v>
      </c>
      <c r="N72" s="246">
        <f>SUM(Month!N200:N202)</f>
        <v>3992.66</v>
      </c>
      <c r="O72" s="246">
        <f>SUM(Month!O200:O202)</f>
        <v>1988.0700000000002</v>
      </c>
      <c r="P72" s="246">
        <f>SUM(Month!P200:P202)</f>
        <v>97.43</v>
      </c>
      <c r="Q72" s="256">
        <f>SUM(Month!Q200:Q202)</f>
        <v>303.88</v>
      </c>
    </row>
    <row r="73" spans="1:17" ht="12">
      <c r="A73" s="262">
        <v>2011</v>
      </c>
      <c r="B73" s="270" t="s">
        <v>72</v>
      </c>
      <c r="C73" s="342">
        <f>SUM(Month!C203:C205)</f>
        <v>19301.58</v>
      </c>
      <c r="D73" s="255">
        <f>SUM(Month!D203:D205)</f>
        <v>1196.91</v>
      </c>
      <c r="E73" s="256">
        <f>SUM(Month!E203:E205)</f>
        <v>77.61</v>
      </c>
      <c r="F73" s="326">
        <f>SUM(Month!F203:F205)</f>
        <v>18027.06</v>
      </c>
      <c r="G73" s="257">
        <f>SUM(Month!G203:G205)</f>
        <v>749.45</v>
      </c>
      <c r="H73" s="256">
        <f>SUM(Month!H203:H205)</f>
        <v>117.63</v>
      </c>
      <c r="I73" s="246">
        <f>SUM(Month!I203:I205)</f>
        <v>576.25</v>
      </c>
      <c r="J73" s="246">
        <f>SUM(Month!J203:J205)</f>
        <v>4767.59</v>
      </c>
      <c r="K73" s="257">
        <f>SUM(Month!K203:K205)</f>
        <v>1762.92</v>
      </c>
      <c r="L73" s="256">
        <f>SUM(Month!L203:L205)</f>
        <v>418.02000000000004</v>
      </c>
      <c r="M73" s="246">
        <f>SUM(Month!M203:M205)</f>
        <v>2152.8</v>
      </c>
      <c r="N73" s="246">
        <f>SUM(Month!N203:N205)</f>
        <v>4328.18</v>
      </c>
      <c r="O73" s="246">
        <f>SUM(Month!O203:O205)</f>
        <v>2070.0499999999997</v>
      </c>
      <c r="P73" s="246">
        <f>SUM(Month!P203:P205)</f>
        <v>116.15</v>
      </c>
      <c r="Q73" s="256">
        <f>SUM(Month!Q203:Q205)</f>
        <v>395.04999999999995</v>
      </c>
    </row>
    <row r="74" spans="1:17" ht="12">
      <c r="A74" s="262">
        <v>2011</v>
      </c>
      <c r="B74" s="270" t="s">
        <v>73</v>
      </c>
      <c r="C74" s="342">
        <f>SUM(Month!C206:C208)</f>
        <v>19396.92</v>
      </c>
      <c r="D74" s="255">
        <f>SUM(Month!D206:D208)</f>
        <v>1175.3600000000001</v>
      </c>
      <c r="E74" s="256">
        <f>SUM(Month!E206:E208)</f>
        <v>96</v>
      </c>
      <c r="F74" s="326">
        <f>SUM(Month!F206:F208)</f>
        <v>18125.58</v>
      </c>
      <c r="G74" s="257">
        <f>SUM(Month!G206:G208)</f>
        <v>720.65</v>
      </c>
      <c r="H74" s="256">
        <f>SUM(Month!H206:H208)</f>
        <v>119.31</v>
      </c>
      <c r="I74" s="246">
        <f>SUM(Month!I206:I208)</f>
        <v>552.78</v>
      </c>
      <c r="J74" s="246">
        <f>SUM(Month!J206:J208)</f>
        <v>4836.41</v>
      </c>
      <c r="K74" s="257">
        <f>SUM(Month!K206:K208)</f>
        <v>1922.44</v>
      </c>
      <c r="L74" s="256">
        <f>SUM(Month!L206:L208)</f>
        <v>469.5</v>
      </c>
      <c r="M74" s="246">
        <f>SUM(Month!M206:M208)</f>
        <v>2381.64</v>
      </c>
      <c r="N74" s="246">
        <f>SUM(Month!N206:N208)</f>
        <v>4238.13</v>
      </c>
      <c r="O74" s="246">
        <f>SUM(Month!O206:O208)</f>
        <v>1806.98</v>
      </c>
      <c r="P74" s="246">
        <f>SUM(Month!P206:P208)</f>
        <v>109.46</v>
      </c>
      <c r="Q74" s="256">
        <f>SUM(Month!Q206:Q208)</f>
        <v>421.6</v>
      </c>
    </row>
    <row r="75" spans="1:17" ht="12">
      <c r="A75" s="264">
        <v>2011</v>
      </c>
      <c r="B75" s="274" t="s">
        <v>74</v>
      </c>
      <c r="C75" s="266">
        <f>SUM(Month!C209:C211)</f>
        <v>18175.739999999998</v>
      </c>
      <c r="D75" s="267">
        <f>SUM(Month!D209:D211)</f>
        <v>1071.19</v>
      </c>
      <c r="E75" s="283">
        <f>SUM(Month!E209:E211)</f>
        <v>54.260000000000005</v>
      </c>
      <c r="F75" s="327">
        <f>SUM(Month!F209:F211)</f>
        <v>17050.309999999998</v>
      </c>
      <c r="G75" s="282">
        <f>SUM(Month!G209:G211)</f>
        <v>541.5</v>
      </c>
      <c r="H75" s="283">
        <f>SUM(Month!H209:H211)</f>
        <v>103.38000000000001</v>
      </c>
      <c r="I75" s="267">
        <f>SUM(Month!I209:I211)</f>
        <v>544.7</v>
      </c>
      <c r="J75" s="267">
        <f>SUM(Month!J209:J211)</f>
        <v>4914.049999999999</v>
      </c>
      <c r="K75" s="282">
        <f>SUM(Month!K209:K211)</f>
        <v>1414.82</v>
      </c>
      <c r="L75" s="283">
        <f>SUM(Month!L209:L211)</f>
        <v>747.48</v>
      </c>
      <c r="M75" s="267">
        <f>SUM(Month!M209:M211)</f>
        <v>2020.21</v>
      </c>
      <c r="N75" s="267">
        <f>SUM(Month!N209:N211)</f>
        <v>4241.5199999999995</v>
      </c>
      <c r="O75" s="267">
        <f>SUM(Month!O209:O211)</f>
        <v>1566.41</v>
      </c>
      <c r="P75" s="267">
        <f>SUM(Month!P209:P211)</f>
        <v>107.25</v>
      </c>
      <c r="Q75" s="283">
        <f>SUM(Month!Q209:Q211)</f>
        <v>355.33</v>
      </c>
    </row>
    <row r="76" spans="1:17" ht="12">
      <c r="A76" s="262">
        <v>2012</v>
      </c>
      <c r="B76" s="270" t="s">
        <v>71</v>
      </c>
      <c r="C76" s="342">
        <f>SUM(Month!C212:C214)</f>
        <v>19452.3</v>
      </c>
      <c r="D76" s="255">
        <f>SUM(Month!D212:D214)</f>
        <v>1229.5500000000002</v>
      </c>
      <c r="E76" s="256">
        <f>SUM(Month!E212:E214)</f>
        <v>104.74</v>
      </c>
      <c r="F76" s="326">
        <f>SUM(Month!F212:F214)</f>
        <v>18118.02</v>
      </c>
      <c r="G76" s="257">
        <f>SUM(Month!G212:G214)</f>
        <v>645.02</v>
      </c>
      <c r="H76" s="256">
        <f>SUM(Month!H212:H214)</f>
        <v>66.07</v>
      </c>
      <c r="I76" s="246">
        <f>SUM(Month!I212:I214)</f>
        <v>661.5</v>
      </c>
      <c r="J76" s="246">
        <f>SUM(Month!J212:J214)</f>
        <v>5180.67</v>
      </c>
      <c r="K76" s="257">
        <f>SUM(Month!K212:K214)</f>
        <v>1493.08</v>
      </c>
      <c r="L76" s="256">
        <f>SUM(Month!L212:L214)</f>
        <v>670.01</v>
      </c>
      <c r="M76" s="246">
        <f>SUM(Month!M212:M214)</f>
        <v>2429</v>
      </c>
      <c r="N76" s="246">
        <f>SUM(Month!N212:N214)</f>
        <v>4239.24</v>
      </c>
      <c r="O76" s="246">
        <f>SUM(Month!O212:O214)</f>
        <v>1797.12</v>
      </c>
      <c r="P76" s="246">
        <f>SUM(Month!P212:P214)</f>
        <v>118.73000000000002</v>
      </c>
      <c r="Q76" s="256">
        <f>SUM(Month!Q212:Q214)</f>
        <v>303.14</v>
      </c>
    </row>
    <row r="77" spans="1:17" ht="12">
      <c r="A77" s="262">
        <v>2012</v>
      </c>
      <c r="B77" s="270" t="s">
        <v>72</v>
      </c>
      <c r="C77" s="342">
        <f>SUM(Month!C215:C217)</f>
        <v>19138.75</v>
      </c>
      <c r="D77" s="255">
        <f>SUM(Month!D215:D217)</f>
        <v>1170.34</v>
      </c>
      <c r="E77" s="256">
        <f>SUM(Month!E215:E217)</f>
        <v>68.27</v>
      </c>
      <c r="F77" s="326">
        <f>SUM(Month!F215:F217)</f>
        <v>17900.129999999997</v>
      </c>
      <c r="G77" s="257">
        <f>SUM(Month!G215:G217)</f>
        <v>751.13</v>
      </c>
      <c r="H77" s="256">
        <f>SUM(Month!H215:H217)</f>
        <v>71.31</v>
      </c>
      <c r="I77" s="246">
        <f>SUM(Month!I215:I217)</f>
        <v>627.38</v>
      </c>
      <c r="J77" s="246">
        <f>SUM(Month!J215:J217)</f>
        <v>5017.25</v>
      </c>
      <c r="K77" s="257">
        <f>SUM(Month!K215:K217)</f>
        <v>1759.88</v>
      </c>
      <c r="L77" s="256">
        <f>SUM(Month!L215:L217)</f>
        <v>448.05</v>
      </c>
      <c r="M77" s="246">
        <f>SUM(Month!M215:M217)</f>
        <v>2402.67</v>
      </c>
      <c r="N77" s="246">
        <f>SUM(Month!N215:N217)</f>
        <v>3988.05</v>
      </c>
      <c r="O77" s="246">
        <f>SUM(Month!O215:O217)</f>
        <v>1972.5800000000002</v>
      </c>
      <c r="P77" s="246">
        <f>SUM(Month!P215:P217)</f>
        <v>91.05000000000001</v>
      </c>
      <c r="Q77" s="256">
        <f>SUM(Month!Q215:Q217)</f>
        <v>299.74</v>
      </c>
    </row>
    <row r="78" spans="1:17" ht="12">
      <c r="A78" s="262">
        <v>2012</v>
      </c>
      <c r="B78" s="270" t="s">
        <v>73</v>
      </c>
      <c r="C78" s="342">
        <f>SUM(Month!C218:C220)</f>
        <v>18193.47</v>
      </c>
      <c r="D78" s="255">
        <f>SUM(Month!D218:D220)</f>
        <v>1080.01</v>
      </c>
      <c r="E78" s="256">
        <f>SUM(Month!E218:E220)</f>
        <v>1.7599999999999998</v>
      </c>
      <c r="F78" s="326">
        <f>SUM(Month!F218:F220)</f>
        <v>17111.699999999997</v>
      </c>
      <c r="G78" s="257">
        <f>SUM(Month!G218:G220)</f>
        <v>693.5100000000001</v>
      </c>
      <c r="H78" s="256">
        <f>SUM(Month!H218:H220)</f>
        <v>86.7</v>
      </c>
      <c r="I78" s="246">
        <f>SUM(Month!I218:I220)</f>
        <v>554.25</v>
      </c>
      <c r="J78" s="246">
        <f>SUM(Month!J218:J220)</f>
        <v>4693.85</v>
      </c>
      <c r="K78" s="257">
        <f>SUM(Month!K218:K220)</f>
        <v>1532.52</v>
      </c>
      <c r="L78" s="256">
        <f>SUM(Month!L218:L220)</f>
        <v>454.88</v>
      </c>
      <c r="M78" s="246">
        <f>SUM(Month!M218:M220)</f>
        <v>2300.95</v>
      </c>
      <c r="N78" s="246">
        <f>SUM(Month!N218:N220)</f>
        <v>4068.1</v>
      </c>
      <c r="O78" s="246">
        <f>SUM(Month!O218:O220)</f>
        <v>1717.11</v>
      </c>
      <c r="P78" s="246">
        <f>SUM(Month!P218:P220)</f>
        <v>135.16</v>
      </c>
      <c r="Q78" s="256">
        <f>SUM(Month!Q218:Q220)</f>
        <v>367.47</v>
      </c>
    </row>
    <row r="79" spans="1:17" ht="12">
      <c r="A79" s="264">
        <v>2012</v>
      </c>
      <c r="B79" s="274" t="s">
        <v>74</v>
      </c>
      <c r="C79" s="266">
        <f>SUM(Month!C221:C223)</f>
        <v>15054.59</v>
      </c>
      <c r="D79" s="267">
        <f>SUM(Month!D221:D223)</f>
        <v>819.24</v>
      </c>
      <c r="E79" s="283">
        <f>SUM(Month!E221:E223)</f>
        <v>34.419999999999995</v>
      </c>
      <c r="F79" s="327">
        <f>SUM(Month!F221:F223)</f>
        <v>14200.93</v>
      </c>
      <c r="G79" s="282">
        <f>SUM(Month!G221:G223)</f>
        <v>422.41999999999996</v>
      </c>
      <c r="H79" s="283">
        <f>SUM(Month!H221:H223)</f>
        <v>60.69</v>
      </c>
      <c r="I79" s="267">
        <f>SUM(Month!I221:I223)</f>
        <v>485.06</v>
      </c>
      <c r="J79" s="267">
        <f>SUM(Month!J221:J223)</f>
        <v>3758.5</v>
      </c>
      <c r="K79" s="282">
        <f>SUM(Month!K221:K223)</f>
        <v>989.8700000000001</v>
      </c>
      <c r="L79" s="283">
        <f>SUM(Month!L221:L223)</f>
        <v>694.59</v>
      </c>
      <c r="M79" s="267">
        <f>SUM(Month!M221:M223)</f>
        <v>1807.9499999999998</v>
      </c>
      <c r="N79" s="267">
        <f>SUM(Month!N221:N223)</f>
        <v>3476.1000000000004</v>
      </c>
      <c r="O79" s="267">
        <f>SUM(Month!O221:O223)</f>
        <v>1671.13</v>
      </c>
      <c r="P79" s="267">
        <f>SUM(Month!P221:P223)</f>
        <v>112.38</v>
      </c>
      <c r="Q79" s="283">
        <f>SUM(Month!Q221:Q223)</f>
        <v>251.48000000000002</v>
      </c>
    </row>
    <row r="80" spans="1:17" ht="12">
      <c r="A80" s="262">
        <v>2013</v>
      </c>
      <c r="B80" s="270" t="s">
        <v>71</v>
      </c>
      <c r="C80" s="342">
        <f>SUM(Month!C224:C226)</f>
        <v>16671.010000000002</v>
      </c>
      <c r="D80" s="255">
        <f>SUM(Month!D224:D226)</f>
        <v>930.06</v>
      </c>
      <c r="E80" s="256">
        <f>SUM(Month!E224:E226)</f>
        <v>109.1</v>
      </c>
      <c r="F80" s="326">
        <f>SUM(Month!F224:F226)</f>
        <v>15631.84</v>
      </c>
      <c r="G80" s="257">
        <f>SUM(Month!G224:G226)</f>
        <v>597.0799999999999</v>
      </c>
      <c r="H80" s="256">
        <f>SUM(Month!H224:H226)</f>
        <v>98.1</v>
      </c>
      <c r="I80" s="246">
        <f>SUM(Month!I224:I226)</f>
        <v>549.47</v>
      </c>
      <c r="J80" s="246">
        <f>SUM(Month!J224:J226)</f>
        <v>4455.4400000000005</v>
      </c>
      <c r="K80" s="257">
        <f>SUM(Month!K224:K226)</f>
        <v>1043.0700000000002</v>
      </c>
      <c r="L80" s="256">
        <f>SUM(Month!L224:L226)</f>
        <v>907.62</v>
      </c>
      <c r="M80" s="246">
        <f>SUM(Month!M224:M226)</f>
        <v>2051.77</v>
      </c>
      <c r="N80" s="246">
        <f>SUM(Month!N224:N226)</f>
        <v>3647.7699999999995</v>
      </c>
      <c r="O80" s="246">
        <f>SUM(Month!O224:O226)</f>
        <v>1572.3</v>
      </c>
      <c r="P80" s="246">
        <f>SUM(Month!P224:P226)</f>
        <v>85.65</v>
      </c>
      <c r="Q80" s="256">
        <f>SUM(Month!Q224:Q226)</f>
        <v>158.7</v>
      </c>
    </row>
    <row r="81" spans="1:18" ht="12">
      <c r="A81" s="262">
        <v>2013</v>
      </c>
      <c r="B81" s="270" t="s">
        <v>72</v>
      </c>
      <c r="C81" s="342">
        <f>SUM(Month!C227:C229)</f>
        <v>17391.9</v>
      </c>
      <c r="D81" s="255">
        <f>SUM(Month!D227:D229)</f>
        <v>998.19</v>
      </c>
      <c r="E81" s="256">
        <f>SUM(Month!E227:E229)</f>
        <v>164.8</v>
      </c>
      <c r="F81" s="326">
        <f>SUM(Month!F227:F229)</f>
        <v>16228.91</v>
      </c>
      <c r="G81" s="257">
        <f>SUM(Month!G227:G229)</f>
        <v>707.34</v>
      </c>
      <c r="H81" s="256">
        <f>SUM(Month!H227:H229)</f>
        <v>94.06</v>
      </c>
      <c r="I81" s="246">
        <f>SUM(Month!I227:I229)</f>
        <v>494.65000000000003</v>
      </c>
      <c r="J81" s="246">
        <f>SUM(Month!J227:J229)</f>
        <v>4576.31</v>
      </c>
      <c r="K81" s="257">
        <f>SUM(Month!K227:K229)</f>
        <v>1242.56</v>
      </c>
      <c r="L81" s="256">
        <f>SUM(Month!L227:L229)</f>
        <v>672.51</v>
      </c>
      <c r="M81" s="246">
        <f>SUM(Month!M227:M229)</f>
        <v>2072.63</v>
      </c>
      <c r="N81" s="246">
        <f>SUM(Month!N227:N229)</f>
        <v>4017.73</v>
      </c>
      <c r="O81" s="246">
        <f>SUM(Month!O227:O229)</f>
        <v>1646.7800000000002</v>
      </c>
      <c r="P81" s="246">
        <f>SUM(Month!P227:P229)</f>
        <v>99.88000000000001</v>
      </c>
      <c r="Q81" s="256">
        <f>SUM(Month!Q227:Q229)</f>
        <v>194.5</v>
      </c>
      <c r="R81" s="142"/>
    </row>
    <row r="82" spans="1:17" ht="12">
      <c r="A82" s="262">
        <v>2013</v>
      </c>
      <c r="B82" s="270" t="s">
        <v>73</v>
      </c>
      <c r="C82" s="342">
        <f>SUM(Month!C230:C232)</f>
        <v>16969.48</v>
      </c>
      <c r="D82" s="255">
        <f>SUM(Month!D230:D232)</f>
        <v>998.5200000000001</v>
      </c>
      <c r="E82" s="256">
        <f>SUM(Month!E230:E232)</f>
        <v>142.4</v>
      </c>
      <c r="F82" s="326">
        <f>SUM(Month!F230:F232)</f>
        <v>15828.56</v>
      </c>
      <c r="G82" s="257">
        <f>SUM(Month!G230:G232)</f>
        <v>608.55</v>
      </c>
      <c r="H82" s="256">
        <f>SUM(Month!H230:H232)</f>
        <v>92.66</v>
      </c>
      <c r="I82" s="246">
        <f>SUM(Month!I230:I232)</f>
        <v>371.68999999999994</v>
      </c>
      <c r="J82" s="246">
        <f>SUM(Month!J230:J232)</f>
        <v>4645.67</v>
      </c>
      <c r="K82" s="257">
        <f>SUM(Month!K230:K232)</f>
        <v>1389.1699999999998</v>
      </c>
      <c r="L82" s="256">
        <f>SUM(Month!L230:L232)</f>
        <v>494.03999999999996</v>
      </c>
      <c r="M82" s="246">
        <f>SUM(Month!M230:M232)</f>
        <v>2105.83</v>
      </c>
      <c r="N82" s="246">
        <f>SUM(Month!N230:N232)</f>
        <v>3922.24</v>
      </c>
      <c r="O82" s="246">
        <f>SUM(Month!O230:O232)</f>
        <v>1449.81</v>
      </c>
      <c r="P82" s="246">
        <f>SUM(Month!P230:P232)</f>
        <v>83.58</v>
      </c>
      <c r="Q82" s="256">
        <f>SUM(Month!Q230:Q232)</f>
        <v>259.08</v>
      </c>
    </row>
    <row r="83" spans="1:17" ht="12">
      <c r="A83" s="264">
        <v>2013</v>
      </c>
      <c r="B83" s="274" t="s">
        <v>74</v>
      </c>
      <c r="C83" s="266">
        <f>SUM(Month!C233:C235)</f>
        <v>14939.5</v>
      </c>
      <c r="D83" s="267">
        <f>SUM(Month!D233:D235)</f>
        <v>832.11</v>
      </c>
      <c r="E83" s="283">
        <f>SUM(Month!E233:E235)</f>
        <v>158.60999999999999</v>
      </c>
      <c r="F83" s="327">
        <f>SUM(Month!F233:F235)</f>
        <v>13948.779999999999</v>
      </c>
      <c r="G83" s="282">
        <f>SUM(Month!G233:G235)</f>
        <v>413.29999999999995</v>
      </c>
      <c r="H83" s="283">
        <f>SUM(Month!H233:H235)</f>
        <v>66.82</v>
      </c>
      <c r="I83" s="267">
        <f>SUM(Month!I233:I235)</f>
        <v>597.42</v>
      </c>
      <c r="J83" s="267">
        <f>SUM(Month!J233:J235)</f>
        <v>4013.83</v>
      </c>
      <c r="K83" s="282">
        <f>SUM(Month!K233:K235)</f>
        <v>852.26</v>
      </c>
      <c r="L83" s="283">
        <f>SUM(Month!L233:L235)</f>
        <v>631.1800000000001</v>
      </c>
      <c r="M83" s="267">
        <f>SUM(Month!M233:M235)</f>
        <v>1963.13</v>
      </c>
      <c r="N83" s="267">
        <f>SUM(Month!N233:N235)</f>
        <v>3242.89</v>
      </c>
      <c r="O83" s="267">
        <f>SUM(Month!O233:O235)</f>
        <v>1560.73</v>
      </c>
      <c r="P83" s="267">
        <f>SUM(Month!P233:P235)</f>
        <v>118.13</v>
      </c>
      <c r="Q83" s="283">
        <f>SUM(Month!Q233:Q235)</f>
        <v>164.35</v>
      </c>
    </row>
    <row r="84" spans="1:17" ht="12">
      <c r="A84" s="262">
        <v>2014</v>
      </c>
      <c r="B84" s="270" t="s">
        <v>71</v>
      </c>
      <c r="C84" s="342">
        <f>SUM(Month!C236:C238)</f>
        <v>15517.210000000001</v>
      </c>
      <c r="D84" s="255">
        <f>SUM(Month!D236:D238)</f>
        <v>843.76</v>
      </c>
      <c r="E84" s="256">
        <f>SUM(Month!E236:E238)</f>
        <v>110.62</v>
      </c>
      <c r="F84" s="326">
        <f>SUM(Month!F236:F238)</f>
        <v>14562.82</v>
      </c>
      <c r="G84" s="257">
        <f>SUM(Month!G236:G238)</f>
        <v>526.91</v>
      </c>
      <c r="H84" s="256">
        <f>SUM(Month!H236:H238)</f>
        <v>86.85000000000001</v>
      </c>
      <c r="I84" s="246">
        <f>SUM(Month!I236:I238)</f>
        <v>633</v>
      </c>
      <c r="J84" s="246">
        <f>SUM(Month!J236:J238)</f>
        <v>4294.83</v>
      </c>
      <c r="K84" s="257">
        <f>SUM(Month!K236:K238)</f>
        <v>967.14</v>
      </c>
      <c r="L84" s="256">
        <f>SUM(Month!L236:L238)</f>
        <v>756.45</v>
      </c>
      <c r="M84" s="246">
        <f>SUM(Month!M236:M238)</f>
        <v>1929.9</v>
      </c>
      <c r="N84" s="246">
        <f>SUM(Month!N236:N238)</f>
        <v>3406.8100000000004</v>
      </c>
      <c r="O84" s="246">
        <f>SUM(Month!O236:O238)</f>
        <v>1281.31</v>
      </c>
      <c r="P84" s="246">
        <f>SUM(Month!P236:P238)</f>
        <v>104.44</v>
      </c>
      <c r="Q84" s="256">
        <f>SUM(Month!Q236:Q238)</f>
        <v>198.76</v>
      </c>
    </row>
    <row r="85" spans="1:17" ht="12">
      <c r="A85" s="262">
        <v>2014</v>
      </c>
      <c r="B85" s="270" t="s">
        <v>72</v>
      </c>
      <c r="C85" s="342">
        <f>SUM(Month!C239:C241)</f>
        <v>15134.49</v>
      </c>
      <c r="D85" s="255">
        <f>SUM(Month!D239:D241)</f>
        <v>791.36</v>
      </c>
      <c r="E85" s="256">
        <f>SUM(Month!E239:E241)</f>
        <v>173.87</v>
      </c>
      <c r="F85" s="326">
        <f>SUM(Month!F239:F241)</f>
        <v>14169.259999999998</v>
      </c>
      <c r="G85" s="257">
        <f>SUM(Month!G239:G241)</f>
        <v>594.71</v>
      </c>
      <c r="H85" s="256">
        <f>SUM(Month!H239:H241)</f>
        <v>97.44999999999999</v>
      </c>
      <c r="I85" s="246">
        <f>SUM(Month!I239:I241)</f>
        <v>470.54999999999995</v>
      </c>
      <c r="J85" s="246">
        <f>SUM(Month!J239:J241)</f>
        <v>4001.16</v>
      </c>
      <c r="K85" s="257">
        <f>SUM(Month!K239:K241)</f>
        <v>1147.84</v>
      </c>
      <c r="L85" s="256">
        <f>SUM(Month!L239:L241)</f>
        <v>404.65</v>
      </c>
      <c r="M85" s="246">
        <f>SUM(Month!M239:M241)</f>
        <v>2080.88</v>
      </c>
      <c r="N85" s="246">
        <f>SUM(Month!N239:N241)</f>
        <v>3299.0800000000004</v>
      </c>
      <c r="O85" s="246">
        <f>SUM(Month!O239:O241)</f>
        <v>1348.54</v>
      </c>
      <c r="P85" s="246">
        <f>SUM(Month!P239:P241)</f>
        <v>79</v>
      </c>
      <c r="Q85" s="256">
        <f>SUM(Month!Q239:Q241)</f>
        <v>273.71</v>
      </c>
    </row>
    <row r="86" spans="1:17" ht="12">
      <c r="A86" s="262">
        <v>2014</v>
      </c>
      <c r="B86" s="270" t="s">
        <v>73</v>
      </c>
      <c r="C86" s="342">
        <f>SUM(Month!C242:C244)</f>
        <v>15270.240000000002</v>
      </c>
      <c r="D86" s="255">
        <f>SUM(Month!D242:D244)</f>
        <v>790.78</v>
      </c>
      <c r="E86" s="256">
        <f>SUM(Month!E242:E244)</f>
        <v>242.46</v>
      </c>
      <c r="F86" s="326">
        <f>SUM(Month!F242:F244)</f>
        <v>14236.980000000001</v>
      </c>
      <c r="G86" s="257">
        <f>SUM(Month!G242:G244)</f>
        <v>548.9499999999999</v>
      </c>
      <c r="H86" s="256">
        <f>SUM(Month!H242:H244)</f>
        <v>81.38</v>
      </c>
      <c r="I86" s="246">
        <f>SUM(Month!I242:I244)</f>
        <v>583.3</v>
      </c>
      <c r="J86" s="246">
        <f>SUM(Month!J242:J244)</f>
        <v>3725.48</v>
      </c>
      <c r="K86" s="257">
        <f>SUM(Month!K242:K244)</f>
        <v>1336.31</v>
      </c>
      <c r="L86" s="256">
        <f>SUM(Month!L242:L244)</f>
        <v>356.79</v>
      </c>
      <c r="M86" s="246">
        <f>SUM(Month!M242:M244)</f>
        <v>2109.04</v>
      </c>
      <c r="N86" s="246">
        <f>SUM(Month!N242:N244)</f>
        <v>3547.72</v>
      </c>
      <c r="O86" s="246">
        <f>SUM(Month!O242:O244)</f>
        <v>1152.83</v>
      </c>
      <c r="P86" s="246">
        <f>SUM(Month!P242:P244)</f>
        <v>119.84</v>
      </c>
      <c r="Q86" s="256">
        <f>SUM(Month!Q242:Q244)</f>
        <v>282.19</v>
      </c>
    </row>
    <row r="87" spans="1:17" ht="12">
      <c r="A87" s="264">
        <v>2014</v>
      </c>
      <c r="B87" s="274" t="s">
        <v>74</v>
      </c>
      <c r="C87" s="266">
        <f>SUM(Month!C245:C247)</f>
        <v>15140.61</v>
      </c>
      <c r="D87" s="267">
        <f>SUM(Month!D245:D247)</f>
        <v>772.37</v>
      </c>
      <c r="E87" s="283">
        <f>SUM(Month!E245:E247)</f>
        <v>143.65999999999997</v>
      </c>
      <c r="F87" s="327">
        <f>SUM(Month!F245:F247)</f>
        <v>14224.59</v>
      </c>
      <c r="G87" s="282">
        <f>SUM(Month!G245:G247)</f>
        <v>456.49</v>
      </c>
      <c r="H87" s="283">
        <f>SUM(Month!H245:H247)</f>
        <v>81.99</v>
      </c>
      <c r="I87" s="267">
        <f>SUM(Month!I245:I247)</f>
        <v>603.12</v>
      </c>
      <c r="J87" s="267">
        <f>SUM(Month!J245:J247)</f>
        <v>3687.96</v>
      </c>
      <c r="K87" s="282">
        <f>SUM(Month!K245:K247)</f>
        <v>1184.09</v>
      </c>
      <c r="L87" s="283">
        <f>SUM(Month!L245:L247)</f>
        <v>575.48</v>
      </c>
      <c r="M87" s="267">
        <f>SUM(Month!M245:M247)</f>
        <v>1929.1100000000001</v>
      </c>
      <c r="N87" s="267">
        <f>SUM(Month!N245:N247)</f>
        <v>3472.28</v>
      </c>
      <c r="O87" s="267">
        <f>SUM(Month!O245:O247)</f>
        <v>1486.5</v>
      </c>
      <c r="P87" s="267">
        <f>SUM(Month!P245:P247)</f>
        <v>69.42</v>
      </c>
      <c r="Q87" s="283">
        <f>SUM(Month!Q245:Q247)</f>
        <v>251.73000000000002</v>
      </c>
    </row>
    <row r="88" spans="1:17" ht="12">
      <c r="A88" s="262">
        <v>2015</v>
      </c>
      <c r="B88" s="270" t="s">
        <v>71</v>
      </c>
      <c r="C88" s="342">
        <f>SUM(Month!C248:C250)</f>
        <v>14633.039999999999</v>
      </c>
      <c r="D88" s="255">
        <f>SUM(Month!D248:D250)</f>
        <v>809.65</v>
      </c>
      <c r="E88" s="256">
        <f>SUM(Month!E248:E250)</f>
        <v>137.85000000000002</v>
      </c>
      <c r="F88" s="326">
        <f>SUM(Month!F248:F250)</f>
        <v>13685.529999999999</v>
      </c>
      <c r="G88" s="257">
        <f>SUM(Month!G248:G250)</f>
        <v>501.71999999999997</v>
      </c>
      <c r="H88" s="256">
        <f>SUM(Month!H248:H250)</f>
        <v>95.41000000000001</v>
      </c>
      <c r="I88" s="246">
        <f>SUM(Month!I248:I250)</f>
        <v>577.16</v>
      </c>
      <c r="J88" s="246">
        <f>SUM(Month!J248:J250)</f>
        <v>3969.45</v>
      </c>
      <c r="K88" s="257">
        <f>SUM(Month!K248:K250)</f>
        <v>1135.9299999999998</v>
      </c>
      <c r="L88" s="256">
        <f>SUM(Month!L248:L250)</f>
        <v>674.55</v>
      </c>
      <c r="M88" s="246">
        <f>SUM(Month!M248:M250)</f>
        <v>1779.35</v>
      </c>
      <c r="N88" s="246">
        <f>SUM(Month!N248:N250)</f>
        <v>3031.7999999999997</v>
      </c>
      <c r="O88" s="246">
        <f>SUM(Month!O248:O250)</f>
        <v>1226.38</v>
      </c>
      <c r="P88" s="246">
        <f>SUM(Month!P248:P250)</f>
        <v>68.4</v>
      </c>
      <c r="Q88" s="256">
        <f>SUM(Month!Q248:Q250)</f>
        <v>190.82999999999998</v>
      </c>
    </row>
    <row r="89" spans="1:17" ht="12">
      <c r="A89" s="262">
        <v>2015</v>
      </c>
      <c r="B89" s="270" t="s">
        <v>72</v>
      </c>
      <c r="C89" s="342">
        <f>SUM(Month!C251:C253)</f>
        <v>14102.55</v>
      </c>
      <c r="D89" s="255">
        <f>SUM(Month!D251:D253)</f>
        <v>751.5699999999999</v>
      </c>
      <c r="E89" s="256">
        <f>SUM(Month!E251:E253)</f>
        <v>107.34</v>
      </c>
      <c r="F89" s="326">
        <f>SUM(Month!F251:F253)</f>
        <v>13243.66</v>
      </c>
      <c r="G89" s="257">
        <f>SUM(Month!G251:G253)</f>
        <v>578.0699999999999</v>
      </c>
      <c r="H89" s="256">
        <f>SUM(Month!H251:H253)</f>
        <v>93.61</v>
      </c>
      <c r="I89" s="246">
        <f>SUM(Month!I251:I253)</f>
        <v>586.62</v>
      </c>
      <c r="J89" s="246">
        <f>SUM(Month!J251:J253)</f>
        <v>3782.36</v>
      </c>
      <c r="K89" s="257">
        <f>SUM(Month!K251:K253)</f>
        <v>1251.06</v>
      </c>
      <c r="L89" s="256">
        <f>SUM(Month!L251:L253)</f>
        <v>370.68</v>
      </c>
      <c r="M89" s="246">
        <f>SUM(Month!M251:M253)</f>
        <v>1795.87</v>
      </c>
      <c r="N89" s="246">
        <f>SUM(Month!N251:N253)</f>
        <v>2836.1400000000003</v>
      </c>
      <c r="O89" s="246">
        <f>SUM(Month!O251:O253)</f>
        <v>1196.08</v>
      </c>
      <c r="P89" s="246">
        <f>SUM(Month!P251:P253)</f>
        <v>93.14</v>
      </c>
      <c r="Q89" s="256">
        <f>SUM(Month!Q251:Q253)</f>
        <v>274.24</v>
      </c>
    </row>
    <row r="90" spans="1:17" ht="12">
      <c r="A90" s="262">
        <v>2015</v>
      </c>
      <c r="B90" s="270" t="s">
        <v>73</v>
      </c>
      <c r="C90" s="342">
        <f>SUM(Month!C254:C256)</f>
        <v>16347.25</v>
      </c>
      <c r="D90" s="255">
        <f>SUM(Month!D254:D256)</f>
        <v>916.53</v>
      </c>
      <c r="E90" s="256">
        <f>SUM(Month!E254:E256)</f>
        <v>115.67999999999999</v>
      </c>
      <c r="F90" s="326">
        <f>SUM(Month!F254:F256)</f>
        <v>15315.04</v>
      </c>
      <c r="G90" s="257">
        <f>SUM(Month!G254:G256)</f>
        <v>595.96</v>
      </c>
      <c r="H90" s="256">
        <f>SUM(Month!H254:H256)</f>
        <v>103.5</v>
      </c>
      <c r="I90" s="246">
        <f>SUM(Month!I254:I256)</f>
        <v>593.04</v>
      </c>
      <c r="J90" s="246">
        <f>SUM(Month!J254:J256)</f>
        <v>4527.14</v>
      </c>
      <c r="K90" s="257">
        <f>SUM(Month!K254:K256)</f>
        <v>1456.33</v>
      </c>
      <c r="L90" s="256">
        <f>SUM(Month!L254:L256)</f>
        <v>406.11</v>
      </c>
      <c r="M90" s="246">
        <f>SUM(Month!M254:M256)</f>
        <v>1924.78</v>
      </c>
      <c r="N90" s="246">
        <f>SUM(Month!N254:N256)</f>
        <v>3645.58</v>
      </c>
      <c r="O90" s="246">
        <f>SUM(Month!O254:O256)</f>
        <v>1172.72</v>
      </c>
      <c r="P90" s="246">
        <f>SUM(Month!P254:P256)</f>
        <v>82.77000000000001</v>
      </c>
      <c r="Q90" s="256">
        <f>SUM(Month!Q254:Q256)</f>
        <v>289.28999999999996</v>
      </c>
    </row>
    <row r="91" spans="1:17" ht="12">
      <c r="A91" s="262">
        <v>2015</v>
      </c>
      <c r="B91" s="274" t="s">
        <v>74</v>
      </c>
      <c r="C91" s="266">
        <f>SUM(Month!C257:C259)</f>
        <v>16307.970000000001</v>
      </c>
      <c r="D91" s="267">
        <f>SUM(Month!D257:D259)</f>
        <v>874.07</v>
      </c>
      <c r="E91" s="283">
        <f>SUM(Month!E257:E259)</f>
        <v>101.37</v>
      </c>
      <c r="F91" s="327">
        <f>SUM(Month!F257:F259)</f>
        <v>15332.529999999999</v>
      </c>
      <c r="G91" s="282">
        <f>SUM(Month!G257:G259)</f>
        <v>531.94</v>
      </c>
      <c r="H91" s="283">
        <f>SUM(Month!H257:H259)</f>
        <v>101.31</v>
      </c>
      <c r="I91" s="267">
        <f>SUM(Month!I257:I259)</f>
        <v>610.9000000000001</v>
      </c>
      <c r="J91" s="267">
        <f>SUM(Month!J257:J259)</f>
        <v>4614.549999999999</v>
      </c>
      <c r="K91" s="282">
        <f>SUM(Month!K257:K259)</f>
        <v>1129.63</v>
      </c>
      <c r="L91" s="283">
        <f>SUM(Month!L257:L259)</f>
        <v>579.84</v>
      </c>
      <c r="M91" s="267">
        <f>SUM(Month!M257:M259)</f>
        <v>1703.73</v>
      </c>
      <c r="N91" s="267">
        <f>SUM(Month!N257:N259)</f>
        <v>3969.0699999999997</v>
      </c>
      <c r="O91" s="267">
        <f>SUM(Month!O257:O259)</f>
        <v>1223.1799999999998</v>
      </c>
      <c r="P91" s="267">
        <f>SUM(Month!P257:P259)</f>
        <v>105.7</v>
      </c>
      <c r="Q91" s="283">
        <f>SUM(Month!Q257:Q259)</f>
        <v>236.14000000000001</v>
      </c>
    </row>
    <row r="92" spans="1:17" ht="12">
      <c r="A92" s="275">
        <v>2016</v>
      </c>
      <c r="B92" s="270" t="s">
        <v>71</v>
      </c>
      <c r="C92" s="342">
        <f>SUM(Month!C260:C262)</f>
        <v>14221.4</v>
      </c>
      <c r="D92" s="255">
        <f>SUM(Month!D260:D262)</f>
        <v>822.86</v>
      </c>
      <c r="E92" s="256">
        <f>SUM(Month!E260:E262)</f>
        <v>100.78</v>
      </c>
      <c r="F92" s="326">
        <f>SUM(Month!F260:F262)</f>
        <v>13297.75</v>
      </c>
      <c r="G92" s="257">
        <f>SUM(Month!G260:G262)</f>
        <v>503.46</v>
      </c>
      <c r="H92" s="256">
        <f>SUM(Month!H260:H262)</f>
        <v>125.07</v>
      </c>
      <c r="I92" s="246">
        <f>SUM(Month!I260:I262)</f>
        <v>612.38</v>
      </c>
      <c r="J92" s="246">
        <f>SUM(Month!J260:J262)</f>
        <v>4111.4400000000005</v>
      </c>
      <c r="K92" s="257">
        <f>SUM(Month!K260:K262)</f>
        <v>915.31</v>
      </c>
      <c r="L92" s="256">
        <f>SUM(Month!L260:L262)</f>
        <v>671.12</v>
      </c>
      <c r="M92" s="246">
        <f>SUM(Month!M260:M262)</f>
        <v>1719.5700000000002</v>
      </c>
      <c r="N92" s="246">
        <f>SUM(Month!N260:N262)</f>
        <v>2932.38</v>
      </c>
      <c r="O92" s="246">
        <f>SUM(Month!O260:O262)</f>
        <v>1050.26</v>
      </c>
      <c r="P92" s="246">
        <f>SUM(Month!P260:P262)</f>
        <v>42.72</v>
      </c>
      <c r="Q92" s="256">
        <f>SUM(Month!Q260:Q262)</f>
        <v>176.07999999999998</v>
      </c>
    </row>
    <row r="93" spans="1:17" ht="12">
      <c r="A93" s="262">
        <v>2016</v>
      </c>
      <c r="B93" s="270" t="s">
        <v>72</v>
      </c>
      <c r="C93" s="342">
        <f>SUM(Month!C263:C265)</f>
        <v>15240.189999999999</v>
      </c>
      <c r="D93" s="255">
        <f>SUM(Month!D263:D265)</f>
        <v>853.74</v>
      </c>
      <c r="E93" s="256">
        <f>SUM(Month!E263:E265)</f>
        <v>118.66999999999999</v>
      </c>
      <c r="F93" s="326">
        <f>SUM(Month!F263:F265)</f>
        <v>14267.779999999999</v>
      </c>
      <c r="G93" s="257">
        <f>SUM(Month!G263:G265)</f>
        <v>652.88</v>
      </c>
      <c r="H93" s="256">
        <f>SUM(Month!H263:H265)</f>
        <v>109.43</v>
      </c>
      <c r="I93" s="246">
        <f>SUM(Month!I263:I265)</f>
        <v>546.6899999999999</v>
      </c>
      <c r="J93" s="246">
        <f>SUM(Month!J263:J265)</f>
        <v>4358.820000000001</v>
      </c>
      <c r="K93" s="257">
        <f>SUM(Month!K263:K265)</f>
        <v>1185.19</v>
      </c>
      <c r="L93" s="256">
        <f>SUM(Month!L263:L265)</f>
        <v>436.87</v>
      </c>
      <c r="M93" s="246">
        <f>SUM(Month!M263:M265)</f>
        <v>1781.57</v>
      </c>
      <c r="N93" s="246">
        <f>SUM(Month!N263:N265)</f>
        <v>3246.73</v>
      </c>
      <c r="O93" s="246">
        <f>SUM(Month!O263:O265)</f>
        <v>1084.4099999999999</v>
      </c>
      <c r="P93" s="246">
        <f>SUM(Month!P263:P265)</f>
        <v>116.27000000000001</v>
      </c>
      <c r="Q93" s="256">
        <f>SUM(Month!Q263:Q265)</f>
        <v>269.32</v>
      </c>
    </row>
    <row r="94" spans="1:17" ht="12">
      <c r="A94" s="262">
        <v>2016</v>
      </c>
      <c r="B94" s="270" t="s">
        <v>73</v>
      </c>
      <c r="C94" s="342">
        <f>SUM(Month!C266:C268)</f>
        <v>15371.72</v>
      </c>
      <c r="D94" s="255">
        <f>SUM(Month!D266:D268)</f>
        <v>880.26</v>
      </c>
      <c r="E94" s="256">
        <f>SUM(Month!E266:E268)</f>
        <v>108.46000000000001</v>
      </c>
      <c r="F94" s="326">
        <f>SUM(Month!F266:F268)</f>
        <v>14383</v>
      </c>
      <c r="G94" s="257">
        <f>SUM(Month!G266:G268)</f>
        <v>568.54</v>
      </c>
      <c r="H94" s="256">
        <f>SUM(Month!H266:H268)</f>
        <v>111.03</v>
      </c>
      <c r="I94" s="246">
        <f>SUM(Month!I266:I268)</f>
        <v>501.1</v>
      </c>
      <c r="J94" s="246">
        <f>SUM(Month!J266:J268)</f>
        <v>4343.69</v>
      </c>
      <c r="K94" s="257">
        <f>SUM(Month!K266:K268)</f>
        <v>1280</v>
      </c>
      <c r="L94" s="256">
        <f>SUM(Month!L266:L268)</f>
        <v>342.78999999999996</v>
      </c>
      <c r="M94" s="246">
        <f>SUM(Month!M266:M268)</f>
        <v>1804.8900000000003</v>
      </c>
      <c r="N94" s="246">
        <f>SUM(Month!N266:N268)</f>
        <v>3597.7</v>
      </c>
      <c r="O94" s="246">
        <f>SUM(Month!O266:O268)</f>
        <v>995.72</v>
      </c>
      <c r="P94" s="246">
        <f>SUM(Month!P266:P268)</f>
        <v>91.97999999999999</v>
      </c>
      <c r="Q94" s="256">
        <f>SUM(Month!Q266:Q268)</f>
        <v>287.37</v>
      </c>
    </row>
    <row r="95" spans="1:17" ht="12">
      <c r="A95" s="264">
        <v>2016</v>
      </c>
      <c r="B95" s="274" t="s">
        <v>74</v>
      </c>
      <c r="C95" s="266">
        <f>SUM(Month!C269:C271)</f>
        <v>15562.13</v>
      </c>
      <c r="D95" s="267">
        <f>SUM(Month!D269:D271)</f>
        <v>824.3600000000001</v>
      </c>
      <c r="E95" s="283">
        <f>SUM(Month!E269:E271)</f>
        <v>98.3</v>
      </c>
      <c r="F95" s="327">
        <f>SUM(Month!F269:F271)</f>
        <v>14639.460000000001</v>
      </c>
      <c r="G95" s="282">
        <f>SUM(Month!G269:G271)</f>
        <v>502.44000000000005</v>
      </c>
      <c r="H95" s="283">
        <f>SUM(Month!H269:H271)</f>
        <v>107.38999999999999</v>
      </c>
      <c r="I95" s="267">
        <f>SUM(Month!I269:I271)</f>
        <v>645.48</v>
      </c>
      <c r="J95" s="267">
        <f>SUM(Month!J269:J271)</f>
        <v>4529.28</v>
      </c>
      <c r="K95" s="282">
        <f>SUM(Month!K269:K271)</f>
        <v>1011.97</v>
      </c>
      <c r="L95" s="283">
        <f>SUM(Month!L269:L271)</f>
        <v>598.32</v>
      </c>
      <c r="M95" s="267">
        <f>SUM(Month!M269:M271)</f>
        <v>1675.4899999999998</v>
      </c>
      <c r="N95" s="267">
        <f>SUM(Month!N269:N271)</f>
        <v>3747.1000000000004</v>
      </c>
      <c r="O95" s="267">
        <f>SUM(Month!O269:O271)</f>
        <v>966.3199999999999</v>
      </c>
      <c r="P95" s="267">
        <f>SUM(Month!P269:P271)</f>
        <v>101.44</v>
      </c>
      <c r="Q95" s="283">
        <f>SUM(Month!Q269:Q271)</f>
        <v>235.04999999999998</v>
      </c>
    </row>
    <row r="96" spans="1:17" ht="12">
      <c r="A96" s="262">
        <v>2017</v>
      </c>
      <c r="B96" s="270" t="s">
        <v>71</v>
      </c>
      <c r="C96" s="342">
        <f>SUM(Month!C272:C274)</f>
        <v>14591.100000000002</v>
      </c>
      <c r="D96" s="255">
        <f>SUM(Month!D272:D274)</f>
        <v>822.74</v>
      </c>
      <c r="E96" s="256">
        <f>SUM(Month!E272:E274)</f>
        <v>131.26999999999998</v>
      </c>
      <c r="F96" s="326">
        <f>SUM(Month!F272:F274)</f>
        <v>13637.1</v>
      </c>
      <c r="G96" s="257">
        <f>SUM(Month!G272:G274)</f>
        <v>505.78</v>
      </c>
      <c r="H96" s="256">
        <f>SUM(Month!H272:H274)</f>
        <v>98.47</v>
      </c>
      <c r="I96" s="246">
        <f>SUM(Month!I272:I274)</f>
        <v>517.24</v>
      </c>
      <c r="J96" s="246">
        <f>SUM(Month!J272:J274)</f>
        <v>4377.540000000001</v>
      </c>
      <c r="K96" s="257">
        <f>SUM(Month!K272:K274)</f>
        <v>1055.93</v>
      </c>
      <c r="L96" s="256">
        <f>SUM(Month!L272:L274)</f>
        <v>630.87</v>
      </c>
      <c r="M96" s="246">
        <f>SUM(Month!M272:M274)</f>
        <v>1668.4500000000003</v>
      </c>
      <c r="N96" s="246">
        <f>SUM(Month!N272:N274)</f>
        <v>3160.19</v>
      </c>
      <c r="O96" s="246">
        <f>SUM(Month!O272:O274)</f>
        <v>929.27</v>
      </c>
      <c r="P96" s="246">
        <f>SUM(Month!P272:P274)</f>
        <v>118.96</v>
      </c>
      <c r="Q96" s="256">
        <f>SUM(Month!Q272:Q274)</f>
        <v>153.97000000000003</v>
      </c>
    </row>
    <row r="97" spans="1:17" ht="12">
      <c r="A97" s="262">
        <v>2017</v>
      </c>
      <c r="B97" s="270" t="s">
        <v>72</v>
      </c>
      <c r="C97" s="342">
        <f>SUM(Month!C275:C277)</f>
        <v>15281.72</v>
      </c>
      <c r="D97" s="255">
        <f>SUM(Month!D275:D277)</f>
        <v>859.54</v>
      </c>
      <c r="E97" s="256">
        <f>SUM(Month!E275:E277)</f>
        <v>105.83</v>
      </c>
      <c r="F97" s="326">
        <f>SUM(Month!F275:F277)</f>
        <v>14316.369999999999</v>
      </c>
      <c r="G97" s="257">
        <f>SUM(Month!G275:G277)</f>
        <v>631.68</v>
      </c>
      <c r="H97" s="256">
        <f>SUM(Month!H275:H277)</f>
        <v>102.99</v>
      </c>
      <c r="I97" s="246">
        <f>SUM(Month!I275:I277)</f>
        <v>612.02</v>
      </c>
      <c r="J97" s="246">
        <f>SUM(Month!J275:J277)</f>
        <v>4312.54</v>
      </c>
      <c r="K97" s="257">
        <f>SUM(Month!K275:K277)</f>
        <v>1459.3600000000001</v>
      </c>
      <c r="L97" s="256">
        <f>SUM(Month!L275:L277)</f>
        <v>400.74999999999994</v>
      </c>
      <c r="M97" s="246">
        <f>SUM(Month!M275:M277)</f>
        <v>1733.1</v>
      </c>
      <c r="N97" s="246">
        <f>SUM(Month!N275:N277)</f>
        <v>3424.09</v>
      </c>
      <c r="O97" s="246">
        <f>SUM(Month!O275:O277)</f>
        <v>862.1299999999999</v>
      </c>
      <c r="P97" s="246">
        <f>SUM(Month!P275:P277)</f>
        <v>119.85</v>
      </c>
      <c r="Q97" s="256">
        <f>SUM(Month!Q275:Q277)</f>
        <v>219.48000000000002</v>
      </c>
    </row>
    <row r="98" spans="1:17" ht="12">
      <c r="A98" s="262">
        <v>2017</v>
      </c>
      <c r="B98" s="270" t="s">
        <v>73</v>
      </c>
      <c r="C98" s="342">
        <f>SUM(Month!C278:C280)</f>
        <v>15407.86</v>
      </c>
      <c r="D98" s="255">
        <f>SUM(Month!D278:D280)</f>
        <v>869.05</v>
      </c>
      <c r="E98" s="256">
        <f>SUM(Month!E278:E280)</f>
        <v>93.62</v>
      </c>
      <c r="F98" s="326">
        <f>SUM(Month!F278:F280)</f>
        <v>14445.18</v>
      </c>
      <c r="G98" s="257">
        <f>SUM(Month!G278:G280)</f>
        <v>566.1600000000001</v>
      </c>
      <c r="H98" s="256">
        <f>SUM(Month!H278:H280)</f>
        <v>111.75999999999999</v>
      </c>
      <c r="I98" s="246">
        <f>SUM(Month!I278:I280)</f>
        <v>524.9399999999999</v>
      </c>
      <c r="J98" s="246">
        <f>SUM(Month!J278:J280)</f>
        <v>4430.870000000001</v>
      </c>
      <c r="K98" s="257">
        <f>SUM(Month!K278:K280)</f>
        <v>1482.02</v>
      </c>
      <c r="L98" s="256">
        <f>SUM(Month!L278:L280)</f>
        <v>357.65</v>
      </c>
      <c r="M98" s="246">
        <f>SUM(Month!M278:M280)</f>
        <v>1821.17</v>
      </c>
      <c r="N98" s="246">
        <f>SUM(Month!N278:N280)</f>
        <v>3440.69</v>
      </c>
      <c r="O98" s="246">
        <f>SUM(Month!O278:O280)</f>
        <v>917.69</v>
      </c>
      <c r="P98" s="246">
        <f>SUM(Month!P278:P280)</f>
        <v>87.38</v>
      </c>
      <c r="Q98" s="256">
        <f>SUM(Month!Q278:Q280)</f>
        <v>254.08000000000004</v>
      </c>
    </row>
    <row r="99" spans="1:17" ht="12">
      <c r="A99" s="264">
        <v>2017</v>
      </c>
      <c r="B99" s="274" t="s">
        <v>74</v>
      </c>
      <c r="C99" s="266">
        <f>SUM(Month!C281:C283)</f>
        <v>14975.91</v>
      </c>
      <c r="D99" s="267">
        <f>SUM(Month!D281:D283)</f>
        <v>838.15</v>
      </c>
      <c r="E99" s="283">
        <f>SUM(Month!E281:E283)</f>
        <v>129.77</v>
      </c>
      <c r="F99" s="327">
        <f>SUM(Month!F281:F283)</f>
        <v>14007.989999999998</v>
      </c>
      <c r="G99" s="282">
        <f>SUM(Month!G281:G283)</f>
        <v>474.55</v>
      </c>
      <c r="H99" s="283">
        <f>SUM(Month!H281:H283)</f>
        <v>110.42000000000002</v>
      </c>
      <c r="I99" s="267">
        <f>SUM(Month!I281:I283)</f>
        <v>625.7700000000001</v>
      </c>
      <c r="J99" s="267">
        <f>SUM(Month!J281:J283)</f>
        <v>4294.780000000001</v>
      </c>
      <c r="K99" s="282">
        <f>SUM(Month!K281:K283)</f>
        <v>1033.79</v>
      </c>
      <c r="L99" s="283">
        <f>SUM(Month!L281:L283)</f>
        <v>657.49</v>
      </c>
      <c r="M99" s="267">
        <f>SUM(Month!M281:M283)</f>
        <v>1654.98</v>
      </c>
      <c r="N99" s="267">
        <f>SUM(Month!N281:N283)</f>
        <v>3399.6099999999997</v>
      </c>
      <c r="O99" s="267">
        <f>SUM(Month!O281:O283)</f>
        <v>975.7399999999999</v>
      </c>
      <c r="P99" s="267">
        <f>SUM(Month!P281:P283)</f>
        <v>116.87</v>
      </c>
      <c r="Q99" s="283">
        <f>SUM(Month!Q281:Q283)</f>
        <v>189.1</v>
      </c>
    </row>
    <row r="100" spans="1:17" ht="12">
      <c r="A100" s="262">
        <v>2018</v>
      </c>
      <c r="B100" s="270" t="s">
        <v>71</v>
      </c>
      <c r="C100" s="342">
        <f>SUM(Month!C284:C286)</f>
        <v>13178.43</v>
      </c>
      <c r="D100" s="255">
        <f>SUM(Month!D284:D286)</f>
        <v>763.6600000000001</v>
      </c>
      <c r="E100" s="256">
        <f>SUM(Month!E284:E286)</f>
        <v>149.07000000000002</v>
      </c>
      <c r="F100" s="326">
        <f>SUM(Month!F284:F286)</f>
        <v>12265.720000000001</v>
      </c>
      <c r="G100" s="257">
        <f>SUM(Month!G284:G286)</f>
        <v>515.42</v>
      </c>
      <c r="H100" s="256">
        <f>SUM(Month!H284:H286)</f>
        <v>83.21</v>
      </c>
      <c r="I100" s="246">
        <f>SUM(Month!I284:I286)</f>
        <v>451.14000000000004</v>
      </c>
      <c r="J100" s="246">
        <f>SUM(Month!J284:J286)</f>
        <v>3804.45</v>
      </c>
      <c r="K100" s="257">
        <f>SUM(Month!K284:K286)</f>
        <v>913.24</v>
      </c>
      <c r="L100" s="256">
        <f>SUM(Month!L284:L286)</f>
        <v>659.49</v>
      </c>
      <c r="M100" s="246">
        <f>SUM(Month!M284:M286)</f>
        <v>1834.63</v>
      </c>
      <c r="N100" s="246">
        <f>SUM(Month!N284:N286)</f>
        <v>2728.6</v>
      </c>
      <c r="O100" s="246">
        <f>SUM(Month!O284:O286)</f>
        <v>739.29</v>
      </c>
      <c r="P100" s="246">
        <f>SUM(Month!P284:P286)</f>
        <v>112.32</v>
      </c>
      <c r="Q100" s="256">
        <f>SUM(Month!Q284:Q286)</f>
        <v>129.06</v>
      </c>
    </row>
    <row r="101" spans="1:17" ht="12">
      <c r="A101" s="262">
        <v>2018</v>
      </c>
      <c r="B101" s="270" t="s">
        <v>72</v>
      </c>
      <c r="C101" s="342">
        <f>SUM(Month!C287:C289)</f>
        <v>14170.779999999999</v>
      </c>
      <c r="D101" s="255">
        <f>SUM(Month!D287:D289)</f>
        <v>809.3399999999999</v>
      </c>
      <c r="E101" s="256">
        <f>SUM(Month!E287:E289)</f>
        <v>103.97999999999999</v>
      </c>
      <c r="F101" s="326">
        <f>SUM(Month!F287:F289)</f>
        <v>13257.45</v>
      </c>
      <c r="G101" s="257">
        <f>SUM(Month!G287:G289)</f>
        <v>560.17</v>
      </c>
      <c r="H101" s="256">
        <f>SUM(Month!H287:H289)</f>
        <v>78.77</v>
      </c>
      <c r="I101" s="246">
        <f>SUM(Month!I287:I289)</f>
        <v>578.9200000000001</v>
      </c>
      <c r="J101" s="246">
        <f>SUM(Month!J287:J289)</f>
        <v>4017.7400000000002</v>
      </c>
      <c r="K101" s="257">
        <f>SUM(Month!K287:K289)</f>
        <v>1357.49</v>
      </c>
      <c r="L101" s="256">
        <f>SUM(Month!L287:L289)</f>
        <v>401.2</v>
      </c>
      <c r="M101" s="246">
        <f>SUM(Month!M287:M289)</f>
        <v>1961.9699999999998</v>
      </c>
      <c r="N101" s="246">
        <f>SUM(Month!N287:N289)</f>
        <v>2794.77</v>
      </c>
      <c r="O101" s="246">
        <f>SUM(Month!O287:O289)</f>
        <v>776.54</v>
      </c>
      <c r="P101" s="246">
        <f>SUM(Month!P287:P289)</f>
        <v>93.14</v>
      </c>
      <c r="Q101" s="256">
        <f>SUM(Month!Q287:Q289)</f>
        <v>258.67</v>
      </c>
    </row>
    <row r="102" spans="1:17" ht="12">
      <c r="A102" s="262">
        <v>2018</v>
      </c>
      <c r="B102" s="270" t="s">
        <v>73</v>
      </c>
      <c r="C102" s="342">
        <f>SUM(Month!C290:C292)</f>
        <v>15690.3</v>
      </c>
      <c r="D102" s="255">
        <f>SUM(Month!D290:D292)</f>
        <v>902.5899999999999</v>
      </c>
      <c r="E102" s="256">
        <f>SUM(Month!E290:E292)</f>
        <v>85.17</v>
      </c>
      <c r="F102" s="326">
        <f>SUM(Month!F290:F292)</f>
        <v>14702.55</v>
      </c>
      <c r="G102" s="257">
        <f>SUM(Month!G290:G292)</f>
        <v>603.1</v>
      </c>
      <c r="H102" s="256">
        <f>SUM(Month!H290:H292)</f>
        <v>80.28999999999999</v>
      </c>
      <c r="I102" s="246">
        <f>SUM(Month!I290:I292)</f>
        <v>606.86</v>
      </c>
      <c r="J102" s="246">
        <f>SUM(Month!J290:J292)</f>
        <v>4483.57</v>
      </c>
      <c r="K102" s="257">
        <f>SUM(Month!K290:K292)</f>
        <v>1590.2</v>
      </c>
      <c r="L102" s="256">
        <f>SUM(Month!L290:L292)</f>
        <v>360.78</v>
      </c>
      <c r="M102" s="246">
        <f>SUM(Month!M290:M292)</f>
        <v>2008.0700000000002</v>
      </c>
      <c r="N102" s="246">
        <f>SUM(Month!N290:N292)</f>
        <v>3334.4400000000005</v>
      </c>
      <c r="O102" s="246">
        <f>SUM(Month!O290:O292)</f>
        <v>782.64</v>
      </c>
      <c r="P102" s="246">
        <f>SUM(Month!P290:P292)</f>
        <v>98.25</v>
      </c>
      <c r="Q102" s="256">
        <f>SUM(Month!Q290:Q292)</f>
        <v>266.24</v>
      </c>
    </row>
    <row r="103" spans="1:18" ht="12">
      <c r="A103" s="264">
        <v>2018</v>
      </c>
      <c r="B103" s="274" t="s">
        <v>74</v>
      </c>
      <c r="C103" s="266">
        <f>SUM(Month!C293:C295)</f>
        <v>15657.73</v>
      </c>
      <c r="D103" s="267">
        <f>SUM(Month!D293:D295)</f>
        <v>876.05</v>
      </c>
      <c r="E103" s="283">
        <f>SUM(Month!E293:E295)</f>
        <v>154.38</v>
      </c>
      <c r="F103" s="327">
        <f>SUM(Month!F293:F295)</f>
        <v>14627.29</v>
      </c>
      <c r="G103" s="282">
        <f>SUM(Month!G293:G295)</f>
        <v>400.15</v>
      </c>
      <c r="H103" s="283">
        <f>SUM(Month!H293:H295)</f>
        <v>63.31999999999999</v>
      </c>
      <c r="I103" s="267">
        <f>SUM(Month!I293:I295)</f>
        <v>571.72</v>
      </c>
      <c r="J103" s="267">
        <f>SUM(Month!J293:J295)</f>
        <v>4269.62</v>
      </c>
      <c r="K103" s="282">
        <f>SUM(Month!K293:K295)</f>
        <v>1268.02</v>
      </c>
      <c r="L103" s="283">
        <f>SUM(Month!L293:L295)</f>
        <v>631.1700000000001</v>
      </c>
      <c r="M103" s="267">
        <f>SUM(Month!M293:M295)</f>
        <v>1638.95</v>
      </c>
      <c r="N103" s="267">
        <f>SUM(Month!N293:N295)</f>
        <v>3741.5199999999995</v>
      </c>
      <c r="O103" s="267">
        <f>SUM(Month!O293:O295)</f>
        <v>733.15</v>
      </c>
      <c r="P103" s="267">
        <f>SUM(Month!P293:P295)</f>
        <v>131.99</v>
      </c>
      <c r="Q103" s="283">
        <f>SUM(Month!Q293:Q295)</f>
        <v>221.28000000000003</v>
      </c>
      <c r="R103" s="239"/>
    </row>
    <row r="104" spans="1:17" ht="12">
      <c r="A104" s="262">
        <v>2019</v>
      </c>
      <c r="B104" s="270" t="s">
        <v>71</v>
      </c>
      <c r="C104" s="342">
        <f>SUM(Month!C296:C298)</f>
        <v>14751.02</v>
      </c>
      <c r="D104" s="255">
        <f>SUM(Month!D296:D298)</f>
        <v>829.6199999999999</v>
      </c>
      <c r="E104" s="256">
        <f>SUM(Month!E296:E298)</f>
        <v>233.28</v>
      </c>
      <c r="F104" s="326">
        <f>SUM(Month!F296:F298)</f>
        <v>13688.11</v>
      </c>
      <c r="G104" s="257">
        <f>SUM(Month!G296:G298)</f>
        <v>559.31</v>
      </c>
      <c r="H104" s="256">
        <f>SUM(Month!H296:H298)</f>
        <v>72.55</v>
      </c>
      <c r="I104" s="246">
        <f>SUM(Month!I296:I298)</f>
        <v>587.96</v>
      </c>
      <c r="J104" s="246">
        <f>SUM(Month!J296:J298)</f>
        <v>4224.7699999999995</v>
      </c>
      <c r="K104" s="257">
        <f>SUM(Month!K296:K298)</f>
        <v>1222.0500000000002</v>
      </c>
      <c r="L104" s="256">
        <f>SUM(Month!L296:L298)</f>
        <v>642.95</v>
      </c>
      <c r="M104" s="246">
        <f>SUM(Month!M296:M298)</f>
        <v>1820.13</v>
      </c>
      <c r="N104" s="246">
        <f>SUM(Month!N296:N298)</f>
        <v>3088.87</v>
      </c>
      <c r="O104" s="246">
        <f>SUM(Month!O296:O298)</f>
        <v>764.8</v>
      </c>
      <c r="P104" s="246">
        <f>SUM(Month!P296:P298)</f>
        <v>83.43</v>
      </c>
      <c r="Q104" s="256">
        <f>SUM(Month!Q296:Q298)</f>
        <v>194.53</v>
      </c>
    </row>
    <row r="105" spans="1:17" ht="12">
      <c r="A105" s="262">
        <v>2019</v>
      </c>
      <c r="B105" s="270" t="s">
        <v>72</v>
      </c>
      <c r="C105" s="342">
        <f>SUM(Month!C299:C301)</f>
        <v>13916.94</v>
      </c>
      <c r="D105" s="255">
        <f>SUM(Month!D299:D301)</f>
        <v>780.48</v>
      </c>
      <c r="E105" s="256">
        <f>SUM(Month!E299:E301)</f>
        <v>147.44</v>
      </c>
      <c r="F105" s="326">
        <f>SUM(Month!F299:F301)</f>
        <v>12989.019999999999</v>
      </c>
      <c r="G105" s="257">
        <f>SUM(Month!G299:G301)</f>
        <v>606.4200000000001</v>
      </c>
      <c r="H105" s="256">
        <f>SUM(Month!H299:H301)</f>
        <v>59.06</v>
      </c>
      <c r="I105" s="246">
        <f>SUM(Month!I299:I301)</f>
        <v>466.76</v>
      </c>
      <c r="J105" s="246">
        <f>SUM(Month!J299:J301)</f>
        <v>3893.64</v>
      </c>
      <c r="K105" s="257">
        <f>SUM(Month!K299:K301)</f>
        <v>1131</v>
      </c>
      <c r="L105" s="256">
        <f>SUM(Month!L299:L301)</f>
        <v>400.44</v>
      </c>
      <c r="M105" s="246">
        <f>SUM(Month!M299:M301)</f>
        <v>1722.96</v>
      </c>
      <c r="N105" s="246">
        <f>SUM(Month!N299:N301)</f>
        <v>3232.68</v>
      </c>
      <c r="O105" s="246">
        <f>SUM(Month!O299:O301)</f>
        <v>526.86</v>
      </c>
      <c r="P105" s="246">
        <f>SUM(Month!P299:P301)</f>
        <v>100.53</v>
      </c>
      <c r="Q105" s="256">
        <f>SUM(Month!Q299:Q301)</f>
        <v>225.18</v>
      </c>
    </row>
    <row r="106" spans="1:17" ht="12">
      <c r="A106" s="262">
        <v>2019</v>
      </c>
      <c r="B106" s="270" t="s">
        <v>73</v>
      </c>
      <c r="C106" s="342">
        <f>SUM(Month!C302:C304)</f>
        <v>14876.16</v>
      </c>
      <c r="D106" s="255">
        <f>SUM(Month!D302:D304)</f>
        <v>799.0300000000001</v>
      </c>
      <c r="E106" s="256">
        <f>SUM(Month!E302:E304)</f>
        <v>192.47</v>
      </c>
      <c r="F106" s="326">
        <f>SUM(Month!F302:F304)</f>
        <v>13884.66</v>
      </c>
      <c r="G106" s="257">
        <f>SUM(Month!G302:G304)</f>
        <v>569.27</v>
      </c>
      <c r="H106" s="256">
        <f>SUM(Month!H302:H304)</f>
        <v>57.769999999999996</v>
      </c>
      <c r="I106" s="246">
        <f>SUM(Month!I302:I304)</f>
        <v>493.33000000000004</v>
      </c>
      <c r="J106" s="246">
        <f>SUM(Month!J302:J304)</f>
        <v>3788.67</v>
      </c>
      <c r="K106" s="257">
        <f>SUM(Month!K302:K304)</f>
        <v>1535.2800000000002</v>
      </c>
      <c r="L106" s="256">
        <f>SUM(Month!L302:L304)</f>
        <v>342.79999999999995</v>
      </c>
      <c r="M106" s="246">
        <f>SUM(Month!M302:M304)</f>
        <v>1887.42</v>
      </c>
      <c r="N106" s="246">
        <f>SUM(Month!N302:N304)</f>
        <v>3321.16</v>
      </c>
      <c r="O106" s="246">
        <f>SUM(Month!O302:O304)</f>
        <v>841.8199999999999</v>
      </c>
      <c r="P106" s="246">
        <f>SUM(Month!P302:P304)</f>
        <v>69.63</v>
      </c>
      <c r="Q106" s="256">
        <f>SUM(Month!Q302:Q304)</f>
        <v>259.74</v>
      </c>
    </row>
    <row r="107" spans="1:18" ht="12">
      <c r="A107" s="264">
        <v>2019</v>
      </c>
      <c r="B107" s="274" t="s">
        <v>74</v>
      </c>
      <c r="C107" s="266">
        <f>SUM(Month!C305:C307)</f>
        <v>15685.33</v>
      </c>
      <c r="D107" s="267">
        <f>SUM(Month!D305:D307)</f>
        <v>890.9200000000001</v>
      </c>
      <c r="E107" s="283">
        <f>SUM(Month!E305:E307)</f>
        <v>107.97</v>
      </c>
      <c r="F107" s="327">
        <f>SUM(Month!F305:F307)</f>
        <v>14686.440000000002</v>
      </c>
      <c r="G107" s="282">
        <f>SUM(Month!G305:G307)</f>
        <v>480.78</v>
      </c>
      <c r="H107" s="283">
        <f>SUM(Month!H305:H307)</f>
        <v>60.730000000000004</v>
      </c>
      <c r="I107" s="267">
        <f>SUM(Month!I305:I307)</f>
        <v>523.8299999999999</v>
      </c>
      <c r="J107" s="267">
        <f>SUM(Month!J305:J307)</f>
        <v>4557.219999999999</v>
      </c>
      <c r="K107" s="282">
        <f>SUM(Month!K305:K307)</f>
        <v>1289.8500000000001</v>
      </c>
      <c r="L107" s="283">
        <f>SUM(Month!L305:L307)</f>
        <v>676</v>
      </c>
      <c r="M107" s="267">
        <f>SUM(Month!M305:M307)</f>
        <v>1788.1100000000001</v>
      </c>
      <c r="N107" s="267">
        <f>SUM(Month!N305:N307)</f>
        <v>3632.5600000000004</v>
      </c>
      <c r="O107" s="267">
        <f>SUM(Month!O305:O307)</f>
        <v>756.03</v>
      </c>
      <c r="P107" s="267">
        <f>SUM(Month!P305:P307)</f>
        <v>39.87</v>
      </c>
      <c r="Q107" s="283">
        <f>SUM(Month!Q305:Q307)</f>
        <v>212.86</v>
      </c>
      <c r="R107" s="239"/>
    </row>
    <row r="108" spans="1:17" ht="12">
      <c r="A108" s="262">
        <v>2020</v>
      </c>
      <c r="B108" s="270" t="s">
        <v>71</v>
      </c>
      <c r="C108" s="342">
        <f>SUM(Month!C308:C310)</f>
        <v>14068.829999999998</v>
      </c>
      <c r="D108" s="255">
        <f>SUM(Month!D308:D310)</f>
        <v>729.6700000000001</v>
      </c>
      <c r="E108" s="256">
        <f>SUM(Month!E308:E310)</f>
        <v>144.93</v>
      </c>
      <c r="F108" s="326">
        <f>SUM(Month!F308:F310)</f>
        <v>13194.219999999998</v>
      </c>
      <c r="G108" s="257">
        <f>SUM(Month!G308:G310)</f>
        <v>441.75</v>
      </c>
      <c r="H108" s="256">
        <f>SUM(Month!H308:H310)</f>
        <v>95.36</v>
      </c>
      <c r="I108" s="246">
        <f>SUM(Month!I308:I310)</f>
        <v>604.53</v>
      </c>
      <c r="J108" s="246">
        <f>SUM(Month!J308:J310)</f>
        <v>3855.1500000000005</v>
      </c>
      <c r="K108" s="257">
        <f>SUM(Month!K308:K310)</f>
        <v>1047.52</v>
      </c>
      <c r="L108" s="256">
        <f>SUM(Month!L308:L310)</f>
        <v>770.0999999999999</v>
      </c>
      <c r="M108" s="246">
        <f>SUM(Month!M308:M310)</f>
        <v>1691.25</v>
      </c>
      <c r="N108" s="246">
        <f>SUM(Month!N308:N310)</f>
        <v>3064.21</v>
      </c>
      <c r="O108" s="246">
        <f>SUM(Month!O308:O310)</f>
        <v>937.1399999999999</v>
      </c>
      <c r="P108" s="246">
        <f>SUM(Month!P308:P310)</f>
        <v>60.3</v>
      </c>
      <c r="Q108" s="256">
        <f>SUM(Month!Q308:Q310)</f>
        <v>119.95</v>
      </c>
    </row>
    <row r="109" spans="1:17" ht="12">
      <c r="A109" s="262">
        <v>2020</v>
      </c>
      <c r="B109" s="270" t="s">
        <v>72</v>
      </c>
      <c r="C109" s="342">
        <f>SUM(Month!C311:C313)</f>
        <v>10215.21</v>
      </c>
      <c r="D109" s="255">
        <f>SUM(Month!D311:D313)</f>
        <v>537.47</v>
      </c>
      <c r="E109" s="256">
        <f>SUM(Month!E311:E313)</f>
        <v>144.1</v>
      </c>
      <c r="F109" s="326">
        <f>SUM(Month!F311:F313)</f>
        <v>9533.66</v>
      </c>
      <c r="G109" s="257">
        <f>SUM(Month!G311:G313)</f>
        <v>449.77</v>
      </c>
      <c r="H109" s="256">
        <f>SUM(Month!H311:H313)</f>
        <v>78.99000000000001</v>
      </c>
      <c r="I109" s="246">
        <f>SUM(Month!I311:I313)</f>
        <v>440.5</v>
      </c>
      <c r="J109" s="246">
        <f>SUM(Month!J311:J313)</f>
        <v>2276.44</v>
      </c>
      <c r="K109" s="257">
        <f>SUM(Month!K311:K313)</f>
        <v>313.46000000000004</v>
      </c>
      <c r="L109" s="256">
        <f>SUM(Month!L311:L313)</f>
        <v>484.84</v>
      </c>
      <c r="M109" s="246">
        <f>SUM(Month!M311:M313)</f>
        <v>1351.3200000000002</v>
      </c>
      <c r="N109" s="246">
        <f>SUM(Month!N311:N313)</f>
        <v>2661.34</v>
      </c>
      <c r="O109" s="246">
        <f>SUM(Month!O311:O313)</f>
        <v>906.8600000000001</v>
      </c>
      <c r="P109" s="246">
        <f>SUM(Month!P311:P313)</f>
        <v>77.48</v>
      </c>
      <c r="Q109" s="256">
        <f>SUM(Month!Q311:Q313)</f>
        <v>128.47</v>
      </c>
    </row>
    <row r="110" spans="1:17" ht="12">
      <c r="A110" s="262">
        <v>2020</v>
      </c>
      <c r="B110" s="270" t="s">
        <v>73</v>
      </c>
      <c r="C110" s="342">
        <f>SUM(Month!C314:C316)</f>
        <v>11644.380000000001</v>
      </c>
      <c r="D110" s="255">
        <f>SUM(Month!D314:D316)</f>
        <v>633.6199999999999</v>
      </c>
      <c r="E110" s="256">
        <f>SUM(Month!E314:E316)</f>
        <v>40.55</v>
      </c>
      <c r="F110" s="326">
        <f>SUM(Month!F314:F316)</f>
        <v>10970.2</v>
      </c>
      <c r="G110" s="257">
        <f>SUM(Month!G314:G316)</f>
        <v>424.27</v>
      </c>
      <c r="H110" s="256">
        <f>SUM(Month!H314:H316)</f>
        <v>68.24</v>
      </c>
      <c r="I110" s="246">
        <f>SUM(Month!I314:I316)</f>
        <v>400.41</v>
      </c>
      <c r="J110" s="246">
        <f>SUM(Month!J314:J316)</f>
        <v>3297.0800000000004</v>
      </c>
      <c r="K110" s="257">
        <f>SUM(Month!K314:K316)</f>
        <v>292.61</v>
      </c>
      <c r="L110" s="256">
        <f>SUM(Month!L314:L316)</f>
        <v>218.35999999999999</v>
      </c>
      <c r="M110" s="246">
        <f>SUM(Month!M314:M316)</f>
        <v>1339.6000000000001</v>
      </c>
      <c r="N110" s="246">
        <f>SUM(Month!N314:N316)</f>
        <v>3479.95</v>
      </c>
      <c r="O110" s="246">
        <f>SUM(Month!O314:O316)</f>
        <v>640.54</v>
      </c>
      <c r="P110" s="246">
        <f>SUM(Month!P314:P316)</f>
        <v>62.24</v>
      </c>
      <c r="Q110" s="256">
        <f>SUM(Month!Q314:Q316)</f>
        <v>212.45000000000002</v>
      </c>
    </row>
    <row r="111" spans="1:17" ht="12">
      <c r="A111" s="262">
        <v>2020</v>
      </c>
      <c r="B111" s="276" t="s">
        <v>74</v>
      </c>
      <c r="C111" s="342">
        <f>SUM(Month!C317:C319)</f>
        <v>12303.529999999999</v>
      </c>
      <c r="D111" s="255">
        <f>SUM(Month!D317:D319)</f>
        <v>701.85</v>
      </c>
      <c r="E111" s="256">
        <f>SUM(Month!E317:E319)</f>
        <v>87.92999999999999</v>
      </c>
      <c r="F111" s="351">
        <f>SUM(Month!F317:F319)</f>
        <v>11513.75</v>
      </c>
      <c r="G111" s="257">
        <f>SUM(Month!G317:G319)</f>
        <v>433.56999999999994</v>
      </c>
      <c r="H111" s="256">
        <f>SUM(Month!H317:H319)</f>
        <v>86.64</v>
      </c>
      <c r="I111" s="246">
        <f>SUM(Month!I317:I319)</f>
        <v>398.38</v>
      </c>
      <c r="J111" s="246">
        <f>SUM(Month!J317:J319)</f>
        <v>3725.9300000000003</v>
      </c>
      <c r="K111" s="257">
        <f>SUM(Month!K317:K319)</f>
        <v>289.19</v>
      </c>
      <c r="L111" s="256">
        <f>SUM(Month!L317:L319)</f>
        <v>429.32</v>
      </c>
      <c r="M111" s="246">
        <f>SUM(Month!M317:M319)</f>
        <v>1525.53</v>
      </c>
      <c r="N111" s="246">
        <f>SUM(Month!N317:N319)</f>
        <v>3223.1699999999996</v>
      </c>
      <c r="O111" s="246">
        <f>SUM(Month!O317:O319)</f>
        <v>588.9499999999999</v>
      </c>
      <c r="P111" s="246">
        <f>SUM(Month!P317:P319)</f>
        <v>86.14</v>
      </c>
      <c r="Q111" s="256">
        <f>SUM(Month!Q317:Q319)</f>
        <v>176.71</v>
      </c>
    </row>
    <row r="112" spans="3:17" ht="12">
      <c r="C112" s="239"/>
      <c r="D112" s="240"/>
      <c r="E112" s="240"/>
      <c r="F112" s="239"/>
      <c r="G112" s="240"/>
      <c r="H112" s="240"/>
      <c r="I112" s="240"/>
      <c r="J112" s="240"/>
      <c r="K112" s="240"/>
      <c r="L112" s="240"/>
      <c r="M112" s="240"/>
      <c r="N112" s="240"/>
      <c r="O112" s="240"/>
      <c r="P112" s="240"/>
      <c r="Q112" s="240"/>
    </row>
    <row r="113" ht="12">
      <c r="A113" s="124" t="s">
        <v>152</v>
      </c>
    </row>
  </sheetData>
  <sheetProtection/>
  <hyperlinks>
    <hyperlink ref="A113" location="Contents!A1" display="Return to contents page"/>
  </hyperlinks>
  <printOptions/>
  <pageMargins left="0.75" right="0.75" top="1" bottom="1" header="0.5" footer="0.5"/>
  <pageSetup fitToHeight="1" fitToWidth="1" horizontalDpi="600" verticalDpi="600" orientation="landscape" paperSize="9" scale="82" r:id="rId1"/>
  <ignoredErrors>
    <ignoredError sqref="C48:Q109 C112:Q112 C110:Q110 C111:Q111" formulaRange="1"/>
  </ignoredErrors>
</worksheet>
</file>

<file path=xl/worksheets/sheet7.xml><?xml version="1.0" encoding="utf-8"?>
<worksheet xmlns="http://schemas.openxmlformats.org/spreadsheetml/2006/main" xmlns:r="http://schemas.openxmlformats.org/officeDocument/2006/relationships">
  <sheetPr codeName="Sheet9"/>
  <dimension ref="A1:BH436"/>
  <sheetViews>
    <sheetView zoomScalePageLayoutView="0" workbookViewId="0" topLeftCell="A104">
      <selection activeCell="I109" sqref="I109"/>
    </sheetView>
  </sheetViews>
  <sheetFormatPr defaultColWidth="9.140625" defaultRowHeight="12.75"/>
  <cols>
    <col min="1" max="1" width="9.28125" style="30" customWidth="1"/>
    <col min="2" max="2" width="12.28125" style="0" customWidth="1"/>
    <col min="3" max="3" width="9.28125" style="0" customWidth="1"/>
    <col min="6" max="6" width="9.28125" style="0" customWidth="1"/>
    <col min="17" max="17" width="15.00390625" style="0" customWidth="1"/>
    <col min="18" max="18" width="9.28125" style="0" customWidth="1"/>
  </cols>
  <sheetData>
    <row r="1" spans="1:17" ht="51">
      <c r="A1" s="21" t="s">
        <v>93</v>
      </c>
      <c r="B1" s="16"/>
      <c r="C1" s="16"/>
      <c r="D1" s="16"/>
      <c r="E1" s="16"/>
      <c r="F1" s="16"/>
      <c r="G1" s="16"/>
      <c r="H1" s="16"/>
      <c r="I1" s="16"/>
      <c r="J1" s="16"/>
      <c r="K1" s="16"/>
      <c r="L1" s="16"/>
      <c r="M1" s="16"/>
      <c r="N1" s="16"/>
      <c r="O1" s="16"/>
      <c r="P1" s="16"/>
      <c r="Q1" s="90" t="s">
        <v>122</v>
      </c>
    </row>
    <row r="2" spans="1:18" ht="12.75">
      <c r="A2" s="27" t="s">
        <v>91</v>
      </c>
      <c r="B2" s="28"/>
      <c r="C2" s="28"/>
      <c r="D2" s="28"/>
      <c r="E2" s="28"/>
      <c r="F2" s="28"/>
      <c r="G2" s="28"/>
      <c r="H2" s="28"/>
      <c r="I2" s="28"/>
      <c r="J2" s="28"/>
      <c r="K2" s="28"/>
      <c r="L2" s="28"/>
      <c r="M2" s="28"/>
      <c r="N2" s="28"/>
      <c r="O2" s="28"/>
      <c r="P2" s="29" t="s">
        <v>67</v>
      </c>
      <c r="Q2" s="78"/>
      <c r="R2" s="78"/>
    </row>
    <row r="3" spans="9:13" ht="12.75">
      <c r="I3" s="65" t="s">
        <v>95</v>
      </c>
      <c r="M3" s="67"/>
    </row>
    <row r="4" spans="4:32" ht="12.75">
      <c r="D4" s="2" t="s">
        <v>0</v>
      </c>
      <c r="E4" s="2"/>
      <c r="F4" s="1" t="s">
        <v>1</v>
      </c>
      <c r="G4" s="2" t="s">
        <v>2</v>
      </c>
      <c r="H4" s="2"/>
      <c r="I4" s="1"/>
      <c r="J4" s="1"/>
      <c r="K4" s="2" t="s">
        <v>3</v>
      </c>
      <c r="L4" s="2"/>
      <c r="M4" s="1"/>
      <c r="N4" s="1"/>
      <c r="O4" s="1"/>
      <c r="T4" s="2"/>
      <c r="U4" s="2"/>
      <c r="V4" s="1"/>
      <c r="W4" s="2"/>
      <c r="X4" s="2"/>
      <c r="Y4" s="96"/>
      <c r="Z4" s="1"/>
      <c r="AA4" s="1"/>
      <c r="AB4" s="2"/>
      <c r="AC4" s="2"/>
      <c r="AD4" s="1"/>
      <c r="AE4" s="1"/>
      <c r="AF4" s="1"/>
    </row>
    <row r="5" spans="1:32" ht="12.75">
      <c r="A5" s="33" t="s">
        <v>52</v>
      </c>
      <c r="C5" s="1" t="s">
        <v>5</v>
      </c>
      <c r="D5" s="1"/>
      <c r="E5" s="1"/>
      <c r="F5" s="1" t="s">
        <v>6</v>
      </c>
      <c r="G5" s="1" t="s">
        <v>7</v>
      </c>
      <c r="H5" s="1" t="s">
        <v>8</v>
      </c>
      <c r="I5" s="1"/>
      <c r="J5" s="1"/>
      <c r="K5" s="1" t="s">
        <v>9</v>
      </c>
      <c r="L5" s="1"/>
      <c r="M5" s="1" t="s">
        <v>10</v>
      </c>
      <c r="N5" s="1"/>
      <c r="O5" s="1"/>
      <c r="Q5" t="s">
        <v>121</v>
      </c>
      <c r="S5" s="1"/>
      <c r="T5" s="1"/>
      <c r="U5" s="1"/>
      <c r="V5" s="1"/>
      <c r="W5" s="1"/>
      <c r="X5" s="1"/>
      <c r="Y5" s="1"/>
      <c r="Z5" s="1"/>
      <c r="AA5" s="1"/>
      <c r="AB5" s="1"/>
      <c r="AC5" s="1"/>
      <c r="AD5" s="1"/>
      <c r="AE5" s="1"/>
      <c r="AF5" s="1"/>
    </row>
    <row r="6" spans="3:33" ht="15.75" customHeight="1">
      <c r="C6" s="1" t="s">
        <v>11</v>
      </c>
      <c r="D6" s="1" t="s">
        <v>12</v>
      </c>
      <c r="E6" s="1" t="s">
        <v>13</v>
      </c>
      <c r="F6" s="1" t="s">
        <v>14</v>
      </c>
      <c r="G6" s="1" t="s">
        <v>15</v>
      </c>
      <c r="H6" s="1" t="s">
        <v>16</v>
      </c>
      <c r="I6" s="1" t="s">
        <v>17</v>
      </c>
      <c r="J6" s="1" t="s">
        <v>18</v>
      </c>
      <c r="K6" s="1" t="s">
        <v>19</v>
      </c>
      <c r="L6" s="1" t="s">
        <v>20</v>
      </c>
      <c r="M6" s="1" t="s">
        <v>21</v>
      </c>
      <c r="N6" s="1" t="s">
        <v>12</v>
      </c>
      <c r="O6" s="1" t="s">
        <v>22</v>
      </c>
      <c r="P6" s="1" t="s">
        <v>23</v>
      </c>
      <c r="Q6" s="79" t="s">
        <v>120</v>
      </c>
      <c r="R6" s="1"/>
      <c r="S6" s="1"/>
      <c r="T6" s="1"/>
      <c r="U6" s="1"/>
      <c r="V6" s="1"/>
      <c r="W6" s="1"/>
      <c r="X6" s="1"/>
      <c r="Y6" s="1"/>
      <c r="Z6" s="1"/>
      <c r="AA6" s="1"/>
      <c r="AB6" s="1"/>
      <c r="AC6" s="1"/>
      <c r="AD6" s="1"/>
      <c r="AE6" s="1"/>
      <c r="AF6" s="1"/>
      <c r="AG6" s="1"/>
    </row>
    <row r="7" spans="1:33" ht="14.25" customHeight="1">
      <c r="A7" s="31" t="s">
        <v>4</v>
      </c>
      <c r="B7" s="5" t="s">
        <v>54</v>
      </c>
      <c r="C7" s="7" t="s">
        <v>26</v>
      </c>
      <c r="D7" s="3"/>
      <c r="E7" s="3" t="s">
        <v>27</v>
      </c>
      <c r="F7" s="3" t="s">
        <v>28</v>
      </c>
      <c r="G7" s="3" t="s">
        <v>29</v>
      </c>
      <c r="H7" s="3" t="s">
        <v>30</v>
      </c>
      <c r="I7" s="3" t="s">
        <v>31</v>
      </c>
      <c r="J7" s="3" t="s">
        <v>32</v>
      </c>
      <c r="K7" s="3" t="s">
        <v>33</v>
      </c>
      <c r="L7" s="3" t="s">
        <v>34</v>
      </c>
      <c r="M7" s="3" t="s">
        <v>34</v>
      </c>
      <c r="N7" s="3" t="s">
        <v>34</v>
      </c>
      <c r="O7" s="3" t="s">
        <v>35</v>
      </c>
      <c r="P7" s="8"/>
      <c r="Q7" s="8"/>
      <c r="R7" s="8"/>
      <c r="S7" t="s">
        <v>130</v>
      </c>
      <c r="T7" t="s">
        <v>131</v>
      </c>
      <c r="U7" t="s">
        <v>106</v>
      </c>
      <c r="V7" t="s">
        <v>132</v>
      </c>
      <c r="W7" t="s">
        <v>108</v>
      </c>
      <c r="X7" t="s">
        <v>133</v>
      </c>
      <c r="Y7" t="s">
        <v>134</v>
      </c>
      <c r="Z7" s="3" t="s">
        <v>135</v>
      </c>
      <c r="AA7" s="3" t="s">
        <v>136</v>
      </c>
      <c r="AB7" s="3"/>
      <c r="AC7" s="3"/>
      <c r="AD7" s="3"/>
      <c r="AE7" s="3"/>
      <c r="AF7" s="3"/>
      <c r="AG7" s="8"/>
    </row>
    <row r="8" spans="1:22" ht="12" hidden="1">
      <c r="A8" s="51">
        <v>1995</v>
      </c>
      <c r="B8" s="52" t="s">
        <v>55</v>
      </c>
      <c r="C8" s="53">
        <v>7729</v>
      </c>
      <c r="D8" s="53">
        <v>572</v>
      </c>
      <c r="E8" s="53">
        <v>6</v>
      </c>
      <c r="F8" s="53">
        <v>7150</v>
      </c>
      <c r="G8" s="53">
        <v>157</v>
      </c>
      <c r="H8" s="53">
        <v>12</v>
      </c>
      <c r="I8" s="53">
        <v>277</v>
      </c>
      <c r="J8" s="53">
        <v>2202</v>
      </c>
      <c r="K8" s="53">
        <v>606</v>
      </c>
      <c r="L8" s="53">
        <v>347</v>
      </c>
      <c r="M8" s="53">
        <v>2347</v>
      </c>
      <c r="N8" s="53">
        <v>854</v>
      </c>
      <c r="O8" s="53">
        <v>108</v>
      </c>
      <c r="P8" s="53">
        <v>119</v>
      </c>
      <c r="Q8" s="53">
        <f>+F8-SUM(G8:P8)</f>
        <v>121</v>
      </c>
      <c r="R8" s="34"/>
      <c r="S8" s="73"/>
      <c r="T8" s="73"/>
      <c r="U8" s="73"/>
      <c r="V8" s="73"/>
    </row>
    <row r="9" spans="1:22" ht="12" hidden="1">
      <c r="A9" s="51">
        <v>1995</v>
      </c>
      <c r="B9" s="52" t="s">
        <v>56</v>
      </c>
      <c r="C9" s="53">
        <v>6591</v>
      </c>
      <c r="D9" s="53">
        <v>479</v>
      </c>
      <c r="E9" s="53">
        <v>0</v>
      </c>
      <c r="F9" s="53">
        <v>6112</v>
      </c>
      <c r="G9" s="53">
        <v>124</v>
      </c>
      <c r="H9" s="53">
        <v>12</v>
      </c>
      <c r="I9" s="53">
        <v>234</v>
      </c>
      <c r="J9" s="53">
        <v>1897</v>
      </c>
      <c r="K9" s="53">
        <v>486</v>
      </c>
      <c r="L9" s="53">
        <v>248</v>
      </c>
      <c r="M9" s="53">
        <v>2006</v>
      </c>
      <c r="N9" s="53">
        <v>724</v>
      </c>
      <c r="O9" s="53">
        <v>104</v>
      </c>
      <c r="P9" s="53">
        <v>169</v>
      </c>
      <c r="Q9" s="53">
        <f aca="true" t="shared" si="0" ref="Q9:Q43">+F9-SUM(G9:P9)</f>
        <v>108</v>
      </c>
      <c r="R9" s="34"/>
      <c r="S9" s="73"/>
      <c r="T9" s="73"/>
      <c r="U9" s="73"/>
      <c r="V9" s="73"/>
    </row>
    <row r="10" spans="1:22" ht="12" hidden="1">
      <c r="A10" s="51">
        <v>1995</v>
      </c>
      <c r="B10" s="52" t="s">
        <v>57</v>
      </c>
      <c r="C10" s="53">
        <v>7852</v>
      </c>
      <c r="D10" s="53">
        <v>551</v>
      </c>
      <c r="E10" s="53">
        <v>31</v>
      </c>
      <c r="F10" s="53">
        <v>7270</v>
      </c>
      <c r="G10" s="53">
        <v>155</v>
      </c>
      <c r="H10" s="53">
        <v>12</v>
      </c>
      <c r="I10" s="53">
        <v>238</v>
      </c>
      <c r="J10" s="53">
        <v>2274</v>
      </c>
      <c r="K10" s="53">
        <v>597</v>
      </c>
      <c r="L10" s="53">
        <v>338</v>
      </c>
      <c r="M10" s="53">
        <v>2296</v>
      </c>
      <c r="N10" s="53">
        <v>867</v>
      </c>
      <c r="O10" s="53">
        <v>119</v>
      </c>
      <c r="P10" s="53">
        <v>240</v>
      </c>
      <c r="Q10" s="53">
        <f t="shared" si="0"/>
        <v>134</v>
      </c>
      <c r="R10" s="34"/>
      <c r="S10" s="73"/>
      <c r="T10" s="73"/>
      <c r="U10" s="73"/>
      <c r="V10" s="73"/>
    </row>
    <row r="11" spans="1:22" ht="12" hidden="1">
      <c r="A11" s="51">
        <v>1995</v>
      </c>
      <c r="B11" s="52" t="s">
        <v>58</v>
      </c>
      <c r="C11" s="53">
        <v>6842</v>
      </c>
      <c r="D11" s="53">
        <v>492</v>
      </c>
      <c r="E11" s="53">
        <v>-23</v>
      </c>
      <c r="F11" s="53">
        <v>6374</v>
      </c>
      <c r="G11" s="53">
        <v>158</v>
      </c>
      <c r="H11" s="53">
        <v>13</v>
      </c>
      <c r="I11" s="53">
        <v>228</v>
      </c>
      <c r="J11" s="53">
        <v>1984</v>
      </c>
      <c r="K11" s="53">
        <v>615</v>
      </c>
      <c r="L11" s="53">
        <v>214</v>
      </c>
      <c r="M11" s="53">
        <v>1956</v>
      </c>
      <c r="N11" s="53">
        <v>753</v>
      </c>
      <c r="O11" s="53">
        <v>120</v>
      </c>
      <c r="P11" s="53">
        <v>201</v>
      </c>
      <c r="Q11" s="53">
        <f t="shared" si="0"/>
        <v>132</v>
      </c>
      <c r="R11" s="34"/>
      <c r="S11" s="73"/>
      <c r="T11" s="73"/>
      <c r="U11" s="73"/>
      <c r="V11" s="73"/>
    </row>
    <row r="12" spans="1:22" ht="12" hidden="1">
      <c r="A12" s="51">
        <v>1995</v>
      </c>
      <c r="B12" s="52" t="s">
        <v>59</v>
      </c>
      <c r="C12" s="53">
        <v>7343</v>
      </c>
      <c r="D12" s="53">
        <v>497</v>
      </c>
      <c r="E12" s="53">
        <v>-1</v>
      </c>
      <c r="F12" s="53">
        <v>6848</v>
      </c>
      <c r="G12" s="53">
        <v>167</v>
      </c>
      <c r="H12" s="53">
        <v>9</v>
      </c>
      <c r="I12" s="53">
        <v>210</v>
      </c>
      <c r="J12" s="53">
        <v>2113</v>
      </c>
      <c r="K12" s="53">
        <v>636</v>
      </c>
      <c r="L12" s="53">
        <v>188</v>
      </c>
      <c r="M12" s="53">
        <v>2109</v>
      </c>
      <c r="N12" s="53">
        <v>970</v>
      </c>
      <c r="O12" s="53">
        <v>93</v>
      </c>
      <c r="P12" s="53">
        <v>219</v>
      </c>
      <c r="Q12" s="53">
        <f t="shared" si="0"/>
        <v>134</v>
      </c>
      <c r="R12" s="34"/>
      <c r="S12" s="73"/>
      <c r="T12" s="73"/>
      <c r="U12" s="73"/>
      <c r="V12" s="73"/>
    </row>
    <row r="13" spans="1:22" ht="12" hidden="1">
      <c r="A13" s="51">
        <v>1995</v>
      </c>
      <c r="B13" s="52" t="s">
        <v>60</v>
      </c>
      <c r="C13" s="53">
        <v>7499</v>
      </c>
      <c r="D13" s="53">
        <v>534</v>
      </c>
      <c r="E13" s="53">
        <v>18</v>
      </c>
      <c r="F13" s="53">
        <v>6947</v>
      </c>
      <c r="G13" s="53">
        <v>160</v>
      </c>
      <c r="H13" s="53">
        <v>11</v>
      </c>
      <c r="I13" s="53">
        <v>237</v>
      </c>
      <c r="J13" s="53">
        <v>2165</v>
      </c>
      <c r="K13" s="53">
        <v>679</v>
      </c>
      <c r="L13" s="53">
        <v>149</v>
      </c>
      <c r="M13" s="53">
        <v>2227</v>
      </c>
      <c r="N13" s="53">
        <v>883</v>
      </c>
      <c r="O13" s="53">
        <v>69</v>
      </c>
      <c r="P13" s="53">
        <v>233</v>
      </c>
      <c r="Q13" s="53">
        <f t="shared" si="0"/>
        <v>134</v>
      </c>
      <c r="R13" s="34"/>
      <c r="S13" s="73"/>
      <c r="T13" s="73"/>
      <c r="U13" s="73"/>
      <c r="V13" s="73"/>
    </row>
    <row r="14" spans="1:22" ht="12" hidden="1">
      <c r="A14" s="51">
        <v>1995</v>
      </c>
      <c r="B14" s="52" t="s">
        <v>61</v>
      </c>
      <c r="C14" s="53">
        <v>7701</v>
      </c>
      <c r="D14" s="53">
        <v>546</v>
      </c>
      <c r="E14" s="53">
        <v>79</v>
      </c>
      <c r="F14" s="53">
        <v>7075</v>
      </c>
      <c r="G14" s="53">
        <v>171</v>
      </c>
      <c r="H14" s="53">
        <v>10</v>
      </c>
      <c r="I14" s="53">
        <v>127</v>
      </c>
      <c r="J14" s="53">
        <v>2358</v>
      </c>
      <c r="K14" s="53">
        <v>692</v>
      </c>
      <c r="L14" s="53">
        <v>179</v>
      </c>
      <c r="M14" s="53">
        <v>2145</v>
      </c>
      <c r="N14" s="53">
        <v>905</v>
      </c>
      <c r="O14" s="53">
        <v>94</v>
      </c>
      <c r="P14" s="53">
        <v>252</v>
      </c>
      <c r="Q14" s="53">
        <f t="shared" si="0"/>
        <v>142</v>
      </c>
      <c r="R14" s="34"/>
      <c r="S14" s="73"/>
      <c r="T14" s="73"/>
      <c r="U14" s="73"/>
      <c r="V14" s="73"/>
    </row>
    <row r="15" spans="1:22" ht="12" hidden="1">
      <c r="A15" s="51">
        <v>1995</v>
      </c>
      <c r="B15" s="52" t="s">
        <v>62</v>
      </c>
      <c r="C15" s="53">
        <v>8097</v>
      </c>
      <c r="D15" s="53">
        <v>544</v>
      </c>
      <c r="E15" s="53">
        <v>31</v>
      </c>
      <c r="F15" s="53">
        <v>7522</v>
      </c>
      <c r="G15" s="53">
        <v>148</v>
      </c>
      <c r="H15" s="53">
        <v>10</v>
      </c>
      <c r="I15" s="53">
        <v>194</v>
      </c>
      <c r="J15" s="53">
        <v>2417</v>
      </c>
      <c r="K15" s="53">
        <v>780</v>
      </c>
      <c r="L15" s="53">
        <v>148</v>
      </c>
      <c r="M15" s="53">
        <v>2361</v>
      </c>
      <c r="N15" s="53">
        <v>1007</v>
      </c>
      <c r="O15" s="53">
        <v>110</v>
      </c>
      <c r="P15" s="53">
        <v>219</v>
      </c>
      <c r="Q15" s="53">
        <f t="shared" si="0"/>
        <v>128</v>
      </c>
      <c r="R15" s="34"/>
      <c r="S15" s="73"/>
      <c r="T15" s="73"/>
      <c r="U15" s="73"/>
      <c r="V15" s="73"/>
    </row>
    <row r="16" spans="1:22" ht="12" hidden="1">
      <c r="A16" s="51">
        <v>1995</v>
      </c>
      <c r="B16" s="52" t="s">
        <v>63</v>
      </c>
      <c r="C16" s="53">
        <v>8111</v>
      </c>
      <c r="D16" s="53">
        <v>556</v>
      </c>
      <c r="E16" s="53">
        <v>-55</v>
      </c>
      <c r="F16" s="53">
        <v>7610</v>
      </c>
      <c r="G16" s="53">
        <v>142</v>
      </c>
      <c r="H16" s="53">
        <v>11</v>
      </c>
      <c r="I16" s="53">
        <v>235</v>
      </c>
      <c r="J16" s="53">
        <v>2444</v>
      </c>
      <c r="K16" s="53">
        <v>679</v>
      </c>
      <c r="L16" s="53">
        <v>233</v>
      </c>
      <c r="M16" s="53">
        <v>2373</v>
      </c>
      <c r="N16" s="53">
        <v>1010</v>
      </c>
      <c r="O16" s="53">
        <v>119</v>
      </c>
      <c r="P16" s="53">
        <v>220</v>
      </c>
      <c r="Q16" s="53">
        <f t="shared" si="0"/>
        <v>144</v>
      </c>
      <c r="R16" s="34"/>
      <c r="S16" s="73"/>
      <c r="T16" s="73"/>
      <c r="U16" s="73"/>
      <c r="V16" s="73"/>
    </row>
    <row r="17" spans="1:33" ht="12" hidden="1">
      <c r="A17" s="51">
        <v>1995</v>
      </c>
      <c r="B17" s="52" t="s">
        <v>64</v>
      </c>
      <c r="C17" s="53">
        <v>8380.112</v>
      </c>
      <c r="D17" s="53">
        <v>562.165</v>
      </c>
      <c r="E17" s="53">
        <v>37.415</v>
      </c>
      <c r="F17" s="53">
        <v>7780.532</v>
      </c>
      <c r="G17" s="53">
        <v>146.63</v>
      </c>
      <c r="H17" s="53">
        <v>10.883</v>
      </c>
      <c r="I17" s="53">
        <v>245.373</v>
      </c>
      <c r="J17" s="53">
        <v>2508.699</v>
      </c>
      <c r="K17" s="53">
        <v>697.028</v>
      </c>
      <c r="L17" s="53">
        <v>280.019</v>
      </c>
      <c r="M17" s="53">
        <v>2474.552</v>
      </c>
      <c r="N17" s="53">
        <v>989.461</v>
      </c>
      <c r="O17" s="53">
        <v>103.756</v>
      </c>
      <c r="P17" s="53">
        <v>198.203</v>
      </c>
      <c r="Q17" s="53">
        <f t="shared" si="0"/>
        <v>125.92799999999806</v>
      </c>
      <c r="R17" s="34"/>
      <c r="S17" s="73"/>
      <c r="T17" s="73"/>
      <c r="U17" s="73"/>
      <c r="V17" s="73"/>
      <c r="W17" s="14"/>
      <c r="X17" s="14"/>
      <c r="Y17" s="14"/>
      <c r="Z17" s="14"/>
      <c r="AA17" s="14"/>
      <c r="AB17" s="14"/>
      <c r="AC17" s="14"/>
      <c r="AD17" s="14"/>
      <c r="AE17" s="14"/>
      <c r="AF17" s="14"/>
      <c r="AG17" s="14"/>
    </row>
    <row r="18" spans="1:33" ht="12" hidden="1">
      <c r="A18" s="51">
        <v>1995</v>
      </c>
      <c r="B18" s="52" t="s">
        <v>65</v>
      </c>
      <c r="C18" s="53">
        <v>8286.809</v>
      </c>
      <c r="D18" s="53">
        <v>555.871</v>
      </c>
      <c r="E18" s="53">
        <v>-4.268</v>
      </c>
      <c r="F18" s="53">
        <v>7735.206</v>
      </c>
      <c r="G18" s="53">
        <v>132.215</v>
      </c>
      <c r="H18" s="53">
        <v>11.227</v>
      </c>
      <c r="I18" s="53">
        <v>231.822</v>
      </c>
      <c r="J18" s="53">
        <v>2518.68</v>
      </c>
      <c r="K18" s="53">
        <v>681.36</v>
      </c>
      <c r="L18" s="53">
        <v>268.954</v>
      </c>
      <c r="M18" s="53">
        <v>2465.793</v>
      </c>
      <c r="N18" s="53">
        <v>980.979</v>
      </c>
      <c r="O18" s="53">
        <v>98.106</v>
      </c>
      <c r="P18" s="53">
        <v>200.832</v>
      </c>
      <c r="Q18" s="53">
        <f t="shared" si="0"/>
        <v>145.23799999999937</v>
      </c>
      <c r="R18" s="34"/>
      <c r="S18" s="73"/>
      <c r="T18" s="73"/>
      <c r="U18" s="73"/>
      <c r="V18" s="73"/>
      <c r="W18" s="14"/>
      <c r="X18" s="14"/>
      <c r="Y18" s="14"/>
      <c r="Z18" s="14"/>
      <c r="AA18" s="14"/>
      <c r="AB18" s="14"/>
      <c r="AC18" s="14"/>
      <c r="AD18" s="14"/>
      <c r="AE18" s="14"/>
      <c r="AF18" s="14"/>
      <c r="AG18" s="14"/>
    </row>
    <row r="19" spans="1:33" ht="12" hidden="1">
      <c r="A19" s="51">
        <v>1995</v>
      </c>
      <c r="B19" s="52" t="s">
        <v>66</v>
      </c>
      <c r="C19" s="53">
        <v>8311.009</v>
      </c>
      <c r="D19" s="53">
        <v>591.165</v>
      </c>
      <c r="E19" s="53">
        <v>12.15</v>
      </c>
      <c r="F19" s="53">
        <v>7707.694</v>
      </c>
      <c r="G19" s="53">
        <v>155.558</v>
      </c>
      <c r="H19" s="53">
        <v>11.041</v>
      </c>
      <c r="I19" s="53">
        <v>253.34</v>
      </c>
      <c r="J19" s="53">
        <v>2373.406</v>
      </c>
      <c r="K19" s="53">
        <v>687.374</v>
      </c>
      <c r="L19" s="53">
        <v>330.076</v>
      </c>
      <c r="M19" s="53">
        <v>2409.547</v>
      </c>
      <c r="N19" s="53">
        <v>1024.879</v>
      </c>
      <c r="O19" s="53">
        <v>122.104</v>
      </c>
      <c r="P19" s="53">
        <v>187.386</v>
      </c>
      <c r="Q19" s="53">
        <f t="shared" si="0"/>
        <v>152.98299999999927</v>
      </c>
      <c r="R19" s="34"/>
      <c r="S19" s="73"/>
      <c r="T19" s="73"/>
      <c r="U19" s="73"/>
      <c r="V19" s="73"/>
      <c r="W19" s="14"/>
      <c r="X19" s="14"/>
      <c r="Y19" s="14"/>
      <c r="Z19" s="14"/>
      <c r="AA19" s="14"/>
      <c r="AB19" s="14"/>
      <c r="AC19" s="14"/>
      <c r="AD19" s="14"/>
      <c r="AE19" s="14"/>
      <c r="AF19" s="14"/>
      <c r="AG19" s="14"/>
    </row>
    <row r="20" spans="1:22" ht="12" hidden="1">
      <c r="A20" s="51">
        <v>1996</v>
      </c>
      <c r="B20" s="52" t="s">
        <v>55</v>
      </c>
      <c r="C20" s="53">
        <v>7783</v>
      </c>
      <c r="D20" s="53">
        <v>573</v>
      </c>
      <c r="E20" s="53">
        <v>16</v>
      </c>
      <c r="F20" s="53">
        <v>7194</v>
      </c>
      <c r="G20" s="53">
        <v>145</v>
      </c>
      <c r="H20" s="53">
        <v>11</v>
      </c>
      <c r="I20" s="53">
        <v>234</v>
      </c>
      <c r="J20" s="53">
        <v>2336</v>
      </c>
      <c r="K20" s="53">
        <v>639</v>
      </c>
      <c r="L20" s="53">
        <v>356</v>
      </c>
      <c r="M20" s="53">
        <v>2239</v>
      </c>
      <c r="N20" s="53">
        <v>897</v>
      </c>
      <c r="O20" s="53">
        <v>102</v>
      </c>
      <c r="P20" s="53">
        <v>94</v>
      </c>
      <c r="Q20" s="53">
        <f t="shared" si="0"/>
        <v>141</v>
      </c>
      <c r="R20" s="34"/>
      <c r="S20" s="73"/>
      <c r="T20" s="73"/>
      <c r="U20" s="73"/>
      <c r="V20" s="73"/>
    </row>
    <row r="21" spans="1:22" ht="12" hidden="1">
      <c r="A21" s="51">
        <v>1996</v>
      </c>
      <c r="B21" s="52" t="s">
        <v>56</v>
      </c>
      <c r="C21" s="53">
        <v>7073</v>
      </c>
      <c r="D21" s="53">
        <v>510</v>
      </c>
      <c r="E21" s="53">
        <v>85</v>
      </c>
      <c r="F21" s="53">
        <v>6478</v>
      </c>
      <c r="G21" s="53">
        <v>115</v>
      </c>
      <c r="H21" s="53">
        <v>9</v>
      </c>
      <c r="I21" s="53">
        <v>246</v>
      </c>
      <c r="J21" s="53">
        <v>1852</v>
      </c>
      <c r="K21" s="53">
        <v>529</v>
      </c>
      <c r="L21" s="53">
        <v>369</v>
      </c>
      <c r="M21" s="53">
        <v>2156</v>
      </c>
      <c r="N21" s="53">
        <v>846</v>
      </c>
      <c r="O21" s="53">
        <v>83</v>
      </c>
      <c r="P21" s="53">
        <v>138</v>
      </c>
      <c r="Q21" s="53">
        <f t="shared" si="0"/>
        <v>135</v>
      </c>
      <c r="R21" s="34"/>
      <c r="S21" s="73"/>
      <c r="T21" s="73"/>
      <c r="U21" s="73"/>
      <c r="V21" s="73"/>
    </row>
    <row r="22" spans="1:22" ht="12" hidden="1">
      <c r="A22" s="51">
        <v>1996</v>
      </c>
      <c r="B22" s="52" t="s">
        <v>57</v>
      </c>
      <c r="C22" s="53">
        <v>7932</v>
      </c>
      <c r="D22" s="53">
        <v>552</v>
      </c>
      <c r="E22" s="53">
        <v>-26</v>
      </c>
      <c r="F22" s="53">
        <v>7406</v>
      </c>
      <c r="G22" s="53">
        <v>146</v>
      </c>
      <c r="H22" s="53">
        <v>12</v>
      </c>
      <c r="I22" s="53">
        <v>211</v>
      </c>
      <c r="J22" s="53">
        <v>2289</v>
      </c>
      <c r="K22" s="53">
        <v>656</v>
      </c>
      <c r="L22" s="53">
        <v>362</v>
      </c>
      <c r="M22" s="53">
        <v>2278</v>
      </c>
      <c r="N22" s="53">
        <v>981</v>
      </c>
      <c r="O22" s="53">
        <v>110</v>
      </c>
      <c r="P22" s="53">
        <v>223</v>
      </c>
      <c r="Q22" s="53">
        <f t="shared" si="0"/>
        <v>138</v>
      </c>
      <c r="R22" s="34"/>
      <c r="S22" s="73"/>
      <c r="T22" s="73"/>
      <c r="U22" s="73"/>
      <c r="V22" s="73"/>
    </row>
    <row r="23" spans="1:22" ht="12" hidden="1">
      <c r="A23" s="51">
        <v>1996</v>
      </c>
      <c r="B23" s="52" t="s">
        <v>58</v>
      </c>
      <c r="C23" s="53">
        <v>7874</v>
      </c>
      <c r="D23" s="53">
        <v>536</v>
      </c>
      <c r="E23" s="53">
        <v>26</v>
      </c>
      <c r="F23" s="53">
        <v>7312</v>
      </c>
      <c r="G23" s="53">
        <v>168</v>
      </c>
      <c r="H23" s="53">
        <v>12</v>
      </c>
      <c r="I23" s="53">
        <v>249</v>
      </c>
      <c r="J23" s="53">
        <v>2136</v>
      </c>
      <c r="K23" s="53">
        <v>671</v>
      </c>
      <c r="L23" s="53">
        <v>310</v>
      </c>
      <c r="M23" s="53">
        <v>2344</v>
      </c>
      <c r="N23" s="53">
        <v>1030</v>
      </c>
      <c r="O23" s="53">
        <v>107</v>
      </c>
      <c r="P23" s="53">
        <v>158</v>
      </c>
      <c r="Q23" s="53">
        <f t="shared" si="0"/>
        <v>127</v>
      </c>
      <c r="R23" s="34"/>
      <c r="S23" s="73"/>
      <c r="T23" s="73"/>
      <c r="U23" s="73"/>
      <c r="V23" s="73"/>
    </row>
    <row r="24" spans="1:22" ht="12" hidden="1">
      <c r="A24" s="51">
        <v>1996</v>
      </c>
      <c r="B24" s="52" t="s">
        <v>59</v>
      </c>
      <c r="C24" s="53">
        <v>8200</v>
      </c>
      <c r="D24" s="53">
        <v>545</v>
      </c>
      <c r="E24" s="53">
        <v>29</v>
      </c>
      <c r="F24" s="53">
        <v>7626</v>
      </c>
      <c r="G24" s="53">
        <v>170</v>
      </c>
      <c r="H24" s="53">
        <v>10</v>
      </c>
      <c r="I24" s="53">
        <v>241</v>
      </c>
      <c r="J24" s="53">
        <v>2360</v>
      </c>
      <c r="K24" s="53">
        <v>789</v>
      </c>
      <c r="L24" s="53">
        <v>257</v>
      </c>
      <c r="M24" s="53">
        <v>2419</v>
      </c>
      <c r="N24" s="53">
        <v>961</v>
      </c>
      <c r="O24" s="53">
        <v>96</v>
      </c>
      <c r="P24" s="53">
        <v>202</v>
      </c>
      <c r="Q24" s="53">
        <f t="shared" si="0"/>
        <v>121</v>
      </c>
      <c r="R24" s="34"/>
      <c r="S24" s="73"/>
      <c r="T24" s="73"/>
      <c r="U24" s="73"/>
      <c r="V24" s="73"/>
    </row>
    <row r="25" spans="1:22" ht="12" hidden="1">
      <c r="A25" s="51">
        <v>1996</v>
      </c>
      <c r="B25" s="52" t="s">
        <v>60</v>
      </c>
      <c r="C25" s="53">
        <v>8104</v>
      </c>
      <c r="D25" s="53">
        <v>539</v>
      </c>
      <c r="E25" s="53">
        <v>-3</v>
      </c>
      <c r="F25" s="53">
        <v>7568</v>
      </c>
      <c r="G25" s="53">
        <v>175</v>
      </c>
      <c r="H25" s="53">
        <v>11</v>
      </c>
      <c r="I25" s="53">
        <v>236</v>
      </c>
      <c r="J25" s="53">
        <v>2388</v>
      </c>
      <c r="K25" s="53">
        <v>734</v>
      </c>
      <c r="L25" s="53">
        <v>232</v>
      </c>
      <c r="M25" s="53">
        <v>2359</v>
      </c>
      <c r="N25" s="53">
        <v>1032</v>
      </c>
      <c r="O25" s="53">
        <v>81</v>
      </c>
      <c r="P25" s="53">
        <v>200</v>
      </c>
      <c r="Q25" s="53">
        <f t="shared" si="0"/>
        <v>120</v>
      </c>
      <c r="R25" s="34"/>
      <c r="S25" s="73"/>
      <c r="T25" s="73"/>
      <c r="U25" s="73"/>
      <c r="V25" s="73"/>
    </row>
    <row r="26" spans="1:22" ht="12" hidden="1">
      <c r="A26" s="51">
        <v>1996</v>
      </c>
      <c r="B26" s="52" t="s">
        <v>61</v>
      </c>
      <c r="C26" s="53">
        <v>8525</v>
      </c>
      <c r="D26" s="53">
        <v>556</v>
      </c>
      <c r="E26" s="53">
        <v>33</v>
      </c>
      <c r="F26" s="53">
        <v>7936</v>
      </c>
      <c r="G26" s="53">
        <v>176</v>
      </c>
      <c r="H26" s="53">
        <v>14</v>
      </c>
      <c r="I26" s="53">
        <v>238</v>
      </c>
      <c r="J26" s="53">
        <v>2561</v>
      </c>
      <c r="K26" s="53">
        <v>830</v>
      </c>
      <c r="L26" s="53">
        <v>192</v>
      </c>
      <c r="M26" s="53">
        <v>2458</v>
      </c>
      <c r="N26" s="53">
        <v>1043</v>
      </c>
      <c r="O26" s="53">
        <v>60</v>
      </c>
      <c r="P26" s="53">
        <v>234</v>
      </c>
      <c r="Q26" s="53">
        <f t="shared" si="0"/>
        <v>130</v>
      </c>
      <c r="R26" s="34"/>
      <c r="S26" s="73"/>
      <c r="T26" s="73"/>
      <c r="U26" s="73"/>
      <c r="V26" s="73"/>
    </row>
    <row r="27" spans="1:22" ht="12" hidden="1">
      <c r="A27" s="51">
        <v>1996</v>
      </c>
      <c r="B27" s="52" t="s">
        <v>62</v>
      </c>
      <c r="C27" s="53">
        <v>8220</v>
      </c>
      <c r="D27" s="53">
        <v>553</v>
      </c>
      <c r="E27" s="53">
        <v>21</v>
      </c>
      <c r="F27" s="53">
        <v>7646</v>
      </c>
      <c r="G27" s="53">
        <v>161</v>
      </c>
      <c r="H27" s="53">
        <v>13</v>
      </c>
      <c r="I27" s="53">
        <v>221</v>
      </c>
      <c r="J27" s="53">
        <v>2406</v>
      </c>
      <c r="K27" s="53">
        <v>785</v>
      </c>
      <c r="L27" s="53">
        <v>225</v>
      </c>
      <c r="M27" s="53">
        <v>2432</v>
      </c>
      <c r="N27" s="53">
        <v>974</v>
      </c>
      <c r="O27" s="53">
        <v>103</v>
      </c>
      <c r="P27" s="53">
        <v>199</v>
      </c>
      <c r="Q27" s="53">
        <f t="shared" si="0"/>
        <v>127</v>
      </c>
      <c r="R27" s="34"/>
      <c r="S27" s="73"/>
      <c r="T27" s="73"/>
      <c r="U27" s="73"/>
      <c r="V27" s="73"/>
    </row>
    <row r="28" spans="1:22" ht="12" hidden="1">
      <c r="A28" s="51">
        <v>1996</v>
      </c>
      <c r="B28" s="52" t="s">
        <v>63</v>
      </c>
      <c r="C28" s="53">
        <v>8027</v>
      </c>
      <c r="D28" s="53">
        <v>536</v>
      </c>
      <c r="E28" s="53">
        <v>8</v>
      </c>
      <c r="F28" s="53">
        <v>7483</v>
      </c>
      <c r="G28" s="53">
        <v>136</v>
      </c>
      <c r="H28" s="53">
        <v>13</v>
      </c>
      <c r="I28" s="53">
        <v>216</v>
      </c>
      <c r="J28" s="53">
        <v>2386</v>
      </c>
      <c r="K28" s="53">
        <v>708</v>
      </c>
      <c r="L28" s="53">
        <v>240</v>
      </c>
      <c r="M28" s="53">
        <v>2488</v>
      </c>
      <c r="N28" s="53">
        <v>886</v>
      </c>
      <c r="O28" s="53">
        <v>79</v>
      </c>
      <c r="P28" s="53">
        <v>200</v>
      </c>
      <c r="Q28" s="53">
        <f t="shared" si="0"/>
        <v>131</v>
      </c>
      <c r="R28" s="34"/>
      <c r="S28" s="73"/>
      <c r="T28" s="73"/>
      <c r="U28" s="73"/>
      <c r="V28" s="73"/>
    </row>
    <row r="29" spans="1:22" ht="12" hidden="1">
      <c r="A29" s="51">
        <v>1996</v>
      </c>
      <c r="B29" s="52" t="s">
        <v>64</v>
      </c>
      <c r="C29" s="53">
        <v>8365</v>
      </c>
      <c r="D29" s="53">
        <v>557</v>
      </c>
      <c r="E29" s="53">
        <v>-17</v>
      </c>
      <c r="F29" s="53">
        <v>7824</v>
      </c>
      <c r="G29" s="53">
        <v>125</v>
      </c>
      <c r="H29" s="53">
        <v>14</v>
      </c>
      <c r="I29" s="53">
        <v>239</v>
      </c>
      <c r="J29" s="53">
        <v>2527</v>
      </c>
      <c r="K29" s="53">
        <v>673</v>
      </c>
      <c r="L29" s="53">
        <v>292</v>
      </c>
      <c r="M29" s="53">
        <v>2659</v>
      </c>
      <c r="N29" s="53">
        <v>862</v>
      </c>
      <c r="O29" s="53">
        <v>93</v>
      </c>
      <c r="P29" s="53">
        <v>208</v>
      </c>
      <c r="Q29" s="53">
        <f t="shared" si="0"/>
        <v>132</v>
      </c>
      <c r="R29" s="34"/>
      <c r="S29" s="73"/>
      <c r="T29" s="73"/>
      <c r="U29" s="73"/>
      <c r="V29" s="73"/>
    </row>
    <row r="30" spans="1:22" ht="12" hidden="1">
      <c r="A30" s="51">
        <v>1996</v>
      </c>
      <c r="B30" s="52" t="s">
        <v>65</v>
      </c>
      <c r="C30" s="53">
        <v>8194</v>
      </c>
      <c r="D30" s="53">
        <v>571</v>
      </c>
      <c r="E30" s="53">
        <v>-3</v>
      </c>
      <c r="F30" s="53">
        <v>7626</v>
      </c>
      <c r="G30" s="53">
        <v>142</v>
      </c>
      <c r="H30" s="53">
        <v>12</v>
      </c>
      <c r="I30" s="53">
        <v>240</v>
      </c>
      <c r="J30" s="53">
        <v>2493</v>
      </c>
      <c r="K30" s="53">
        <v>648</v>
      </c>
      <c r="L30" s="53">
        <v>288</v>
      </c>
      <c r="M30" s="53">
        <v>2503</v>
      </c>
      <c r="N30" s="53">
        <v>892</v>
      </c>
      <c r="O30" s="53">
        <v>98</v>
      </c>
      <c r="P30" s="53">
        <v>198</v>
      </c>
      <c r="Q30" s="53">
        <f t="shared" si="0"/>
        <v>112</v>
      </c>
      <c r="R30" s="34"/>
      <c r="S30" s="73"/>
      <c r="T30" s="73"/>
      <c r="U30" s="73"/>
      <c r="V30" s="73"/>
    </row>
    <row r="31" spans="1:22" ht="12" hidden="1">
      <c r="A31" s="51">
        <v>1996</v>
      </c>
      <c r="B31" s="52" t="s">
        <v>66</v>
      </c>
      <c r="C31" s="53">
        <v>8364</v>
      </c>
      <c r="D31" s="53">
        <v>595</v>
      </c>
      <c r="E31" s="53">
        <v>-17</v>
      </c>
      <c r="F31" s="53">
        <v>7786</v>
      </c>
      <c r="G31" s="53">
        <v>169</v>
      </c>
      <c r="H31" s="53">
        <v>13</v>
      </c>
      <c r="I31" s="53">
        <v>254</v>
      </c>
      <c r="J31" s="53">
        <v>2314</v>
      </c>
      <c r="K31" s="53">
        <v>643</v>
      </c>
      <c r="L31" s="53">
        <v>387</v>
      </c>
      <c r="M31" s="53">
        <v>2566</v>
      </c>
      <c r="N31" s="53">
        <v>1074</v>
      </c>
      <c r="O31" s="53">
        <v>99</v>
      </c>
      <c r="P31" s="53">
        <v>134</v>
      </c>
      <c r="Q31" s="53">
        <f t="shared" si="0"/>
        <v>133</v>
      </c>
      <c r="R31" s="34"/>
      <c r="S31" s="73"/>
      <c r="T31" s="73"/>
      <c r="U31" s="73"/>
      <c r="V31" s="73"/>
    </row>
    <row r="32" spans="1:22" ht="12" hidden="1">
      <c r="A32" s="51">
        <v>1997</v>
      </c>
      <c r="B32" s="52" t="s">
        <v>55</v>
      </c>
      <c r="C32" s="53">
        <v>7972.843</v>
      </c>
      <c r="D32" s="53">
        <v>565.642</v>
      </c>
      <c r="E32" s="53">
        <v>9.049</v>
      </c>
      <c r="F32" s="53">
        <v>7398.152</v>
      </c>
      <c r="G32" s="53">
        <v>173.262</v>
      </c>
      <c r="H32" s="53">
        <v>13.525</v>
      </c>
      <c r="I32" s="53">
        <v>251.277</v>
      </c>
      <c r="J32" s="53">
        <v>2323.142</v>
      </c>
      <c r="K32" s="53">
        <v>650.481</v>
      </c>
      <c r="L32" s="53">
        <v>399.443</v>
      </c>
      <c r="M32" s="53">
        <v>2344.264</v>
      </c>
      <c r="N32" s="53">
        <v>940.683</v>
      </c>
      <c r="O32" s="53">
        <v>78.057</v>
      </c>
      <c r="P32" s="53">
        <v>86.429</v>
      </c>
      <c r="Q32" s="53">
        <f t="shared" si="0"/>
        <v>137.58899999999994</v>
      </c>
      <c r="R32" s="34"/>
      <c r="S32" s="73"/>
      <c r="T32" s="73"/>
      <c r="U32" s="73"/>
      <c r="V32" s="73"/>
    </row>
    <row r="33" spans="1:22" ht="12" hidden="1">
      <c r="A33" s="51">
        <v>1997</v>
      </c>
      <c r="B33" s="52" t="s">
        <v>56</v>
      </c>
      <c r="C33" s="53">
        <v>7369.942</v>
      </c>
      <c r="D33" s="53">
        <v>521.61</v>
      </c>
      <c r="E33" s="53">
        <v>-21.076</v>
      </c>
      <c r="F33" s="53">
        <v>6869.408</v>
      </c>
      <c r="G33" s="53">
        <v>154.601</v>
      </c>
      <c r="H33" s="53">
        <v>10.811</v>
      </c>
      <c r="I33" s="53">
        <v>223.752</v>
      </c>
      <c r="J33" s="53">
        <v>2125.79</v>
      </c>
      <c r="K33" s="53">
        <v>662.13</v>
      </c>
      <c r="L33" s="53">
        <v>302.187</v>
      </c>
      <c r="M33" s="53">
        <v>2168.219</v>
      </c>
      <c r="N33" s="53">
        <v>842.643</v>
      </c>
      <c r="O33" s="53">
        <v>99.325</v>
      </c>
      <c r="P33" s="53">
        <v>165.615</v>
      </c>
      <c r="Q33" s="53">
        <f t="shared" si="0"/>
        <v>114.33500000000095</v>
      </c>
      <c r="R33" s="34"/>
      <c r="S33" s="73"/>
      <c r="T33" s="73"/>
      <c r="U33" s="73"/>
      <c r="V33" s="73"/>
    </row>
    <row r="34" spans="1:22" ht="12" hidden="1">
      <c r="A34" s="51">
        <v>1997</v>
      </c>
      <c r="B34" s="52" t="s">
        <v>57</v>
      </c>
      <c r="C34" s="53">
        <v>8009.326</v>
      </c>
      <c r="D34" s="53">
        <v>563.273</v>
      </c>
      <c r="E34" s="53">
        <v>-22.291</v>
      </c>
      <c r="F34" s="53">
        <v>7468.344</v>
      </c>
      <c r="G34" s="53">
        <v>156.358</v>
      </c>
      <c r="H34" s="53">
        <v>9.829</v>
      </c>
      <c r="I34" s="53">
        <v>257.839</v>
      </c>
      <c r="J34" s="53">
        <v>2305.463</v>
      </c>
      <c r="K34" s="53">
        <v>726.245</v>
      </c>
      <c r="L34" s="53">
        <v>284.851</v>
      </c>
      <c r="M34" s="53">
        <v>2367.747</v>
      </c>
      <c r="N34" s="53">
        <v>929.498</v>
      </c>
      <c r="O34" s="53">
        <v>96.815</v>
      </c>
      <c r="P34" s="53">
        <v>194.474</v>
      </c>
      <c r="Q34" s="53">
        <f t="shared" si="0"/>
        <v>139.22500000000036</v>
      </c>
      <c r="R34" s="34"/>
      <c r="S34" s="73"/>
      <c r="T34" s="73"/>
      <c r="U34" s="73"/>
      <c r="V34" s="73"/>
    </row>
    <row r="35" spans="1:22" ht="12" hidden="1">
      <c r="A35" s="51">
        <v>1997</v>
      </c>
      <c r="B35" s="52" t="s">
        <v>58</v>
      </c>
      <c r="C35" s="53">
        <v>8045.065</v>
      </c>
      <c r="D35" s="53">
        <v>518.409</v>
      </c>
      <c r="E35" s="53">
        <v>23.19</v>
      </c>
      <c r="F35" s="53">
        <v>7503.466</v>
      </c>
      <c r="G35" s="53">
        <v>152.569</v>
      </c>
      <c r="H35" s="53">
        <v>9.187</v>
      </c>
      <c r="I35" s="53">
        <v>249.919</v>
      </c>
      <c r="J35" s="53">
        <v>2317.967</v>
      </c>
      <c r="K35" s="53">
        <v>664.323</v>
      </c>
      <c r="L35" s="53">
        <v>235.587</v>
      </c>
      <c r="M35" s="53">
        <v>2499.557</v>
      </c>
      <c r="N35" s="53">
        <v>953.117</v>
      </c>
      <c r="O35" s="53">
        <v>109.502</v>
      </c>
      <c r="P35" s="53">
        <v>199.95</v>
      </c>
      <c r="Q35" s="53">
        <f t="shared" si="0"/>
        <v>111.78799999999956</v>
      </c>
      <c r="R35" s="34"/>
      <c r="S35" s="73"/>
      <c r="T35" s="73"/>
      <c r="U35" s="73"/>
      <c r="V35" s="73"/>
    </row>
    <row r="36" spans="1:22" ht="12" hidden="1">
      <c r="A36" s="51">
        <v>1997</v>
      </c>
      <c r="B36" s="52" t="s">
        <v>59</v>
      </c>
      <c r="C36" s="53">
        <v>7890.57</v>
      </c>
      <c r="D36" s="53">
        <v>511.759</v>
      </c>
      <c r="E36" s="53">
        <v>14.61</v>
      </c>
      <c r="F36" s="53">
        <v>7364.201</v>
      </c>
      <c r="G36" s="53">
        <v>164.557</v>
      </c>
      <c r="H36" s="53">
        <v>7.539</v>
      </c>
      <c r="I36" s="53">
        <v>279.423</v>
      </c>
      <c r="J36" s="53">
        <v>2242.818</v>
      </c>
      <c r="K36" s="53">
        <v>677.926</v>
      </c>
      <c r="L36" s="53">
        <v>251.882</v>
      </c>
      <c r="M36" s="53">
        <v>2303.986</v>
      </c>
      <c r="N36" s="53">
        <v>1032.911</v>
      </c>
      <c r="O36" s="53">
        <v>111.422</v>
      </c>
      <c r="P36" s="53">
        <v>204.094</v>
      </c>
      <c r="Q36" s="53">
        <f t="shared" si="0"/>
        <v>87.64300000000003</v>
      </c>
      <c r="R36" s="34"/>
      <c r="S36" s="73"/>
      <c r="T36" s="73"/>
      <c r="U36" s="73"/>
      <c r="V36" s="73"/>
    </row>
    <row r="37" spans="1:22" ht="12" hidden="1">
      <c r="A37" s="51">
        <v>1997</v>
      </c>
      <c r="B37" s="52" t="s">
        <v>60</v>
      </c>
      <c r="C37" s="53">
        <v>7730.79</v>
      </c>
      <c r="D37" s="53">
        <v>515.053</v>
      </c>
      <c r="E37" s="53">
        <v>45.152</v>
      </c>
      <c r="F37" s="53">
        <v>7170.585</v>
      </c>
      <c r="G37" s="53">
        <v>166.429</v>
      </c>
      <c r="H37" s="53">
        <v>9.66</v>
      </c>
      <c r="I37" s="53">
        <v>222.765</v>
      </c>
      <c r="J37" s="53">
        <v>2240.844</v>
      </c>
      <c r="K37" s="53">
        <v>739.629</v>
      </c>
      <c r="L37" s="53">
        <v>185.405</v>
      </c>
      <c r="M37" s="53">
        <v>2275.153</v>
      </c>
      <c r="N37" s="53">
        <v>926.246</v>
      </c>
      <c r="O37" s="53">
        <v>91.521</v>
      </c>
      <c r="P37" s="53">
        <v>231.738</v>
      </c>
      <c r="Q37" s="53">
        <f t="shared" si="0"/>
        <v>81.19499999999971</v>
      </c>
      <c r="R37" s="34"/>
      <c r="S37" s="73"/>
      <c r="T37" s="73"/>
      <c r="U37" s="73"/>
      <c r="V37" s="73"/>
    </row>
    <row r="38" spans="1:22" ht="12" hidden="1">
      <c r="A38" s="51">
        <v>1997</v>
      </c>
      <c r="B38" s="52" t="s">
        <v>61</v>
      </c>
      <c r="C38" s="53">
        <v>8664.179</v>
      </c>
      <c r="D38" s="53">
        <v>561.452</v>
      </c>
      <c r="E38" s="53">
        <v>-10.852</v>
      </c>
      <c r="F38" s="53">
        <v>8113.579</v>
      </c>
      <c r="G38" s="53">
        <v>190.718</v>
      </c>
      <c r="H38" s="53">
        <v>9.854</v>
      </c>
      <c r="I38" s="53">
        <v>245.726</v>
      </c>
      <c r="J38" s="53">
        <v>2359.318</v>
      </c>
      <c r="K38" s="53">
        <v>781.662</v>
      </c>
      <c r="L38" s="53">
        <v>243.39</v>
      </c>
      <c r="M38" s="53">
        <v>2681.197</v>
      </c>
      <c r="N38" s="53">
        <v>1128.752</v>
      </c>
      <c r="O38" s="53">
        <v>109.802</v>
      </c>
      <c r="P38" s="53">
        <v>229.2</v>
      </c>
      <c r="Q38" s="53">
        <f t="shared" si="0"/>
        <v>133.96000000000004</v>
      </c>
      <c r="R38" s="34"/>
      <c r="S38" s="73"/>
      <c r="T38" s="73"/>
      <c r="U38" s="73"/>
      <c r="V38" s="73"/>
    </row>
    <row r="39" spans="1:22" ht="12" hidden="1">
      <c r="A39" s="51">
        <v>1997</v>
      </c>
      <c r="B39" s="52" t="s">
        <v>62</v>
      </c>
      <c r="C39" s="53">
        <v>8429.969</v>
      </c>
      <c r="D39" s="53">
        <v>550.472</v>
      </c>
      <c r="E39" s="53">
        <v>1.846</v>
      </c>
      <c r="F39" s="53">
        <v>7877.651</v>
      </c>
      <c r="G39" s="53">
        <v>178.094</v>
      </c>
      <c r="H39" s="53">
        <v>10.298</v>
      </c>
      <c r="I39" s="53">
        <v>225.733</v>
      </c>
      <c r="J39" s="53">
        <v>2428.472</v>
      </c>
      <c r="K39" s="53">
        <v>792.645</v>
      </c>
      <c r="L39" s="53">
        <v>217.147</v>
      </c>
      <c r="M39" s="53">
        <v>2558.193</v>
      </c>
      <c r="N39" s="53">
        <v>1018.958</v>
      </c>
      <c r="O39" s="53">
        <v>94.594</v>
      </c>
      <c r="P39" s="53">
        <v>217.69</v>
      </c>
      <c r="Q39" s="53">
        <f t="shared" si="0"/>
        <v>135.82700000000023</v>
      </c>
      <c r="R39" s="34"/>
      <c r="S39" s="73"/>
      <c r="T39" s="73"/>
      <c r="U39" s="73"/>
      <c r="V39" s="73"/>
    </row>
    <row r="40" spans="1:22" ht="12" hidden="1">
      <c r="A40" s="51">
        <v>1997</v>
      </c>
      <c r="B40" s="52" t="s">
        <v>63</v>
      </c>
      <c r="C40" s="53">
        <v>8313.173</v>
      </c>
      <c r="D40" s="53">
        <v>549.84</v>
      </c>
      <c r="E40" s="53">
        <v>25.053</v>
      </c>
      <c r="F40" s="53">
        <v>7738.28</v>
      </c>
      <c r="G40" s="53">
        <v>133.67</v>
      </c>
      <c r="H40" s="53">
        <v>11.324</v>
      </c>
      <c r="I40" s="53">
        <v>225.513</v>
      </c>
      <c r="J40" s="53">
        <v>2460.127</v>
      </c>
      <c r="K40" s="53">
        <v>693.018</v>
      </c>
      <c r="L40" s="53">
        <v>274.925</v>
      </c>
      <c r="M40" s="53">
        <v>2409.869</v>
      </c>
      <c r="N40" s="53">
        <v>1064.664</v>
      </c>
      <c r="O40" s="53">
        <v>133.306</v>
      </c>
      <c r="P40" s="53">
        <v>206.08</v>
      </c>
      <c r="Q40" s="53">
        <f t="shared" si="0"/>
        <v>125.78400000000056</v>
      </c>
      <c r="R40" s="34"/>
      <c r="S40" s="73"/>
      <c r="T40" s="73"/>
      <c r="U40" s="73"/>
      <c r="V40" s="73"/>
    </row>
    <row r="41" spans="1:22" ht="12" hidden="1">
      <c r="A41" s="51">
        <v>1997</v>
      </c>
      <c r="B41" s="52" t="s">
        <v>64</v>
      </c>
      <c r="C41" s="53">
        <v>8108.155</v>
      </c>
      <c r="D41" s="53">
        <v>565.938</v>
      </c>
      <c r="E41" s="53">
        <v>17.477</v>
      </c>
      <c r="F41" s="53">
        <v>7524.74</v>
      </c>
      <c r="G41" s="53">
        <v>146.207</v>
      </c>
      <c r="H41" s="53">
        <v>12.902</v>
      </c>
      <c r="I41" s="53">
        <v>180.511</v>
      </c>
      <c r="J41" s="53">
        <v>2511.28</v>
      </c>
      <c r="K41" s="53">
        <v>689.311</v>
      </c>
      <c r="L41" s="53">
        <v>242.852</v>
      </c>
      <c r="M41" s="53">
        <v>2344.85</v>
      </c>
      <c r="N41" s="53">
        <v>988.862</v>
      </c>
      <c r="O41" s="53">
        <v>80.407</v>
      </c>
      <c r="P41" s="53">
        <v>186.059</v>
      </c>
      <c r="Q41" s="53">
        <f t="shared" si="0"/>
        <v>141.4989999999989</v>
      </c>
      <c r="R41" s="34"/>
      <c r="S41" s="73"/>
      <c r="T41" s="73"/>
      <c r="U41" s="73"/>
      <c r="V41" s="73"/>
    </row>
    <row r="42" spans="1:22" ht="12" hidden="1">
      <c r="A42" s="51">
        <v>1997</v>
      </c>
      <c r="B42" s="52" t="s">
        <v>65</v>
      </c>
      <c r="C42" s="53">
        <v>8257.2</v>
      </c>
      <c r="D42" s="53">
        <v>571.132</v>
      </c>
      <c r="E42" s="53">
        <v>-28.374</v>
      </c>
      <c r="F42" s="53">
        <v>7714.442</v>
      </c>
      <c r="G42" s="53">
        <v>164.508</v>
      </c>
      <c r="H42" s="53">
        <v>14.078</v>
      </c>
      <c r="I42" s="53">
        <v>242.235</v>
      </c>
      <c r="J42" s="53">
        <v>2465.607</v>
      </c>
      <c r="K42" s="53">
        <v>665.338</v>
      </c>
      <c r="L42" s="53">
        <v>349.174</v>
      </c>
      <c r="M42" s="53">
        <v>2337.97</v>
      </c>
      <c r="N42" s="53">
        <v>1028.801</v>
      </c>
      <c r="O42" s="53">
        <v>121.673</v>
      </c>
      <c r="P42" s="53">
        <v>195.119</v>
      </c>
      <c r="Q42" s="53">
        <f t="shared" si="0"/>
        <v>129.93900000000122</v>
      </c>
      <c r="R42" s="34"/>
      <c r="S42" s="73"/>
      <c r="T42" s="73"/>
      <c r="U42" s="73"/>
      <c r="V42" s="73"/>
    </row>
    <row r="43" spans="1:22" ht="12" hidden="1" thickBot="1">
      <c r="A43" s="81">
        <v>1997</v>
      </c>
      <c r="B43" s="93" t="s">
        <v>66</v>
      </c>
      <c r="C43" s="83">
        <v>8232.487</v>
      </c>
      <c r="D43" s="83">
        <v>576.951</v>
      </c>
      <c r="E43" s="83">
        <v>32.715</v>
      </c>
      <c r="F43" s="83">
        <v>7622.821</v>
      </c>
      <c r="G43" s="83">
        <v>169.108</v>
      </c>
      <c r="H43" s="83">
        <v>19.512</v>
      </c>
      <c r="I43" s="83">
        <v>249.068</v>
      </c>
      <c r="J43" s="83">
        <v>2479.41</v>
      </c>
      <c r="K43" s="83">
        <v>599.606</v>
      </c>
      <c r="L43" s="83">
        <v>349.078</v>
      </c>
      <c r="M43" s="83">
        <v>2486.623</v>
      </c>
      <c r="N43" s="83">
        <v>891.862</v>
      </c>
      <c r="O43" s="83">
        <v>105.027</v>
      </c>
      <c r="P43" s="83">
        <v>141.999</v>
      </c>
      <c r="Q43" s="83">
        <f t="shared" si="0"/>
        <v>131.52800000000025</v>
      </c>
      <c r="R43" s="34"/>
      <c r="S43" s="73"/>
      <c r="T43" s="73"/>
      <c r="U43" s="73"/>
      <c r="V43" s="73"/>
    </row>
    <row r="44" spans="1:27" ht="12.75">
      <c r="A44" s="51">
        <v>1998</v>
      </c>
      <c r="B44" s="52" t="s">
        <v>55</v>
      </c>
      <c r="C44" s="54">
        <v>7611.819</v>
      </c>
      <c r="D44" s="54">
        <v>544.6342264956262</v>
      </c>
      <c r="E44" s="54">
        <v>-11.918</v>
      </c>
      <c r="F44" s="54">
        <v>7014.482806210013</v>
      </c>
      <c r="G44" s="97">
        <v>160.59229335461967</v>
      </c>
      <c r="H44" s="47">
        <f>193.902358551875*394/2960</f>
        <v>25.809976104540123</v>
      </c>
      <c r="I44" s="47">
        <f>188.823009994252*2316/2333</f>
        <v>187.44710293471394</v>
      </c>
      <c r="J44" s="47">
        <v>2368.701887654856</v>
      </c>
      <c r="K44" s="47">
        <v>574.6941356762073</v>
      </c>
      <c r="L44" s="47">
        <v>339.0339794804779</v>
      </c>
      <c r="M44" s="47">
        <f>2221.19528241651*27532/27694</f>
        <v>2208.202084043163</v>
      </c>
      <c r="N44" s="47">
        <f>990.149041927542*11125/13365</f>
        <v>824.1981362846169</v>
      </c>
      <c r="O44" s="47">
        <v>79.03945016188051</v>
      </c>
      <c r="P44" s="47">
        <v>106.80076170644162</v>
      </c>
      <c r="Q44" s="53">
        <f aca="true" t="shared" si="1" ref="Q44:Q107">SUM(S44:Y44)</f>
        <v>0</v>
      </c>
      <c r="R44" s="34"/>
      <c r="S44" s="73"/>
      <c r="T44" s="73"/>
      <c r="U44" s="73"/>
      <c r="V44" s="73"/>
      <c r="Z44" s="73">
        <f aca="true" t="shared" si="2" ref="Z44:Z107">SUM(G44:Q44)</f>
        <v>6874.519807401517</v>
      </c>
      <c r="AA44" s="14">
        <f aca="true" t="shared" si="3" ref="AA44:AA107">+Z44-F44</f>
        <v>-139.9629988084962</v>
      </c>
    </row>
    <row r="45" spans="1:27" ht="12.75">
      <c r="A45" s="51">
        <v>1998</v>
      </c>
      <c r="B45" s="52" t="s">
        <v>56</v>
      </c>
      <c r="C45" s="54">
        <v>6798.998</v>
      </c>
      <c r="D45" s="54">
        <v>438.55908528448157</v>
      </c>
      <c r="E45" s="54">
        <v>94.626</v>
      </c>
      <c r="F45" s="54">
        <v>6210.657359932198</v>
      </c>
      <c r="G45" s="97">
        <v>123.02279599072045</v>
      </c>
      <c r="H45" s="47">
        <f>59.2035513252482*394/2960</f>
        <v>7.880472710185065</v>
      </c>
      <c r="I45" s="47">
        <f>187.487007558009*2316/2333</f>
        <v>186.12083562123823</v>
      </c>
      <c r="J45" s="47">
        <v>1944.834827097007</v>
      </c>
      <c r="K45" s="47">
        <v>466.66794543115566</v>
      </c>
      <c r="L45" s="47">
        <v>301.10593263797904</v>
      </c>
      <c r="M45" s="47">
        <f>1963.50091037256*27532/27694</f>
        <v>1952.0151319555616</v>
      </c>
      <c r="N45" s="47">
        <f>1046.11008105523*11125/13365</f>
        <v>870.7799963890335</v>
      </c>
      <c r="O45" s="47">
        <v>98.31463027655064</v>
      </c>
      <c r="P45" s="47">
        <v>128.21903718113816</v>
      </c>
      <c r="Q45" s="53">
        <f t="shared" si="1"/>
        <v>0</v>
      </c>
      <c r="R45" s="34"/>
      <c r="S45" s="73"/>
      <c r="T45" s="73"/>
      <c r="U45" s="73"/>
      <c r="V45" s="73"/>
      <c r="Z45" s="73">
        <f t="shared" si="2"/>
        <v>6078.96160529057</v>
      </c>
      <c r="AA45" s="14">
        <f t="shared" si="3"/>
        <v>-131.6957546416279</v>
      </c>
    </row>
    <row r="46" spans="1:27" ht="12.75">
      <c r="A46" s="51">
        <v>1998</v>
      </c>
      <c r="B46" s="52" t="s">
        <v>57</v>
      </c>
      <c r="C46" s="54">
        <v>8148.264</v>
      </c>
      <c r="D46" s="54">
        <v>516.7340903244238</v>
      </c>
      <c r="E46" s="54">
        <v>-12.59</v>
      </c>
      <c r="F46" s="54">
        <v>7577.689781537901</v>
      </c>
      <c r="G46" s="97">
        <v>161.81921843617474</v>
      </c>
      <c r="H46" s="47">
        <f>210.238454693608*394/2960</f>
        <v>27.98444295583836</v>
      </c>
      <c r="I46" s="47">
        <f>217.129873878998*2316/2333</f>
        <v>215.5477016304155</v>
      </c>
      <c r="J46" s="47">
        <v>2351.0316689824567</v>
      </c>
      <c r="K46" s="47">
        <v>651.9344682305217</v>
      </c>
      <c r="L46" s="47">
        <v>322.36063238756384</v>
      </c>
      <c r="M46" s="47">
        <f>2491.86736924944*27532/27694</f>
        <v>2477.290835927478</v>
      </c>
      <c r="N46" s="47">
        <f>1140.70979259339*11125/13365</f>
        <v>949.5246122410373</v>
      </c>
      <c r="O46" s="47">
        <v>106.52496205443171</v>
      </c>
      <c r="P46" s="47">
        <v>190.902753650985</v>
      </c>
      <c r="Q46" s="53">
        <f t="shared" si="1"/>
        <v>0</v>
      </c>
      <c r="R46" s="34"/>
      <c r="S46" s="73"/>
      <c r="T46" s="73"/>
      <c r="U46" s="73"/>
      <c r="V46" s="73"/>
      <c r="Z46" s="73">
        <f t="shared" si="2"/>
        <v>7454.921296496903</v>
      </c>
      <c r="AA46" s="14">
        <f t="shared" si="3"/>
        <v>-122.7684850409978</v>
      </c>
    </row>
    <row r="47" spans="1:27" ht="12.75">
      <c r="A47" s="51">
        <v>1998</v>
      </c>
      <c r="B47" s="52" t="s">
        <v>58</v>
      </c>
      <c r="C47" s="54">
        <v>8196.561</v>
      </c>
      <c r="D47" s="54">
        <v>527.6015447886997</v>
      </c>
      <c r="E47" s="54">
        <v>4.838</v>
      </c>
      <c r="F47" s="54">
        <v>7597.071206851569</v>
      </c>
      <c r="G47" s="97">
        <v>167.9260718938422</v>
      </c>
      <c r="H47" s="47">
        <f>259.083974044931*394/2960</f>
        <v>34.48617762625095</v>
      </c>
      <c r="I47" s="47">
        <f>240.010789200691*2316/2333</f>
        <v>238.2618893222462</v>
      </c>
      <c r="J47" s="47">
        <v>2284.3852809942878</v>
      </c>
      <c r="K47" s="47">
        <v>693.425561514981</v>
      </c>
      <c r="L47" s="47">
        <v>355.37612055881885</v>
      </c>
      <c r="M47" s="47">
        <f>2403.14771475022*27532/27694</f>
        <v>2389.0901596917406</v>
      </c>
      <c r="N47" s="47">
        <f>1223.41102006979*11125/13365</f>
        <v>1018.3649531071017</v>
      </c>
      <c r="O47" s="47">
        <v>104.11593660951387</v>
      </c>
      <c r="P47" s="47">
        <v>189.48538236019397</v>
      </c>
      <c r="Q47" s="53">
        <f t="shared" si="1"/>
        <v>0</v>
      </c>
      <c r="R47" s="34"/>
      <c r="S47" s="73"/>
      <c r="T47" s="73"/>
      <c r="U47" s="73"/>
      <c r="V47" s="73"/>
      <c r="Z47" s="73">
        <f t="shared" si="2"/>
        <v>7474.917533678977</v>
      </c>
      <c r="AA47" s="14">
        <f t="shared" si="3"/>
        <v>-122.15367317259188</v>
      </c>
    </row>
    <row r="48" spans="1:27" ht="12.75">
      <c r="A48" s="51">
        <v>1998</v>
      </c>
      <c r="B48" s="52" t="s">
        <v>59</v>
      </c>
      <c r="C48" s="54">
        <v>8249.572</v>
      </c>
      <c r="D48" s="54">
        <v>534.670164994725</v>
      </c>
      <c r="E48" s="54">
        <v>-16.657</v>
      </c>
      <c r="F48" s="54">
        <v>7663.804808588359</v>
      </c>
      <c r="G48" s="97">
        <v>181.90329764103228</v>
      </c>
      <c r="H48" s="47">
        <f>299.421109989102*394/2960</f>
        <v>39.85537747827912</v>
      </c>
      <c r="I48" s="47">
        <f>211.599003658648*2316/2333</f>
        <v>210.05713350768485</v>
      </c>
      <c r="J48" s="47">
        <v>2382.5944859128654</v>
      </c>
      <c r="K48" s="47">
        <v>766.664446582434</v>
      </c>
      <c r="L48" s="47">
        <v>228.60553102877645</v>
      </c>
      <c r="M48" s="47">
        <f>2488.52726034932*27532/27694</f>
        <v>2473.970265470408</v>
      </c>
      <c r="N48" s="47">
        <f>1126.29682986571*11125/13365</f>
        <v>937.5272901052019</v>
      </c>
      <c r="O48" s="47">
        <v>97.79075653894084</v>
      </c>
      <c r="P48" s="47">
        <v>225.44435981039538</v>
      </c>
      <c r="Q48" s="53">
        <f t="shared" si="1"/>
        <v>0</v>
      </c>
      <c r="R48" s="34"/>
      <c r="S48" s="73"/>
      <c r="T48" s="73"/>
      <c r="U48" s="73"/>
      <c r="V48" s="73"/>
      <c r="Z48" s="73">
        <f t="shared" si="2"/>
        <v>7544.412944076018</v>
      </c>
      <c r="AA48" s="14">
        <f t="shared" si="3"/>
        <v>-119.39186451234127</v>
      </c>
    </row>
    <row r="49" spans="1:27" ht="12.75">
      <c r="A49" s="51">
        <v>1998</v>
      </c>
      <c r="B49" s="52" t="s">
        <v>60</v>
      </c>
      <c r="C49" s="54">
        <v>8188.373</v>
      </c>
      <c r="D49" s="54">
        <v>529.9765324207431</v>
      </c>
      <c r="E49" s="54">
        <v>25.999</v>
      </c>
      <c r="F49" s="54">
        <v>7565.410934067643</v>
      </c>
      <c r="G49" s="97">
        <v>176.73672306559138</v>
      </c>
      <c r="H49" s="47">
        <f>138.25013247483*394/2960</f>
        <v>18.40221357941994</v>
      </c>
      <c r="I49" s="47">
        <f>215.778882634569*2316/2333</f>
        <v>214.20655472853056</v>
      </c>
      <c r="J49" s="47">
        <v>2327.0280599277303</v>
      </c>
      <c r="K49" s="47">
        <v>750.0894296566842</v>
      </c>
      <c r="L49" s="47">
        <v>215.94632150170727</v>
      </c>
      <c r="M49" s="47">
        <f>2481.78938590737*27532/27694</f>
        <v>2467.2718051853008</v>
      </c>
      <c r="N49" s="47">
        <f>1142.41509704886*11125/13365</f>
        <v>950.9441043523058</v>
      </c>
      <c r="O49" s="47">
        <v>93.2306737774736</v>
      </c>
      <c r="P49" s="47">
        <v>213.2146970983916</v>
      </c>
      <c r="Q49" s="53">
        <f t="shared" si="1"/>
        <v>0</v>
      </c>
      <c r="R49" s="34"/>
      <c r="S49" s="73"/>
      <c r="T49" s="73"/>
      <c r="U49" s="73"/>
      <c r="V49" s="73"/>
      <c r="Z49" s="73">
        <f t="shared" si="2"/>
        <v>7427.070582873135</v>
      </c>
      <c r="AA49" s="14">
        <f t="shared" si="3"/>
        <v>-138.340351194508</v>
      </c>
    </row>
    <row r="50" spans="1:27" ht="12.75">
      <c r="A50" s="51">
        <v>1998</v>
      </c>
      <c r="B50" s="52" t="s">
        <v>61</v>
      </c>
      <c r="C50" s="54">
        <v>8165.782</v>
      </c>
      <c r="D50" s="54">
        <v>532.7029456453043</v>
      </c>
      <c r="E50" s="54">
        <v>-47.268</v>
      </c>
      <c r="F50" s="54">
        <v>7612.967973419323</v>
      </c>
      <c r="G50" s="97">
        <v>186.15835713971566</v>
      </c>
      <c r="H50" s="47">
        <f>467.813115508053*394/2960</f>
        <v>62.269718753436784</v>
      </c>
      <c r="I50" s="47">
        <f>170.420750558306*2316/2333</f>
        <v>169.17893625933849</v>
      </c>
      <c r="J50" s="47">
        <v>2327.653861576845</v>
      </c>
      <c r="K50" s="47">
        <v>819.5142956325711</v>
      </c>
      <c r="L50" s="47">
        <v>166.05717601315573</v>
      </c>
      <c r="M50" s="47">
        <f>2464.10171993721*27532/27694</f>
        <v>2449.6876057381114</v>
      </c>
      <c r="N50" s="47">
        <f>1158.4222537434*11125/13365</f>
        <v>964.2684304448429</v>
      </c>
      <c r="O50" s="47">
        <v>112.90471230600575</v>
      </c>
      <c r="P50" s="47">
        <v>232.37846946324353</v>
      </c>
      <c r="Q50" s="53">
        <f t="shared" si="1"/>
        <v>0</v>
      </c>
      <c r="R50" s="34"/>
      <c r="S50" s="73"/>
      <c r="T50" s="73"/>
      <c r="U50" s="73"/>
      <c r="V50" s="73"/>
      <c r="Z50" s="73">
        <f t="shared" si="2"/>
        <v>7490.071563327266</v>
      </c>
      <c r="AA50" s="14">
        <f t="shared" si="3"/>
        <v>-122.89641009205752</v>
      </c>
    </row>
    <row r="51" spans="1:27" ht="12.75">
      <c r="A51" s="51">
        <v>1998</v>
      </c>
      <c r="B51" s="52" t="s">
        <v>62</v>
      </c>
      <c r="C51" s="54">
        <v>7445.631</v>
      </c>
      <c r="D51" s="54">
        <v>526.493790203589</v>
      </c>
      <c r="E51" s="54">
        <v>43.563</v>
      </c>
      <c r="F51" s="54">
        <v>6812.9285133988415</v>
      </c>
      <c r="G51" s="97">
        <v>175.5197165376463</v>
      </c>
      <c r="H51" s="47">
        <f>259.039582479329*394/2960</f>
        <v>34.48026874893771</v>
      </c>
      <c r="I51" s="47">
        <f>92.5668823364637*2316/2333</f>
        <v>91.89237012055291</v>
      </c>
      <c r="J51" s="47">
        <v>2225.8931579174096</v>
      </c>
      <c r="K51" s="47">
        <v>730.0117826135627</v>
      </c>
      <c r="L51" s="47">
        <v>190.992824044464</v>
      </c>
      <c r="M51" s="47">
        <f>2124.17804190858*27532/27694</f>
        <v>2111.75235971066</v>
      </c>
      <c r="N51" s="47">
        <f>1018.1935707946*11125/13365</f>
        <v>847.5423475562981</v>
      </c>
      <c r="O51" s="47">
        <v>68.89832616167237</v>
      </c>
      <c r="P51" s="47">
        <v>210.27184152122092</v>
      </c>
      <c r="Q51" s="53">
        <f t="shared" si="1"/>
        <v>0</v>
      </c>
      <c r="R51" s="34"/>
      <c r="S51" s="73"/>
      <c r="T51" s="73"/>
      <c r="U51" s="73"/>
      <c r="V51" s="73"/>
      <c r="Z51" s="73">
        <f t="shared" si="2"/>
        <v>6687.254994932426</v>
      </c>
      <c r="AA51" s="14">
        <f t="shared" si="3"/>
        <v>-125.67351846641577</v>
      </c>
    </row>
    <row r="52" spans="1:27" ht="12.75">
      <c r="A52" s="51">
        <v>1998</v>
      </c>
      <c r="B52" s="52" t="s">
        <v>63</v>
      </c>
      <c r="C52" s="53">
        <v>7157.558</v>
      </c>
      <c r="D52" s="53">
        <v>482.6209788681094</v>
      </c>
      <c r="E52" s="53">
        <v>9.071</v>
      </c>
      <c r="F52" s="53">
        <v>6606.435631737155</v>
      </c>
      <c r="G52" s="47">
        <v>125.5460760291005</v>
      </c>
      <c r="H52" s="47">
        <f>239.018986392585*394/2960</f>
        <v>31.815365080634624</v>
      </c>
      <c r="I52" s="47">
        <f>186.903443292664*2316/2333</f>
        <v>185.54152364586793</v>
      </c>
      <c r="J52" s="47">
        <v>2118.470486564159</v>
      </c>
      <c r="K52" s="47">
        <v>572.1940987209712</v>
      </c>
      <c r="L52" s="47">
        <v>237.20796269471134</v>
      </c>
      <c r="M52" s="47">
        <f>2077.00099185453*27532/27694</f>
        <v>2064.8512785346616</v>
      </c>
      <c r="N52" s="47">
        <f>1036.56424081729*11125/13365</f>
        <v>862.8340575452563</v>
      </c>
      <c r="O52" s="47">
        <v>101.28622467833358</v>
      </c>
      <c r="P52" s="47">
        <v>198.4924843137792</v>
      </c>
      <c r="Q52" s="53">
        <f t="shared" si="1"/>
        <v>0</v>
      </c>
      <c r="R52" s="34"/>
      <c r="S52" s="73"/>
      <c r="T52" s="73"/>
      <c r="U52" s="73"/>
      <c r="V52" s="73"/>
      <c r="Z52" s="73">
        <f t="shared" si="2"/>
        <v>6498.239557807476</v>
      </c>
      <c r="AA52" s="14">
        <f t="shared" si="3"/>
        <v>-108.19607392967919</v>
      </c>
    </row>
    <row r="53" spans="1:27" ht="12.75">
      <c r="A53" s="51">
        <v>1998</v>
      </c>
      <c r="B53" s="52" t="s">
        <v>64</v>
      </c>
      <c r="C53" s="53">
        <v>8092.442</v>
      </c>
      <c r="D53" s="53">
        <v>541.7578844177352</v>
      </c>
      <c r="E53" s="53">
        <v>39.82</v>
      </c>
      <c r="F53" s="53">
        <v>7443.995836570576</v>
      </c>
      <c r="G53" s="47">
        <v>155.86015142729607</v>
      </c>
      <c r="H53" s="47">
        <f>232.005119027385*394/2960</f>
        <v>30.88176246513165</v>
      </c>
      <c r="I53" s="47">
        <f>206.95946789838*2316/2333</f>
        <v>205.45140490897904</v>
      </c>
      <c r="J53" s="47">
        <v>2381.95876664649</v>
      </c>
      <c r="K53" s="47">
        <v>684.978391826484</v>
      </c>
      <c r="L53" s="47">
        <v>323.1430322243849</v>
      </c>
      <c r="M53" s="47">
        <f>2333.64362722695*27532/27694</f>
        <v>2319.9926462342883</v>
      </c>
      <c r="N53" s="47">
        <f>1135.93808019712*11125/13365</f>
        <v>945.5526481251746</v>
      </c>
      <c r="O53" s="47">
        <v>86.7933767895712</v>
      </c>
      <c r="P53" s="47">
        <v>186.4879743540565</v>
      </c>
      <c r="Q53" s="53">
        <f t="shared" si="1"/>
        <v>0</v>
      </c>
      <c r="R53" s="34"/>
      <c r="S53" s="73"/>
      <c r="T53" s="73"/>
      <c r="U53" s="73"/>
      <c r="V53" s="73"/>
      <c r="Z53" s="73">
        <f t="shared" si="2"/>
        <v>7321.100155001856</v>
      </c>
      <c r="AA53" s="14">
        <f t="shared" si="3"/>
        <v>-122.89568156871974</v>
      </c>
    </row>
    <row r="54" spans="1:27" ht="12.75">
      <c r="A54" s="51">
        <v>1998</v>
      </c>
      <c r="B54" s="52" t="s">
        <v>65</v>
      </c>
      <c r="C54" s="53">
        <v>7688.187</v>
      </c>
      <c r="D54" s="53">
        <v>476.60854536133604</v>
      </c>
      <c r="E54" s="53">
        <v>-0.32</v>
      </c>
      <c r="F54" s="53">
        <v>7149.7360961869235</v>
      </c>
      <c r="G54" s="47">
        <v>163.3923010387183</v>
      </c>
      <c r="H54" s="47">
        <f>365.150221457923*394/2960</f>
        <v>48.60445515352084</v>
      </c>
      <c r="I54" s="47">
        <f>208.133591206223*2316/2333</f>
        <v>206.61697266764358</v>
      </c>
      <c r="J54" s="47">
        <v>2174.647837772519</v>
      </c>
      <c r="K54" s="47">
        <v>638.2997962362573</v>
      </c>
      <c r="L54" s="47">
        <v>317.2616463787757</v>
      </c>
      <c r="M54" s="47">
        <f>2252.70165488086*27532/27694</f>
        <v>2239.5241554914364</v>
      </c>
      <c r="N54" s="47">
        <f>1178.05257854445*11125/13365</f>
        <v>980.608674620801</v>
      </c>
      <c r="O54" s="47">
        <v>92.34862121547525</v>
      </c>
      <c r="P54" s="47">
        <v>173.7018768665918</v>
      </c>
      <c r="Q54" s="53">
        <f t="shared" si="1"/>
        <v>0</v>
      </c>
      <c r="R54" s="34"/>
      <c r="S54" s="73"/>
      <c r="T54" s="73"/>
      <c r="U54" s="73"/>
      <c r="V54" s="73"/>
      <c r="Z54" s="73">
        <f t="shared" si="2"/>
        <v>7035.00633744174</v>
      </c>
      <c r="AA54" s="14">
        <f t="shared" si="3"/>
        <v>-114.72975874518397</v>
      </c>
    </row>
    <row r="55" spans="1:27" ht="13.5" thickBot="1">
      <c r="A55" s="81">
        <v>1998</v>
      </c>
      <c r="B55" s="93" t="s">
        <v>66</v>
      </c>
      <c r="C55" s="83">
        <v>8053.608</v>
      </c>
      <c r="D55" s="83">
        <v>524.640211195227</v>
      </c>
      <c r="E55" s="83">
        <v>103.555</v>
      </c>
      <c r="F55" s="83">
        <v>7359.819051499507</v>
      </c>
      <c r="G55" s="98">
        <v>183.52299744554279</v>
      </c>
      <c r="H55" s="98">
        <f>236.873394055129*394/2960</f>
        <v>31.529769343824608</v>
      </c>
      <c r="I55" s="98">
        <f>207.187297782796*2316/2333</f>
        <v>205.67757465278848</v>
      </c>
      <c r="J55" s="98">
        <v>2278.7996789533745</v>
      </c>
      <c r="K55" s="98">
        <v>527.5256478781714</v>
      </c>
      <c r="L55" s="98">
        <v>444.9088410491853</v>
      </c>
      <c r="M55" s="98">
        <f>2392.34604114646*27532/27694</f>
        <v>2378.3516720171997</v>
      </c>
      <c r="N55" s="98">
        <f>1168.73741334262*11125/13365</f>
        <v>972.8547492283312</v>
      </c>
      <c r="O55" s="98">
        <v>83.75232943015061</v>
      </c>
      <c r="P55" s="98">
        <v>116.6003616735622</v>
      </c>
      <c r="Q55" s="53">
        <f t="shared" si="1"/>
        <v>0</v>
      </c>
      <c r="R55" s="34"/>
      <c r="S55" s="73"/>
      <c r="T55" s="73"/>
      <c r="U55" s="73"/>
      <c r="V55" s="73"/>
      <c r="Z55" s="73">
        <f t="shared" si="2"/>
        <v>7223.523621672131</v>
      </c>
      <c r="AA55" s="14">
        <f t="shared" si="3"/>
        <v>-136.2954298273753</v>
      </c>
    </row>
    <row r="56" spans="1:27" ht="12.75">
      <c r="A56" s="51">
        <v>1999</v>
      </c>
      <c r="B56" s="52" t="s">
        <v>55</v>
      </c>
      <c r="C56" s="54">
        <v>7888.445916612475</v>
      </c>
      <c r="D56" s="54">
        <v>501.24225388502197</v>
      </c>
      <c r="E56" s="54">
        <v>5.315</v>
      </c>
      <c r="F56" s="54">
        <v>7271.29483807032</v>
      </c>
      <c r="G56" s="97">
        <f>188.881220971463</f>
        <v>188.881220971463</v>
      </c>
      <c r="H56" s="97">
        <f>279.56087362151*361/2848</f>
        <v>35.43591129823213</v>
      </c>
      <c r="I56" s="97">
        <f>207.246738110055*2430/2451</f>
        <v>205.47106226333483</v>
      </c>
      <c r="J56" s="97">
        <v>2274.597986447109</v>
      </c>
      <c r="K56" s="97">
        <v>559.8755366639858</v>
      </c>
      <c r="L56" s="97">
        <v>434.33791818703355</v>
      </c>
      <c r="M56" s="97">
        <f>2332.07356759873*25750/25865</f>
        <v>2321.7047889297232</v>
      </c>
      <c r="N56" s="97">
        <f>1100.82485087295*10446/12195</f>
        <v>942.9451736136807</v>
      </c>
      <c r="O56" s="97">
        <v>77.30248675402001</v>
      </c>
      <c r="P56" s="97">
        <v>96.13622247944393</v>
      </c>
      <c r="Q56" s="53">
        <f t="shared" si="1"/>
        <v>0</v>
      </c>
      <c r="R56" s="35"/>
      <c r="S56" s="73"/>
      <c r="T56" s="73"/>
      <c r="U56" s="73"/>
      <c r="V56" s="73"/>
      <c r="Z56" s="73">
        <f t="shared" si="2"/>
        <v>7136.688307608026</v>
      </c>
      <c r="AA56" s="14">
        <f t="shared" si="3"/>
        <v>-134.60653046229436</v>
      </c>
    </row>
    <row r="57" spans="1:27" ht="12.75">
      <c r="A57" s="51">
        <v>1999</v>
      </c>
      <c r="B57" s="52" t="s">
        <v>56</v>
      </c>
      <c r="C57" s="54">
        <v>6917.554911452309</v>
      </c>
      <c r="D57" s="54">
        <v>449.6749673863643</v>
      </c>
      <c r="E57" s="54">
        <v>-21.446</v>
      </c>
      <c r="F57" s="54">
        <v>6391.396368616644</v>
      </c>
      <c r="G57" s="97">
        <f>139.96921601726</f>
        <v>139.96921601726</v>
      </c>
      <c r="H57" s="97">
        <f>239.242083104083*361/2848</f>
        <v>30.325278090089174</v>
      </c>
      <c r="I57" s="97">
        <f>161.535502896167*2430/2451</f>
        <v>160.15147777955357</v>
      </c>
      <c r="J57" s="97">
        <v>1902.2551316357647</v>
      </c>
      <c r="K57" s="97">
        <v>502.2464375984494</v>
      </c>
      <c r="L57" s="97">
        <v>389.8877362148397</v>
      </c>
      <c r="M57" s="97">
        <f>2227.14935068426*25750/25865</f>
        <v>2217.2470821619827</v>
      </c>
      <c r="N57" s="97">
        <f>849.83173092343*10446/12195</f>
        <v>727.9493449139934</v>
      </c>
      <c r="O57" s="97">
        <v>76.38139724022604</v>
      </c>
      <c r="P57" s="97">
        <v>143.09314317586168</v>
      </c>
      <c r="Q57" s="53">
        <f t="shared" si="1"/>
        <v>0</v>
      </c>
      <c r="R57" s="35"/>
      <c r="S57" s="73"/>
      <c r="T57" s="73"/>
      <c r="U57" s="73"/>
      <c r="V57" s="73"/>
      <c r="Z57" s="73">
        <f t="shared" si="2"/>
        <v>6289.5062448280205</v>
      </c>
      <c r="AA57" s="14">
        <f t="shared" si="3"/>
        <v>-101.8901237886239</v>
      </c>
    </row>
    <row r="58" spans="1:27" ht="12.75">
      <c r="A58" s="51">
        <v>1999</v>
      </c>
      <c r="B58" s="52" t="s">
        <v>57</v>
      </c>
      <c r="C58" s="54">
        <v>7860.661716144271</v>
      </c>
      <c r="D58" s="54">
        <v>473.9480855846057</v>
      </c>
      <c r="E58" s="54">
        <v>40.554</v>
      </c>
      <c r="F58" s="54">
        <v>7238.048967192897</v>
      </c>
      <c r="G58" s="97">
        <f>168.058783223628</f>
        <v>168.058783223628</v>
      </c>
      <c r="H58" s="97">
        <f>254.625629739492*361/2848</f>
        <v>32.275229050546564</v>
      </c>
      <c r="I58" s="97">
        <f>219.782228024383*2430/2451</f>
        <v>217.8991489593026</v>
      </c>
      <c r="J58" s="97">
        <v>2287.942007500671</v>
      </c>
      <c r="K58" s="97">
        <v>563.0474097789037</v>
      </c>
      <c r="L58" s="97">
        <v>394.05703627204167</v>
      </c>
      <c r="M58" s="97">
        <f>2283.03075699504*25750/25865</f>
        <v>2272.8800306445883</v>
      </c>
      <c r="N58" s="97">
        <f>1022.93664673641*10446/12195</f>
        <v>876.2276516448165</v>
      </c>
      <c r="O58" s="97">
        <v>118.58090621748305</v>
      </c>
      <c r="P58" s="97">
        <v>179.56425071518962</v>
      </c>
      <c r="Q58" s="53">
        <f t="shared" si="1"/>
        <v>0</v>
      </c>
      <c r="R58" s="35"/>
      <c r="S58" s="73"/>
      <c r="T58" s="73"/>
      <c r="U58" s="73"/>
      <c r="V58" s="73"/>
      <c r="Z58" s="73">
        <f t="shared" si="2"/>
        <v>7110.5324540071715</v>
      </c>
      <c r="AA58" s="14">
        <f t="shared" si="3"/>
        <v>-127.51651318572567</v>
      </c>
    </row>
    <row r="59" spans="1:27" ht="12.75">
      <c r="A59" s="51">
        <v>1999</v>
      </c>
      <c r="B59" s="52" t="s">
        <v>58</v>
      </c>
      <c r="C59" s="53">
        <v>7302.227686938321</v>
      </c>
      <c r="D59" s="53">
        <v>475.65321815761234</v>
      </c>
      <c r="E59" s="53">
        <v>17.572</v>
      </c>
      <c r="F59" s="53">
        <v>6705.948655248046</v>
      </c>
      <c r="G59" s="47">
        <f>161.363037246422</f>
        <v>161.363037246422</v>
      </c>
      <c r="H59" s="47">
        <f>200.381254933856*361/2848</f>
        <v>25.39944980025352</v>
      </c>
      <c r="I59" s="47">
        <f>296.150576353093*2430/2451</f>
        <v>293.6131785140824</v>
      </c>
      <c r="J59" s="47">
        <v>2201.2487632052275</v>
      </c>
      <c r="K59" s="47">
        <v>562.0870726903336</v>
      </c>
      <c r="L59" s="47">
        <v>327.984280422301</v>
      </c>
      <c r="M59" s="47">
        <f>2027.21559851717*25750/25865</f>
        <v>2018.2022679998888</v>
      </c>
      <c r="N59" s="47">
        <f>969.355763573054*10446/12195</f>
        <v>830.3313084283823</v>
      </c>
      <c r="O59" s="47">
        <v>43.767530740567985</v>
      </c>
      <c r="P59" s="47">
        <v>102.35474843917741</v>
      </c>
      <c r="Q59" s="53">
        <f t="shared" si="1"/>
        <v>0</v>
      </c>
      <c r="R59" s="34"/>
      <c r="S59" s="73"/>
      <c r="T59" s="73"/>
      <c r="U59" s="73"/>
      <c r="V59" s="73"/>
      <c r="Z59" s="73">
        <f t="shared" si="2"/>
        <v>6566.351637486637</v>
      </c>
      <c r="AA59" s="14">
        <f t="shared" si="3"/>
        <v>-139.597017761409</v>
      </c>
    </row>
    <row r="60" spans="1:27" ht="12.75">
      <c r="A60" s="51">
        <v>1999</v>
      </c>
      <c r="B60" s="52" t="s">
        <v>59</v>
      </c>
      <c r="C60" s="53">
        <v>7457.652808359638</v>
      </c>
      <c r="D60" s="53">
        <v>478.1794091326211</v>
      </c>
      <c r="E60" s="53">
        <v>33.873</v>
      </c>
      <c r="F60" s="53">
        <v>6841.028698443393</v>
      </c>
      <c r="G60" s="47">
        <f>168.068651677537</f>
        <v>168.068651677537</v>
      </c>
      <c r="H60" s="47">
        <f>212.576360548286*361/2848</f>
        <v>26.945247948711813</v>
      </c>
      <c r="I60" s="47">
        <f>200.357041146751*2430/2451</f>
        <v>198.64039575136877</v>
      </c>
      <c r="J60" s="47">
        <v>2230.4324616551116</v>
      </c>
      <c r="K60" s="47">
        <v>625.5886231927525</v>
      </c>
      <c r="L60" s="47">
        <v>246.75392968626628</v>
      </c>
      <c r="M60" s="47">
        <f>2054.80372048345*25750/25865</f>
        <v>2045.6677286854374</v>
      </c>
      <c r="N60" s="47">
        <f>1062.02416531715*10446/12195</f>
        <v>909.7092604266461</v>
      </c>
      <c r="O60" s="47">
        <v>72.06785812530649</v>
      </c>
      <c r="P60" s="47">
        <v>151.70265144927103</v>
      </c>
      <c r="Q60" s="53">
        <f t="shared" si="1"/>
        <v>0</v>
      </c>
      <c r="R60" s="34"/>
      <c r="S60" s="73"/>
      <c r="T60" s="73"/>
      <c r="U60" s="73"/>
      <c r="V60" s="73"/>
      <c r="Z60" s="73">
        <f t="shared" si="2"/>
        <v>6675.576808598409</v>
      </c>
      <c r="AA60" s="14">
        <f t="shared" si="3"/>
        <v>-165.45188984498418</v>
      </c>
    </row>
    <row r="61" spans="1:27" ht="12.75">
      <c r="A61" s="51">
        <v>1999</v>
      </c>
      <c r="B61" s="52" t="s">
        <v>60</v>
      </c>
      <c r="C61" s="53">
        <v>7260.403385168162</v>
      </c>
      <c r="D61" s="53">
        <v>450.5571881523982</v>
      </c>
      <c r="E61" s="53">
        <v>17.235</v>
      </c>
      <c r="F61" s="53">
        <v>6691.681749800915</v>
      </c>
      <c r="G61" s="47">
        <f>161.474550775593</f>
        <v>161.474550775593</v>
      </c>
      <c r="H61" s="47">
        <f>209.374293710978*361/2848</f>
        <v>26.53936798794349</v>
      </c>
      <c r="I61" s="47">
        <f>191.230106751287*2430/2451</f>
        <v>189.59166030421355</v>
      </c>
      <c r="J61" s="47">
        <v>1984.3445752736245</v>
      </c>
      <c r="K61" s="47">
        <v>720.4766321555936</v>
      </c>
      <c r="L61" s="47">
        <v>185.66599214048873</v>
      </c>
      <c r="M61" s="47">
        <f>2112.55010869242*25750/25865</f>
        <v>2103.1573670531534</v>
      </c>
      <c r="N61" s="47">
        <f>1071.62003378794*10446/12195</f>
        <v>917.9288948707521</v>
      </c>
      <c r="O61" s="47">
        <v>91.12967741023559</v>
      </c>
      <c r="P61" s="47">
        <v>160.32596333191395</v>
      </c>
      <c r="Q61" s="53">
        <f t="shared" si="1"/>
        <v>0</v>
      </c>
      <c r="R61" s="34"/>
      <c r="S61" s="73"/>
      <c r="T61" s="73"/>
      <c r="U61" s="73"/>
      <c r="V61" s="73"/>
      <c r="Z61" s="73">
        <f t="shared" si="2"/>
        <v>6540.634681303512</v>
      </c>
      <c r="AA61" s="14">
        <f t="shared" si="3"/>
        <v>-151.04706849740342</v>
      </c>
    </row>
    <row r="62" spans="1:27" ht="12.75">
      <c r="A62" s="51">
        <v>1999</v>
      </c>
      <c r="B62" s="52" t="s">
        <v>61</v>
      </c>
      <c r="C62" s="53">
        <v>7391.989334585393</v>
      </c>
      <c r="D62" s="53">
        <v>453.37065689785925</v>
      </c>
      <c r="E62" s="53">
        <v>47.012</v>
      </c>
      <c r="F62" s="53">
        <v>6789.500074445085</v>
      </c>
      <c r="G62" s="47">
        <f>182.44304164128</f>
        <v>182.44304164128</v>
      </c>
      <c r="H62" s="47">
        <f>277.394368825204*361/2848</f>
        <v>35.16129464392509</v>
      </c>
      <c r="I62" s="47">
        <f>216.53674225613*2430/2451</f>
        <v>214.68147029065523</v>
      </c>
      <c r="J62" s="47">
        <v>2149.8674292009364</v>
      </c>
      <c r="K62" s="47">
        <v>689.6206268303364</v>
      </c>
      <c r="L62" s="47">
        <v>158.66020894121414</v>
      </c>
      <c r="M62" s="47">
        <f>2169.72644955229*25750/25865</f>
        <v>2160.0794925950695</v>
      </c>
      <c r="N62" s="47">
        <f>921.121590225873*10446/12195</f>
        <v>789.0148529314858</v>
      </c>
      <c r="O62" s="47">
        <v>88.21848228740922</v>
      </c>
      <c r="P62" s="47">
        <v>182.54287239338126</v>
      </c>
      <c r="Q62" s="53">
        <f t="shared" si="1"/>
        <v>0</v>
      </c>
      <c r="R62" s="34"/>
      <c r="S62" s="73"/>
      <c r="T62" s="73"/>
      <c r="U62" s="73"/>
      <c r="V62" s="73"/>
      <c r="Z62" s="73">
        <f t="shared" si="2"/>
        <v>6650.2897717556925</v>
      </c>
      <c r="AA62" s="14">
        <f t="shared" si="3"/>
        <v>-139.21030268939285</v>
      </c>
    </row>
    <row r="63" spans="1:27" ht="12.75">
      <c r="A63" s="51">
        <v>1999</v>
      </c>
      <c r="B63" s="52" t="s">
        <v>62</v>
      </c>
      <c r="C63" s="53">
        <v>7310.593747301012</v>
      </c>
      <c r="D63" s="53">
        <v>480.99658468802363</v>
      </c>
      <c r="E63" s="53">
        <v>7.604</v>
      </c>
      <c r="F63" s="53">
        <v>6718.395307174987</v>
      </c>
      <c r="G63" s="47">
        <f>182.570344696705</f>
        <v>182.570344696705</v>
      </c>
      <c r="H63" s="47">
        <f>248.5621414731*361/2848</f>
        <v>31.506647848240554</v>
      </c>
      <c r="I63" s="47">
        <f>164.494622273104*2430/2451</f>
        <v>163.08524362449722</v>
      </c>
      <c r="J63" s="47">
        <v>2181.558616421914</v>
      </c>
      <c r="K63" s="47">
        <v>671.9421422327371</v>
      </c>
      <c r="L63" s="47">
        <v>206.87242490541976</v>
      </c>
      <c r="M63" s="47">
        <f>2125.93044153897*25750/25865</f>
        <v>2116.478208761975</v>
      </c>
      <c r="N63" s="47">
        <f>916.493148232489*10446/12195</f>
        <v>785.0502194699943</v>
      </c>
      <c r="O63" s="47">
        <v>76.373507822549</v>
      </c>
      <c r="P63" s="47">
        <v>147.2795806619927</v>
      </c>
      <c r="Q63" s="53">
        <f t="shared" si="1"/>
        <v>0</v>
      </c>
      <c r="R63" s="34"/>
      <c r="S63" s="73"/>
      <c r="T63" s="73"/>
      <c r="U63" s="73"/>
      <c r="V63" s="73"/>
      <c r="Z63" s="73">
        <f t="shared" si="2"/>
        <v>6562.716936446024</v>
      </c>
      <c r="AA63" s="14">
        <f t="shared" si="3"/>
        <v>-155.67837072896236</v>
      </c>
    </row>
    <row r="64" spans="1:27" ht="12.75">
      <c r="A64" s="51">
        <v>1999</v>
      </c>
      <c r="B64" s="52" t="s">
        <v>63</v>
      </c>
      <c r="C64" s="53">
        <v>6772.030861469075</v>
      </c>
      <c r="D64" s="53">
        <v>423.0081766685163</v>
      </c>
      <c r="E64" s="53">
        <v>3.63</v>
      </c>
      <c r="F64" s="53">
        <v>6250.942715192496</v>
      </c>
      <c r="G64" s="47">
        <f>118.320788677248</f>
        <v>118.320788677248</v>
      </c>
      <c r="H64" s="47">
        <f>256.792134535799*361/2848</f>
        <v>32.54984570485373</v>
      </c>
      <c r="I64" s="47">
        <f>207.603701771453*2430/2451</f>
        <v>205.8249674845495</v>
      </c>
      <c r="J64" s="47">
        <v>1791.8812541013983</v>
      </c>
      <c r="K64" s="47">
        <v>583.8524127623916</v>
      </c>
      <c r="L64" s="47">
        <v>252.90532366848623</v>
      </c>
      <c r="M64" s="47">
        <f>1935.81669188925*25750/25865</f>
        <v>1927.2097357876742</v>
      </c>
      <c r="N64" s="47">
        <f>1073.8803254349*10446/12195</f>
        <v>919.8650167685907</v>
      </c>
      <c r="O64" s="47">
        <v>106.57715722187247</v>
      </c>
      <c r="P64" s="47">
        <v>141.40811687727526</v>
      </c>
      <c r="Q64" s="53">
        <f t="shared" si="1"/>
        <v>0</v>
      </c>
      <c r="R64" s="34"/>
      <c r="S64" s="73"/>
      <c r="T64" s="73"/>
      <c r="U64" s="73"/>
      <c r="V64" s="73"/>
      <c r="Z64" s="73">
        <f t="shared" si="2"/>
        <v>6080.394619054341</v>
      </c>
      <c r="AA64" s="14">
        <f t="shared" si="3"/>
        <v>-170.5480961381545</v>
      </c>
    </row>
    <row r="65" spans="1:27" ht="12.75">
      <c r="A65" s="51">
        <v>1999</v>
      </c>
      <c r="B65" s="52" t="s">
        <v>64</v>
      </c>
      <c r="C65" s="53">
        <v>7082.231099621803</v>
      </c>
      <c r="D65" s="53">
        <v>447.95130076365103</v>
      </c>
      <c r="E65" s="53">
        <v>56.54</v>
      </c>
      <c r="F65" s="53">
        <v>6479.090399606364</v>
      </c>
      <c r="G65" s="47">
        <f>121.299088066962</f>
        <v>121.299088066962</v>
      </c>
      <c r="H65" s="47">
        <f>221.228753917183*361/2848</f>
        <v>28.041987417171022</v>
      </c>
      <c r="I65" s="47">
        <f>225.022335254375*2430/2451</f>
        <v>223.09435930972307</v>
      </c>
      <c r="J65" s="47">
        <v>1907.8203170954785</v>
      </c>
      <c r="K65" s="47">
        <v>668.5858922845929</v>
      </c>
      <c r="L65" s="47">
        <v>240.97923216143784</v>
      </c>
      <c r="M65" s="47">
        <f>2193.65463083946*25750/25865</f>
        <v>2183.9012852934893</v>
      </c>
      <c r="N65" s="47">
        <f>949.349752713561*10446/12195</f>
        <v>813.1945483268436</v>
      </c>
      <c r="O65" s="47">
        <v>61.65875767766685</v>
      </c>
      <c r="P65" s="47">
        <v>112.43138317970002</v>
      </c>
      <c r="Q65" s="53">
        <f t="shared" si="1"/>
        <v>0</v>
      </c>
      <c r="R65" s="34"/>
      <c r="S65" s="73"/>
      <c r="T65" s="73"/>
      <c r="U65" s="73"/>
      <c r="V65" s="73"/>
      <c r="Z65" s="73">
        <f t="shared" si="2"/>
        <v>6361.006850813064</v>
      </c>
      <c r="AA65" s="14">
        <f t="shared" si="3"/>
        <v>-118.0835487933</v>
      </c>
    </row>
    <row r="66" spans="1:27" ht="12.75">
      <c r="A66" s="51">
        <v>1999</v>
      </c>
      <c r="B66" s="52" t="s">
        <v>65</v>
      </c>
      <c r="C66" s="53">
        <v>7663.554293977361</v>
      </c>
      <c r="D66" s="53">
        <v>465.91264833431165</v>
      </c>
      <c r="E66" s="53">
        <v>7.526</v>
      </c>
      <c r="F66" s="53">
        <v>7084.142471647839</v>
      </c>
      <c r="G66" s="47">
        <f>240.27316839298</f>
        <v>240.27316839298</v>
      </c>
      <c r="H66" s="47">
        <f>240.849929430902*361/2848</f>
        <v>30.52908164485801</v>
      </c>
      <c r="I66" s="47">
        <f>122.89990393439*2430/2451</f>
        <v>121.84690598146378</v>
      </c>
      <c r="J66" s="47">
        <v>2308.0305127045594</v>
      </c>
      <c r="K66" s="47">
        <v>596.0370593132634</v>
      </c>
      <c r="L66" s="47">
        <v>361.3633337894319</v>
      </c>
      <c r="M66" s="47">
        <f>2153.84796802878*25750/25865</f>
        <v>2144.271609384925</v>
      </c>
      <c r="N66" s="47">
        <f>1164.89765939493*10446/12195</f>
        <v>997.8286961901958</v>
      </c>
      <c r="O66" s="47">
        <v>60.55029449404325</v>
      </c>
      <c r="P66" s="47">
        <v>130.09112924990555</v>
      </c>
      <c r="Q66" s="53">
        <f t="shared" si="1"/>
        <v>0</v>
      </c>
      <c r="R66" s="34"/>
      <c r="S66" s="73"/>
      <c r="T66" s="73"/>
      <c r="U66" s="73"/>
      <c r="V66" s="73"/>
      <c r="Z66" s="73">
        <f t="shared" si="2"/>
        <v>6990.821791145627</v>
      </c>
      <c r="AA66" s="14">
        <f t="shared" si="3"/>
        <v>-93.32068050221187</v>
      </c>
    </row>
    <row r="67" spans="1:27" ht="13.5" thickBot="1">
      <c r="A67" s="81">
        <v>1999</v>
      </c>
      <c r="B67" s="93" t="s">
        <v>66</v>
      </c>
      <c r="C67" s="83">
        <v>7378.654238370181</v>
      </c>
      <c r="D67" s="83">
        <v>437.50551034901446</v>
      </c>
      <c r="E67" s="83">
        <v>107.313</v>
      </c>
      <c r="F67" s="83">
        <v>6733.52975456101</v>
      </c>
      <c r="G67" s="98">
        <f>143.278108612923</f>
        <v>143.278108612923</v>
      </c>
      <c r="H67" s="98">
        <f>207.412176159606*361/2848</f>
        <v>26.290658565174777</v>
      </c>
      <c r="I67" s="98">
        <f>238.140501228812*2430/2451</f>
        <v>236.1001297372555</v>
      </c>
      <c r="J67" s="98">
        <v>2010.0209447582</v>
      </c>
      <c r="K67" s="98">
        <v>505.64015449666107</v>
      </c>
      <c r="L67" s="98">
        <v>353.53258361104</v>
      </c>
      <c r="M67" s="98">
        <f>2249.20071518017*25750/25865</f>
        <v>2239.200402702083</v>
      </c>
      <c r="N67" s="98">
        <f>1092.66433278731*10446/12195</f>
        <v>935.955032414616</v>
      </c>
      <c r="O67" s="98">
        <v>34.39194400862009</v>
      </c>
      <c r="P67" s="98">
        <v>97.06993804688766</v>
      </c>
      <c r="Q67" s="53">
        <f t="shared" si="1"/>
        <v>0</v>
      </c>
      <c r="R67" s="34"/>
      <c r="S67" s="73"/>
      <c r="T67" s="73"/>
      <c r="U67" s="73"/>
      <c r="V67" s="73"/>
      <c r="Z67" s="73">
        <f t="shared" si="2"/>
        <v>6581.479896953461</v>
      </c>
      <c r="AA67" s="14">
        <f t="shared" si="3"/>
        <v>-152.0498576075488</v>
      </c>
    </row>
    <row r="68" spans="1:27" ht="12.75">
      <c r="A68" s="51">
        <v>2000</v>
      </c>
      <c r="B68" s="52" t="s">
        <v>55</v>
      </c>
      <c r="C68" s="54">
        <v>7507.286078799712</v>
      </c>
      <c r="D68" s="54">
        <v>423.63938982180974</v>
      </c>
      <c r="E68" s="54">
        <f>C68-D68-F68</f>
        <v>377.20472334541046</v>
      </c>
      <c r="F68" s="54">
        <v>6706.441965632493</v>
      </c>
      <c r="G68" s="100">
        <v>151.169</v>
      </c>
      <c r="H68" s="97">
        <f>255*288/2873</f>
        <v>25.562130177514792</v>
      </c>
      <c r="I68" s="97">
        <f>260.152*3081/3100</f>
        <v>258.55751999999995</v>
      </c>
      <c r="J68" s="97">
        <v>1970.377491762192</v>
      </c>
      <c r="K68" s="97">
        <v>480</v>
      </c>
      <c r="L68" s="97">
        <v>270.61</v>
      </c>
      <c r="M68" s="97">
        <f>2435.943*28223/28392</f>
        <v>2421.4433392857145</v>
      </c>
      <c r="N68" s="97">
        <f>1059*10296/11523</f>
        <v>946.2348346784692</v>
      </c>
      <c r="O68" s="97">
        <v>17.091</v>
      </c>
      <c r="P68" s="97">
        <v>57.83314738908391</v>
      </c>
      <c r="Q68" s="53">
        <f t="shared" si="1"/>
        <v>0</v>
      </c>
      <c r="R68" s="35"/>
      <c r="S68" s="73"/>
      <c r="T68" s="73"/>
      <c r="U68" s="73"/>
      <c r="V68" s="73"/>
      <c r="Z68" s="73">
        <f t="shared" si="2"/>
        <v>6598.8784632929755</v>
      </c>
      <c r="AA68" s="14">
        <f t="shared" si="3"/>
        <v>-107.56350233951707</v>
      </c>
    </row>
    <row r="69" spans="1:27" ht="12.75">
      <c r="A69" s="51">
        <v>2000</v>
      </c>
      <c r="B69" s="52" t="s">
        <v>56</v>
      </c>
      <c r="C69" s="54">
        <v>7095.174282162036</v>
      </c>
      <c r="D69" s="54">
        <v>419.9559988408352</v>
      </c>
      <c r="E69" s="54">
        <f aca="true" t="shared" si="4" ref="E69:E91">C69-D69-F69</f>
        <v>48.68412866741892</v>
      </c>
      <c r="F69" s="54">
        <v>6626.534154653782</v>
      </c>
      <c r="G69" s="100">
        <v>149.616</v>
      </c>
      <c r="H69" s="97">
        <f>238*288/2873</f>
        <v>23.857988165680474</v>
      </c>
      <c r="I69" s="97">
        <f>283.669*3081/3100</f>
        <v>281.93038354838706</v>
      </c>
      <c r="J69" s="97">
        <v>1979.0945369256776</v>
      </c>
      <c r="K69" s="97">
        <v>497</v>
      </c>
      <c r="L69" s="97">
        <v>360.916</v>
      </c>
      <c r="M69" s="97">
        <f>2259.609*28223/28392</f>
        <v>2246.158946428571</v>
      </c>
      <c r="N69" s="97">
        <f>908*10296/11523</f>
        <v>811.3137203853163</v>
      </c>
      <c r="O69" s="97">
        <v>63.051</v>
      </c>
      <c r="P69" s="97">
        <v>125.47639189146851</v>
      </c>
      <c r="Q69" s="53">
        <f t="shared" si="1"/>
        <v>0</v>
      </c>
      <c r="R69" s="35"/>
      <c r="S69" s="73"/>
      <c r="T69" s="73"/>
      <c r="U69" s="73"/>
      <c r="V69" s="73"/>
      <c r="Z69" s="73">
        <f t="shared" si="2"/>
        <v>6538.414967345102</v>
      </c>
      <c r="AA69" s="14">
        <f t="shared" si="3"/>
        <v>-88.11918730868001</v>
      </c>
    </row>
    <row r="70" spans="1:27" ht="12.75">
      <c r="A70" s="51">
        <v>2000</v>
      </c>
      <c r="B70" s="52" t="s">
        <v>57</v>
      </c>
      <c r="C70" s="53">
        <v>7622.645741950648</v>
      </c>
      <c r="D70" s="53">
        <v>429.5396468157772</v>
      </c>
      <c r="E70" s="54">
        <f t="shared" si="4"/>
        <v>223.54849174171522</v>
      </c>
      <c r="F70" s="53">
        <v>6969.557603393156</v>
      </c>
      <c r="G70" s="66">
        <v>159.541</v>
      </c>
      <c r="H70" s="47">
        <f>255*288/2873</f>
        <v>25.562130177514792</v>
      </c>
      <c r="I70" s="47">
        <f>268*3081/3100</f>
        <v>266.3574193548387</v>
      </c>
      <c r="J70" s="47">
        <v>2125.780352324809</v>
      </c>
      <c r="K70" s="47">
        <v>515</v>
      </c>
      <c r="L70" s="47">
        <v>312.754</v>
      </c>
      <c r="M70" s="47">
        <f>2386.274*28223/28392</f>
        <v>2372.069988095238</v>
      </c>
      <c r="N70" s="47">
        <f>937*10296/11523</f>
        <v>837.2257224681073</v>
      </c>
      <c r="O70" s="47">
        <v>34.122</v>
      </c>
      <c r="P70" s="47">
        <v>138.19151576575658</v>
      </c>
      <c r="Q70" s="53">
        <f t="shared" si="1"/>
        <v>0</v>
      </c>
      <c r="R70" s="34"/>
      <c r="S70" s="73"/>
      <c r="T70" s="73"/>
      <c r="U70" s="73"/>
      <c r="V70" s="73"/>
      <c r="Z70" s="73">
        <f t="shared" si="2"/>
        <v>6786.6041281862645</v>
      </c>
      <c r="AA70" s="14">
        <f t="shared" si="3"/>
        <v>-182.9534752068912</v>
      </c>
    </row>
    <row r="71" spans="1:27" ht="12.75">
      <c r="A71" s="51">
        <v>2000</v>
      </c>
      <c r="B71" s="52" t="s">
        <v>58</v>
      </c>
      <c r="C71" s="53">
        <v>7330.5055949969565</v>
      </c>
      <c r="D71" s="53">
        <v>430.4394148362107</v>
      </c>
      <c r="E71" s="54">
        <f t="shared" si="4"/>
        <v>42.199723247283146</v>
      </c>
      <c r="F71" s="53">
        <v>6857.866456913463</v>
      </c>
      <c r="G71" s="66">
        <v>191.061</v>
      </c>
      <c r="H71" s="47">
        <f>272*288/2873</f>
        <v>27.266272189349113</v>
      </c>
      <c r="I71" s="47">
        <f>281.547*3081/3100</f>
        <v>279.82138935483874</v>
      </c>
      <c r="J71" s="47">
        <v>2051.8936703119093</v>
      </c>
      <c r="K71" s="47">
        <v>561</v>
      </c>
      <c r="L71" s="47">
        <v>309.789</v>
      </c>
      <c r="M71" s="47">
        <f>2250.935*28223/28392</f>
        <v>2237.536577380952</v>
      </c>
      <c r="N71" s="47">
        <f>1027*10296/11523</f>
        <v>917.6422806560792</v>
      </c>
      <c r="O71" s="47">
        <v>49.371</v>
      </c>
      <c r="P71" s="47">
        <v>96.3673577254046</v>
      </c>
      <c r="Q71" s="53">
        <f t="shared" si="1"/>
        <v>0</v>
      </c>
      <c r="R71" s="34"/>
      <c r="S71" s="73"/>
      <c r="T71" s="73"/>
      <c r="U71" s="73"/>
      <c r="V71" s="73"/>
      <c r="Z71" s="73">
        <f t="shared" si="2"/>
        <v>6721.748547618534</v>
      </c>
      <c r="AA71" s="14">
        <f t="shared" si="3"/>
        <v>-136.11790929492872</v>
      </c>
    </row>
    <row r="72" spans="1:27" ht="12.75">
      <c r="A72" s="51">
        <v>2000</v>
      </c>
      <c r="B72" s="52" t="s">
        <v>59</v>
      </c>
      <c r="C72" s="53">
        <v>7521.317037829451</v>
      </c>
      <c r="D72" s="53">
        <v>437.25178466264504</v>
      </c>
      <c r="E72" s="54">
        <f t="shared" si="4"/>
        <v>278.88774815336456</v>
      </c>
      <c r="F72" s="53">
        <v>6805.177505013441</v>
      </c>
      <c r="G72" s="66">
        <v>173</v>
      </c>
      <c r="H72" s="47">
        <f>221*288/2873</f>
        <v>22.153846153846153</v>
      </c>
      <c r="I72" s="47">
        <f>306.375*3081/3100</f>
        <v>304.49721774193546</v>
      </c>
      <c r="J72" s="47">
        <v>1976.8381184687248</v>
      </c>
      <c r="K72" s="47">
        <v>596</v>
      </c>
      <c r="L72" s="47">
        <v>175.729</v>
      </c>
      <c r="M72" s="47">
        <f>2337.415*28223/28392</f>
        <v>2323.5018154761906</v>
      </c>
      <c r="N72" s="47">
        <f>960*10296/11523</f>
        <v>857.7766206717001</v>
      </c>
      <c r="O72" s="47">
        <v>68</v>
      </c>
      <c r="P72" s="47">
        <v>135.7977580436213</v>
      </c>
      <c r="Q72" s="53">
        <f t="shared" si="1"/>
        <v>0</v>
      </c>
      <c r="R72" s="34"/>
      <c r="S72" s="73"/>
      <c r="T72" s="73"/>
      <c r="U72" s="73"/>
      <c r="V72" s="73"/>
      <c r="Z72" s="73">
        <f t="shared" si="2"/>
        <v>6633.2943765560185</v>
      </c>
      <c r="AA72" s="14">
        <f t="shared" si="3"/>
        <v>-171.88312845742257</v>
      </c>
    </row>
    <row r="73" spans="1:27" ht="12.75">
      <c r="A73" s="51">
        <v>2000</v>
      </c>
      <c r="B73" s="52" t="s">
        <v>60</v>
      </c>
      <c r="C73" s="53">
        <v>6670.960520861978</v>
      </c>
      <c r="D73" s="53">
        <v>426.7372630403712</v>
      </c>
      <c r="E73" s="54">
        <f t="shared" si="4"/>
        <v>101.5049373246211</v>
      </c>
      <c r="F73" s="53">
        <v>6142.718320496985</v>
      </c>
      <c r="G73" s="66">
        <v>166.293</v>
      </c>
      <c r="H73" s="47">
        <f>238*288/2873</f>
        <v>23.857988165680474</v>
      </c>
      <c r="I73" s="47">
        <f>213.966*3081/3100</f>
        <v>212.654595483871</v>
      </c>
      <c r="J73" s="47">
        <v>1889.705878001834</v>
      </c>
      <c r="K73" s="47">
        <v>519</v>
      </c>
      <c r="L73" s="47">
        <v>123.699</v>
      </c>
      <c r="M73" s="47">
        <f>2187.01*28223/28392</f>
        <v>2173.9920833333335</v>
      </c>
      <c r="N73" s="47">
        <f>826*10296/11523</f>
        <v>738.045300702942</v>
      </c>
      <c r="O73" s="47">
        <v>66</v>
      </c>
      <c r="P73" s="47">
        <v>131.67038691388396</v>
      </c>
      <c r="Q73" s="53">
        <f t="shared" si="1"/>
        <v>0</v>
      </c>
      <c r="R73" s="34"/>
      <c r="S73" s="73"/>
      <c r="T73" s="73"/>
      <c r="U73" s="73"/>
      <c r="V73" s="73"/>
      <c r="Z73" s="73">
        <f t="shared" si="2"/>
        <v>6044.918232601544</v>
      </c>
      <c r="AA73" s="14">
        <f t="shared" si="3"/>
        <v>-97.80008789544081</v>
      </c>
    </row>
    <row r="74" spans="1:27" ht="12.75">
      <c r="A74" s="51">
        <v>2000</v>
      </c>
      <c r="B74" s="52" t="s">
        <v>61</v>
      </c>
      <c r="C74" s="53">
        <v>7012.127524657738</v>
      </c>
      <c r="D74" s="53">
        <v>440.81011374106725</v>
      </c>
      <c r="E74" s="54">
        <f t="shared" si="4"/>
        <v>111.40629473560602</v>
      </c>
      <c r="F74" s="53">
        <v>6459.911116181064</v>
      </c>
      <c r="G74" s="66">
        <v>168.195</v>
      </c>
      <c r="H74" s="47">
        <f>229*288/2873</f>
        <v>22.955795335885835</v>
      </c>
      <c r="I74" s="47">
        <f>199.276*3081/3100</f>
        <v>198.05463096774196</v>
      </c>
      <c r="J74" s="47">
        <v>1849.7076031053368</v>
      </c>
      <c r="K74" s="47">
        <v>589</v>
      </c>
      <c r="L74" s="47">
        <v>184.786</v>
      </c>
      <c r="M74" s="47">
        <f>2346.534*28223/28392</f>
        <v>2332.5665357142857</v>
      </c>
      <c r="N74" s="47">
        <f>902*10296/11523</f>
        <v>805.9526165061181</v>
      </c>
      <c r="O74" s="47">
        <v>58.332</v>
      </c>
      <c r="P74" s="47">
        <v>157.74804622315216</v>
      </c>
      <c r="Q74" s="53">
        <f t="shared" si="1"/>
        <v>0</v>
      </c>
      <c r="R74" s="34"/>
      <c r="S74" s="73"/>
      <c r="T74" s="73"/>
      <c r="U74" s="73"/>
      <c r="V74" s="73"/>
      <c r="Z74" s="73">
        <f t="shared" si="2"/>
        <v>6367.298227852521</v>
      </c>
      <c r="AA74" s="14">
        <f t="shared" si="3"/>
        <v>-92.6128883285428</v>
      </c>
    </row>
    <row r="75" spans="1:33" ht="12.75">
      <c r="A75" s="55">
        <v>2000</v>
      </c>
      <c r="B75" s="56" t="s">
        <v>62</v>
      </c>
      <c r="C75" s="53">
        <v>7732.580420942485</v>
      </c>
      <c r="D75" s="53">
        <v>451.3798155767982</v>
      </c>
      <c r="E75" s="54">
        <f t="shared" si="4"/>
        <v>216.211451874442</v>
      </c>
      <c r="F75" s="53">
        <v>7064.989153491245</v>
      </c>
      <c r="G75" s="66">
        <v>185.156</v>
      </c>
      <c r="H75" s="47">
        <f>170*288/2873</f>
        <v>17.041420118343197</v>
      </c>
      <c r="I75" s="47">
        <f>267.269*3081/3100</f>
        <v>265.63089967741934</v>
      </c>
      <c r="J75" s="47">
        <v>2007.1787656056988</v>
      </c>
      <c r="K75" s="47">
        <v>651</v>
      </c>
      <c r="L75" s="47">
        <v>184.156</v>
      </c>
      <c r="M75" s="47">
        <f>2467.409*28223/28392</f>
        <v>2452.722041666667</v>
      </c>
      <c r="N75" s="47">
        <f>1021*10296/11523</f>
        <v>912.281176776881</v>
      </c>
      <c r="O75" s="47">
        <v>76.171</v>
      </c>
      <c r="P75" s="47">
        <v>139.87615704320038</v>
      </c>
      <c r="Q75" s="53">
        <f t="shared" si="1"/>
        <v>0</v>
      </c>
      <c r="R75" s="34"/>
      <c r="S75" s="73"/>
      <c r="T75" s="73"/>
      <c r="U75" s="73"/>
      <c r="V75" s="73"/>
      <c r="W75" s="14"/>
      <c r="X75" s="14"/>
      <c r="Y75" s="14"/>
      <c r="Z75" s="73">
        <f t="shared" si="2"/>
        <v>6891.21346088821</v>
      </c>
      <c r="AA75" s="14">
        <f t="shared" si="3"/>
        <v>-173.77569260303517</v>
      </c>
      <c r="AB75" s="14"/>
      <c r="AC75" s="14"/>
      <c r="AD75" s="14"/>
      <c r="AE75" s="14"/>
      <c r="AF75" s="14"/>
      <c r="AG75" s="14"/>
    </row>
    <row r="76" spans="1:27" ht="12.75">
      <c r="A76" s="51">
        <v>2000</v>
      </c>
      <c r="B76" s="52" t="s">
        <v>63</v>
      </c>
      <c r="C76" s="53">
        <v>7100.434266802934</v>
      </c>
      <c r="D76" s="53">
        <v>417.81963511855497</v>
      </c>
      <c r="E76" s="54">
        <f t="shared" si="4"/>
        <v>21.419536828606397</v>
      </c>
      <c r="F76" s="53">
        <v>6661.195094855772</v>
      </c>
      <c r="G76" s="66">
        <v>135.196</v>
      </c>
      <c r="H76" s="47">
        <f>187*288/2873</f>
        <v>18.745562130177515</v>
      </c>
      <c r="I76" s="47">
        <f>215.526*3081/3100</f>
        <v>214.20503419354839</v>
      </c>
      <c r="J76" s="47">
        <v>1899.8122420415498</v>
      </c>
      <c r="K76" s="47">
        <v>558</v>
      </c>
      <c r="L76" s="47">
        <v>238.442</v>
      </c>
      <c r="M76" s="47">
        <f>2437.809*28223/28392</f>
        <v>2423.298232142857</v>
      </c>
      <c r="N76" s="47">
        <f>890*10296/11523</f>
        <v>795.230408747722</v>
      </c>
      <c r="O76" s="47">
        <v>74.318</v>
      </c>
      <c r="P76" s="47">
        <v>122.6742066038134</v>
      </c>
      <c r="Q76" s="53">
        <f t="shared" si="1"/>
        <v>0</v>
      </c>
      <c r="R76" s="34"/>
      <c r="S76" s="73"/>
      <c r="T76" s="73"/>
      <c r="U76" s="73"/>
      <c r="V76" s="73"/>
      <c r="Z76" s="73">
        <f t="shared" si="2"/>
        <v>6479.921685859669</v>
      </c>
      <c r="AA76" s="14">
        <f t="shared" si="3"/>
        <v>-181.27340899610317</v>
      </c>
    </row>
    <row r="77" spans="1:27" ht="12.75">
      <c r="A77" s="51">
        <v>2000</v>
      </c>
      <c r="B77" s="52" t="s">
        <v>64</v>
      </c>
      <c r="C77" s="53">
        <v>7524.780027717556</v>
      </c>
      <c r="D77" s="53">
        <v>443.8848409466357</v>
      </c>
      <c r="E77" s="54">
        <f t="shared" si="4"/>
        <v>149.34181098075805</v>
      </c>
      <c r="F77" s="53">
        <v>6931.553375790162</v>
      </c>
      <c r="G77" s="66">
        <v>131.473</v>
      </c>
      <c r="H77" s="47">
        <f>255*288/2873</f>
        <v>25.562130177514792</v>
      </c>
      <c r="I77" s="47">
        <f>249.858*3081/3100</f>
        <v>248.32661225806453</v>
      </c>
      <c r="J77" s="47">
        <v>1981.6497863115796</v>
      </c>
      <c r="K77" s="47">
        <v>513</v>
      </c>
      <c r="L77" s="47">
        <v>308</v>
      </c>
      <c r="M77" s="47">
        <f>2413*28223/28392</f>
        <v>2398.6369047619046</v>
      </c>
      <c r="N77" s="47">
        <f>872*10296/11523</f>
        <v>779.1470971101276</v>
      </c>
      <c r="O77" s="47">
        <v>50.489</v>
      </c>
      <c r="P77" s="47">
        <v>136.4579023581545</v>
      </c>
      <c r="Q77" s="53">
        <f t="shared" si="1"/>
        <v>0</v>
      </c>
      <c r="R77" s="34"/>
      <c r="S77" s="73"/>
      <c r="T77" s="73"/>
      <c r="U77" s="73"/>
      <c r="V77" s="73"/>
      <c r="Z77" s="73">
        <f t="shared" si="2"/>
        <v>6572.742432977345</v>
      </c>
      <c r="AA77" s="14">
        <f t="shared" si="3"/>
        <v>-358.8109428128173</v>
      </c>
    </row>
    <row r="78" spans="1:33" ht="12.75">
      <c r="A78" s="51">
        <v>2000</v>
      </c>
      <c r="B78" s="52" t="s">
        <v>65</v>
      </c>
      <c r="C78" s="53">
        <v>7208.611950925178</v>
      </c>
      <c r="D78" s="53">
        <v>479.3018585475638</v>
      </c>
      <c r="E78" s="54">
        <f t="shared" si="4"/>
        <v>-105.83026281384264</v>
      </c>
      <c r="F78" s="53">
        <v>6835.140355191456</v>
      </c>
      <c r="G78" s="66">
        <v>139.805</v>
      </c>
      <c r="H78" s="47">
        <f>272*288/2873</f>
        <v>27.266272189349113</v>
      </c>
      <c r="I78" s="47">
        <f>256.572*3081/3100</f>
        <v>254.99946193548388</v>
      </c>
      <c r="J78" s="47">
        <v>1850.8196460704437</v>
      </c>
      <c r="K78" s="47">
        <v>489</v>
      </c>
      <c r="L78" s="47">
        <v>326</v>
      </c>
      <c r="M78" s="47">
        <f>2497*28223/28392</f>
        <v>2482.1369047619046</v>
      </c>
      <c r="N78" s="47">
        <f>1028*10296/11523</f>
        <v>918.5357979692789</v>
      </c>
      <c r="O78" s="47">
        <v>74.835</v>
      </c>
      <c r="P78" s="47">
        <v>110.57025491390033</v>
      </c>
      <c r="Q78" s="53">
        <f t="shared" si="1"/>
        <v>0</v>
      </c>
      <c r="R78" s="34"/>
      <c r="S78" s="73"/>
      <c r="T78" s="73"/>
      <c r="U78" s="73"/>
      <c r="V78" s="73"/>
      <c r="W78" s="23"/>
      <c r="X78" s="23"/>
      <c r="Y78" s="23"/>
      <c r="Z78" s="73">
        <f t="shared" si="2"/>
        <v>6673.968337840361</v>
      </c>
      <c r="AA78" s="14">
        <f t="shared" si="3"/>
        <v>-161.17201735109575</v>
      </c>
      <c r="AB78" s="23"/>
      <c r="AC78" s="23"/>
      <c r="AD78" s="23"/>
      <c r="AE78" s="23"/>
      <c r="AF78" s="23"/>
      <c r="AG78" s="23"/>
    </row>
    <row r="79" spans="1:33" ht="13.5" thickBot="1">
      <c r="A79" s="81">
        <v>2000</v>
      </c>
      <c r="B79" s="93" t="s">
        <v>66</v>
      </c>
      <c r="C79" s="83">
        <v>7687.576552353332</v>
      </c>
      <c r="D79" s="83">
        <v>451.62154733642694</v>
      </c>
      <c r="E79" s="94">
        <f t="shared" si="4"/>
        <v>167.95168586410364</v>
      </c>
      <c r="F79" s="83">
        <v>7068.003319152801</v>
      </c>
      <c r="G79" s="101">
        <v>168.221</v>
      </c>
      <c r="H79" s="98">
        <f>281*288/2873</f>
        <v>28.168465019143753</v>
      </c>
      <c r="I79" s="98">
        <f>298.147*3081/3100</f>
        <v>296.31964741935485</v>
      </c>
      <c r="J79" s="98">
        <v>1862.1419090702457</v>
      </c>
      <c r="K79" s="98">
        <v>516</v>
      </c>
      <c r="L79" s="98">
        <v>283</v>
      </c>
      <c r="M79" s="98">
        <f>2373*28223/28392</f>
        <v>2358.875</v>
      </c>
      <c r="N79" s="98">
        <f>1093*10296/11523</f>
        <v>976.6144233272586</v>
      </c>
      <c r="O79" s="98">
        <v>70.279</v>
      </c>
      <c r="P79" s="98">
        <v>85.33687512856035</v>
      </c>
      <c r="Q79" s="53">
        <f t="shared" si="1"/>
        <v>0</v>
      </c>
      <c r="R79" s="34"/>
      <c r="S79" s="73"/>
      <c r="T79" s="73"/>
      <c r="U79" s="73"/>
      <c r="V79" s="73"/>
      <c r="W79" s="23"/>
      <c r="X79" s="23"/>
      <c r="Y79" s="23"/>
      <c r="Z79" s="73">
        <f t="shared" si="2"/>
        <v>6644.9563199645645</v>
      </c>
      <c r="AA79" s="14">
        <f t="shared" si="3"/>
        <v>-423.04699918823644</v>
      </c>
      <c r="AB79" s="23"/>
      <c r="AC79" s="23"/>
      <c r="AD79" s="23"/>
      <c r="AE79" s="23"/>
      <c r="AF79" s="23"/>
      <c r="AG79" s="23"/>
    </row>
    <row r="80" spans="1:27" ht="12.75">
      <c r="A80" s="51">
        <v>2001</v>
      </c>
      <c r="B80" s="52" t="s">
        <v>55</v>
      </c>
      <c r="C80" s="53">
        <v>7726.051</v>
      </c>
      <c r="D80" s="53">
        <v>458.9742323534489</v>
      </c>
      <c r="E80" s="54">
        <f t="shared" si="4"/>
        <v>133.72126744440993</v>
      </c>
      <c r="F80" s="53">
        <v>7133.355500202141</v>
      </c>
      <c r="G80" s="47">
        <f>161.73*1763/1770</f>
        <v>161.09038983050846</v>
      </c>
      <c r="H80" s="47">
        <f>479*272/2594</f>
        <v>50.22667694680031</v>
      </c>
      <c r="I80" s="47">
        <f>253.363*3428/3463</f>
        <v>250.8022997401097</v>
      </c>
      <c r="J80" s="47">
        <v>1820.473</v>
      </c>
      <c r="K80" s="47">
        <v>472.042</v>
      </c>
      <c r="L80" s="47">
        <v>430.323</v>
      </c>
      <c r="M80" s="47">
        <f>2489.292*26748/26796</f>
        <v>2484.8329010300045</v>
      </c>
      <c r="N80" s="47">
        <f>1243*10179/11863</f>
        <v>1066.551209643429</v>
      </c>
      <c r="O80" s="47">
        <v>72.929</v>
      </c>
      <c r="P80" s="47">
        <v>49.166</v>
      </c>
      <c r="Q80" s="53">
        <f t="shared" si="1"/>
        <v>0</v>
      </c>
      <c r="R80" s="34"/>
      <c r="S80" s="73"/>
      <c r="T80" s="73"/>
      <c r="U80" s="73"/>
      <c r="V80" s="73"/>
      <c r="Z80" s="73">
        <f t="shared" si="2"/>
        <v>6858.436477190852</v>
      </c>
      <c r="AA80" s="14">
        <f t="shared" si="3"/>
        <v>-274.919023011289</v>
      </c>
    </row>
    <row r="81" spans="1:27" ht="12.75">
      <c r="A81" s="51">
        <v>2001</v>
      </c>
      <c r="B81" s="52" t="s">
        <v>56</v>
      </c>
      <c r="C81" s="53">
        <v>6168.463</v>
      </c>
      <c r="D81" s="53">
        <v>346.7180516877731</v>
      </c>
      <c r="E81" s="54">
        <f t="shared" si="4"/>
        <v>292.5988046483808</v>
      </c>
      <c r="F81" s="53">
        <v>5529.146143663846</v>
      </c>
      <c r="G81" s="47">
        <f>127.381*1763/1770</f>
        <v>126.87723333333334</v>
      </c>
      <c r="H81" s="47">
        <f>448*272/2594</f>
        <v>46.97609868928296</v>
      </c>
      <c r="I81" s="47">
        <f>321.95*3428/3463</f>
        <v>318.6961016459717</v>
      </c>
      <c r="J81" s="47">
        <v>1289.624</v>
      </c>
      <c r="K81" s="47">
        <v>307.409</v>
      </c>
      <c r="L81" s="47">
        <v>409.072</v>
      </c>
      <c r="M81" s="47">
        <f>1979.779*26748/26796</f>
        <v>1976.2325978504255</v>
      </c>
      <c r="N81" s="47">
        <f>865*10179/11863</f>
        <v>742.2098120205682</v>
      </c>
      <c r="O81" s="47">
        <v>69.23</v>
      </c>
      <c r="P81" s="47">
        <v>120.854</v>
      </c>
      <c r="Q81" s="53">
        <f t="shared" si="1"/>
        <v>0</v>
      </c>
      <c r="R81" s="34"/>
      <c r="S81" s="73"/>
      <c r="T81" s="73"/>
      <c r="U81" s="73"/>
      <c r="V81" s="73"/>
      <c r="Z81" s="73">
        <f t="shared" si="2"/>
        <v>5407.180843539582</v>
      </c>
      <c r="AA81" s="14">
        <f t="shared" si="3"/>
        <v>-121.9653001242632</v>
      </c>
    </row>
    <row r="82" spans="1:27" ht="12.75">
      <c r="A82" s="51">
        <v>2001</v>
      </c>
      <c r="B82" s="52" t="s">
        <v>57</v>
      </c>
      <c r="C82" s="53">
        <v>6782.404</v>
      </c>
      <c r="D82" s="53">
        <v>409.5276031036833</v>
      </c>
      <c r="E82" s="54">
        <f t="shared" si="4"/>
        <v>211.16943801578964</v>
      </c>
      <c r="F82" s="53">
        <v>6161.706958880528</v>
      </c>
      <c r="G82" s="47">
        <f>143.715*1763/1770</f>
        <v>143.14663559322034</v>
      </c>
      <c r="H82" s="47">
        <f>451*272/2594</f>
        <v>47.29067077872012</v>
      </c>
      <c r="I82" s="47">
        <f>275.704*3428/3463</f>
        <v>272.91750274328615</v>
      </c>
      <c r="J82" s="47">
        <v>1610.48</v>
      </c>
      <c r="K82" s="47">
        <v>433.309</v>
      </c>
      <c r="L82" s="47">
        <v>326.253</v>
      </c>
      <c r="M82" s="47">
        <f>2145.545*26748/26796</f>
        <v>2141.7016592028663</v>
      </c>
      <c r="N82" s="47">
        <f>1053*10179/11863</f>
        <v>903.5224648065414</v>
      </c>
      <c r="O82" s="47">
        <v>48.836</v>
      </c>
      <c r="P82" s="47">
        <v>130.627</v>
      </c>
      <c r="Q82" s="53">
        <f t="shared" si="1"/>
        <v>0</v>
      </c>
      <c r="R82" s="34"/>
      <c r="S82" s="73"/>
      <c r="T82" s="73"/>
      <c r="U82" s="73"/>
      <c r="V82" s="73"/>
      <c r="Z82" s="73">
        <f t="shared" si="2"/>
        <v>6058.083933124635</v>
      </c>
      <c r="AA82" s="14">
        <f t="shared" si="3"/>
        <v>-103.62302575589274</v>
      </c>
    </row>
    <row r="83" spans="1:27" ht="12.75">
      <c r="A83" s="51">
        <v>2001</v>
      </c>
      <c r="B83" s="52" t="s">
        <v>58</v>
      </c>
      <c r="C83" s="53">
        <v>6008.163</v>
      </c>
      <c r="D83" s="53">
        <v>391.30169631902385</v>
      </c>
      <c r="E83" s="54">
        <f t="shared" si="4"/>
        <v>-117.91697003151421</v>
      </c>
      <c r="F83" s="53">
        <v>5734.77827371249</v>
      </c>
      <c r="G83" s="47">
        <f>170.311*1763/1770</f>
        <v>169.63745367231638</v>
      </c>
      <c r="H83" s="47">
        <f>338*272/2594</f>
        <v>35.44178874325366</v>
      </c>
      <c r="I83" s="47">
        <f>273*3428/3463</f>
        <v>270.2408316488594</v>
      </c>
      <c r="J83" s="47">
        <v>1566.451</v>
      </c>
      <c r="K83" s="47">
        <v>460.597</v>
      </c>
      <c r="L83" s="47">
        <v>218.352</v>
      </c>
      <c r="M83" s="47">
        <f>1973.78*26748/26796</f>
        <v>1970.24434393193</v>
      </c>
      <c r="N83" s="47">
        <f>932*10179/11863</f>
        <v>799.6988957262075</v>
      </c>
      <c r="O83" s="47">
        <v>67.078</v>
      </c>
      <c r="P83" s="47">
        <v>107.599</v>
      </c>
      <c r="Q83" s="53">
        <f t="shared" si="1"/>
        <v>0</v>
      </c>
      <c r="R83" s="34"/>
      <c r="S83" s="73"/>
      <c r="T83" s="73"/>
      <c r="U83" s="73"/>
      <c r="V83" s="73"/>
      <c r="Z83" s="73">
        <f t="shared" si="2"/>
        <v>5665.340313722568</v>
      </c>
      <c r="AA83" s="14">
        <f t="shared" si="3"/>
        <v>-69.43795998992209</v>
      </c>
    </row>
    <row r="84" spans="1:27" ht="12.75">
      <c r="A84" s="51">
        <v>2001</v>
      </c>
      <c r="B84" s="57" t="s">
        <v>59</v>
      </c>
      <c r="C84" s="53">
        <v>6334.709</v>
      </c>
      <c r="D84" s="53">
        <v>380.86093901342537</v>
      </c>
      <c r="E84" s="54">
        <f t="shared" si="4"/>
        <v>10.457306673137282</v>
      </c>
      <c r="F84" s="53">
        <v>5943.390754313437</v>
      </c>
      <c r="G84" s="47">
        <f>166.28*1763/1770</f>
        <v>165.622395480226</v>
      </c>
      <c r="H84" s="47">
        <f>169*272/2594</f>
        <v>17.72089437162683</v>
      </c>
      <c r="I84" s="47">
        <f>237.19*3428/3463</f>
        <v>234.7927577245163</v>
      </c>
      <c r="J84" s="47">
        <v>1600.503</v>
      </c>
      <c r="K84" s="47">
        <v>493.398</v>
      </c>
      <c r="L84" s="47">
        <v>190.018</v>
      </c>
      <c r="M84" s="47">
        <f>1874.44*26748/26796</f>
        <v>1871.0822928795344</v>
      </c>
      <c r="N84" s="47">
        <f>1150*10179/11863</f>
        <v>986.7529292758999</v>
      </c>
      <c r="O84" s="47">
        <v>54.147</v>
      </c>
      <c r="P84" s="47">
        <v>124.076</v>
      </c>
      <c r="Q84" s="53">
        <f t="shared" si="1"/>
        <v>0</v>
      </c>
      <c r="R84" s="34"/>
      <c r="S84" s="73"/>
      <c r="T84" s="73"/>
      <c r="U84" s="73"/>
      <c r="V84" s="73"/>
      <c r="Z84" s="73">
        <f t="shared" si="2"/>
        <v>5738.1132697318035</v>
      </c>
      <c r="AA84" s="14">
        <f t="shared" si="3"/>
        <v>-205.27748458163387</v>
      </c>
    </row>
    <row r="85" spans="1:27" ht="12.75">
      <c r="A85" s="51">
        <v>2001</v>
      </c>
      <c r="B85" s="57" t="s">
        <v>60</v>
      </c>
      <c r="C85" s="53">
        <v>5719.355</v>
      </c>
      <c r="D85" s="53">
        <v>360.10148763745855</v>
      </c>
      <c r="E85" s="54">
        <f t="shared" si="4"/>
        <v>112.70107297235609</v>
      </c>
      <c r="F85" s="53">
        <v>5246.552439390185</v>
      </c>
      <c r="G85" s="47">
        <f>134.803*1763/1770</f>
        <v>134.26988079096046</v>
      </c>
      <c r="H85" s="47">
        <f>254*272/2594</f>
        <v>26.633770239013106</v>
      </c>
      <c r="I85" s="47">
        <f>279.997*3428/3463</f>
        <v>277.1671140629512</v>
      </c>
      <c r="J85" s="47">
        <v>1394.314</v>
      </c>
      <c r="K85" s="47">
        <v>467.194</v>
      </c>
      <c r="L85" s="47">
        <v>133.024</v>
      </c>
      <c r="M85" s="47">
        <f>1796.763*26748/26796</f>
        <v>1793.5444366323331</v>
      </c>
      <c r="N85" s="47">
        <f>859*10179/11863</f>
        <v>737.0615358678243</v>
      </c>
      <c r="O85" s="47">
        <v>52.595</v>
      </c>
      <c r="P85" s="47">
        <v>166.929</v>
      </c>
      <c r="Q85" s="53">
        <f t="shared" si="1"/>
        <v>0</v>
      </c>
      <c r="R85" s="34"/>
      <c r="S85" s="73"/>
      <c r="T85" s="73"/>
      <c r="U85" s="73"/>
      <c r="V85" s="73"/>
      <c r="Z85" s="73">
        <f t="shared" si="2"/>
        <v>5182.732737593083</v>
      </c>
      <c r="AA85" s="14">
        <f t="shared" si="3"/>
        <v>-63.819701797102425</v>
      </c>
    </row>
    <row r="86" spans="1:27" ht="12.75">
      <c r="A86" s="51">
        <v>2001</v>
      </c>
      <c r="B86" s="58" t="s">
        <v>61</v>
      </c>
      <c r="C86" s="53">
        <v>7198.758</v>
      </c>
      <c r="D86" s="53">
        <v>424.4925741503989</v>
      </c>
      <c r="E86" s="54">
        <f t="shared" si="4"/>
        <v>189.28538372594176</v>
      </c>
      <c r="F86" s="53">
        <v>6584.980042123659</v>
      </c>
      <c r="G86" s="47">
        <f>175.344*1763/1770</f>
        <v>174.65054915254237</v>
      </c>
      <c r="H86" s="47">
        <f>315*272/2594</f>
        <v>33.030069390902085</v>
      </c>
      <c r="I86" s="47">
        <f>366.683*3428/3463</f>
        <v>362.97699220329196</v>
      </c>
      <c r="J86" s="47">
        <v>1796.196</v>
      </c>
      <c r="K86" s="47">
        <v>642.742</v>
      </c>
      <c r="L86" s="47">
        <v>146.6</v>
      </c>
      <c r="M86" s="47">
        <f>2219.727*26748/26796</f>
        <v>2215.750776085983</v>
      </c>
      <c r="N86" s="47">
        <f>955*10179/11863</f>
        <v>819.4339543117255</v>
      </c>
      <c r="O86" s="47">
        <v>43.488</v>
      </c>
      <c r="P86" s="47">
        <v>178.76</v>
      </c>
      <c r="Q86" s="53">
        <f t="shared" si="1"/>
        <v>0</v>
      </c>
      <c r="R86" s="34"/>
      <c r="S86" s="73"/>
      <c r="T86" s="73"/>
      <c r="U86" s="73"/>
      <c r="V86" s="73"/>
      <c r="Z86" s="73">
        <f t="shared" si="2"/>
        <v>6413.628341144446</v>
      </c>
      <c r="AA86" s="14">
        <f t="shared" si="3"/>
        <v>-171.3517009792131</v>
      </c>
    </row>
    <row r="87" spans="1:27" ht="12.75">
      <c r="A87" s="51">
        <v>2001</v>
      </c>
      <c r="B87" s="58" t="s">
        <v>62</v>
      </c>
      <c r="C87" s="53">
        <v>7437.523</v>
      </c>
      <c r="D87" s="53">
        <v>484.66428822428907</v>
      </c>
      <c r="E87" s="54">
        <f t="shared" si="4"/>
        <v>39.27341723613608</v>
      </c>
      <c r="F87" s="53">
        <v>6913.5852945395745</v>
      </c>
      <c r="G87" s="47">
        <f>200.533*1763/1770</f>
        <v>199.73993163841808</v>
      </c>
      <c r="H87" s="47">
        <f>56*272/2594</f>
        <v>5.87201233616037</v>
      </c>
      <c r="I87" s="47">
        <f>315.659*3428/3463</f>
        <v>312.4686838001732</v>
      </c>
      <c r="J87" s="47">
        <v>2014.182</v>
      </c>
      <c r="K87" s="47">
        <v>620.465</v>
      </c>
      <c r="L87" s="47">
        <v>199.29</v>
      </c>
      <c r="M87" s="47">
        <f>2425.854*26748/26796</f>
        <v>2421.5085382892967</v>
      </c>
      <c r="N87" s="47">
        <f>939*10179/11863</f>
        <v>805.7052179044086</v>
      </c>
      <c r="O87" s="47">
        <v>34.945</v>
      </c>
      <c r="P87" s="47">
        <v>163.511</v>
      </c>
      <c r="Q87" s="53">
        <f t="shared" si="1"/>
        <v>0</v>
      </c>
      <c r="R87" s="34"/>
      <c r="S87" s="73"/>
      <c r="T87" s="73"/>
      <c r="U87" s="73"/>
      <c r="V87" s="73"/>
      <c r="Z87" s="73">
        <f t="shared" si="2"/>
        <v>6777.687383968457</v>
      </c>
      <c r="AA87" s="14">
        <f t="shared" si="3"/>
        <v>-135.8979105711178</v>
      </c>
    </row>
    <row r="88" spans="1:27" ht="12.75">
      <c r="A88" s="51">
        <v>2001</v>
      </c>
      <c r="B88" s="58" t="s">
        <v>63</v>
      </c>
      <c r="C88" s="53">
        <v>7437.331</v>
      </c>
      <c r="D88" s="53">
        <v>455.88979562045483</v>
      </c>
      <c r="E88" s="54">
        <f t="shared" si="4"/>
        <v>-42.776792725267114</v>
      </c>
      <c r="F88" s="53">
        <v>7024.217997104813</v>
      </c>
      <c r="G88" s="47">
        <f>140.003*1763/1770</f>
        <v>139.449315819209</v>
      </c>
      <c r="H88" s="47">
        <f>0.496*272/2594</f>
        <v>0.052009252120277565</v>
      </c>
      <c r="I88" s="47">
        <f>278.223*3428/3463</f>
        <v>275.4110436038117</v>
      </c>
      <c r="J88" s="47">
        <v>2139.015</v>
      </c>
      <c r="K88" s="47">
        <v>586.373</v>
      </c>
      <c r="L88" s="47">
        <v>238.114</v>
      </c>
      <c r="M88" s="47">
        <f>2420.648*26748/26796</f>
        <v>2416.3118638602778</v>
      </c>
      <c r="N88" s="47">
        <f>959*10179/11863</f>
        <v>822.8661384135547</v>
      </c>
      <c r="O88" s="47">
        <v>51.644</v>
      </c>
      <c r="P88" s="47">
        <v>170.937</v>
      </c>
      <c r="Q88" s="53">
        <f t="shared" si="1"/>
        <v>0</v>
      </c>
      <c r="R88" s="34"/>
      <c r="S88" s="73"/>
      <c r="T88" s="73"/>
      <c r="U88" s="73"/>
      <c r="V88" s="73"/>
      <c r="Z88" s="73">
        <f t="shared" si="2"/>
        <v>6840.173370948974</v>
      </c>
      <c r="AA88" s="14">
        <f t="shared" si="3"/>
        <v>-184.04462615583907</v>
      </c>
    </row>
    <row r="89" spans="1:27" ht="12.75">
      <c r="A89" s="51">
        <v>2001</v>
      </c>
      <c r="B89" s="58" t="s">
        <v>64</v>
      </c>
      <c r="C89" s="53">
        <v>7532.541</v>
      </c>
      <c r="D89" s="53">
        <v>446.0121095987016</v>
      </c>
      <c r="E89" s="54">
        <f t="shared" si="4"/>
        <v>102.17082104723886</v>
      </c>
      <c r="F89" s="53">
        <v>6984.35806935406</v>
      </c>
      <c r="G89" s="47">
        <f>101*1763/1770</f>
        <v>100.60056497175141</v>
      </c>
      <c r="H89" s="47">
        <f>28*272/2594</f>
        <v>2.936006168080185</v>
      </c>
      <c r="I89" s="47">
        <f>320.286*3428/3463</f>
        <v>317.04891943401674</v>
      </c>
      <c r="J89" s="47">
        <v>2039.65</v>
      </c>
      <c r="K89" s="47">
        <v>490.866</v>
      </c>
      <c r="L89" s="47">
        <v>231.339</v>
      </c>
      <c r="M89" s="47">
        <f>2549.717*26748/26796</f>
        <v>2545.1496609941782</v>
      </c>
      <c r="N89" s="47">
        <f>1005*10179/11863</f>
        <v>862.3362555845907</v>
      </c>
      <c r="O89" s="47">
        <v>49.289</v>
      </c>
      <c r="P89" s="47">
        <v>168.666</v>
      </c>
      <c r="Q89" s="53">
        <f t="shared" si="1"/>
        <v>0</v>
      </c>
      <c r="R89" s="34"/>
      <c r="S89" s="73"/>
      <c r="T89" s="73"/>
      <c r="U89" s="73"/>
      <c r="V89" s="73"/>
      <c r="Z89" s="73">
        <f t="shared" si="2"/>
        <v>6807.881407152618</v>
      </c>
      <c r="AA89" s="14">
        <f t="shared" si="3"/>
        <v>-176.4766622014422</v>
      </c>
    </row>
    <row r="90" spans="1:27" ht="12.75">
      <c r="A90" s="51">
        <v>2001</v>
      </c>
      <c r="B90" s="59" t="s">
        <v>65</v>
      </c>
      <c r="C90" s="53">
        <v>7505.197</v>
      </c>
      <c r="D90" s="53">
        <v>443.25444567075505</v>
      </c>
      <c r="E90" s="54">
        <f t="shared" si="4"/>
        <v>217.36151910447734</v>
      </c>
      <c r="F90" s="53">
        <v>6844.581035224768</v>
      </c>
      <c r="G90" s="47">
        <f>123.024*1763/1770</f>
        <v>122.53746440677966</v>
      </c>
      <c r="H90" s="47">
        <f>56*272/2594</f>
        <v>5.87201233616037</v>
      </c>
      <c r="I90" s="47">
        <f>251.452*3428/3463</f>
        <v>248.91061391856772</v>
      </c>
      <c r="J90" s="47">
        <v>2113.675</v>
      </c>
      <c r="K90" s="47">
        <v>484.156</v>
      </c>
      <c r="L90" s="47">
        <v>243.042</v>
      </c>
      <c r="M90" s="47">
        <f>2388.58*26748/26796</f>
        <v>2384.301307657859</v>
      </c>
      <c r="N90" s="47">
        <f>971*10179/11863</f>
        <v>833.1626907190424</v>
      </c>
      <c r="O90" s="47">
        <v>55.629</v>
      </c>
      <c r="P90" s="47">
        <v>174.325</v>
      </c>
      <c r="Q90" s="53">
        <f t="shared" si="1"/>
        <v>0</v>
      </c>
      <c r="R90" s="34"/>
      <c r="S90" s="73"/>
      <c r="T90" s="73"/>
      <c r="U90" s="73"/>
      <c r="V90" s="73"/>
      <c r="Z90" s="73">
        <f t="shared" si="2"/>
        <v>6665.611089038408</v>
      </c>
      <c r="AA90" s="14">
        <f t="shared" si="3"/>
        <v>-178.96994618636018</v>
      </c>
    </row>
    <row r="91" spans="1:27" ht="13.5" thickBot="1">
      <c r="A91" s="81">
        <v>2001</v>
      </c>
      <c r="B91" s="92" t="s">
        <v>66</v>
      </c>
      <c r="C91" s="83">
        <v>7492.333</v>
      </c>
      <c r="D91" s="83">
        <v>457.52605675128916</v>
      </c>
      <c r="E91" s="94">
        <f t="shared" si="4"/>
        <v>85.3499243778324</v>
      </c>
      <c r="F91" s="83">
        <v>6949.457018870878</v>
      </c>
      <c r="G91" s="98">
        <f>126.324*1763/1770</f>
        <v>125.82441355932204</v>
      </c>
      <c r="H91" s="99">
        <f>0*272/2594</f>
        <v>0</v>
      </c>
      <c r="I91" s="98">
        <f>288.998*3428/3463</f>
        <v>286.07714236211376</v>
      </c>
      <c r="J91" s="98">
        <v>2070.866</v>
      </c>
      <c r="K91" s="98">
        <v>451.32</v>
      </c>
      <c r="L91" s="98">
        <v>322.279</v>
      </c>
      <c r="M91" s="98">
        <f>2532*26748/26796</f>
        <v>2527.464397671294</v>
      </c>
      <c r="N91" s="98">
        <f>932*10179/11863</f>
        <v>799.6988957262075</v>
      </c>
      <c r="O91" s="98">
        <v>56.485</v>
      </c>
      <c r="P91" s="98">
        <v>151.079</v>
      </c>
      <c r="Q91" s="53">
        <f t="shared" si="1"/>
        <v>0</v>
      </c>
      <c r="R91" s="34"/>
      <c r="S91" s="73"/>
      <c r="T91" s="73"/>
      <c r="U91" s="73"/>
      <c r="V91" s="73"/>
      <c r="Z91" s="73">
        <f t="shared" si="2"/>
        <v>6791.093849318937</v>
      </c>
      <c r="AA91" s="14">
        <f t="shared" si="3"/>
        <v>-158.3631695519407</v>
      </c>
    </row>
    <row r="92" spans="1:27" ht="12.75">
      <c r="A92" s="51">
        <v>2002</v>
      </c>
      <c r="B92" s="58" t="s">
        <v>55</v>
      </c>
      <c r="C92" s="53">
        <v>7263.155999999999</v>
      </c>
      <c r="D92" s="53">
        <v>481.04484921766687</v>
      </c>
      <c r="E92" s="53">
        <v>72.2529859493061</v>
      </c>
      <c r="F92" s="53">
        <v>6709.858164833026</v>
      </c>
      <c r="G92" s="47">
        <f>169.642544001*2139/2149</f>
        <v>168.85314174878502</v>
      </c>
      <c r="H92" s="47">
        <f>275*538/2978</f>
        <v>49.68099395567495</v>
      </c>
      <c r="I92" s="47">
        <f>261.638681*3154/3174</f>
        <v>259.99004406868306</v>
      </c>
      <c r="J92" s="47">
        <v>1982.6437959159998</v>
      </c>
      <c r="K92" s="47">
        <v>363.151401184</v>
      </c>
      <c r="L92" s="47">
        <v>420.80349172499996</v>
      </c>
      <c r="M92" s="47">
        <f>2420.870223316*28344/28393</f>
        <v>2416.692340001716</v>
      </c>
      <c r="N92" s="47">
        <f>984*8506/10551</f>
        <v>793.2806369064543</v>
      </c>
      <c r="O92" s="47">
        <v>40.65869332</v>
      </c>
      <c r="P92" s="47">
        <v>46.855433999</v>
      </c>
      <c r="Q92" s="53">
        <f t="shared" si="1"/>
        <v>0</v>
      </c>
      <c r="R92" s="34"/>
      <c r="S92" s="73"/>
      <c r="T92" s="73"/>
      <c r="U92" s="73"/>
      <c r="V92" s="73"/>
      <c r="Z92" s="73">
        <f t="shared" si="2"/>
        <v>6542.609972825312</v>
      </c>
      <c r="AA92" s="14">
        <f t="shared" si="3"/>
        <v>-167.24819200771435</v>
      </c>
    </row>
    <row r="93" spans="1:27" ht="12.75">
      <c r="A93" s="51">
        <v>2002</v>
      </c>
      <c r="B93" s="58" t="s">
        <v>56</v>
      </c>
      <c r="C93" s="53">
        <v>6657.028</v>
      </c>
      <c r="D93" s="53">
        <v>458.8512726334794</v>
      </c>
      <c r="E93" s="53">
        <v>102.86268470743016</v>
      </c>
      <c r="F93" s="53">
        <v>6095.314042659091</v>
      </c>
      <c r="G93" s="47">
        <f>145.928258*2139/2149</f>
        <v>145.2492060781759</v>
      </c>
      <c r="H93" s="47">
        <f>149*538/2978</f>
        <v>26.918065815983883</v>
      </c>
      <c r="I93" s="47">
        <f>264.86032*3154/3174</f>
        <v>263.19138288594837</v>
      </c>
      <c r="J93" s="47">
        <v>1778.8202180619999</v>
      </c>
      <c r="K93" s="47">
        <v>383.6373188</v>
      </c>
      <c r="L93" s="47">
        <v>357.181400564</v>
      </c>
      <c r="M93" s="47">
        <f>2153.75746169*28344/28393</f>
        <v>2150.0405555644475</v>
      </c>
      <c r="N93" s="47">
        <f>869*8506/10551</f>
        <v>700.5699933655578</v>
      </c>
      <c r="O93" s="47">
        <v>35.353567625000004</v>
      </c>
      <c r="P93" s="47">
        <v>172.618621</v>
      </c>
      <c r="Q93" s="53">
        <f t="shared" si="1"/>
        <v>0</v>
      </c>
      <c r="R93" s="34"/>
      <c r="S93" s="73"/>
      <c r="T93" s="73"/>
      <c r="U93" s="73"/>
      <c r="V93" s="73"/>
      <c r="Z93" s="73">
        <f t="shared" si="2"/>
        <v>6013.580329761113</v>
      </c>
      <c r="AA93" s="14">
        <f t="shared" si="3"/>
        <v>-81.73371289797797</v>
      </c>
    </row>
    <row r="94" spans="1:27" ht="12.75">
      <c r="A94" s="51">
        <v>2002</v>
      </c>
      <c r="B94" s="61" t="s">
        <v>57</v>
      </c>
      <c r="C94" s="53">
        <v>7215.424</v>
      </c>
      <c r="D94" s="53">
        <v>517.4920902592083</v>
      </c>
      <c r="E94" s="53">
        <v>-23.361969329802378</v>
      </c>
      <c r="F94" s="53">
        <v>6721.293879070594</v>
      </c>
      <c r="G94" s="47">
        <f>178.802727999*2139/2149</f>
        <v>177.97070041408145</v>
      </c>
      <c r="H94" s="47">
        <f>253*538/2978</f>
        <v>45.70651443922095</v>
      </c>
      <c r="I94" s="47">
        <f>242.473445002*3154/3174</f>
        <v>240.94557200261752</v>
      </c>
      <c r="J94" s="47">
        <v>2015.1698492029998</v>
      </c>
      <c r="K94" s="47">
        <v>411.828027609</v>
      </c>
      <c r="L94" s="47">
        <v>407.471501347</v>
      </c>
      <c r="M94" s="47">
        <f>2399.620654225*28344/28393</f>
        <v>2395.4794429385206</v>
      </c>
      <c r="N94" s="47">
        <f>881*8506/10551</f>
        <v>710.244147474173</v>
      </c>
      <c r="O94" s="47">
        <v>52.82733437500001</v>
      </c>
      <c r="P94" s="47">
        <v>157.445108998</v>
      </c>
      <c r="Q94" s="53">
        <f t="shared" si="1"/>
        <v>0</v>
      </c>
      <c r="R94" s="34"/>
      <c r="S94" s="73"/>
      <c r="T94" s="73"/>
      <c r="U94" s="73"/>
      <c r="V94" s="73"/>
      <c r="Z94" s="73">
        <f t="shared" si="2"/>
        <v>6615.088198800613</v>
      </c>
      <c r="AA94" s="14">
        <f t="shared" si="3"/>
        <v>-106.2056802699808</v>
      </c>
    </row>
    <row r="95" spans="1:27" ht="12.75">
      <c r="A95" s="51">
        <v>2002</v>
      </c>
      <c r="B95" s="61" t="s">
        <v>58</v>
      </c>
      <c r="C95" s="53">
        <v>7149.4890000000005</v>
      </c>
      <c r="D95" s="53">
        <v>441.45535760235873</v>
      </c>
      <c r="E95" s="53">
        <v>192.0883751694173</v>
      </c>
      <c r="F95" s="53">
        <v>6515.945267228224</v>
      </c>
      <c r="G95" s="47">
        <f>187.437717001*2139/2149</f>
        <v>186.5655079875007</v>
      </c>
      <c r="H95" s="47">
        <f>182*538/2978</f>
        <v>32.879785090664875</v>
      </c>
      <c r="I95" s="47">
        <f>244.123532997*3154/3174</f>
        <v>242.58526246771837</v>
      </c>
      <c r="J95" s="47">
        <v>1899.3863338499998</v>
      </c>
      <c r="K95" s="47">
        <v>390.406720845</v>
      </c>
      <c r="L95" s="47">
        <v>256.848583933</v>
      </c>
      <c r="M95" s="47">
        <f>2428.578758078*28344/28393</f>
        <v>2424.3875715480167</v>
      </c>
      <c r="N95" s="47">
        <f>837*8506/10551</f>
        <v>674.772249075917</v>
      </c>
      <c r="O95" s="47">
        <v>45.348381918</v>
      </c>
      <c r="P95" s="47">
        <v>169.48981500200003</v>
      </c>
      <c r="Q95" s="53">
        <f t="shared" si="1"/>
        <v>0</v>
      </c>
      <c r="R95" s="34"/>
      <c r="S95" s="73"/>
      <c r="T95" s="73"/>
      <c r="U95" s="73"/>
      <c r="V95" s="73"/>
      <c r="Z95" s="73">
        <f t="shared" si="2"/>
        <v>6322.670211717817</v>
      </c>
      <c r="AA95" s="14">
        <f t="shared" si="3"/>
        <v>-193.27505551040667</v>
      </c>
    </row>
    <row r="96" spans="1:27" ht="12.75">
      <c r="A96" s="51">
        <v>2002</v>
      </c>
      <c r="B96" s="62" t="s">
        <v>59</v>
      </c>
      <c r="C96" s="53">
        <v>7027.407999999999</v>
      </c>
      <c r="D96" s="53">
        <v>481.40513988055926</v>
      </c>
      <c r="E96" s="53">
        <v>-28.17709830113472</v>
      </c>
      <c r="F96" s="53">
        <v>6574.179958420575</v>
      </c>
      <c r="G96" s="47">
        <f>199.169151*2139/2149</f>
        <v>198.24235178641229</v>
      </c>
      <c r="H96" s="47">
        <f>308*538/2978</f>
        <v>55.642713230355945</v>
      </c>
      <c r="I96" s="47">
        <f>227.625437001*3154/3174</f>
        <v>226.19112422846692</v>
      </c>
      <c r="J96" s="47">
        <v>1971.9161434230002</v>
      </c>
      <c r="K96" s="47">
        <v>476.81103780999996</v>
      </c>
      <c r="L96" s="47">
        <v>240.510339078</v>
      </c>
      <c r="M96" s="47">
        <f>2345.969227618*28344/28393</f>
        <v>2341.9206067553478</v>
      </c>
      <c r="N96" s="47">
        <f>980*8506/10551</f>
        <v>790.0559188702492</v>
      </c>
      <c r="O96" s="47">
        <v>33.816775556999985</v>
      </c>
      <c r="P96" s="47">
        <v>157.18681099999998</v>
      </c>
      <c r="Q96" s="53">
        <f t="shared" si="1"/>
        <v>0</v>
      </c>
      <c r="R96" s="34"/>
      <c r="S96" s="73"/>
      <c r="T96" s="73"/>
      <c r="U96" s="73"/>
      <c r="V96" s="73"/>
      <c r="Z96" s="73">
        <f t="shared" si="2"/>
        <v>6492.293821738833</v>
      </c>
      <c r="AA96" s="14">
        <f t="shared" si="3"/>
        <v>-81.88613668174185</v>
      </c>
    </row>
    <row r="97" spans="1:27" ht="12.75">
      <c r="A97" s="51">
        <v>2002</v>
      </c>
      <c r="B97" s="58" t="s">
        <v>60</v>
      </c>
      <c r="C97" s="53">
        <v>6732.965</v>
      </c>
      <c r="D97" s="53">
        <v>437.9109106145382</v>
      </c>
      <c r="E97" s="53">
        <v>84.31308664843436</v>
      </c>
      <c r="F97" s="53">
        <v>6210.741002737028</v>
      </c>
      <c r="G97" s="47">
        <f>196.263661*2139/2149</f>
        <v>195.35038198185202</v>
      </c>
      <c r="H97" s="47">
        <f>303*538/2978</f>
        <v>54.739422431161856</v>
      </c>
      <c r="I97" s="47">
        <f>206.021972999*3154/3174</f>
        <v>204.72378791394013</v>
      </c>
      <c r="J97" s="47">
        <v>1852.700513871</v>
      </c>
      <c r="K97" s="47">
        <v>538.5246348999999</v>
      </c>
      <c r="L97" s="47">
        <v>200.19719144500002</v>
      </c>
      <c r="M97" s="47">
        <f>2310.039383068*28344/28393</f>
        <v>2306.0527691219454</v>
      </c>
      <c r="N97" s="47">
        <f>666*8506/10551</f>
        <v>536.915553028149</v>
      </c>
      <c r="O97" s="47">
        <v>56.746837411000016</v>
      </c>
      <c r="P97" s="47">
        <v>172.016107</v>
      </c>
      <c r="Q97" s="53">
        <f t="shared" si="1"/>
        <v>0</v>
      </c>
      <c r="R97" s="34"/>
      <c r="S97" s="73"/>
      <c r="T97" s="73"/>
      <c r="U97" s="73"/>
      <c r="V97" s="73"/>
      <c r="Z97" s="73">
        <f t="shared" si="2"/>
        <v>6117.967199104049</v>
      </c>
      <c r="AA97" s="14">
        <f t="shared" si="3"/>
        <v>-92.77380363297925</v>
      </c>
    </row>
    <row r="98" spans="1:27" ht="12.75">
      <c r="A98" s="51">
        <v>2002</v>
      </c>
      <c r="B98" s="59" t="s">
        <v>61</v>
      </c>
      <c r="C98" s="53">
        <v>7403.209000000001</v>
      </c>
      <c r="D98" s="53">
        <v>411.44710504453457</v>
      </c>
      <c r="E98" s="53">
        <v>-5.376307702861595</v>
      </c>
      <c r="F98" s="53">
        <v>6997.138202658328</v>
      </c>
      <c r="G98" s="47">
        <f>212.950131998*2139/2149</f>
        <v>211.95920537167146</v>
      </c>
      <c r="H98" s="47">
        <f>314*538/2978</f>
        <v>56.726662189388854</v>
      </c>
      <c r="I98" s="47">
        <f>261.506424003*3154/3174</f>
        <v>259.85862044910584</v>
      </c>
      <c r="J98" s="47">
        <v>1976.252865895</v>
      </c>
      <c r="K98" s="47">
        <v>555.014640756</v>
      </c>
      <c r="L98" s="47">
        <v>162.93483418499997</v>
      </c>
      <c r="M98" s="47">
        <f>2566.938307638*28344/28393</f>
        <v>2562.5083433131927</v>
      </c>
      <c r="N98" s="47">
        <f>918*8506/10551</f>
        <v>740.0727893090702</v>
      </c>
      <c r="O98" s="47">
        <v>49.827413472</v>
      </c>
      <c r="P98" s="47">
        <v>204.54023600099998</v>
      </c>
      <c r="Q98" s="53">
        <f t="shared" si="1"/>
        <v>0</v>
      </c>
      <c r="R98" s="34"/>
      <c r="S98" s="73"/>
      <c r="T98" s="73"/>
      <c r="U98" s="73"/>
      <c r="V98" s="73"/>
      <c r="Z98" s="73">
        <f t="shared" si="2"/>
        <v>6779.69561094143</v>
      </c>
      <c r="AA98" s="14">
        <f t="shared" si="3"/>
        <v>-217.44259171689828</v>
      </c>
    </row>
    <row r="99" spans="1:27" ht="12.75">
      <c r="A99" s="51">
        <v>2002</v>
      </c>
      <c r="B99" s="58" t="s">
        <v>62</v>
      </c>
      <c r="C99" s="53">
        <v>7222.035999999999</v>
      </c>
      <c r="D99" s="53">
        <v>516.9538046280085</v>
      </c>
      <c r="E99" s="53">
        <v>128.5379518768441</v>
      </c>
      <c r="F99" s="53">
        <v>6576.5442434951465</v>
      </c>
      <c r="G99" s="47">
        <f>200.632176002*2139/2149</f>
        <v>199.69856885448021</v>
      </c>
      <c r="H99" s="47">
        <f>242*538/2978</f>
        <v>43.719274680993955</v>
      </c>
      <c r="I99" s="47">
        <f>312.306500999*3154/3174</f>
        <v>310.3385961407832</v>
      </c>
      <c r="J99" s="47">
        <v>1940.686319431</v>
      </c>
      <c r="K99" s="47">
        <v>459.34370924</v>
      </c>
      <c r="L99" s="47">
        <v>204.385728161</v>
      </c>
      <c r="M99" s="47">
        <f>2423.034955674*28344/28393</f>
        <v>2418.8533365133603</v>
      </c>
      <c r="N99" s="47">
        <f>809*8506/10551</f>
        <v>652.1992228224813</v>
      </c>
      <c r="O99" s="47">
        <v>64.08891881699998</v>
      </c>
      <c r="P99" s="47">
        <v>194.583711999</v>
      </c>
      <c r="Q99" s="53">
        <f t="shared" si="1"/>
        <v>0</v>
      </c>
      <c r="R99" s="34"/>
      <c r="S99" s="73"/>
      <c r="T99" s="73"/>
      <c r="U99" s="73"/>
      <c r="V99" s="73"/>
      <c r="Z99" s="73">
        <f t="shared" si="2"/>
        <v>6487.897386660098</v>
      </c>
      <c r="AA99" s="14">
        <f t="shared" si="3"/>
        <v>-88.64685683504831</v>
      </c>
    </row>
    <row r="100" spans="1:27" ht="12.75">
      <c r="A100" s="51">
        <v>2002</v>
      </c>
      <c r="B100" s="63" t="s">
        <v>63</v>
      </c>
      <c r="C100" s="53">
        <v>7186.955</v>
      </c>
      <c r="D100" s="53">
        <v>520.8511505209361</v>
      </c>
      <c r="E100" s="53">
        <v>107.44250281024324</v>
      </c>
      <c r="F100" s="53">
        <v>6558.66134666882</v>
      </c>
      <c r="G100" s="47">
        <f>153.143268995*2139/2149</f>
        <v>152.43064326677757</v>
      </c>
      <c r="H100" s="47">
        <f>242*538/2978</f>
        <v>43.719274680993955</v>
      </c>
      <c r="I100" s="47">
        <f>237.761466*3154/3174</f>
        <v>236.26328410964084</v>
      </c>
      <c r="J100" s="47">
        <v>2011.253470863</v>
      </c>
      <c r="K100" s="47">
        <v>432.530593481</v>
      </c>
      <c r="L100" s="47">
        <v>325.178193478</v>
      </c>
      <c r="M100" s="47">
        <f>2404.016520595*28344/28393</f>
        <v>2399.8677230213325</v>
      </c>
      <c r="N100" s="47">
        <f>853*8506/10551</f>
        <v>687.6711212207374</v>
      </c>
      <c r="O100" s="47">
        <v>17.171053113999996</v>
      </c>
      <c r="P100" s="47">
        <v>177.84983366199998</v>
      </c>
      <c r="Q100" s="53">
        <f t="shared" si="1"/>
        <v>0</v>
      </c>
      <c r="R100" s="34"/>
      <c r="S100" s="73"/>
      <c r="T100" s="73"/>
      <c r="U100" s="73"/>
      <c r="V100" s="73"/>
      <c r="Z100" s="73">
        <f t="shared" si="2"/>
        <v>6483.935190897482</v>
      </c>
      <c r="AA100" s="14">
        <f t="shared" si="3"/>
        <v>-74.7261557713382</v>
      </c>
    </row>
    <row r="101" spans="1:27" ht="12.75">
      <c r="A101" s="51">
        <v>2002</v>
      </c>
      <c r="B101" s="59" t="s">
        <v>64</v>
      </c>
      <c r="C101" s="53">
        <v>6464.858</v>
      </c>
      <c r="D101" s="53">
        <v>507.0257611501491</v>
      </c>
      <c r="E101" s="53">
        <v>1.1576604730362305</v>
      </c>
      <c r="F101" s="53">
        <v>5956.674578376815</v>
      </c>
      <c r="G101" s="47">
        <f>139.407694004*2139/2149</f>
        <v>138.75898439951422</v>
      </c>
      <c r="H101" s="47">
        <f>198*538/2978</f>
        <v>35.77031564808596</v>
      </c>
      <c r="I101" s="47">
        <f>290.853245999*3154/3174</f>
        <v>289.0205223317095</v>
      </c>
      <c r="J101" s="47">
        <v>1815.973085921</v>
      </c>
      <c r="K101" s="47">
        <v>500.019192958</v>
      </c>
      <c r="L101" s="47">
        <v>247.035794472</v>
      </c>
      <c r="M101" s="47">
        <f>2080.767804319*28344/28393</f>
        <v>2077.176862100438</v>
      </c>
      <c r="N101" s="47">
        <f>796*8506/10551</f>
        <v>641.7188892048147</v>
      </c>
      <c r="O101" s="47">
        <v>18.528075684999987</v>
      </c>
      <c r="P101" s="47">
        <v>191.17931643499998</v>
      </c>
      <c r="Q101" s="53">
        <f t="shared" si="1"/>
        <v>0</v>
      </c>
      <c r="R101" s="34"/>
      <c r="S101" s="73"/>
      <c r="T101" s="73"/>
      <c r="U101" s="73"/>
      <c r="V101" s="73"/>
      <c r="Z101" s="73">
        <f t="shared" si="2"/>
        <v>5955.181039155562</v>
      </c>
      <c r="AA101" s="14">
        <f t="shared" si="3"/>
        <v>-1.4935392212528313</v>
      </c>
    </row>
    <row r="102" spans="1:27" ht="12.75">
      <c r="A102" s="51">
        <v>2002</v>
      </c>
      <c r="B102" s="58" t="s">
        <v>65</v>
      </c>
      <c r="C102" s="53">
        <v>6954.143</v>
      </c>
      <c r="D102" s="53">
        <v>421.5098035565546</v>
      </c>
      <c r="E102" s="53">
        <v>90.87765340094575</v>
      </c>
      <c r="F102" s="53">
        <v>6441.7555430425</v>
      </c>
      <c r="G102" s="47">
        <f>157.150806002*2139/2149</f>
        <v>156.41953189310283</v>
      </c>
      <c r="H102" s="47">
        <f>264*538/2978</f>
        <v>47.69375419744795</v>
      </c>
      <c r="I102" s="47">
        <f>294.499299*3154/3174</f>
        <v>292.6436008336484</v>
      </c>
      <c r="J102" s="47">
        <v>1727.9846703090002</v>
      </c>
      <c r="K102" s="47">
        <v>438.65418923100003</v>
      </c>
      <c r="L102" s="47">
        <v>298.09191723799995</v>
      </c>
      <c r="M102" s="47">
        <f>2289.295305731*28344/28393</f>
        <v>2285.3444914464644</v>
      </c>
      <c r="N102" s="47">
        <f>1029*8506/10551</f>
        <v>829.5587148137618</v>
      </c>
      <c r="O102" s="47">
        <v>43.390560054</v>
      </c>
      <c r="P102" s="47">
        <v>152.10869978999997</v>
      </c>
      <c r="Q102" s="53">
        <f t="shared" si="1"/>
        <v>0</v>
      </c>
      <c r="R102" s="34"/>
      <c r="S102" s="73"/>
      <c r="T102" s="73"/>
      <c r="U102" s="73"/>
      <c r="V102" s="73"/>
      <c r="Z102" s="73">
        <f t="shared" si="2"/>
        <v>6271.890129806427</v>
      </c>
      <c r="AA102" s="14">
        <f t="shared" si="3"/>
        <v>-169.86541323607344</v>
      </c>
    </row>
    <row r="103" spans="1:27" ht="13.5" thickBot="1">
      <c r="A103" s="81">
        <v>2002</v>
      </c>
      <c r="B103" s="92" t="s">
        <v>66</v>
      </c>
      <c r="C103" s="83">
        <v>7507.238</v>
      </c>
      <c r="D103" s="83">
        <v>481.0527548920065</v>
      </c>
      <c r="E103" s="83">
        <v>65.65099566580466</v>
      </c>
      <c r="F103" s="83">
        <v>6960.534249442189</v>
      </c>
      <c r="G103" s="98">
        <f>208.015809998*2139/2149</f>
        <v>207.04784438609678</v>
      </c>
      <c r="H103" s="98">
        <f>248*538/2978</f>
        <v>44.803223640026864</v>
      </c>
      <c r="I103" s="98">
        <f>330.011639*3154/3174</f>
        <v>327.9321705752993</v>
      </c>
      <c r="J103" s="98">
        <v>1971.2613271690002</v>
      </c>
      <c r="K103" s="98">
        <v>414.683466417</v>
      </c>
      <c r="L103" s="98">
        <v>385.26059711</v>
      </c>
      <c r="M103" s="98">
        <f>2569.794524434*28344/28393</f>
        <v>2565.3596309145664</v>
      </c>
      <c r="N103" s="98">
        <f>929*8506/10551</f>
        <v>748.9407639086343</v>
      </c>
      <c r="O103" s="98">
        <v>51.274184152</v>
      </c>
      <c r="P103" s="98">
        <v>122.140256813</v>
      </c>
      <c r="Q103" s="53">
        <f t="shared" si="1"/>
        <v>0</v>
      </c>
      <c r="R103" s="34"/>
      <c r="S103" s="73"/>
      <c r="T103" s="73"/>
      <c r="U103" s="73"/>
      <c r="V103" s="73"/>
      <c r="Z103" s="73">
        <f t="shared" si="2"/>
        <v>6838.703465085623</v>
      </c>
      <c r="AA103" s="14">
        <f t="shared" si="3"/>
        <v>-121.83078435656626</v>
      </c>
    </row>
    <row r="104" spans="1:27" ht="12.75">
      <c r="A104" s="51">
        <v>2003</v>
      </c>
      <c r="B104" s="58" t="s">
        <v>55</v>
      </c>
      <c r="C104" s="53">
        <v>6854.121963062692</v>
      </c>
      <c r="D104" s="53">
        <v>520.0270123641214</v>
      </c>
      <c r="E104" s="54">
        <f aca="true" t="shared" si="5" ref="E104:E127">C104-D104-F104</f>
        <v>-353.332107749864</v>
      </c>
      <c r="F104" s="53">
        <v>6687.427058448435</v>
      </c>
      <c r="G104" s="47">
        <f>207.647061675392*2280/2300</f>
        <v>205.84143505212774</v>
      </c>
      <c r="H104" s="47">
        <f>211*645/2902</f>
        <v>46.89696760854583</v>
      </c>
      <c r="I104" s="47">
        <f>339.999039270622*3503/3516</f>
        <v>338.74193247013335</v>
      </c>
      <c r="J104" s="47">
        <v>2005.9630365184257</v>
      </c>
      <c r="K104" s="47">
        <v>327.8617173975668</v>
      </c>
      <c r="L104" s="47">
        <v>469.5319013052741</v>
      </c>
      <c r="M104" s="47">
        <f>2230.2956772159*27380/27579</f>
        <v>2214.2026774782025</v>
      </c>
      <c r="N104" s="47">
        <f>959.393106248069*9495/11517</f>
        <v>790.9557648541648</v>
      </c>
      <c r="O104" s="47">
        <v>45.25085532</v>
      </c>
      <c r="P104" s="47">
        <v>51.01843746350514</v>
      </c>
      <c r="Q104" s="53">
        <f t="shared" si="1"/>
        <v>0</v>
      </c>
      <c r="R104" s="34"/>
      <c r="S104" s="73"/>
      <c r="T104" s="73"/>
      <c r="U104" s="73"/>
      <c r="V104" s="73"/>
      <c r="Z104" s="73">
        <f t="shared" si="2"/>
        <v>6496.264725467946</v>
      </c>
      <c r="AA104" s="14">
        <f t="shared" si="3"/>
        <v>-191.16233298048883</v>
      </c>
    </row>
    <row r="105" spans="1:27" ht="12.75">
      <c r="A105" s="51">
        <v>2003</v>
      </c>
      <c r="B105" s="58" t="s">
        <v>56</v>
      </c>
      <c r="C105" s="53">
        <v>7024.414872989754</v>
      </c>
      <c r="D105" s="53">
        <v>489.4378586240868</v>
      </c>
      <c r="E105" s="54">
        <f t="shared" si="5"/>
        <v>224.79617288788177</v>
      </c>
      <c r="F105" s="53">
        <v>6310.180841477786</v>
      </c>
      <c r="G105" s="47">
        <f>168.185586434439*2280/2300</f>
        <v>166.72310307413952</v>
      </c>
      <c r="H105" s="47">
        <f>198*0.222260509993108</f>
        <v>44.007580978635424</v>
      </c>
      <c r="I105" s="47">
        <f>285.234203166425*3503/3516</f>
        <v>284.17958296131593</v>
      </c>
      <c r="J105" s="47">
        <v>1848.277297957005</v>
      </c>
      <c r="K105" s="47">
        <v>331.12555179935976</v>
      </c>
      <c r="L105" s="47">
        <v>405.90167233132036</v>
      </c>
      <c r="M105" s="47">
        <f>2111.86384758132*27380/27579</f>
        <v>2096.625408708675</v>
      </c>
      <c r="N105" s="47">
        <f>983.140075832663*9495/11517</f>
        <v>810.5335608258345</v>
      </c>
      <c r="O105" s="47">
        <v>58.68949758700001</v>
      </c>
      <c r="P105" s="47">
        <v>144.3901324801971</v>
      </c>
      <c r="Q105" s="53">
        <f t="shared" si="1"/>
        <v>0</v>
      </c>
      <c r="R105" s="34"/>
      <c r="S105" s="73"/>
      <c r="T105" s="73"/>
      <c r="U105" s="73"/>
      <c r="V105" s="73"/>
      <c r="Z105" s="73">
        <f t="shared" si="2"/>
        <v>6190.453388703483</v>
      </c>
      <c r="AA105" s="14">
        <f t="shared" si="3"/>
        <v>-119.72745277430295</v>
      </c>
    </row>
    <row r="106" spans="1:27" ht="12.75">
      <c r="A106" s="51">
        <v>2003</v>
      </c>
      <c r="B106" s="58" t="s">
        <v>57</v>
      </c>
      <c r="C106" s="53">
        <v>7240.712628031566</v>
      </c>
      <c r="D106" s="53">
        <v>478.31989966623496</v>
      </c>
      <c r="E106" s="54">
        <f t="shared" si="5"/>
        <v>-227.3959864737135</v>
      </c>
      <c r="F106" s="53">
        <v>6989.788714839045</v>
      </c>
      <c r="G106" s="47">
        <f>194.590040338148*2280/2300</f>
        <v>192.89795303085972</v>
      </c>
      <c r="H106" s="47">
        <f>211*0.222260509993108</f>
        <v>46.89696760854583</v>
      </c>
      <c r="I106" s="47">
        <f>392.441454698987*3503/3516</f>
        <v>390.9904481827507</v>
      </c>
      <c r="J106" s="47">
        <v>1963.3874462075344</v>
      </c>
      <c r="K106" s="47">
        <v>453.49650886484494</v>
      </c>
      <c r="L106" s="47">
        <v>349.931639124224</v>
      </c>
      <c r="M106" s="47">
        <f>2459.63593005298*27380/27579</f>
        <v>2441.8880947405846</v>
      </c>
      <c r="N106" s="47">
        <f>971.06077360771*9495/11517</f>
        <v>800.5749800647048</v>
      </c>
      <c r="O106" s="47">
        <v>29.765974492999998</v>
      </c>
      <c r="P106" s="47">
        <v>157.48921648959345</v>
      </c>
      <c r="Q106" s="53">
        <f t="shared" si="1"/>
        <v>0</v>
      </c>
      <c r="R106" s="34"/>
      <c r="S106" s="73"/>
      <c r="T106" s="73"/>
      <c r="U106" s="73"/>
      <c r="V106" s="73"/>
      <c r="Z106" s="73">
        <f t="shared" si="2"/>
        <v>6827.319228806642</v>
      </c>
      <c r="AA106" s="14">
        <f t="shared" si="3"/>
        <v>-162.46948603240253</v>
      </c>
    </row>
    <row r="107" spans="1:27" ht="12.75">
      <c r="A107" s="51">
        <v>2003</v>
      </c>
      <c r="B107" s="58" t="s">
        <v>58</v>
      </c>
      <c r="C107" s="53">
        <v>7117.028359023923</v>
      </c>
      <c r="D107" s="53">
        <v>438.5792671132324</v>
      </c>
      <c r="E107" s="54">
        <f t="shared" si="5"/>
        <v>38.76591470594758</v>
      </c>
      <c r="F107" s="53">
        <v>6639.6831772047435</v>
      </c>
      <c r="G107" s="47">
        <f>205.68328121047*2280/2300</f>
        <v>203.8947309390746</v>
      </c>
      <c r="H107" s="47">
        <f>413*0.222260509993108</f>
        <v>91.79359062715369</v>
      </c>
      <c r="I107" s="47">
        <f>348.511525412446*3503/3516</f>
        <v>347.2229446870872</v>
      </c>
      <c r="J107" s="47">
        <v>1896.6459386575204</v>
      </c>
      <c r="K107" s="47">
        <v>519.1950563759392</v>
      </c>
      <c r="L107" s="47">
        <v>234.53769925068232</v>
      </c>
      <c r="M107" s="47">
        <f>2384.01192248759*27380/27579</f>
        <v>2366.8097624174266</v>
      </c>
      <c r="N107" s="47">
        <f>887.292805325403*9495/11517</f>
        <v>731.5138652917168</v>
      </c>
      <c r="O107" s="47">
        <v>45.435994601</v>
      </c>
      <c r="P107" s="47">
        <v>87.85549592636345</v>
      </c>
      <c r="Q107" s="53">
        <f t="shared" si="1"/>
        <v>0</v>
      </c>
      <c r="R107" s="34"/>
      <c r="S107" s="73"/>
      <c r="T107" s="73"/>
      <c r="U107" s="73"/>
      <c r="V107" s="73"/>
      <c r="Z107" s="73">
        <f t="shared" si="2"/>
        <v>6524.905078773964</v>
      </c>
      <c r="AA107" s="14">
        <f t="shared" si="3"/>
        <v>-114.77809843077921</v>
      </c>
    </row>
    <row r="108" spans="1:27" ht="12.75">
      <c r="A108" s="51">
        <v>2003</v>
      </c>
      <c r="B108" s="58" t="s">
        <v>59</v>
      </c>
      <c r="C108" s="53">
        <v>7889.552181533408</v>
      </c>
      <c r="D108" s="53">
        <v>460.0053149903563</v>
      </c>
      <c r="E108" s="54">
        <f t="shared" si="5"/>
        <v>202.19781117593993</v>
      </c>
      <c r="F108" s="53">
        <v>7227.349055367112</v>
      </c>
      <c r="G108" s="47">
        <f>240.460530757648*2280/2300</f>
        <v>238.36956962062496</v>
      </c>
      <c r="H108" s="47">
        <f>206*0.222260509993108</f>
        <v>45.78566505858029</v>
      </c>
      <c r="I108" s="47">
        <f>281.090898331404*3503/3516</f>
        <v>280.05159751277256</v>
      </c>
      <c r="J108" s="47">
        <v>2007.0790838100602</v>
      </c>
      <c r="K108" s="47">
        <v>548.8276169258912</v>
      </c>
      <c r="L108" s="47">
        <v>229.29045883617752</v>
      </c>
      <c r="M108" s="47">
        <f>2517.55764786728*27380/27579</f>
        <v>2499.3918705756605</v>
      </c>
      <c r="N108" s="47">
        <f>925.271722978055*9495/11517</f>
        <v>762.8249552554165</v>
      </c>
      <c r="O108" s="47">
        <v>48.900728732999994</v>
      </c>
      <c r="P108" s="47">
        <v>340.4164650533573</v>
      </c>
      <c r="Q108" s="53">
        <f aca="true" t="shared" si="6" ref="Q108:Q126">SUM(S108:Y108)</f>
        <v>0</v>
      </c>
      <c r="R108" s="34"/>
      <c r="S108" s="73"/>
      <c r="T108" s="73"/>
      <c r="U108" s="73"/>
      <c r="V108" s="73"/>
      <c r="Z108" s="73">
        <f aca="true" t="shared" si="7" ref="Z108:Z140">SUM(G108:Q108)</f>
        <v>7000.9380113815405</v>
      </c>
      <c r="AA108" s="14">
        <f aca="true" t="shared" si="8" ref="AA108:AA140">+Z108-F108</f>
        <v>-226.41104398557127</v>
      </c>
    </row>
    <row r="109" spans="1:27" ht="12.75">
      <c r="A109" s="51">
        <v>2003</v>
      </c>
      <c r="B109" s="58" t="s">
        <v>60</v>
      </c>
      <c r="C109" s="53">
        <v>6839.427824966361</v>
      </c>
      <c r="D109" s="53">
        <v>431.9285692040406</v>
      </c>
      <c r="E109" s="54">
        <f t="shared" si="5"/>
        <v>-85.4824572558864</v>
      </c>
      <c r="F109" s="53">
        <v>6492.981713018207</v>
      </c>
      <c r="G109" s="47">
        <f>234.256515933757*2280/2300</f>
        <v>232.21950275172435</v>
      </c>
      <c r="H109" s="47">
        <f>198*0.222260509993108</f>
        <v>44.007580978635424</v>
      </c>
      <c r="I109" s="47">
        <f>258.065938655572*3503/3516</f>
        <v>257.1117699404063</v>
      </c>
      <c r="J109" s="47">
        <v>1886.3726148565327</v>
      </c>
      <c r="K109" s="47">
        <v>465.5560198722566</v>
      </c>
      <c r="L109" s="47">
        <v>173.35128421018138</v>
      </c>
      <c r="M109" s="47">
        <f>2372.76779694399*27380/27579</f>
        <v>2355.6467703805956</v>
      </c>
      <c r="N109" s="47">
        <f>934.916537262705*9495/11517</f>
        <v>770.7764627341654</v>
      </c>
      <c r="O109" s="47">
        <v>42.47030963700001</v>
      </c>
      <c r="P109" s="47">
        <v>133.54456108925461</v>
      </c>
      <c r="Q109" s="53">
        <f t="shared" si="6"/>
        <v>0</v>
      </c>
      <c r="R109" s="34"/>
      <c r="S109" s="73"/>
      <c r="T109" s="73"/>
      <c r="U109" s="73"/>
      <c r="V109" s="73"/>
      <c r="Z109" s="73">
        <f t="shared" si="7"/>
        <v>6361.0568764507525</v>
      </c>
      <c r="AA109" s="14">
        <f t="shared" si="8"/>
        <v>-131.9248365674548</v>
      </c>
    </row>
    <row r="110" spans="1:27" ht="12.75">
      <c r="A110" s="51">
        <v>2003</v>
      </c>
      <c r="B110" s="58" t="s">
        <v>61</v>
      </c>
      <c r="C110" s="53">
        <v>6699.676830710391</v>
      </c>
      <c r="D110" s="53">
        <v>475.25746841433994</v>
      </c>
      <c r="E110" s="54">
        <f t="shared" si="5"/>
        <v>65.64551062298688</v>
      </c>
      <c r="F110" s="53">
        <v>6158.773851673064</v>
      </c>
      <c r="G110" s="47">
        <f>227.598794287268*2280/2300</f>
        <v>225.61967433694394</v>
      </c>
      <c r="H110" s="47">
        <f>168*0.222260509993108</f>
        <v>37.33976567884218</v>
      </c>
      <c r="I110" s="47">
        <f>312.739343149059*3503/3516</f>
        <v>311.5830258962325</v>
      </c>
      <c r="J110" s="47">
        <v>1766.6940986246768</v>
      </c>
      <c r="K110" s="47">
        <v>476.32492536082816</v>
      </c>
      <c r="L110" s="47">
        <v>177.35110681909197</v>
      </c>
      <c r="M110" s="47">
        <f>2193.92371934858*27380/27579</f>
        <v>2178.093166386168</v>
      </c>
      <c r="N110" s="47">
        <f>812.069257816468*9495/11517</f>
        <v>669.4970567827875</v>
      </c>
      <c r="O110" s="47">
        <v>53.13065087899998</v>
      </c>
      <c r="P110" s="47">
        <v>169.57822925880083</v>
      </c>
      <c r="Q110" s="53">
        <f t="shared" si="6"/>
        <v>0</v>
      </c>
      <c r="R110" s="34"/>
      <c r="S110" s="73"/>
      <c r="T110" s="73"/>
      <c r="U110" s="73"/>
      <c r="V110" s="73"/>
      <c r="Z110" s="73">
        <f t="shared" si="7"/>
        <v>6065.211700023372</v>
      </c>
      <c r="AA110" s="14">
        <f t="shared" si="8"/>
        <v>-93.56215164969217</v>
      </c>
    </row>
    <row r="111" spans="1:27" ht="12.75">
      <c r="A111" s="51">
        <v>2003</v>
      </c>
      <c r="B111" s="58" t="s">
        <v>62</v>
      </c>
      <c r="C111" s="53">
        <v>7478.402073295469</v>
      </c>
      <c r="D111" s="53">
        <v>473.99233659870106</v>
      </c>
      <c r="E111" s="54">
        <f t="shared" si="5"/>
        <v>95.77193427381462</v>
      </c>
      <c r="F111" s="53">
        <v>6908.6378024229525</v>
      </c>
      <c r="G111" s="47">
        <f>193.355053982323*2280/2300</f>
        <v>191.67370568682455</v>
      </c>
      <c r="H111" s="47">
        <f>235*645/2902</f>
        <v>52.23121984838043</v>
      </c>
      <c r="I111" s="47">
        <f>212.372711902161*3503/3516</f>
        <v>211.5874885646388</v>
      </c>
      <c r="J111" s="47">
        <v>2005.5609332910874</v>
      </c>
      <c r="K111" s="47">
        <v>549.212735534713</v>
      </c>
      <c r="L111" s="47">
        <v>201.6374697877672</v>
      </c>
      <c r="M111" s="47">
        <f>2478.85962809212*27380/27579</f>
        <v>2460.9730815896964</v>
      </c>
      <c r="N111" s="47">
        <f>997.539467608894*9495/11517</f>
        <v>822.4049010112398</v>
      </c>
      <c r="O111" s="47">
        <v>48.19697903864225</v>
      </c>
      <c r="P111" s="47">
        <v>165.66024911487125</v>
      </c>
      <c r="Q111" s="53">
        <f t="shared" si="6"/>
        <v>0</v>
      </c>
      <c r="R111" s="34"/>
      <c r="S111" s="73"/>
      <c r="T111" s="73"/>
      <c r="U111" s="73"/>
      <c r="V111" s="73"/>
      <c r="Z111" s="73">
        <f t="shared" si="7"/>
        <v>6709.13876346786</v>
      </c>
      <c r="AA111" s="14">
        <f t="shared" si="8"/>
        <v>-199.49903895509215</v>
      </c>
    </row>
    <row r="112" spans="1:27" ht="12.75">
      <c r="A112" s="51">
        <v>2003</v>
      </c>
      <c r="B112" s="58" t="s">
        <v>63</v>
      </c>
      <c r="C112" s="53">
        <v>6496.3388572104905</v>
      </c>
      <c r="D112" s="53">
        <v>415.5438496384179</v>
      </c>
      <c r="E112" s="54">
        <f t="shared" si="5"/>
        <v>43.823386256655795</v>
      </c>
      <c r="F112" s="53">
        <v>6036.971621315417</v>
      </c>
      <c r="G112" s="47">
        <f>148.96904920183*2280/2300</f>
        <v>147.67366616529233</v>
      </c>
      <c r="H112" s="47">
        <f>194*645/2902</f>
        <v>43.118538938662994</v>
      </c>
      <c r="I112" s="47">
        <f>263.177763029944*3503/3516</f>
        <v>262.20469394024286</v>
      </c>
      <c r="J112" s="47">
        <v>1698.830673685841</v>
      </c>
      <c r="K112" s="47">
        <v>442.95140562829016</v>
      </c>
      <c r="L112" s="47">
        <v>277.43799430855967</v>
      </c>
      <c r="M112" s="47">
        <f>2000.79655701546*27380/27579</f>
        <v>1986.3595391813806</v>
      </c>
      <c r="N112" s="47">
        <f>920.744845655904*9495/11517</f>
        <v>759.0928461841459</v>
      </c>
      <c r="O112" s="47">
        <v>47.356572157</v>
      </c>
      <c r="P112" s="47">
        <v>224.54442472048663</v>
      </c>
      <c r="Q112" s="53">
        <f t="shared" si="6"/>
        <v>0</v>
      </c>
      <c r="R112" s="34"/>
      <c r="S112" s="73"/>
      <c r="T112" s="73"/>
      <c r="U112" s="73"/>
      <c r="V112" s="73"/>
      <c r="Z112" s="73">
        <f t="shared" si="7"/>
        <v>5889.570354909903</v>
      </c>
      <c r="AA112" s="14">
        <f t="shared" si="8"/>
        <v>-147.40126640551443</v>
      </c>
    </row>
    <row r="113" spans="1:27" ht="12.75">
      <c r="A113" s="51">
        <v>2003</v>
      </c>
      <c r="B113" s="58" t="s">
        <v>64</v>
      </c>
      <c r="C113" s="53">
        <v>6644.6563983254655</v>
      </c>
      <c r="D113" s="53">
        <v>426.9376295828687</v>
      </c>
      <c r="E113" s="54">
        <f t="shared" si="5"/>
        <v>-26.58623425224232</v>
      </c>
      <c r="F113" s="53">
        <v>6244.305002994839</v>
      </c>
      <c r="G113" s="47">
        <f>170.240285867731*2280/2300</f>
        <v>168.75993555583767</v>
      </c>
      <c r="H113" s="47">
        <f>305*645/2902</f>
        <v>67.789455547898</v>
      </c>
      <c r="I113" s="47">
        <f>295.860597366136*3503/3516</f>
        <v>294.76668730761503</v>
      </c>
      <c r="J113" s="47">
        <v>1808.7444153105077</v>
      </c>
      <c r="K113" s="47">
        <v>409.19119616750123</v>
      </c>
      <c r="L113" s="47">
        <v>267.4570212899604</v>
      </c>
      <c r="M113" s="47">
        <f>2204.42484187956*27380/27579</f>
        <v>2188.5185166489846</v>
      </c>
      <c r="N113" s="47">
        <f>874.387117052123*9495/11517</f>
        <v>720.8739842328652</v>
      </c>
      <c r="O113" s="47">
        <v>51.18219380152227</v>
      </c>
      <c r="P113" s="47">
        <v>139.45582330796523</v>
      </c>
      <c r="Q113" s="53">
        <f t="shared" si="6"/>
        <v>0</v>
      </c>
      <c r="R113" s="34"/>
      <c r="S113" s="73"/>
      <c r="T113" s="73"/>
      <c r="U113" s="73"/>
      <c r="V113" s="73"/>
      <c r="Z113" s="73">
        <f t="shared" si="7"/>
        <v>6116.739229170657</v>
      </c>
      <c r="AA113" s="14">
        <f t="shared" si="8"/>
        <v>-127.56577382418163</v>
      </c>
    </row>
    <row r="114" spans="1:27" ht="12.75">
      <c r="A114" s="51">
        <v>2003</v>
      </c>
      <c r="B114" s="58" t="s">
        <v>65</v>
      </c>
      <c r="C114" s="53">
        <v>6940.069171038436</v>
      </c>
      <c r="D114" s="53">
        <v>447.49347050622913</v>
      </c>
      <c r="E114" s="54">
        <f t="shared" si="5"/>
        <v>59.7521745480899</v>
      </c>
      <c r="F114" s="53">
        <v>6432.823525984118</v>
      </c>
      <c r="G114" s="47">
        <f>157.661468145665*2280/2300</f>
        <v>156.29049885744183</v>
      </c>
      <c r="H114" s="47">
        <f>262*645/2902</f>
        <v>58.23225361819435</v>
      </c>
      <c r="I114" s="47">
        <f>255.406950267622*3503/3516</f>
        <v>254.46261285195675</v>
      </c>
      <c r="J114" s="47">
        <v>1810.2667646117236</v>
      </c>
      <c r="K114" s="47">
        <v>362.4897338461543</v>
      </c>
      <c r="L114" s="47">
        <v>317.15980325111866</v>
      </c>
      <c r="M114" s="47">
        <f>2200.1110622344*27380/27579</f>
        <v>2184.23586366358</v>
      </c>
      <c r="N114" s="47">
        <f>1164.21993102222*9495/11517</f>
        <v>959.8218498789597</v>
      </c>
      <c r="O114" s="47">
        <v>60.34708687151092</v>
      </c>
      <c r="P114" s="47">
        <v>147.35893213172454</v>
      </c>
      <c r="Q114" s="53">
        <f t="shared" si="6"/>
        <v>0</v>
      </c>
      <c r="R114" s="34"/>
      <c r="S114" s="73"/>
      <c r="T114" s="73"/>
      <c r="U114" s="73"/>
      <c r="V114" s="73"/>
      <c r="Z114" s="73">
        <f t="shared" si="7"/>
        <v>6310.665399582364</v>
      </c>
      <c r="AA114" s="14">
        <f t="shared" si="8"/>
        <v>-122.15812640175318</v>
      </c>
    </row>
    <row r="115" spans="1:27" ht="13.5" thickBot="1">
      <c r="A115" s="81">
        <v>2003</v>
      </c>
      <c r="B115" s="92" t="s">
        <v>66</v>
      </c>
      <c r="C115" s="83">
        <v>7360.598839812048</v>
      </c>
      <c r="D115" s="83">
        <v>470.50338206121785</v>
      </c>
      <c r="E115" s="94">
        <f t="shared" si="5"/>
        <v>18.12901326102292</v>
      </c>
      <c r="F115" s="83">
        <v>6871.966444489807</v>
      </c>
      <c r="G115" s="98">
        <f>151.047815902049*2280/2300</f>
        <v>149.73435663333552</v>
      </c>
      <c r="H115" s="98">
        <f>301*645/2902</f>
        <v>66.90041350792556</v>
      </c>
      <c r="I115" s="98">
        <f>271.056413970774*3503/3516</f>
        <v>270.05421448794687</v>
      </c>
      <c r="J115" s="98">
        <v>1929.3213534121037</v>
      </c>
      <c r="K115" s="98">
        <v>390.6803332550568</v>
      </c>
      <c r="L115" s="98">
        <v>417.4063762032747</v>
      </c>
      <c r="M115" s="98">
        <f>2424.96462043276*27380/27579</f>
        <v>2407.466960638492</v>
      </c>
      <c r="N115" s="98">
        <f>1086.81857395166*9495/11517</f>
        <v>896.009582327951</v>
      </c>
      <c r="O115" s="98">
        <v>45.709819418440176</v>
      </c>
      <c r="P115" s="98">
        <v>163.32151994115225</v>
      </c>
      <c r="Q115" s="53">
        <f t="shared" si="6"/>
        <v>0</v>
      </c>
      <c r="R115" s="34"/>
      <c r="S115" s="73"/>
      <c r="T115" s="73"/>
      <c r="U115" s="73"/>
      <c r="V115" s="73"/>
      <c r="Z115" s="73">
        <f t="shared" si="7"/>
        <v>6736.6049298256785</v>
      </c>
      <c r="AA115" s="14">
        <f t="shared" si="8"/>
        <v>-135.36151466412866</v>
      </c>
    </row>
    <row r="116" spans="1:60" ht="12.75">
      <c r="A116" s="51">
        <v>2004</v>
      </c>
      <c r="B116" s="58" t="s">
        <v>55</v>
      </c>
      <c r="C116" s="53">
        <v>7216.955765606621</v>
      </c>
      <c r="D116" s="53">
        <v>444.91998377554086</v>
      </c>
      <c r="E116" s="54">
        <f t="shared" si="5"/>
        <v>34.792249966482814</v>
      </c>
      <c r="F116" s="53">
        <v>6737.243531864598</v>
      </c>
      <c r="G116" s="47">
        <f>154.733860269993*2151/2170</f>
        <v>153.37904766855067</v>
      </c>
      <c r="H116" s="47">
        <f>(240-240+H159)*484/405</f>
        <v>64.0718299301874</v>
      </c>
      <c r="I116" s="47">
        <f>302.77679673452*3169/3176</f>
        <v>302.10946752257365</v>
      </c>
      <c r="J116" s="47">
        <v>1964.2565440400685</v>
      </c>
      <c r="K116" s="47">
        <v>373.91956763229416</v>
      </c>
      <c r="L116" s="47">
        <v>447.0229095816575</v>
      </c>
      <c r="M116" s="47">
        <f>2334.66265819724*28581/28773</f>
        <v>2319.0836351418106</v>
      </c>
      <c r="N116" s="47">
        <f>1024.11964938028*11308/12988</f>
        <v>891.6495992602561</v>
      </c>
      <c r="O116" s="47">
        <v>99.34265245818301</v>
      </c>
      <c r="P116" s="47">
        <v>69.96228057289528</v>
      </c>
      <c r="Q116" s="53">
        <f t="shared" si="6"/>
        <v>0</v>
      </c>
      <c r="R116" s="34"/>
      <c r="S116" s="73"/>
      <c r="T116" s="73"/>
      <c r="U116" s="73"/>
      <c r="V116" s="73"/>
      <c r="Z116" s="73">
        <f t="shared" si="7"/>
        <v>6684.797533808477</v>
      </c>
      <c r="AA116" s="14">
        <f t="shared" si="8"/>
        <v>-52.445998056120516</v>
      </c>
      <c r="AB116" s="35"/>
      <c r="AC116" s="34"/>
      <c r="AD116" s="34"/>
      <c r="AE116" s="34"/>
      <c r="AF116" s="34"/>
      <c r="AG116" s="34"/>
      <c r="AH116" s="34"/>
      <c r="AI116" s="34"/>
      <c r="AJ116" s="34"/>
      <c r="AK116" s="34"/>
      <c r="AL116" s="34"/>
      <c r="AM116" s="34"/>
      <c r="AP116" s="73"/>
      <c r="AQ116" s="73"/>
      <c r="AR116" s="73"/>
      <c r="AS116" s="73"/>
      <c r="AT116" s="73"/>
      <c r="AU116" s="73"/>
      <c r="AV116" s="73"/>
      <c r="AW116" s="73"/>
      <c r="AX116" s="73"/>
      <c r="AY116" s="73"/>
      <c r="AZ116" s="73"/>
      <c r="BA116" s="73"/>
      <c r="BB116" s="73"/>
      <c r="BC116" s="73"/>
      <c r="BD116" s="73"/>
      <c r="BE116" s="73"/>
      <c r="BF116" s="73"/>
      <c r="BG116" s="73"/>
      <c r="BH116" s="73"/>
    </row>
    <row r="117" spans="1:60" ht="12.75">
      <c r="A117" s="51">
        <v>2004</v>
      </c>
      <c r="B117" s="58" t="s">
        <v>56</v>
      </c>
      <c r="C117" s="53">
        <v>6740.99418108232</v>
      </c>
      <c r="D117" s="53">
        <v>372.91720010508476</v>
      </c>
      <c r="E117" s="54">
        <f t="shared" si="5"/>
        <v>-6.267936541566996</v>
      </c>
      <c r="F117" s="53">
        <v>6374.3449175188025</v>
      </c>
      <c r="G117" s="47">
        <f>119.513532730228*2151/2170</f>
        <v>118.46710087682969</v>
      </c>
      <c r="H117" s="47">
        <f>(214-214+H160)*484/405</f>
        <v>29.063436054183185</v>
      </c>
      <c r="I117" s="47">
        <f>183.467391616114*3169/3176</f>
        <v>183.06302393937824</v>
      </c>
      <c r="J117" s="47">
        <v>1769.6418596907156</v>
      </c>
      <c r="K117" s="47">
        <v>343.01234594895743</v>
      </c>
      <c r="L117" s="47">
        <v>392.46425650707704</v>
      </c>
      <c r="M117" s="47">
        <f>2152.74355334989*28581/28773</f>
        <v>2138.3784623881143</v>
      </c>
      <c r="N117" s="47">
        <f>1167.58004628613*11308/12988</f>
        <v>1016.55336952599</v>
      </c>
      <c r="O117" s="47">
        <v>70.32365215119482</v>
      </c>
      <c r="P117" s="47">
        <v>192.4881194236243</v>
      </c>
      <c r="Q117" s="53">
        <f t="shared" si="6"/>
        <v>0</v>
      </c>
      <c r="R117" s="34"/>
      <c r="S117" s="73"/>
      <c r="T117" s="73"/>
      <c r="U117" s="73"/>
      <c r="V117" s="73"/>
      <c r="Z117" s="73">
        <f t="shared" si="7"/>
        <v>6253.455626506064</v>
      </c>
      <c r="AA117" s="14">
        <f t="shared" si="8"/>
        <v>-120.8892910127388</v>
      </c>
      <c r="AB117" s="35"/>
      <c r="AC117" s="34"/>
      <c r="AD117" s="34"/>
      <c r="AE117" s="34"/>
      <c r="AF117" s="34"/>
      <c r="AG117" s="34"/>
      <c r="AH117" s="34"/>
      <c r="AI117" s="34"/>
      <c r="AJ117" s="34"/>
      <c r="AK117" s="34"/>
      <c r="AL117" s="34"/>
      <c r="AM117" s="34"/>
      <c r="AP117" s="73"/>
      <c r="AQ117" s="73"/>
      <c r="AR117" s="73"/>
      <c r="AS117" s="73"/>
      <c r="AT117" s="73"/>
      <c r="AU117" s="73"/>
      <c r="AV117" s="73"/>
      <c r="AW117" s="73"/>
      <c r="AX117" s="73"/>
      <c r="AY117" s="73"/>
      <c r="AZ117" s="73"/>
      <c r="BA117" s="73"/>
      <c r="BB117" s="73"/>
      <c r="BC117" s="73"/>
      <c r="BD117" s="73"/>
      <c r="BE117" s="73"/>
      <c r="BF117" s="73"/>
      <c r="BG117" s="73"/>
      <c r="BH117" s="73"/>
    </row>
    <row r="118" spans="1:60" ht="12.75">
      <c r="A118" s="51">
        <v>2004</v>
      </c>
      <c r="B118" s="58" t="s">
        <v>57</v>
      </c>
      <c r="C118" s="53">
        <v>7456.281068772174</v>
      </c>
      <c r="D118" s="53">
        <v>443.5591924317735</v>
      </c>
      <c r="E118" s="54">
        <f t="shared" si="5"/>
        <v>50.66543044495029</v>
      </c>
      <c r="F118" s="53">
        <v>6962.05644589545</v>
      </c>
      <c r="G118" s="47">
        <f>150.98840974857*2151/2170</f>
        <v>149.66639141436593</v>
      </c>
      <c r="H118" s="47">
        <f>(258-258+H161)*484/405</f>
        <v>59.31888703098008</v>
      </c>
      <c r="I118" s="47">
        <f>269.82322646165*3169/3176</f>
        <v>269.2285279146627</v>
      </c>
      <c r="J118" s="47">
        <v>2049.872042652553</v>
      </c>
      <c r="K118" s="47">
        <v>426.9425884956035</v>
      </c>
      <c r="L118" s="47">
        <v>387.5538406906578</v>
      </c>
      <c r="M118" s="47">
        <f>2444.69103468112*28581/28773</f>
        <v>2428.3778007931423</v>
      </c>
      <c r="N118" s="47">
        <f>1000.86533335716*11308/12988</f>
        <v>871.4032329537085</v>
      </c>
      <c r="O118" s="47">
        <v>87.416811</v>
      </c>
      <c r="P118" s="47">
        <v>137.9967949486653</v>
      </c>
      <c r="Q118" s="53">
        <f t="shared" si="6"/>
        <v>0</v>
      </c>
      <c r="R118" s="34"/>
      <c r="S118" s="73"/>
      <c r="T118" s="73"/>
      <c r="U118" s="73"/>
      <c r="V118" s="73"/>
      <c r="Z118" s="73">
        <f t="shared" si="7"/>
        <v>6867.776917894339</v>
      </c>
      <c r="AA118" s="14">
        <f t="shared" si="8"/>
        <v>-94.27952800111143</v>
      </c>
      <c r="AB118" s="35"/>
      <c r="AC118" s="34"/>
      <c r="AD118" s="34"/>
      <c r="AE118" s="34"/>
      <c r="AF118" s="34"/>
      <c r="AG118" s="34"/>
      <c r="AH118" s="34"/>
      <c r="AI118" s="34"/>
      <c r="AJ118" s="34"/>
      <c r="AK118" s="34"/>
      <c r="AL118" s="34"/>
      <c r="AM118" s="34"/>
      <c r="AP118" s="73"/>
      <c r="AQ118" s="73"/>
      <c r="AR118" s="73"/>
      <c r="AS118" s="73"/>
      <c r="AT118" s="73"/>
      <c r="AU118" s="73"/>
      <c r="AV118" s="73"/>
      <c r="AW118" s="73"/>
      <c r="AX118" s="73"/>
      <c r="AY118" s="73"/>
      <c r="AZ118" s="73"/>
      <c r="BA118" s="73"/>
      <c r="BB118" s="73"/>
      <c r="BC118" s="73"/>
      <c r="BD118" s="73"/>
      <c r="BE118" s="73"/>
      <c r="BF118" s="73"/>
      <c r="BG118" s="73"/>
      <c r="BH118" s="73"/>
    </row>
    <row r="119" spans="1:60" ht="12.75">
      <c r="A119" s="51">
        <v>2004</v>
      </c>
      <c r="B119" s="58" t="s">
        <v>58</v>
      </c>
      <c r="C119" s="53">
        <v>7519.017107552335</v>
      </c>
      <c r="D119" s="53">
        <v>474.55587531721636</v>
      </c>
      <c r="E119" s="54">
        <f t="shared" si="5"/>
        <v>-10.941268170317016</v>
      </c>
      <c r="F119" s="53">
        <v>7055.402500405436</v>
      </c>
      <c r="G119" s="47">
        <f>228.302188857438*2151/2170</f>
        <v>226.3032296001609</v>
      </c>
      <c r="H119" s="47">
        <f>(260-260+H162)*484/405</f>
        <v>56.211946653988754</v>
      </c>
      <c r="I119" s="47">
        <f>283.276443519537*3169/3176</f>
        <v>282.6520936755078</v>
      </c>
      <c r="J119" s="47">
        <v>2031.3840082253032</v>
      </c>
      <c r="K119" s="47">
        <v>494.321738872256</v>
      </c>
      <c r="L119" s="47">
        <v>338.27227614821777</v>
      </c>
      <c r="M119" s="47">
        <f>2358.80055425264*28581/28773</f>
        <v>2343.0604608867584</v>
      </c>
      <c r="N119" s="47">
        <f>1031.08701429496*11308/12988</f>
        <v>897.7157343430403</v>
      </c>
      <c r="O119" s="47">
        <v>91.92771400000001</v>
      </c>
      <c r="P119" s="47">
        <v>182.15332546940567</v>
      </c>
      <c r="Q119" s="53">
        <f t="shared" si="6"/>
        <v>0</v>
      </c>
      <c r="R119" s="34"/>
      <c r="S119" s="73"/>
      <c r="T119" s="73"/>
      <c r="U119" s="73"/>
      <c r="V119" s="73"/>
      <c r="Z119" s="73">
        <f t="shared" si="7"/>
        <v>6944.002527874639</v>
      </c>
      <c r="AA119" s="14">
        <f t="shared" si="8"/>
        <v>-111.39997253079673</v>
      </c>
      <c r="AB119" s="35"/>
      <c r="AC119" s="34"/>
      <c r="AD119" s="34"/>
      <c r="AE119" s="34"/>
      <c r="AF119" s="34"/>
      <c r="AG119" s="34"/>
      <c r="AH119" s="34"/>
      <c r="AI119" s="34"/>
      <c r="AJ119" s="34"/>
      <c r="AK119" s="34"/>
      <c r="AL119" s="34"/>
      <c r="AM119" s="34"/>
      <c r="AP119" s="73"/>
      <c r="AQ119" s="73"/>
      <c r="AR119" s="73"/>
      <c r="AS119" s="73"/>
      <c r="AT119" s="73"/>
      <c r="AU119" s="73"/>
      <c r="AV119" s="73"/>
      <c r="AW119" s="73"/>
      <c r="AX119" s="73"/>
      <c r="AY119" s="73"/>
      <c r="AZ119" s="73"/>
      <c r="BA119" s="73"/>
      <c r="BB119" s="73"/>
      <c r="BC119" s="73"/>
      <c r="BD119" s="73"/>
      <c r="BE119" s="73"/>
      <c r="BF119" s="73"/>
      <c r="BG119" s="73"/>
      <c r="BH119" s="73"/>
    </row>
    <row r="120" spans="1:60" ht="12.75">
      <c r="A120" s="51">
        <v>2004</v>
      </c>
      <c r="B120" s="58" t="s">
        <v>59</v>
      </c>
      <c r="C120" s="53">
        <v>7611.282166361017</v>
      </c>
      <c r="D120" s="53">
        <v>479.66326947041637</v>
      </c>
      <c r="E120" s="54">
        <f t="shared" si="5"/>
        <v>-105.50376614226843</v>
      </c>
      <c r="F120" s="53">
        <v>7237.122663032868</v>
      </c>
      <c r="G120" s="47">
        <f>238.029585766616*2151/2170</f>
        <v>235.94545575299128</v>
      </c>
      <c r="H120" s="47">
        <f>(267-267+H163)*484/405</f>
        <v>36.0812045923823</v>
      </c>
      <c r="I120" s="47">
        <f>266.651487554269*3169/3176</f>
        <v>266.0637796157048</v>
      </c>
      <c r="J120" s="47">
        <v>2186.2860921638503</v>
      </c>
      <c r="K120" s="47">
        <v>557.1242717314149</v>
      </c>
      <c r="L120" s="47">
        <v>273.287940455498</v>
      </c>
      <c r="M120" s="47">
        <f>2323.97557130194*28581/28773</f>
        <v>2308.4678623494506</v>
      </c>
      <c r="N120" s="47">
        <f>1085.83251316201*11308/12988</f>
        <v>945.3798936584546</v>
      </c>
      <c r="O120" s="47">
        <v>92.888</v>
      </c>
      <c r="P120" s="47">
        <v>196.487113963039</v>
      </c>
      <c r="Q120" s="53">
        <f t="shared" si="6"/>
        <v>0</v>
      </c>
      <c r="R120" s="34"/>
      <c r="S120" s="73"/>
      <c r="T120" s="73"/>
      <c r="U120" s="73"/>
      <c r="V120" s="73"/>
      <c r="Z120" s="73">
        <f t="shared" si="7"/>
        <v>7098.011614282785</v>
      </c>
      <c r="AA120" s="14">
        <f t="shared" si="8"/>
        <v>-139.11104875008368</v>
      </c>
      <c r="AB120" s="35"/>
      <c r="AC120" s="34"/>
      <c r="AD120" s="34"/>
      <c r="AE120" s="34"/>
      <c r="AF120" s="34"/>
      <c r="AG120" s="34"/>
      <c r="AH120" s="34"/>
      <c r="AI120" s="34"/>
      <c r="AJ120" s="34"/>
      <c r="AK120" s="34"/>
      <c r="AL120" s="34"/>
      <c r="AM120" s="34"/>
      <c r="AP120" s="73"/>
      <c r="AQ120" s="73"/>
      <c r="AR120" s="73"/>
      <c r="AS120" s="73"/>
      <c r="AT120" s="73"/>
      <c r="AU120" s="73"/>
      <c r="AV120" s="73"/>
      <c r="AW120" s="73"/>
      <c r="AX120" s="73"/>
      <c r="AY120" s="73"/>
      <c r="AZ120" s="73"/>
      <c r="BA120" s="73"/>
      <c r="BB120" s="73"/>
      <c r="BC120" s="73"/>
      <c r="BD120" s="73"/>
      <c r="BE120" s="73"/>
      <c r="BF120" s="73"/>
      <c r="BG120" s="73"/>
      <c r="BH120" s="73"/>
    </row>
    <row r="121" spans="1:60" ht="12.75">
      <c r="A121" s="51">
        <v>2004</v>
      </c>
      <c r="B121" s="58" t="s">
        <v>60</v>
      </c>
      <c r="C121" s="53">
        <v>7086.2784788797935</v>
      </c>
      <c r="D121" s="53">
        <v>467.8535744704164</v>
      </c>
      <c r="E121" s="54">
        <f t="shared" si="5"/>
        <v>3.5688284480320362</v>
      </c>
      <c r="F121" s="53">
        <v>6614.856075961345</v>
      </c>
      <c r="G121" s="47">
        <f>208.15997511278*2151/2170</f>
        <v>206.3373762523455</v>
      </c>
      <c r="H121" s="47">
        <f>(231-231+H164)*484/405</f>
        <v>33.1503675030403</v>
      </c>
      <c r="I121" s="47">
        <f>156.637872105644*3169/3176</f>
        <v>156.29263750087713</v>
      </c>
      <c r="J121" s="47">
        <v>2129.532184248102</v>
      </c>
      <c r="K121" s="47">
        <v>582.0836895803358</v>
      </c>
      <c r="L121" s="47">
        <v>186.7859554182092</v>
      </c>
      <c r="M121" s="47">
        <f>2109.0403174498*28581/28773</f>
        <v>2094.966854795563</v>
      </c>
      <c r="N121" s="47">
        <f>978.778348548726*11308/12988</f>
        <v>852.1732033714961</v>
      </c>
      <c r="O121" s="47">
        <v>81.248</v>
      </c>
      <c r="P121" s="47">
        <v>206.60578439425052</v>
      </c>
      <c r="Q121" s="53">
        <f t="shared" si="6"/>
        <v>0</v>
      </c>
      <c r="R121" s="34"/>
      <c r="S121" s="73"/>
      <c r="T121" s="73"/>
      <c r="U121" s="73"/>
      <c r="V121" s="73"/>
      <c r="Z121" s="73">
        <f t="shared" si="7"/>
        <v>6529.17605306422</v>
      </c>
      <c r="AA121" s="14">
        <f t="shared" si="8"/>
        <v>-85.68002289712513</v>
      </c>
      <c r="AB121" s="35"/>
      <c r="AC121" s="34"/>
      <c r="AD121" s="34"/>
      <c r="AE121" s="34"/>
      <c r="AF121" s="34"/>
      <c r="AG121" s="34"/>
      <c r="AH121" s="34"/>
      <c r="AI121" s="34"/>
      <c r="AJ121" s="34"/>
      <c r="AK121" s="34"/>
      <c r="AL121" s="34"/>
      <c r="AM121" s="34"/>
      <c r="AP121" s="73"/>
      <c r="AQ121" s="73"/>
      <c r="AR121" s="73"/>
      <c r="AS121" s="73"/>
      <c r="AT121" s="73"/>
      <c r="AU121" s="73"/>
      <c r="AV121" s="73"/>
      <c r="AW121" s="73"/>
      <c r="AX121" s="73"/>
      <c r="AY121" s="73"/>
      <c r="AZ121" s="73"/>
      <c r="BA121" s="73"/>
      <c r="BB121" s="73"/>
      <c r="BC121" s="73"/>
      <c r="BD121" s="73"/>
      <c r="BE121" s="73"/>
      <c r="BF121" s="73"/>
      <c r="BG121" s="73"/>
      <c r="BH121" s="73"/>
    </row>
    <row r="122" spans="1:60" ht="12.75">
      <c r="A122" s="51">
        <v>2004</v>
      </c>
      <c r="B122" s="58" t="s">
        <v>61</v>
      </c>
      <c r="C122" s="53">
        <v>7932.832706294167</v>
      </c>
      <c r="D122" s="53">
        <v>460.90432823573605</v>
      </c>
      <c r="E122" s="54">
        <f t="shared" si="5"/>
        <v>41.34761482447357</v>
      </c>
      <c r="F122" s="53">
        <v>7430.580763233957</v>
      </c>
      <c r="G122" s="47">
        <f>233.607121094808*2151/2170</f>
        <v>231.5617131220885</v>
      </c>
      <c r="H122" s="47">
        <f>(240-240+H165)*484/405</f>
        <v>31.284144825214398</v>
      </c>
      <c r="I122" s="47">
        <f>262.983002191028*3169/3176</f>
        <v>262.40337970509063</v>
      </c>
      <c r="J122" s="47">
        <v>2116.075723864071</v>
      </c>
      <c r="K122" s="47">
        <v>639.9452083876898</v>
      </c>
      <c r="L122" s="47">
        <v>141.68985306796625</v>
      </c>
      <c r="M122" s="47">
        <f>2423.75515794483*28581/28773</f>
        <v>2407.581627540444</v>
      </c>
      <c r="N122" s="47">
        <f>1236.58540551385*11308/12988</f>
        <v>1076.632873848985</v>
      </c>
      <c r="O122" s="47">
        <v>102.307</v>
      </c>
      <c r="P122" s="47">
        <v>271.6569158110883</v>
      </c>
      <c r="Q122" s="53">
        <f t="shared" si="6"/>
        <v>0</v>
      </c>
      <c r="R122" s="34"/>
      <c r="S122" s="73"/>
      <c r="T122" s="73"/>
      <c r="U122" s="73"/>
      <c r="V122" s="73"/>
      <c r="Z122" s="73">
        <f t="shared" si="7"/>
        <v>7281.138440172637</v>
      </c>
      <c r="AA122" s="14">
        <f t="shared" si="8"/>
        <v>-149.44232306132017</v>
      </c>
      <c r="AB122" s="35"/>
      <c r="AC122" s="34"/>
      <c r="AD122" s="34"/>
      <c r="AE122" s="34"/>
      <c r="AF122" s="34"/>
      <c r="AG122" s="34"/>
      <c r="AH122" s="34"/>
      <c r="AI122" s="34"/>
      <c r="AJ122" s="34"/>
      <c r="AK122" s="34"/>
      <c r="AL122" s="34"/>
      <c r="AM122" s="34"/>
      <c r="AP122" s="73"/>
      <c r="AQ122" s="73"/>
      <c r="AR122" s="73"/>
      <c r="AS122" s="73"/>
      <c r="AT122" s="73"/>
      <c r="AU122" s="73"/>
      <c r="AV122" s="73"/>
      <c r="AW122" s="73"/>
      <c r="AX122" s="73"/>
      <c r="AY122" s="73"/>
      <c r="AZ122" s="73"/>
      <c r="BA122" s="73"/>
      <c r="BB122" s="73"/>
      <c r="BC122" s="73"/>
      <c r="BD122" s="73"/>
      <c r="BE122" s="73"/>
      <c r="BF122" s="73"/>
      <c r="BG122" s="73"/>
      <c r="BH122" s="73"/>
    </row>
    <row r="123" spans="1:60" ht="12.75">
      <c r="A123" s="51">
        <v>2004</v>
      </c>
      <c r="B123" s="58" t="s">
        <v>62</v>
      </c>
      <c r="C123" s="53">
        <v>7777.870265117234</v>
      </c>
      <c r="D123" s="53">
        <v>455.251940235736</v>
      </c>
      <c r="E123" s="54">
        <f t="shared" si="5"/>
        <v>-42.70957103185174</v>
      </c>
      <c r="F123" s="53">
        <v>7365.32789591335</v>
      </c>
      <c r="G123" s="47">
        <f>190.720488740599*2151/2170</f>
        <v>189.0505858437919</v>
      </c>
      <c r="H123" s="47">
        <f>(250-250+H166)*484/405</f>
        <v>30.72633928841925</v>
      </c>
      <c r="I123" s="47">
        <f>256.812105855282*3169/3176</f>
        <v>256.2460842113945</v>
      </c>
      <c r="J123" s="47">
        <v>2101.9514675522805</v>
      </c>
      <c r="K123" s="47">
        <v>559.3022164140687</v>
      </c>
      <c r="L123" s="47">
        <v>176.0870277848909</v>
      </c>
      <c r="M123" s="47">
        <f>2563.87828631598*28581/28773</f>
        <v>2546.769725131096</v>
      </c>
      <c r="N123" s="47">
        <f>1165.11303020069*11308/12988</f>
        <v>1014.4054623890825</v>
      </c>
      <c r="O123" s="47">
        <v>116.899</v>
      </c>
      <c r="P123" s="47">
        <v>232.35163552361394</v>
      </c>
      <c r="Q123" s="53">
        <f t="shared" si="6"/>
        <v>0</v>
      </c>
      <c r="R123" s="34"/>
      <c r="S123" s="73"/>
      <c r="T123" s="73"/>
      <c r="U123" s="73"/>
      <c r="V123" s="73"/>
      <c r="Z123" s="73">
        <f t="shared" si="7"/>
        <v>7223.789544138639</v>
      </c>
      <c r="AA123" s="14">
        <f t="shared" si="8"/>
        <v>-141.53835177471137</v>
      </c>
      <c r="AB123" s="35"/>
      <c r="AC123" s="34"/>
      <c r="AD123" s="34"/>
      <c r="AE123" s="34"/>
      <c r="AF123" s="34"/>
      <c r="AG123" s="34"/>
      <c r="AH123" s="34"/>
      <c r="AI123" s="34"/>
      <c r="AJ123" s="34"/>
      <c r="AK123" s="34"/>
      <c r="AL123" s="34"/>
      <c r="AM123" s="34"/>
      <c r="AP123" s="73"/>
      <c r="AQ123" s="73"/>
      <c r="AR123" s="73"/>
      <c r="AS123" s="73"/>
      <c r="AT123" s="73"/>
      <c r="AU123" s="73"/>
      <c r="AV123" s="73"/>
      <c r="AW123" s="73"/>
      <c r="AX123" s="73"/>
      <c r="AY123" s="73"/>
      <c r="AZ123" s="73"/>
      <c r="BA123" s="73"/>
      <c r="BB123" s="73"/>
      <c r="BC123" s="73"/>
      <c r="BD123" s="73"/>
      <c r="BE123" s="73"/>
      <c r="BF123" s="73"/>
      <c r="BG123" s="73"/>
      <c r="BH123" s="73"/>
    </row>
    <row r="124" spans="1:60" ht="12.75">
      <c r="A124" s="51">
        <v>2004</v>
      </c>
      <c r="B124" s="58" t="s">
        <v>63</v>
      </c>
      <c r="C124" s="53">
        <v>7295.015457234285</v>
      </c>
      <c r="D124" s="53">
        <v>408.546994235736</v>
      </c>
      <c r="E124" s="54">
        <f t="shared" si="5"/>
        <v>-55.69197170279949</v>
      </c>
      <c r="F124" s="53">
        <v>6942.160434701349</v>
      </c>
      <c r="G124" s="47">
        <f>147.415052930435*2151/2170</f>
        <v>146.12432205224226</v>
      </c>
      <c r="H124" s="47">
        <f>(242-242+H167)*484/405</f>
        <v>33.63356976460057</v>
      </c>
      <c r="I124" s="47">
        <f>242.757950623734*3169/3176</f>
        <v>242.2229047627875</v>
      </c>
      <c r="J124" s="47">
        <v>1926.9960612113218</v>
      </c>
      <c r="K124" s="47">
        <v>445.6009791702638</v>
      </c>
      <c r="L124" s="47">
        <v>235.09080762390465</v>
      </c>
      <c r="M124" s="47">
        <f>2366.09841824885*28581/28773</f>
        <v>2350.309626801876</v>
      </c>
      <c r="N124" s="47">
        <f>1259.1102439508*11308/12988</f>
        <v>1096.2441206186977</v>
      </c>
      <c r="O124" s="47">
        <v>94.297</v>
      </c>
      <c r="P124" s="47">
        <v>198.78192813141683</v>
      </c>
      <c r="Q124" s="53">
        <f t="shared" si="6"/>
        <v>0</v>
      </c>
      <c r="R124" s="34"/>
      <c r="S124" s="73"/>
      <c r="T124" s="73"/>
      <c r="U124" s="73"/>
      <c r="V124" s="73"/>
      <c r="Z124" s="73">
        <f t="shared" si="7"/>
        <v>6769.301320137111</v>
      </c>
      <c r="AA124" s="14">
        <f t="shared" si="8"/>
        <v>-172.85911456423764</v>
      </c>
      <c r="AB124" s="35"/>
      <c r="AC124" s="34"/>
      <c r="AD124" s="34"/>
      <c r="AE124" s="34"/>
      <c r="AF124" s="34"/>
      <c r="AG124" s="34"/>
      <c r="AH124" s="34"/>
      <c r="AI124" s="34"/>
      <c r="AJ124" s="34"/>
      <c r="AK124" s="34"/>
      <c r="AL124" s="34"/>
      <c r="AM124" s="34"/>
      <c r="AP124" s="73"/>
      <c r="AQ124" s="73"/>
      <c r="AR124" s="73"/>
      <c r="AS124" s="73"/>
      <c r="AT124" s="73"/>
      <c r="AU124" s="73"/>
      <c r="AV124" s="73"/>
      <c r="AW124" s="73"/>
      <c r="AX124" s="73"/>
      <c r="AY124" s="73"/>
      <c r="AZ124" s="73"/>
      <c r="BA124" s="73"/>
      <c r="BB124" s="73"/>
      <c r="BC124" s="73"/>
      <c r="BD124" s="73"/>
      <c r="BE124" s="73"/>
      <c r="BF124" s="73"/>
      <c r="BG124" s="73"/>
      <c r="BH124" s="73"/>
    </row>
    <row r="125" spans="1:60" ht="12.75">
      <c r="A125" s="51">
        <v>2004</v>
      </c>
      <c r="B125" s="58" t="s">
        <v>64</v>
      </c>
      <c r="C125" s="53">
        <v>7760.444087521108</v>
      </c>
      <c r="D125" s="53">
        <v>456.45260246278724</v>
      </c>
      <c r="E125" s="54">
        <f t="shared" si="5"/>
        <v>-56.45457805010756</v>
      </c>
      <c r="F125" s="53">
        <v>7360.446063108428</v>
      </c>
      <c r="G125" s="47">
        <f>169.321200952615*2151/2170</f>
        <v>167.83866509173956</v>
      </c>
      <c r="H125" s="47">
        <f>(223-223+H168)*484/405</f>
        <v>30.26199644703391</v>
      </c>
      <c r="I125" s="47">
        <f>282.179231243126*3169/3176</f>
        <v>281.55729968811914</v>
      </c>
      <c r="J125" s="47">
        <v>2089.2898637281255</v>
      </c>
      <c r="K125" s="47">
        <v>451.71545454356516</v>
      </c>
      <c r="L125" s="47">
        <v>299.409415759998</v>
      </c>
      <c r="M125" s="47">
        <f>2577.87112700885*28581/28773</f>
        <v>2560.6691926820263</v>
      </c>
      <c r="N125" s="47">
        <f>1166.39688611351*11308/12988</f>
        <v>1015.5232513221104</v>
      </c>
      <c r="O125" s="47">
        <v>116.379</v>
      </c>
      <c r="P125" s="47">
        <v>173.3241570841889</v>
      </c>
      <c r="Q125" s="53">
        <f t="shared" si="6"/>
        <v>0</v>
      </c>
      <c r="R125" s="34"/>
      <c r="S125" s="73"/>
      <c r="T125" s="73"/>
      <c r="U125" s="73"/>
      <c r="V125" s="73"/>
      <c r="Z125" s="73">
        <f t="shared" si="7"/>
        <v>7185.968296346907</v>
      </c>
      <c r="AA125" s="14">
        <f t="shared" si="8"/>
        <v>-174.4777667615208</v>
      </c>
      <c r="AB125" s="35"/>
      <c r="AC125" s="34"/>
      <c r="AD125" s="34"/>
      <c r="AE125" s="34"/>
      <c r="AF125" s="34"/>
      <c r="AG125" s="34"/>
      <c r="AH125" s="34"/>
      <c r="AI125" s="34"/>
      <c r="AJ125" s="34"/>
      <c r="AK125" s="34"/>
      <c r="AL125" s="34"/>
      <c r="AM125" s="34"/>
      <c r="AP125" s="73"/>
      <c r="AQ125" s="73"/>
      <c r="AR125" s="73"/>
      <c r="AS125" s="73"/>
      <c r="AT125" s="73"/>
      <c r="AU125" s="73"/>
      <c r="AV125" s="73"/>
      <c r="AW125" s="73"/>
      <c r="AX125" s="73"/>
      <c r="AY125" s="73"/>
      <c r="AZ125" s="73"/>
      <c r="BA125" s="73"/>
      <c r="BB125" s="73"/>
      <c r="BC125" s="73"/>
      <c r="BD125" s="73"/>
      <c r="BE125" s="73"/>
      <c r="BF125" s="73"/>
      <c r="BG125" s="73"/>
      <c r="BH125" s="73"/>
    </row>
    <row r="126" spans="1:60" ht="12.75">
      <c r="A126" s="51">
        <v>2004</v>
      </c>
      <c r="B126" s="57" t="s">
        <v>65</v>
      </c>
      <c r="C126" s="53">
        <v>7619.100985697984</v>
      </c>
      <c r="D126" s="53">
        <v>497.86811446278716</v>
      </c>
      <c r="E126" s="54">
        <f t="shared" si="5"/>
        <v>168.53858184364253</v>
      </c>
      <c r="F126" s="53">
        <v>6952.694289391554</v>
      </c>
      <c r="G126" s="47">
        <f>156.308508065985*2151/2170</f>
        <v>154.93990822577592</v>
      </c>
      <c r="H126" s="47">
        <f>(246-246+H169)*484/405</f>
        <v>32.569869641684214</v>
      </c>
      <c r="I126" s="47">
        <f>304.906842516643*3169/3176</f>
        <v>304.2348186194086</v>
      </c>
      <c r="J126" s="47">
        <v>2056.390712474212</v>
      </c>
      <c r="K126" s="47">
        <v>396.5500180135891</v>
      </c>
      <c r="L126" s="47">
        <v>337.8936673995077</v>
      </c>
      <c r="M126" s="47">
        <f>2555.17349869362*28581/28773</f>
        <v>2538.1230238821936</v>
      </c>
      <c r="N126" s="47">
        <f>817.588086685811*11308/12988</f>
        <v>711.8329291841046</v>
      </c>
      <c r="O126" s="47">
        <v>93.054</v>
      </c>
      <c r="P126" s="47">
        <v>199.97977002053386</v>
      </c>
      <c r="Q126" s="53">
        <f t="shared" si="6"/>
        <v>0</v>
      </c>
      <c r="R126" s="34"/>
      <c r="S126" s="73"/>
      <c r="T126" s="73"/>
      <c r="U126" s="73"/>
      <c r="V126" s="73"/>
      <c r="Z126" s="73">
        <f t="shared" si="7"/>
        <v>6825.568717461009</v>
      </c>
      <c r="AA126" s="14">
        <f t="shared" si="8"/>
        <v>-127.12557193054454</v>
      </c>
      <c r="AB126" s="35"/>
      <c r="AC126" s="34"/>
      <c r="AD126" s="34"/>
      <c r="AE126" s="34"/>
      <c r="AF126" s="34"/>
      <c r="AG126" s="34"/>
      <c r="AH126" s="34"/>
      <c r="AI126" s="34"/>
      <c r="AJ126" s="34"/>
      <c r="AK126" s="34"/>
      <c r="AL126" s="34"/>
      <c r="AM126" s="34"/>
      <c r="AP126" s="73"/>
      <c r="AQ126" s="73"/>
      <c r="AR126" s="73"/>
      <c r="AS126" s="73"/>
      <c r="AT126" s="73"/>
      <c r="AU126" s="73"/>
      <c r="AV126" s="73"/>
      <c r="AW126" s="73"/>
      <c r="AX126" s="73"/>
      <c r="AY126" s="73"/>
      <c r="AZ126" s="73"/>
      <c r="BA126" s="73"/>
      <c r="BB126" s="73"/>
      <c r="BC126" s="73"/>
      <c r="BD126" s="73"/>
      <c r="BE126" s="73"/>
      <c r="BF126" s="73"/>
      <c r="BG126" s="73"/>
      <c r="BH126" s="73"/>
    </row>
    <row r="127" spans="1:60" ht="13.5" thickBot="1">
      <c r="A127" s="81">
        <v>2004</v>
      </c>
      <c r="B127" s="82" t="s">
        <v>114</v>
      </c>
      <c r="C127" s="83">
        <v>7804.519315405421</v>
      </c>
      <c r="D127" s="83">
        <v>490.9306494627872</v>
      </c>
      <c r="E127" s="94">
        <f t="shared" si="5"/>
        <v>-29.606801287289272</v>
      </c>
      <c r="F127" s="83">
        <v>7343.195467229923</v>
      </c>
      <c r="G127" s="98">
        <f>173.322617605787*2151/2170</f>
        <v>171.8050462995612</v>
      </c>
      <c r="H127" s="98">
        <f>(356-356+H170)*484/405</f>
        <v>47.80246913580247</v>
      </c>
      <c r="I127" s="98">
        <f>363.617235188133*3169/3176</f>
        <v>362.8158118108292</v>
      </c>
      <c r="J127" s="98">
        <v>2168</v>
      </c>
      <c r="K127" s="98">
        <v>344</v>
      </c>
      <c r="L127" s="98">
        <v>397.7230500758801</v>
      </c>
      <c r="M127" s="98">
        <f>2562.30810588248*28581/28773</f>
        <v>2545.2100223899893</v>
      </c>
      <c r="N127" s="98">
        <f>1055.22980970951*11308/12988</f>
        <v>918.7356550812395</v>
      </c>
      <c r="O127" s="98">
        <v>90.315</v>
      </c>
      <c r="P127" s="98">
        <v>134</v>
      </c>
      <c r="Q127" s="53">
        <f>SUM(S127:Y127)</f>
        <v>0</v>
      </c>
      <c r="R127" s="84"/>
      <c r="S127" s="95" t="s">
        <v>123</v>
      </c>
      <c r="T127" s="95" t="s">
        <v>124</v>
      </c>
      <c r="U127" s="95" t="s">
        <v>125</v>
      </c>
      <c r="V127" s="95" t="s">
        <v>126</v>
      </c>
      <c r="W127" s="95" t="s">
        <v>127</v>
      </c>
      <c r="X127" s="95" t="s">
        <v>128</v>
      </c>
      <c r="Y127" s="95" t="s">
        <v>129</v>
      </c>
      <c r="Z127" s="73">
        <f t="shared" si="7"/>
        <v>7180.407054793301</v>
      </c>
      <c r="AA127" s="14">
        <f t="shared" si="8"/>
        <v>-162.78841243662282</v>
      </c>
      <c r="AB127" s="35"/>
      <c r="AC127" s="34"/>
      <c r="AD127" s="34"/>
      <c r="AE127" s="34"/>
      <c r="AF127" s="34"/>
      <c r="AG127" s="34"/>
      <c r="AH127" s="34"/>
      <c r="AI127" s="34"/>
      <c r="AJ127" s="34"/>
      <c r="AK127" s="34"/>
      <c r="AL127" s="34"/>
      <c r="AM127" s="34"/>
      <c r="AN127" s="85"/>
      <c r="AO127" s="85"/>
      <c r="AP127" s="73"/>
      <c r="AQ127" s="73"/>
      <c r="AR127" s="73"/>
      <c r="AS127" s="73"/>
      <c r="AT127" s="73"/>
      <c r="AU127" s="73"/>
      <c r="AV127" s="73"/>
      <c r="AW127" s="73"/>
      <c r="AX127" s="73"/>
      <c r="AY127" s="73"/>
      <c r="AZ127" s="73"/>
      <c r="BA127" s="73"/>
      <c r="BB127" s="73"/>
      <c r="BC127" s="73"/>
      <c r="BD127" s="73"/>
      <c r="BE127" s="73"/>
      <c r="BF127" s="73"/>
      <c r="BG127" s="73"/>
      <c r="BH127" s="73"/>
    </row>
    <row r="128" spans="1:36" ht="12.75">
      <c r="A128" s="30">
        <v>2005</v>
      </c>
      <c r="B128" s="36" t="s">
        <v>55</v>
      </c>
      <c r="C128" s="47">
        <v>7437.53755952167</v>
      </c>
      <c r="D128" s="64">
        <v>0</v>
      </c>
      <c r="E128" s="34">
        <f>+C128-D128-F128</f>
        <v>7437.53755952167</v>
      </c>
      <c r="F128" s="70">
        <f>SUM(G128:Q128)</f>
        <v>0</v>
      </c>
      <c r="G128" s="80">
        <v>0</v>
      </c>
      <c r="H128" s="91">
        <v>0</v>
      </c>
      <c r="I128" s="64">
        <v>0</v>
      </c>
      <c r="J128" s="64">
        <v>0</v>
      </c>
      <c r="K128" s="64">
        <v>0</v>
      </c>
      <c r="L128" s="64">
        <v>0</v>
      </c>
      <c r="M128" s="75">
        <v>0</v>
      </c>
      <c r="N128" s="64">
        <v>0</v>
      </c>
      <c r="O128" s="64">
        <v>0</v>
      </c>
      <c r="P128" s="64">
        <v>0</v>
      </c>
      <c r="Q128" s="64">
        <f>SUM(S128:Y128)</f>
        <v>0</v>
      </c>
      <c r="R128" s="34"/>
      <c r="S128" s="74">
        <v>0</v>
      </c>
      <c r="T128" s="74">
        <v>0</v>
      </c>
      <c r="U128" s="74">
        <v>0</v>
      </c>
      <c r="V128" s="74">
        <v>0</v>
      </c>
      <c r="W128" s="74">
        <v>0</v>
      </c>
      <c r="X128" s="74">
        <v>0</v>
      </c>
      <c r="Y128" s="74">
        <v>0</v>
      </c>
      <c r="Z128" s="73">
        <f t="shared" si="7"/>
        <v>0</v>
      </c>
      <c r="AA128" s="14">
        <f t="shared" si="8"/>
        <v>0</v>
      </c>
      <c r="AB128" s="13"/>
      <c r="AC128" s="13"/>
      <c r="AD128" s="13"/>
      <c r="AE128" s="13"/>
      <c r="AF128" s="13"/>
      <c r="AG128" s="13"/>
      <c r="AH128" s="13"/>
      <c r="AI128" s="13"/>
      <c r="AJ128" s="13"/>
    </row>
    <row r="129" spans="1:36" ht="12.75">
      <c r="A129" s="30">
        <v>2005</v>
      </c>
      <c r="B129" s="36" t="s">
        <v>56</v>
      </c>
      <c r="C129" s="47">
        <v>6238.762061213102</v>
      </c>
      <c r="D129" s="64">
        <v>0</v>
      </c>
      <c r="E129" s="34">
        <f aca="true" t="shared" si="9" ref="E129:E143">+C129-D129-F129</f>
        <v>6238.762061213102</v>
      </c>
      <c r="F129" s="70">
        <f aca="true" t="shared" si="10" ref="F129:F143">SUM(G129:Q129)</f>
        <v>0</v>
      </c>
      <c r="G129" s="80">
        <v>0</v>
      </c>
      <c r="H129" s="91">
        <v>0</v>
      </c>
      <c r="I129" s="64">
        <v>0</v>
      </c>
      <c r="J129" s="64">
        <v>0</v>
      </c>
      <c r="K129" s="64">
        <v>0</v>
      </c>
      <c r="L129" s="64">
        <v>0</v>
      </c>
      <c r="M129" s="75">
        <v>0</v>
      </c>
      <c r="N129" s="64">
        <v>0</v>
      </c>
      <c r="O129" s="64">
        <v>0</v>
      </c>
      <c r="P129" s="64">
        <v>0</v>
      </c>
      <c r="Q129" s="64">
        <f aca="true" t="shared" si="11" ref="Q129:Q139">SUM(S129:Y129)</f>
        <v>0</v>
      </c>
      <c r="R129" s="34"/>
      <c r="S129" s="74">
        <v>0</v>
      </c>
      <c r="T129" s="74">
        <v>0</v>
      </c>
      <c r="U129" s="74">
        <v>0</v>
      </c>
      <c r="V129" s="74">
        <v>0</v>
      </c>
      <c r="W129" s="74">
        <v>0</v>
      </c>
      <c r="X129" s="74">
        <v>0</v>
      </c>
      <c r="Y129" s="74">
        <v>0</v>
      </c>
      <c r="Z129" s="73">
        <f t="shared" si="7"/>
        <v>0</v>
      </c>
      <c r="AA129" s="14">
        <f t="shared" si="8"/>
        <v>0</v>
      </c>
      <c r="AB129" s="13"/>
      <c r="AC129" s="13"/>
      <c r="AD129" s="13"/>
      <c r="AE129" s="13"/>
      <c r="AF129" s="13"/>
      <c r="AG129" s="13"/>
      <c r="AH129" s="13"/>
      <c r="AI129" s="13"/>
      <c r="AJ129" s="13"/>
    </row>
    <row r="130" spans="1:36" ht="12.75">
      <c r="A130" s="30">
        <v>2005</v>
      </c>
      <c r="B130" s="36" t="s">
        <v>57</v>
      </c>
      <c r="C130" s="47">
        <v>7301.987592854997</v>
      </c>
      <c r="D130" s="64">
        <v>0</v>
      </c>
      <c r="E130" s="34">
        <f t="shared" si="9"/>
        <v>7301.987592854997</v>
      </c>
      <c r="F130" s="70">
        <f t="shared" si="10"/>
        <v>0</v>
      </c>
      <c r="G130" s="80">
        <v>0</v>
      </c>
      <c r="H130" s="91">
        <v>0</v>
      </c>
      <c r="I130" s="64">
        <v>0</v>
      </c>
      <c r="J130" s="64">
        <v>0</v>
      </c>
      <c r="K130" s="64">
        <v>0</v>
      </c>
      <c r="L130" s="64">
        <v>0</v>
      </c>
      <c r="M130" s="75">
        <v>0</v>
      </c>
      <c r="N130" s="64">
        <v>0</v>
      </c>
      <c r="O130" s="64">
        <v>0</v>
      </c>
      <c r="P130" s="64">
        <v>0</v>
      </c>
      <c r="Q130" s="64">
        <f t="shared" si="11"/>
        <v>0</v>
      </c>
      <c r="R130" s="34"/>
      <c r="S130" s="74">
        <v>0</v>
      </c>
      <c r="T130" s="74">
        <v>0</v>
      </c>
      <c r="U130" s="74">
        <v>0</v>
      </c>
      <c r="V130" s="74">
        <v>0</v>
      </c>
      <c r="W130" s="74">
        <v>0</v>
      </c>
      <c r="X130" s="74">
        <v>0</v>
      </c>
      <c r="Y130" s="74">
        <v>0</v>
      </c>
      <c r="Z130" s="73">
        <f t="shared" si="7"/>
        <v>0</v>
      </c>
      <c r="AA130" s="14">
        <f t="shared" si="8"/>
        <v>0</v>
      </c>
      <c r="AB130" s="13"/>
      <c r="AC130" s="13"/>
      <c r="AD130" s="13"/>
      <c r="AE130" s="13"/>
      <c r="AF130" s="13"/>
      <c r="AG130" s="13"/>
      <c r="AH130" s="13"/>
      <c r="AI130" s="13"/>
      <c r="AJ130" s="13"/>
    </row>
    <row r="131" spans="1:36" ht="12.75">
      <c r="A131" s="30">
        <v>2005</v>
      </c>
      <c r="B131" s="36" t="s">
        <v>58</v>
      </c>
      <c r="C131" s="47">
        <v>6829.415703912001</v>
      </c>
      <c r="D131" s="64">
        <v>0</v>
      </c>
      <c r="E131" s="34">
        <f t="shared" si="9"/>
        <v>6829.415703912001</v>
      </c>
      <c r="F131" s="70">
        <f t="shared" si="10"/>
        <v>0</v>
      </c>
      <c r="G131" s="80">
        <v>0</v>
      </c>
      <c r="H131" s="91">
        <v>0</v>
      </c>
      <c r="I131" s="64">
        <v>0</v>
      </c>
      <c r="J131" s="64">
        <v>0</v>
      </c>
      <c r="K131" s="64">
        <v>0</v>
      </c>
      <c r="L131" s="64">
        <v>0</v>
      </c>
      <c r="M131" s="75">
        <v>0</v>
      </c>
      <c r="N131" s="64">
        <v>0</v>
      </c>
      <c r="O131" s="64">
        <v>0</v>
      </c>
      <c r="P131" s="64">
        <v>0</v>
      </c>
      <c r="Q131" s="64">
        <f t="shared" si="11"/>
        <v>0</v>
      </c>
      <c r="R131" s="34"/>
      <c r="S131" s="74">
        <v>0</v>
      </c>
      <c r="T131" s="74">
        <v>0</v>
      </c>
      <c r="U131" s="74">
        <v>0</v>
      </c>
      <c r="V131" s="74">
        <v>0</v>
      </c>
      <c r="W131" s="74">
        <v>0</v>
      </c>
      <c r="X131" s="74">
        <v>0</v>
      </c>
      <c r="Y131" s="74">
        <v>0</v>
      </c>
      <c r="Z131" s="73">
        <f t="shared" si="7"/>
        <v>0</v>
      </c>
      <c r="AA131" s="14">
        <f t="shared" si="8"/>
        <v>0</v>
      </c>
      <c r="AB131" s="13"/>
      <c r="AC131" s="13"/>
      <c r="AD131" s="13"/>
      <c r="AE131" s="13"/>
      <c r="AF131" s="13"/>
      <c r="AG131" s="13"/>
      <c r="AH131" s="13"/>
      <c r="AI131" s="13"/>
      <c r="AJ131" s="13"/>
    </row>
    <row r="132" spans="1:36" ht="12.75">
      <c r="A132" s="30">
        <v>2005</v>
      </c>
      <c r="B132" s="36" t="s">
        <v>59</v>
      </c>
      <c r="C132" s="47">
        <v>7195.6657211606</v>
      </c>
      <c r="D132" s="64">
        <v>0</v>
      </c>
      <c r="E132" s="34">
        <f t="shared" si="9"/>
        <v>7195.6657211606</v>
      </c>
      <c r="F132" s="70">
        <f t="shared" si="10"/>
        <v>0</v>
      </c>
      <c r="G132" s="80">
        <v>0</v>
      </c>
      <c r="H132" s="91">
        <v>0</v>
      </c>
      <c r="I132" s="64">
        <v>0</v>
      </c>
      <c r="J132" s="64">
        <v>0</v>
      </c>
      <c r="K132" s="64">
        <v>0</v>
      </c>
      <c r="L132" s="64">
        <v>0</v>
      </c>
      <c r="M132" s="75">
        <v>0</v>
      </c>
      <c r="N132" s="64">
        <v>0</v>
      </c>
      <c r="O132" s="64">
        <v>0</v>
      </c>
      <c r="P132" s="64">
        <v>0</v>
      </c>
      <c r="Q132" s="64">
        <f t="shared" si="11"/>
        <v>0</v>
      </c>
      <c r="R132" s="34"/>
      <c r="S132" s="74">
        <v>0</v>
      </c>
      <c r="T132" s="74">
        <v>0</v>
      </c>
      <c r="U132" s="74">
        <v>0</v>
      </c>
      <c r="V132" s="74">
        <v>0</v>
      </c>
      <c r="W132" s="74">
        <v>0</v>
      </c>
      <c r="X132" s="74">
        <v>0</v>
      </c>
      <c r="Y132" s="74">
        <v>0</v>
      </c>
      <c r="Z132" s="73">
        <f t="shared" si="7"/>
        <v>0</v>
      </c>
      <c r="AA132" s="14">
        <f t="shared" si="8"/>
        <v>0</v>
      </c>
      <c r="AB132" s="13"/>
      <c r="AC132" s="13"/>
      <c r="AD132" s="13"/>
      <c r="AE132" s="13"/>
      <c r="AF132" s="13"/>
      <c r="AG132" s="13"/>
      <c r="AH132" s="13"/>
      <c r="AI132" s="13"/>
      <c r="AJ132" s="13"/>
    </row>
    <row r="133" spans="1:36" ht="12.75">
      <c r="A133" s="30">
        <v>2005</v>
      </c>
      <c r="B133" s="36" t="s">
        <v>60</v>
      </c>
      <c r="C133" s="47">
        <v>6973.1189787759995</v>
      </c>
      <c r="D133" s="64">
        <v>0</v>
      </c>
      <c r="E133" s="34">
        <f t="shared" si="9"/>
        <v>6973.1189787759995</v>
      </c>
      <c r="F133" s="70">
        <f t="shared" si="10"/>
        <v>0</v>
      </c>
      <c r="G133" s="80">
        <v>0</v>
      </c>
      <c r="H133" s="91">
        <v>0</v>
      </c>
      <c r="I133" s="64">
        <v>0</v>
      </c>
      <c r="J133" s="64">
        <v>0</v>
      </c>
      <c r="K133" s="64">
        <v>0</v>
      </c>
      <c r="L133" s="64">
        <v>0</v>
      </c>
      <c r="M133" s="75">
        <v>0</v>
      </c>
      <c r="N133" s="64">
        <v>0</v>
      </c>
      <c r="O133" s="64">
        <v>0</v>
      </c>
      <c r="P133" s="64">
        <v>0</v>
      </c>
      <c r="Q133" s="64">
        <f t="shared" si="11"/>
        <v>0</v>
      </c>
      <c r="R133" s="34"/>
      <c r="S133" s="74">
        <v>0</v>
      </c>
      <c r="T133" s="74">
        <v>0</v>
      </c>
      <c r="U133" s="74">
        <v>0</v>
      </c>
      <c r="V133" s="74">
        <v>0</v>
      </c>
      <c r="W133" s="74">
        <v>0</v>
      </c>
      <c r="X133" s="74">
        <v>0</v>
      </c>
      <c r="Y133" s="74">
        <v>0</v>
      </c>
      <c r="Z133" s="73">
        <f t="shared" si="7"/>
        <v>0</v>
      </c>
      <c r="AA133" s="14">
        <f t="shared" si="8"/>
        <v>0</v>
      </c>
      <c r="AB133" s="13"/>
      <c r="AC133" s="13"/>
      <c r="AD133" s="13"/>
      <c r="AE133" s="13"/>
      <c r="AF133" s="13"/>
      <c r="AG133" s="13"/>
      <c r="AH133" s="13"/>
      <c r="AI133" s="13"/>
      <c r="AJ133" s="13"/>
    </row>
    <row r="134" spans="1:36" ht="12.75">
      <c r="A134" s="30">
        <v>2005</v>
      </c>
      <c r="B134" s="36" t="s">
        <v>61</v>
      </c>
      <c r="C134" s="47">
        <v>7751.319656648</v>
      </c>
      <c r="D134" s="64">
        <v>0</v>
      </c>
      <c r="E134" s="34">
        <f t="shared" si="9"/>
        <v>7751.319656648</v>
      </c>
      <c r="F134" s="70">
        <f t="shared" si="10"/>
        <v>0</v>
      </c>
      <c r="G134" s="80">
        <v>0</v>
      </c>
      <c r="H134" s="91">
        <v>0</v>
      </c>
      <c r="I134" s="64">
        <v>0</v>
      </c>
      <c r="J134" s="64">
        <v>0</v>
      </c>
      <c r="K134" s="64">
        <v>0</v>
      </c>
      <c r="L134" s="64">
        <v>0</v>
      </c>
      <c r="M134" s="75">
        <v>0</v>
      </c>
      <c r="N134" s="64">
        <v>0</v>
      </c>
      <c r="O134" s="64">
        <v>0</v>
      </c>
      <c r="P134" s="64">
        <v>0</v>
      </c>
      <c r="Q134" s="64">
        <f t="shared" si="11"/>
        <v>0</v>
      </c>
      <c r="R134" s="34"/>
      <c r="S134" s="74">
        <v>0</v>
      </c>
      <c r="T134" s="74">
        <v>0</v>
      </c>
      <c r="U134" s="74">
        <v>0</v>
      </c>
      <c r="V134" s="74">
        <v>0</v>
      </c>
      <c r="W134" s="74">
        <v>0</v>
      </c>
      <c r="X134" s="74">
        <v>0</v>
      </c>
      <c r="Y134" s="74">
        <v>0</v>
      </c>
      <c r="Z134" s="73">
        <f t="shared" si="7"/>
        <v>0</v>
      </c>
      <c r="AA134" s="14">
        <f t="shared" si="8"/>
        <v>0</v>
      </c>
      <c r="AB134" s="13"/>
      <c r="AC134" s="13"/>
      <c r="AD134" s="13"/>
      <c r="AE134" s="13"/>
      <c r="AF134" s="13"/>
      <c r="AG134" s="13"/>
      <c r="AH134" s="13"/>
      <c r="AI134" s="13"/>
      <c r="AJ134" s="13"/>
    </row>
    <row r="135" spans="1:36" ht="12.75">
      <c r="A135" s="30">
        <v>2005</v>
      </c>
      <c r="B135" s="36" t="s">
        <v>62</v>
      </c>
      <c r="C135" s="47">
        <v>7550.216978825601</v>
      </c>
      <c r="D135" s="64">
        <v>0</v>
      </c>
      <c r="E135" s="34">
        <f t="shared" si="9"/>
        <v>7550.216978825601</v>
      </c>
      <c r="F135" s="70">
        <f t="shared" si="10"/>
        <v>0</v>
      </c>
      <c r="G135" s="80">
        <v>0</v>
      </c>
      <c r="H135" s="91">
        <v>0</v>
      </c>
      <c r="I135" s="64">
        <v>0</v>
      </c>
      <c r="J135" s="64">
        <v>0</v>
      </c>
      <c r="K135" s="64">
        <v>0</v>
      </c>
      <c r="L135" s="64">
        <v>0</v>
      </c>
      <c r="M135" s="75">
        <v>0</v>
      </c>
      <c r="N135" s="64">
        <v>0</v>
      </c>
      <c r="O135" s="64">
        <v>0</v>
      </c>
      <c r="P135" s="64">
        <v>0</v>
      </c>
      <c r="Q135" s="64">
        <f t="shared" si="11"/>
        <v>0</v>
      </c>
      <c r="R135" s="34"/>
      <c r="S135" s="74">
        <v>0</v>
      </c>
      <c r="T135" s="74">
        <v>0</v>
      </c>
      <c r="U135" s="74">
        <v>0</v>
      </c>
      <c r="V135" s="74">
        <v>0</v>
      </c>
      <c r="W135" s="74">
        <v>0</v>
      </c>
      <c r="X135" s="74">
        <v>0</v>
      </c>
      <c r="Y135" s="74">
        <v>0</v>
      </c>
      <c r="Z135" s="73">
        <f t="shared" si="7"/>
        <v>0</v>
      </c>
      <c r="AA135" s="14">
        <f t="shared" si="8"/>
        <v>0</v>
      </c>
      <c r="AB135" s="13"/>
      <c r="AC135" s="13"/>
      <c r="AD135" s="13"/>
      <c r="AE135" s="13"/>
      <c r="AF135" s="13"/>
      <c r="AG135" s="13"/>
      <c r="AH135" s="13"/>
      <c r="AI135" s="13"/>
      <c r="AJ135" s="13"/>
    </row>
    <row r="136" spans="1:36" ht="12.75">
      <c r="A136" s="30">
        <v>2005</v>
      </c>
      <c r="B136" s="36" t="s">
        <v>63</v>
      </c>
      <c r="C136" s="47">
        <v>7309.380056045307</v>
      </c>
      <c r="D136" s="64">
        <v>0</v>
      </c>
      <c r="E136" s="34">
        <f t="shared" si="9"/>
        <v>7309.380056045307</v>
      </c>
      <c r="F136" s="70">
        <f t="shared" si="10"/>
        <v>0</v>
      </c>
      <c r="G136" s="80">
        <v>0</v>
      </c>
      <c r="H136" s="91">
        <v>0</v>
      </c>
      <c r="I136" s="64">
        <v>0</v>
      </c>
      <c r="J136" s="64">
        <v>0</v>
      </c>
      <c r="K136" s="64">
        <v>0</v>
      </c>
      <c r="L136" s="64">
        <v>0</v>
      </c>
      <c r="M136" s="75">
        <v>0</v>
      </c>
      <c r="N136" s="64">
        <v>0</v>
      </c>
      <c r="O136" s="64">
        <v>0</v>
      </c>
      <c r="P136" s="64">
        <v>0</v>
      </c>
      <c r="Q136" s="64">
        <f t="shared" si="11"/>
        <v>0</v>
      </c>
      <c r="R136" s="34"/>
      <c r="S136" s="74">
        <v>0</v>
      </c>
      <c r="T136" s="74">
        <v>0</v>
      </c>
      <c r="U136" s="74">
        <v>0</v>
      </c>
      <c r="V136" s="74">
        <v>0</v>
      </c>
      <c r="W136" s="74">
        <v>0</v>
      </c>
      <c r="X136" s="74">
        <v>0</v>
      </c>
      <c r="Y136" s="74">
        <v>0</v>
      </c>
      <c r="Z136" s="73">
        <f t="shared" si="7"/>
        <v>0</v>
      </c>
      <c r="AA136" s="14">
        <f t="shared" si="8"/>
        <v>0</v>
      </c>
      <c r="AB136" s="13"/>
      <c r="AC136" s="13"/>
      <c r="AD136" s="13"/>
      <c r="AE136" s="13"/>
      <c r="AF136" s="13"/>
      <c r="AG136" s="13"/>
      <c r="AH136" s="13"/>
      <c r="AI136" s="13"/>
      <c r="AJ136" s="13"/>
    </row>
    <row r="137" spans="1:36" ht="12.75">
      <c r="A137" s="30">
        <v>2005</v>
      </c>
      <c r="B137" s="36" t="s">
        <v>64</v>
      </c>
      <c r="C137" s="47">
        <v>7309.424058463964</v>
      </c>
      <c r="D137" s="64">
        <v>0</v>
      </c>
      <c r="E137" s="34">
        <f t="shared" si="9"/>
        <v>7309.424058463964</v>
      </c>
      <c r="F137" s="70">
        <f t="shared" si="10"/>
        <v>0</v>
      </c>
      <c r="G137" s="80">
        <v>0</v>
      </c>
      <c r="H137" s="91">
        <v>0</v>
      </c>
      <c r="I137" s="64">
        <v>0</v>
      </c>
      <c r="J137" s="64">
        <v>0</v>
      </c>
      <c r="K137" s="64">
        <v>0</v>
      </c>
      <c r="L137" s="64">
        <v>0</v>
      </c>
      <c r="M137" s="75">
        <v>0</v>
      </c>
      <c r="N137" s="64">
        <v>0</v>
      </c>
      <c r="O137" s="64">
        <v>0</v>
      </c>
      <c r="P137" s="64">
        <v>0</v>
      </c>
      <c r="Q137" s="64">
        <f t="shared" si="11"/>
        <v>0</v>
      </c>
      <c r="R137" s="34"/>
      <c r="S137" s="74">
        <v>0</v>
      </c>
      <c r="T137" s="74">
        <v>0</v>
      </c>
      <c r="U137" s="74">
        <v>0</v>
      </c>
      <c r="V137" s="74">
        <v>0</v>
      </c>
      <c r="W137" s="74">
        <v>0</v>
      </c>
      <c r="X137" s="74">
        <v>0</v>
      </c>
      <c r="Y137" s="74">
        <v>0</v>
      </c>
      <c r="Z137" s="73">
        <f t="shared" si="7"/>
        <v>0</v>
      </c>
      <c r="AA137" s="14">
        <f t="shared" si="8"/>
        <v>0</v>
      </c>
      <c r="AB137" s="13"/>
      <c r="AC137" s="13"/>
      <c r="AD137" s="13"/>
      <c r="AE137" s="13"/>
      <c r="AF137" s="13"/>
      <c r="AG137" s="13"/>
      <c r="AH137" s="13"/>
      <c r="AI137" s="13"/>
      <c r="AJ137" s="13"/>
    </row>
    <row r="138" spans="1:36" ht="12.75">
      <c r="A138" s="30">
        <v>2005</v>
      </c>
      <c r="B138" s="36" t="s">
        <v>65</v>
      </c>
      <c r="C138" s="47">
        <v>6892.4910136905</v>
      </c>
      <c r="D138" s="64">
        <v>0</v>
      </c>
      <c r="E138" s="34">
        <f t="shared" si="9"/>
        <v>6892.4910136905</v>
      </c>
      <c r="F138" s="70">
        <f t="shared" si="10"/>
        <v>0</v>
      </c>
      <c r="G138" s="80">
        <v>0</v>
      </c>
      <c r="H138" s="91">
        <v>0</v>
      </c>
      <c r="I138" s="64">
        <v>0</v>
      </c>
      <c r="J138" s="64">
        <v>0</v>
      </c>
      <c r="K138" s="64">
        <v>0</v>
      </c>
      <c r="L138" s="64">
        <v>0</v>
      </c>
      <c r="M138" s="75">
        <v>0</v>
      </c>
      <c r="N138" s="64">
        <v>0</v>
      </c>
      <c r="O138" s="64">
        <v>0</v>
      </c>
      <c r="P138" s="64">
        <v>0</v>
      </c>
      <c r="Q138" s="64">
        <f t="shared" si="11"/>
        <v>0</v>
      </c>
      <c r="R138" s="34"/>
      <c r="S138" s="74">
        <v>0</v>
      </c>
      <c r="T138" s="74">
        <v>0</v>
      </c>
      <c r="U138" s="74">
        <v>0</v>
      </c>
      <c r="V138" s="74">
        <v>0</v>
      </c>
      <c r="W138" s="74">
        <v>0</v>
      </c>
      <c r="X138" s="74">
        <v>0</v>
      </c>
      <c r="Y138" s="74">
        <v>0</v>
      </c>
      <c r="Z138" s="73">
        <f t="shared" si="7"/>
        <v>0</v>
      </c>
      <c r="AA138" s="14">
        <f t="shared" si="8"/>
        <v>0</v>
      </c>
      <c r="AB138" s="13"/>
      <c r="AC138" s="13"/>
      <c r="AD138" s="13"/>
      <c r="AE138" s="13"/>
      <c r="AF138" s="13"/>
      <c r="AG138" s="13"/>
      <c r="AH138" s="13"/>
      <c r="AI138" s="13"/>
      <c r="AJ138" s="13"/>
    </row>
    <row r="139" spans="1:28" ht="12.75">
      <c r="A139" s="103">
        <v>2005</v>
      </c>
      <c r="B139" s="104" t="s">
        <v>66</v>
      </c>
      <c r="C139" s="105">
        <v>7344.9386889416</v>
      </c>
      <c r="D139" s="106">
        <v>0</v>
      </c>
      <c r="E139" s="107">
        <f t="shared" si="9"/>
        <v>7344.9386889416</v>
      </c>
      <c r="F139" s="108">
        <f t="shared" si="10"/>
        <v>0</v>
      </c>
      <c r="G139" s="109">
        <v>0</v>
      </c>
      <c r="H139" s="110">
        <v>0</v>
      </c>
      <c r="I139" s="106">
        <v>0</v>
      </c>
      <c r="J139" s="106">
        <v>0</v>
      </c>
      <c r="K139" s="106">
        <v>0</v>
      </c>
      <c r="L139" s="106">
        <v>0</v>
      </c>
      <c r="M139" s="75">
        <v>0</v>
      </c>
      <c r="N139" s="106">
        <v>0</v>
      </c>
      <c r="O139" s="106">
        <v>0</v>
      </c>
      <c r="P139" s="106">
        <v>0</v>
      </c>
      <c r="Q139" s="106">
        <f t="shared" si="11"/>
        <v>0</v>
      </c>
      <c r="R139" s="34"/>
      <c r="S139" s="111">
        <v>0</v>
      </c>
      <c r="T139" s="111">
        <v>0</v>
      </c>
      <c r="U139" s="111">
        <v>0</v>
      </c>
      <c r="V139" s="111">
        <v>0</v>
      </c>
      <c r="W139" s="111">
        <v>0</v>
      </c>
      <c r="X139" s="111">
        <v>0</v>
      </c>
      <c r="Y139" s="111">
        <v>0</v>
      </c>
      <c r="Z139" s="112">
        <f t="shared" si="7"/>
        <v>0</v>
      </c>
      <c r="AA139" s="113">
        <f t="shared" si="8"/>
        <v>0</v>
      </c>
      <c r="AB139" s="13"/>
    </row>
    <row r="140" spans="1:27" ht="12.75">
      <c r="A140" s="30">
        <v>2006</v>
      </c>
      <c r="B140" s="36" t="s">
        <v>55</v>
      </c>
      <c r="C140" s="47">
        <v>7347.729621432132</v>
      </c>
      <c r="D140" s="64">
        <v>0</v>
      </c>
      <c r="E140" s="34">
        <f t="shared" si="9"/>
        <v>7347.729621432132</v>
      </c>
      <c r="F140" s="70">
        <f t="shared" si="10"/>
        <v>0</v>
      </c>
      <c r="G140" s="80">
        <v>0</v>
      </c>
      <c r="H140" s="91">
        <v>0</v>
      </c>
      <c r="I140" s="64">
        <v>0</v>
      </c>
      <c r="J140" s="64">
        <v>0</v>
      </c>
      <c r="K140" s="64">
        <v>0</v>
      </c>
      <c r="L140" s="64">
        <v>0</v>
      </c>
      <c r="M140" s="75">
        <v>0</v>
      </c>
      <c r="N140" s="64">
        <v>0</v>
      </c>
      <c r="O140" s="64">
        <v>0</v>
      </c>
      <c r="P140" s="64">
        <v>0</v>
      </c>
      <c r="Q140" s="64">
        <f>SUM(S140:Y140)</f>
        <v>0</v>
      </c>
      <c r="R140" s="34"/>
      <c r="S140" s="74">
        <v>0</v>
      </c>
      <c r="T140" s="74">
        <v>0</v>
      </c>
      <c r="U140" s="74">
        <v>0</v>
      </c>
      <c r="V140" s="74">
        <v>0</v>
      </c>
      <c r="W140" s="74">
        <v>0</v>
      </c>
      <c r="X140" s="74">
        <v>0</v>
      </c>
      <c r="Y140" s="74">
        <v>0</v>
      </c>
      <c r="Z140" s="73">
        <f t="shared" si="7"/>
        <v>0</v>
      </c>
      <c r="AA140" s="14">
        <f t="shared" si="8"/>
        <v>0</v>
      </c>
    </row>
    <row r="141" spans="1:27" ht="12.75">
      <c r="A141" s="30">
        <v>2006</v>
      </c>
      <c r="B141" s="36" t="s">
        <v>56</v>
      </c>
      <c r="C141" s="47">
        <v>6460.673502884333</v>
      </c>
      <c r="D141" s="64">
        <v>0</v>
      </c>
      <c r="E141" s="34">
        <f t="shared" si="9"/>
        <v>6460.673502884333</v>
      </c>
      <c r="F141" s="70">
        <f t="shared" si="10"/>
        <v>0</v>
      </c>
      <c r="G141" s="80">
        <v>0</v>
      </c>
      <c r="H141" s="91">
        <v>0</v>
      </c>
      <c r="I141" s="64">
        <v>0</v>
      </c>
      <c r="J141" s="64">
        <v>0</v>
      </c>
      <c r="K141" s="64">
        <v>0</v>
      </c>
      <c r="L141" s="64">
        <v>0</v>
      </c>
      <c r="M141" s="75">
        <v>0</v>
      </c>
      <c r="N141" s="64">
        <v>0</v>
      </c>
      <c r="O141" s="64">
        <v>0</v>
      </c>
      <c r="P141" s="64">
        <v>0</v>
      </c>
      <c r="Q141" s="64">
        <f>SUM(S141:Y141)</f>
        <v>0</v>
      </c>
      <c r="R141" s="34"/>
      <c r="S141" s="74">
        <v>0</v>
      </c>
      <c r="T141" s="74">
        <v>0</v>
      </c>
      <c r="U141" s="74">
        <v>0</v>
      </c>
      <c r="V141" s="74">
        <v>0</v>
      </c>
      <c r="W141" s="74">
        <v>0</v>
      </c>
      <c r="X141" s="74">
        <v>0</v>
      </c>
      <c r="Y141" s="74">
        <v>0</v>
      </c>
      <c r="Z141" s="73">
        <f>SUM(G141:Q141)</f>
        <v>0</v>
      </c>
      <c r="AA141" s="14">
        <f>+Z141-F141</f>
        <v>0</v>
      </c>
    </row>
    <row r="142" spans="1:27" ht="12.75">
      <c r="A142" s="30">
        <v>2006</v>
      </c>
      <c r="B142" s="36" t="s">
        <v>57</v>
      </c>
      <c r="C142" s="47">
        <v>6304.262358504865</v>
      </c>
      <c r="D142" s="64">
        <v>0</v>
      </c>
      <c r="E142" s="34">
        <f t="shared" si="9"/>
        <v>6304.262358504865</v>
      </c>
      <c r="F142" s="70">
        <f t="shared" si="10"/>
        <v>0</v>
      </c>
      <c r="G142" s="80">
        <v>0</v>
      </c>
      <c r="H142" s="91">
        <v>0</v>
      </c>
      <c r="I142" s="64">
        <v>0</v>
      </c>
      <c r="J142" s="64">
        <v>0</v>
      </c>
      <c r="K142" s="64">
        <v>0</v>
      </c>
      <c r="L142" s="64">
        <v>0</v>
      </c>
      <c r="M142" s="75">
        <v>0</v>
      </c>
      <c r="N142" s="64">
        <v>0</v>
      </c>
      <c r="O142" s="64">
        <v>0</v>
      </c>
      <c r="P142" s="64">
        <v>0</v>
      </c>
      <c r="Q142" s="64">
        <f>SUM(S142:Y142)</f>
        <v>0</v>
      </c>
      <c r="R142" s="34"/>
      <c r="S142" s="74">
        <v>0</v>
      </c>
      <c r="T142" s="74">
        <v>0</v>
      </c>
      <c r="U142" s="74">
        <v>0</v>
      </c>
      <c r="V142" s="74">
        <v>0</v>
      </c>
      <c r="W142" s="74">
        <v>0</v>
      </c>
      <c r="X142" s="74">
        <v>0</v>
      </c>
      <c r="Y142" s="74">
        <v>0</v>
      </c>
      <c r="Z142" s="73">
        <f>SUM(G142:Q142)</f>
        <v>0</v>
      </c>
      <c r="AA142" s="14">
        <f>+Z142-F142</f>
        <v>0</v>
      </c>
    </row>
    <row r="143" spans="1:27" ht="12.75">
      <c r="A143" s="30">
        <v>2006</v>
      </c>
      <c r="B143" s="36" t="s">
        <v>58</v>
      </c>
      <c r="C143" s="47">
        <v>6530.103690088784</v>
      </c>
      <c r="D143" s="64">
        <v>0</v>
      </c>
      <c r="E143" s="34">
        <f t="shared" si="9"/>
        <v>6530.103690088784</v>
      </c>
      <c r="F143" s="70">
        <f t="shared" si="10"/>
        <v>0</v>
      </c>
      <c r="G143" s="80">
        <v>0</v>
      </c>
      <c r="H143" s="91">
        <v>0</v>
      </c>
      <c r="I143" s="64">
        <v>0</v>
      </c>
      <c r="J143" s="64">
        <v>0</v>
      </c>
      <c r="K143" s="64">
        <v>0</v>
      </c>
      <c r="L143" s="64">
        <v>0</v>
      </c>
      <c r="M143" s="75">
        <v>0</v>
      </c>
      <c r="N143" s="64">
        <v>0</v>
      </c>
      <c r="O143" s="64">
        <v>0</v>
      </c>
      <c r="P143" s="64">
        <v>0</v>
      </c>
      <c r="Q143" s="64">
        <f>SUM(S143:Y143)</f>
        <v>0</v>
      </c>
      <c r="R143" s="34"/>
      <c r="S143" s="74">
        <v>0</v>
      </c>
      <c r="T143" s="74">
        <v>0</v>
      </c>
      <c r="U143" s="74">
        <v>0</v>
      </c>
      <c r="V143" s="74">
        <v>0</v>
      </c>
      <c r="W143" s="74">
        <v>0</v>
      </c>
      <c r="X143" s="74">
        <v>0</v>
      </c>
      <c r="Y143" s="74">
        <v>0</v>
      </c>
      <c r="Z143" s="73">
        <f>SUM(G143:Q143)</f>
        <v>0</v>
      </c>
      <c r="AA143" s="14">
        <f>+Z143-F143</f>
        <v>0</v>
      </c>
    </row>
    <row r="144" spans="2:26" ht="12.75">
      <c r="B144" s="36"/>
      <c r="C144" s="102"/>
      <c r="D144" s="102"/>
      <c r="E144" s="102"/>
      <c r="F144" s="102"/>
      <c r="G144" s="102"/>
      <c r="H144" s="102"/>
      <c r="I144" s="102"/>
      <c r="J144" s="102"/>
      <c r="K144" s="102"/>
      <c r="L144" s="102"/>
      <c r="M144" s="102"/>
      <c r="N144" s="102"/>
      <c r="O144" s="102"/>
      <c r="P144" s="102"/>
      <c r="Q144" s="102"/>
      <c r="R144" s="34"/>
      <c r="S144" s="95"/>
      <c r="T144" s="95"/>
      <c r="U144" s="95"/>
      <c r="V144" s="95"/>
      <c r="W144" s="95"/>
      <c r="X144" s="95"/>
      <c r="Y144" s="95"/>
      <c r="Z144" s="95"/>
    </row>
    <row r="145" spans="2:26" ht="12.75">
      <c r="B145" s="36"/>
      <c r="C145" s="34"/>
      <c r="D145" s="34"/>
      <c r="E145" s="34"/>
      <c r="F145" s="34"/>
      <c r="G145" s="34"/>
      <c r="H145" s="34"/>
      <c r="I145" s="34"/>
      <c r="J145" s="34"/>
      <c r="K145" s="34"/>
      <c r="L145" s="34"/>
      <c r="M145" s="34"/>
      <c r="N145" s="34"/>
      <c r="O145" s="34"/>
      <c r="P145" s="34"/>
      <c r="Q145" s="34"/>
      <c r="R145" s="34"/>
      <c r="S145" s="95"/>
      <c r="T145" s="95"/>
      <c r="U145" s="95"/>
      <c r="V145" s="95"/>
      <c r="W145" s="95"/>
      <c r="X145" s="95"/>
      <c r="Y145" s="95"/>
      <c r="Z145" s="95"/>
    </row>
    <row r="146" spans="2:26" ht="12.75">
      <c r="B146" s="36"/>
      <c r="C146" s="34"/>
      <c r="D146" s="34"/>
      <c r="E146" s="34"/>
      <c r="F146" s="34"/>
      <c r="G146" s="34"/>
      <c r="H146" s="34"/>
      <c r="I146" s="34"/>
      <c r="J146" s="34"/>
      <c r="K146" s="34"/>
      <c r="L146" s="34"/>
      <c r="M146" s="34"/>
      <c r="N146" s="34"/>
      <c r="O146" s="34"/>
      <c r="P146" s="34"/>
      <c r="Q146" s="34"/>
      <c r="R146" s="34"/>
      <c r="S146" s="95"/>
      <c r="T146" s="95"/>
      <c r="U146" s="95"/>
      <c r="V146" s="95"/>
      <c r="W146" s="95"/>
      <c r="X146" s="95"/>
      <c r="Y146" s="95"/>
      <c r="Z146" s="95"/>
    </row>
    <row r="147" spans="2:26" ht="12.75">
      <c r="B147" s="36"/>
      <c r="C147" s="34"/>
      <c r="D147" s="34"/>
      <c r="E147" s="34"/>
      <c r="F147" s="34"/>
      <c r="G147" s="34"/>
      <c r="H147" s="34"/>
      <c r="I147" s="34"/>
      <c r="J147" s="34"/>
      <c r="K147" s="34"/>
      <c r="L147" s="34"/>
      <c r="M147" s="34"/>
      <c r="N147" s="34"/>
      <c r="O147" s="34"/>
      <c r="P147" s="34"/>
      <c r="Q147" s="34"/>
      <c r="R147" s="34"/>
      <c r="S147" s="95"/>
      <c r="T147" s="95"/>
      <c r="U147" s="95"/>
      <c r="V147" s="95"/>
      <c r="W147" s="95"/>
      <c r="X147" s="95"/>
      <c r="Y147" s="95"/>
      <c r="Z147" s="95"/>
    </row>
    <row r="148" spans="2:26" ht="12.75">
      <c r="B148" s="36"/>
      <c r="C148" s="34"/>
      <c r="D148" s="34"/>
      <c r="E148" s="34"/>
      <c r="F148" s="34"/>
      <c r="G148" s="34"/>
      <c r="H148" s="34"/>
      <c r="I148" s="34"/>
      <c r="J148" s="34"/>
      <c r="K148" s="34"/>
      <c r="L148" s="34"/>
      <c r="M148" s="34"/>
      <c r="N148" s="34"/>
      <c r="O148" s="34"/>
      <c r="P148" s="34"/>
      <c r="Q148" s="34"/>
      <c r="R148" s="34"/>
      <c r="S148" s="95"/>
      <c r="T148" s="95"/>
      <c r="U148" s="95"/>
      <c r="V148" s="95"/>
      <c r="W148" s="95"/>
      <c r="X148" s="95"/>
      <c r="Y148" s="95"/>
      <c r="Z148" s="95"/>
    </row>
    <row r="149" spans="3:25" ht="12.75">
      <c r="C149" s="66" t="s">
        <v>96</v>
      </c>
      <c r="D149" s="34"/>
      <c r="E149" s="34"/>
      <c r="F149" s="34"/>
      <c r="G149" s="34"/>
      <c r="H149" s="34"/>
      <c r="I149" s="34"/>
      <c r="J149" s="34"/>
      <c r="K149" s="34"/>
      <c r="L149" s="34"/>
      <c r="M149" s="34"/>
      <c r="N149" s="34"/>
      <c r="O149" s="34"/>
      <c r="P149" s="34"/>
      <c r="Q149" s="34"/>
      <c r="R149" s="34"/>
      <c r="S149" t="s">
        <v>130</v>
      </c>
      <c r="T149" t="s">
        <v>131</v>
      </c>
      <c r="U149" t="s">
        <v>106</v>
      </c>
      <c r="V149" t="s">
        <v>132</v>
      </c>
      <c r="W149" t="s">
        <v>108</v>
      </c>
      <c r="X149" t="s">
        <v>133</v>
      </c>
      <c r="Y149" t="s">
        <v>134</v>
      </c>
    </row>
    <row r="150" spans="3:18" ht="12.75">
      <c r="C150" s="34"/>
      <c r="D150" s="34" t="s">
        <v>103</v>
      </c>
      <c r="E150" s="34"/>
      <c r="F150" s="34"/>
      <c r="G150" s="34"/>
      <c r="H150" s="34"/>
      <c r="I150" s="34"/>
      <c r="J150" s="34"/>
      <c r="K150" s="34"/>
      <c r="L150" s="34"/>
      <c r="M150" s="34"/>
      <c r="N150" s="34"/>
      <c r="O150" s="34"/>
      <c r="P150" s="34"/>
      <c r="Q150" s="34"/>
      <c r="R150" s="34"/>
    </row>
    <row r="151" spans="3:18" ht="12.75">
      <c r="C151" s="34"/>
      <c r="D151" s="34"/>
      <c r="E151" s="34"/>
      <c r="F151" s="34"/>
      <c r="G151" s="34"/>
      <c r="H151" s="34"/>
      <c r="I151" s="34"/>
      <c r="J151" s="34"/>
      <c r="K151" s="34"/>
      <c r="L151" s="34"/>
      <c r="M151" s="34"/>
      <c r="N151" s="34"/>
      <c r="O151" s="34"/>
      <c r="P151" s="34"/>
      <c r="Q151" s="34"/>
      <c r="R151" s="34"/>
    </row>
    <row r="152" spans="3:18" ht="12.75">
      <c r="C152" s="34"/>
      <c r="D152" s="34"/>
      <c r="E152" s="34"/>
      <c r="F152" s="34"/>
      <c r="G152" s="34"/>
      <c r="H152" s="34"/>
      <c r="I152" s="34"/>
      <c r="J152" s="34"/>
      <c r="K152" s="34"/>
      <c r="L152" s="34"/>
      <c r="M152" s="34"/>
      <c r="N152" s="34"/>
      <c r="O152" s="34"/>
      <c r="P152" s="34"/>
      <c r="Q152" s="34"/>
      <c r="R152" s="34"/>
    </row>
    <row r="153" spans="3:18" ht="12.75">
      <c r="C153" s="34"/>
      <c r="D153" s="34" t="s">
        <v>100</v>
      </c>
      <c r="E153" s="34"/>
      <c r="F153" s="34"/>
      <c r="G153" s="34"/>
      <c r="H153" s="34"/>
      <c r="I153" s="34"/>
      <c r="J153" s="34"/>
      <c r="K153" s="34"/>
      <c r="L153" s="34"/>
      <c r="M153" s="34"/>
      <c r="N153" s="34"/>
      <c r="O153" s="34"/>
      <c r="P153" s="34"/>
      <c r="Q153" s="34"/>
      <c r="R153" s="34"/>
    </row>
    <row r="154" spans="3:18" ht="12.75">
      <c r="C154" s="47" t="s">
        <v>101</v>
      </c>
      <c r="D154" s="34" t="s">
        <v>102</v>
      </c>
      <c r="E154" s="34"/>
      <c r="F154" s="34"/>
      <c r="G154" s="34"/>
      <c r="H154" s="34"/>
      <c r="I154" s="34"/>
      <c r="J154" s="34"/>
      <c r="K154" s="34"/>
      <c r="L154" s="34"/>
      <c r="M154" s="34"/>
      <c r="N154" s="34"/>
      <c r="O154" s="34"/>
      <c r="P154" s="34"/>
      <c r="Q154" s="34"/>
      <c r="R154" s="34"/>
    </row>
    <row r="155" spans="3:18" ht="12.75">
      <c r="C155" s="34"/>
      <c r="D155" s="34"/>
      <c r="E155" s="34"/>
      <c r="F155" s="34"/>
      <c r="G155" s="34"/>
      <c r="H155" s="34"/>
      <c r="I155" s="34"/>
      <c r="J155" s="34"/>
      <c r="K155" s="34"/>
      <c r="L155" s="34"/>
      <c r="M155" s="34"/>
      <c r="N155" s="34"/>
      <c r="O155" s="34"/>
      <c r="P155" s="34"/>
      <c r="Q155" s="34"/>
      <c r="R155" s="34"/>
    </row>
    <row r="156" spans="3:18" ht="12.75">
      <c r="C156" s="34"/>
      <c r="D156" s="34"/>
      <c r="E156" s="34"/>
      <c r="F156" s="34"/>
      <c r="G156" s="34"/>
      <c r="H156" s="34"/>
      <c r="I156" s="34"/>
      <c r="J156" s="34"/>
      <c r="K156" s="34"/>
      <c r="L156" s="34"/>
      <c r="M156" s="34"/>
      <c r="N156" s="34"/>
      <c r="O156" s="34"/>
      <c r="P156" s="34"/>
      <c r="Q156" s="34"/>
      <c r="R156" s="34"/>
    </row>
    <row r="157" spans="3:18" ht="12.75">
      <c r="C157" s="34"/>
      <c r="D157" s="34"/>
      <c r="E157" s="34"/>
      <c r="F157" s="34"/>
      <c r="G157" s="34"/>
      <c r="H157" s="34"/>
      <c r="I157" s="34"/>
      <c r="J157" s="34"/>
      <c r="K157" s="34"/>
      <c r="L157" s="34"/>
      <c r="M157" s="34"/>
      <c r="N157" s="34"/>
      <c r="O157" s="34"/>
      <c r="P157" s="34"/>
      <c r="Q157" s="34"/>
      <c r="R157" s="34"/>
    </row>
    <row r="158" spans="1:18" ht="102">
      <c r="A158" s="90" t="s">
        <v>122</v>
      </c>
      <c r="C158" s="32"/>
      <c r="D158" s="32"/>
      <c r="E158" s="32"/>
      <c r="F158" s="32"/>
      <c r="G158" s="32"/>
      <c r="H158" s="32"/>
      <c r="I158" s="32"/>
      <c r="J158" s="32"/>
      <c r="K158" s="32"/>
      <c r="L158" s="32"/>
      <c r="M158" s="32"/>
      <c r="N158" s="32"/>
      <c r="O158" s="32"/>
      <c r="P158" s="32"/>
      <c r="Q158" s="32"/>
      <c r="R158" s="32"/>
    </row>
    <row r="159" spans="1:18" ht="12.75">
      <c r="A159" s="86">
        <v>2004</v>
      </c>
      <c r="B159" s="87" t="s">
        <v>55</v>
      </c>
      <c r="C159" s="88">
        <v>7411.9219191950815</v>
      </c>
      <c r="D159" s="88">
        <v>473.08871684679997</v>
      </c>
      <c r="E159" s="88">
        <v>122.84314911613147</v>
      </c>
      <c r="F159" s="88">
        <v>6815.99005323215</v>
      </c>
      <c r="G159" s="88">
        <v>181.864860269993</v>
      </c>
      <c r="H159" s="88">
        <v>53.61382463166509</v>
      </c>
      <c r="I159" s="88">
        <v>320.69573352822</v>
      </c>
      <c r="J159" s="88">
        <v>1964.2565440400685</v>
      </c>
      <c r="K159" s="88">
        <v>373.91956763229416</v>
      </c>
      <c r="L159" s="88">
        <v>447.0229095816575</v>
      </c>
      <c r="M159" s="88">
        <v>2323.2124858994034</v>
      </c>
      <c r="N159" s="88">
        <v>862.7689309802797</v>
      </c>
      <c r="O159" s="88">
        <v>67.22361899999999</v>
      </c>
      <c r="P159" s="88">
        <v>69.96228057289528</v>
      </c>
      <c r="Q159" s="32"/>
      <c r="R159" s="32"/>
    </row>
    <row r="160" spans="1:18" ht="16.5" customHeight="1">
      <c r="A160" s="86">
        <v>2004</v>
      </c>
      <c r="B160" s="87" t="s">
        <v>56</v>
      </c>
      <c r="C160" s="88">
        <v>6894.275623158559</v>
      </c>
      <c r="D160" s="88">
        <v>401.0867135201112</v>
      </c>
      <c r="E160" s="88">
        <v>45.88137988120038</v>
      </c>
      <c r="F160" s="88">
        <v>6447.307529757248</v>
      </c>
      <c r="G160" s="88">
        <v>143.69653273022845</v>
      </c>
      <c r="H160" s="88">
        <v>24.319610747818576</v>
      </c>
      <c r="I160" s="88">
        <v>222.3356356161135</v>
      </c>
      <c r="J160" s="88">
        <v>1769.6418596907156</v>
      </c>
      <c r="K160" s="88">
        <v>343.01234594895743</v>
      </c>
      <c r="L160" s="88">
        <v>391.46425650707704</v>
      </c>
      <c r="M160" s="88">
        <v>2059.5980651326727</v>
      </c>
      <c r="N160" s="88">
        <v>1043.399510615048</v>
      </c>
      <c r="O160" s="88">
        <v>38.89365215119483</v>
      </c>
      <c r="P160" s="88">
        <v>192.4881194236243</v>
      </c>
      <c r="Q160" s="32"/>
      <c r="R160" s="32"/>
    </row>
    <row r="161" spans="1:18" ht="15" customHeight="1">
      <c r="A161" s="86">
        <v>2004</v>
      </c>
      <c r="B161" s="87" t="s">
        <v>57</v>
      </c>
      <c r="C161" s="88">
        <v>7543.974521847274</v>
      </c>
      <c r="D161" s="88">
        <v>471.72770584679995</v>
      </c>
      <c r="E161" s="88">
        <v>49.12987706025131</v>
      </c>
      <c r="F161" s="88">
        <v>7023.116938940223</v>
      </c>
      <c r="G161" s="88">
        <v>178.53040974856995</v>
      </c>
      <c r="H161" s="88">
        <v>49.63667199906391</v>
      </c>
      <c r="I161" s="88">
        <v>291.57422646164974</v>
      </c>
      <c r="J161" s="88">
        <v>2049.872042652553</v>
      </c>
      <c r="K161" s="88">
        <v>426.9425884956035</v>
      </c>
      <c r="L161" s="88">
        <v>389.0538406906578</v>
      </c>
      <c r="M161" s="88">
        <v>2403.877096058508</v>
      </c>
      <c r="N161" s="88">
        <v>841.9888939571606</v>
      </c>
      <c r="O161" s="88">
        <v>52.696811000000004</v>
      </c>
      <c r="P161" s="88">
        <v>137.9967949486653</v>
      </c>
      <c r="Q161" s="32"/>
      <c r="R161" s="32"/>
    </row>
    <row r="162" spans="1:27" ht="12.75">
      <c r="A162" s="86">
        <v>2004</v>
      </c>
      <c r="B162" s="87" t="s">
        <v>58</v>
      </c>
      <c r="C162" s="88">
        <v>7609.544560014472</v>
      </c>
      <c r="D162" s="88">
        <v>468.56645684679995</v>
      </c>
      <c r="E162" s="88">
        <v>-19.542973776643166</v>
      </c>
      <c r="F162" s="88">
        <v>7160.521076944316</v>
      </c>
      <c r="G162" s="88">
        <v>248.95957955389218</v>
      </c>
      <c r="H162" s="88">
        <v>47.03685618773852</v>
      </c>
      <c r="I162" s="88">
        <v>287.20344351953685</v>
      </c>
      <c r="J162" s="88">
        <v>2031.3840082253032</v>
      </c>
      <c r="K162" s="88">
        <v>494.321738872256</v>
      </c>
      <c r="L162" s="88">
        <v>339.37276970840225</v>
      </c>
      <c r="M162" s="88">
        <v>2393.072472597607</v>
      </c>
      <c r="N162" s="88">
        <v>872.1282448949553</v>
      </c>
      <c r="O162" s="88">
        <v>91.28571400000001</v>
      </c>
      <c r="P162" s="88">
        <v>182.15332546940567</v>
      </c>
      <c r="Q162" s="34"/>
      <c r="R162" s="34"/>
      <c r="S162" s="74"/>
      <c r="T162" s="74"/>
      <c r="U162" s="74"/>
      <c r="V162" s="74"/>
      <c r="W162" s="74"/>
      <c r="X162" s="74"/>
      <c r="Y162" s="74"/>
      <c r="Z162" s="73"/>
      <c r="AA162" s="14"/>
    </row>
    <row r="163" spans="1:27" ht="12.75">
      <c r="A163" s="86">
        <v>2004</v>
      </c>
      <c r="B163" s="87" t="s">
        <v>59</v>
      </c>
      <c r="C163" s="88">
        <v>7834.358905028355</v>
      </c>
      <c r="D163" s="88">
        <v>473.104841</v>
      </c>
      <c r="E163" s="88">
        <v>16.330198160835543</v>
      </c>
      <c r="F163" s="88">
        <v>7344.923865867519</v>
      </c>
      <c r="G163" s="88">
        <v>258.23758576661623</v>
      </c>
      <c r="H163" s="88">
        <v>30.191917065939734</v>
      </c>
      <c r="I163" s="88">
        <v>275.25548755426917</v>
      </c>
      <c r="J163" s="88">
        <v>2186.2860921638503</v>
      </c>
      <c r="K163" s="88">
        <v>557.1242717314149</v>
      </c>
      <c r="L163" s="88">
        <v>274.187940455498</v>
      </c>
      <c r="M163" s="88">
        <v>2347.9689289802413</v>
      </c>
      <c r="N163" s="88">
        <v>929.8155501620104</v>
      </c>
      <c r="O163" s="88">
        <v>91.934</v>
      </c>
      <c r="P163" s="88">
        <v>196.487113963039</v>
      </c>
      <c r="Q163" s="34"/>
      <c r="R163" s="34"/>
      <c r="S163" s="74"/>
      <c r="T163" s="74"/>
      <c r="U163" s="74"/>
      <c r="V163" s="74"/>
      <c r="W163" s="74"/>
      <c r="X163" s="74"/>
      <c r="Y163" s="74"/>
      <c r="Z163" s="73"/>
      <c r="AA163" s="14"/>
    </row>
    <row r="164" spans="1:27" ht="12.75">
      <c r="A164" s="86">
        <v>2004</v>
      </c>
      <c r="B164" s="87" t="s">
        <v>60</v>
      </c>
      <c r="C164" s="88">
        <v>7238.857518895272</v>
      </c>
      <c r="D164" s="88">
        <v>459.745146</v>
      </c>
      <c r="E164" s="88">
        <v>76.77342210593075</v>
      </c>
      <c r="F164" s="88">
        <v>6702.338950789342</v>
      </c>
      <c r="G164" s="88">
        <v>229.74897511278</v>
      </c>
      <c r="H164" s="88">
        <v>27.739460410601904</v>
      </c>
      <c r="I164" s="88">
        <v>165.584872105644</v>
      </c>
      <c r="J164" s="88">
        <v>2129.532184248102</v>
      </c>
      <c r="K164" s="88">
        <v>582.0836895803358</v>
      </c>
      <c r="L164" s="88">
        <v>186.4859554182092</v>
      </c>
      <c r="M164" s="88">
        <v>2269.9740659768163</v>
      </c>
      <c r="N164" s="88">
        <v>825.1449575487259</v>
      </c>
      <c r="O164" s="88">
        <v>79.719</v>
      </c>
      <c r="P164" s="88">
        <v>206.60578439425052</v>
      </c>
      <c r="Q164" s="34"/>
      <c r="R164" s="34"/>
      <c r="S164" s="74"/>
      <c r="T164" s="74"/>
      <c r="U164" s="74"/>
      <c r="V164" s="74"/>
      <c r="W164" s="74"/>
      <c r="X164" s="74"/>
      <c r="Y164" s="74"/>
      <c r="Z164" s="73"/>
      <c r="AA164" s="14"/>
    </row>
    <row r="165" spans="1:27" ht="12.75">
      <c r="A165" s="86">
        <v>2004</v>
      </c>
      <c r="B165" s="87" t="s">
        <v>61</v>
      </c>
      <c r="C165" s="88">
        <v>8002.225878682202</v>
      </c>
      <c r="D165" s="88">
        <v>488.8300309999999</v>
      </c>
      <c r="E165" s="88">
        <v>-24.662527476911432</v>
      </c>
      <c r="F165" s="88">
        <v>7538.058375159114</v>
      </c>
      <c r="G165" s="88">
        <v>252.05212109480752</v>
      </c>
      <c r="H165" s="88">
        <v>26.177848459115353</v>
      </c>
      <c r="I165" s="88">
        <v>262.0400021910275</v>
      </c>
      <c r="J165" s="88">
        <v>2116.075723864071</v>
      </c>
      <c r="K165" s="88">
        <v>639.9452083876898</v>
      </c>
      <c r="L165" s="88">
        <v>146.88985306796627</v>
      </c>
      <c r="M165" s="88">
        <v>2590.733952005508</v>
      </c>
      <c r="N165" s="88">
        <v>1076.1751005138537</v>
      </c>
      <c r="O165" s="88">
        <v>62.61</v>
      </c>
      <c r="P165" s="88">
        <v>271.6569158110883</v>
      </c>
      <c r="Q165" s="34"/>
      <c r="R165" s="34"/>
      <c r="S165" s="74"/>
      <c r="T165" s="74"/>
      <c r="U165" s="74"/>
      <c r="V165" s="74"/>
      <c r="W165" s="74"/>
      <c r="X165" s="74"/>
      <c r="Y165" s="74"/>
      <c r="Z165" s="73"/>
      <c r="AA165" s="14"/>
    </row>
    <row r="166" spans="1:27" ht="12.75">
      <c r="A166" s="86">
        <v>2004</v>
      </c>
      <c r="B166" s="87" t="s">
        <v>62</v>
      </c>
      <c r="C166" s="88">
        <v>7937.275755618144</v>
      </c>
      <c r="D166" s="88">
        <v>483.17764300000005</v>
      </c>
      <c r="E166" s="88">
        <v>31.536799563793465</v>
      </c>
      <c r="F166" s="88">
        <v>7422.561313054351</v>
      </c>
      <c r="G166" s="88">
        <v>217.14848874059857</v>
      </c>
      <c r="H166" s="88">
        <v>25.711089693821894</v>
      </c>
      <c r="I166" s="88">
        <v>263.67510585528214</v>
      </c>
      <c r="J166" s="88">
        <v>2101.9514675522805</v>
      </c>
      <c r="K166" s="88">
        <v>559.3022164140687</v>
      </c>
      <c r="L166" s="88">
        <v>177.18702778489094</v>
      </c>
      <c r="M166" s="88">
        <v>2700.6929208596257</v>
      </c>
      <c r="N166" s="88">
        <v>1005.718437200689</v>
      </c>
      <c r="O166" s="88">
        <v>88.335</v>
      </c>
      <c r="P166" s="88">
        <v>232.35163552361394</v>
      </c>
      <c r="Q166" s="34"/>
      <c r="R166" s="34"/>
      <c r="S166" s="74"/>
      <c r="T166" s="74"/>
      <c r="U166" s="74"/>
      <c r="V166" s="74"/>
      <c r="W166" s="74"/>
      <c r="X166" s="74"/>
      <c r="Y166" s="74"/>
      <c r="Z166" s="73"/>
      <c r="AA166" s="14"/>
    </row>
    <row r="167" spans="1:18" ht="12.75">
      <c r="A167" s="86">
        <v>2004</v>
      </c>
      <c r="B167" s="87" t="s">
        <v>63</v>
      </c>
      <c r="C167" s="88">
        <v>7448.461581186334</v>
      </c>
      <c r="D167" s="88">
        <v>436.47269700000004</v>
      </c>
      <c r="E167" s="88">
        <v>-0.40977374009042977</v>
      </c>
      <c r="F167" s="88">
        <v>7012.398657926425</v>
      </c>
      <c r="G167" s="88">
        <v>175.6980529304351</v>
      </c>
      <c r="H167" s="88">
        <v>28.143792881535603</v>
      </c>
      <c r="I167" s="88">
        <v>241.95795062373375</v>
      </c>
      <c r="J167" s="88">
        <v>1926.9960612113218</v>
      </c>
      <c r="K167" s="88">
        <v>445.6009791702638</v>
      </c>
      <c r="L167" s="88">
        <v>235.79080762390464</v>
      </c>
      <c r="M167" s="88">
        <v>2474.12407536938</v>
      </c>
      <c r="N167" s="88">
        <v>1107.9412149508028</v>
      </c>
      <c r="O167" s="88">
        <v>71.383</v>
      </c>
      <c r="P167" s="88">
        <v>198.78192813141683</v>
      </c>
      <c r="Q167" s="32"/>
      <c r="R167" s="32"/>
    </row>
    <row r="168" spans="1:18" ht="12.75">
      <c r="A168" s="86">
        <v>2004</v>
      </c>
      <c r="B168" s="87" t="s">
        <v>64</v>
      </c>
      <c r="C168" s="88">
        <v>7758.923250904393</v>
      </c>
      <c r="D168" s="88">
        <v>457.28737700000005</v>
      </c>
      <c r="E168" s="88">
        <v>-34.19468707162887</v>
      </c>
      <c r="F168" s="88">
        <v>7335.830560976022</v>
      </c>
      <c r="G168" s="88">
        <v>168.32120095261465</v>
      </c>
      <c r="H168" s="88">
        <v>25.322538349274243</v>
      </c>
      <c r="I168" s="88">
        <v>280.07923124312595</v>
      </c>
      <c r="J168" s="88">
        <v>2089.2898637281255</v>
      </c>
      <c r="K168" s="88">
        <v>451.71545454356516</v>
      </c>
      <c r="L168" s="88">
        <v>300.609415759998</v>
      </c>
      <c r="M168" s="88">
        <v>2554.8288718467597</v>
      </c>
      <c r="N168" s="88">
        <v>996.419448113513</v>
      </c>
      <c r="O168" s="88">
        <v>80.78</v>
      </c>
      <c r="P168" s="88">
        <v>173.3241570841889</v>
      </c>
      <c r="Q168" s="32"/>
      <c r="R168" s="32"/>
    </row>
    <row r="169" spans="1:18" ht="12.75">
      <c r="A169" s="86">
        <v>2004</v>
      </c>
      <c r="B169" s="87" t="s">
        <v>65</v>
      </c>
      <c r="C169" s="88">
        <v>7633.077977927847</v>
      </c>
      <c r="D169" s="88">
        <v>460.635889</v>
      </c>
      <c r="E169" s="88">
        <v>-4.267678195315413</v>
      </c>
      <c r="F169" s="88">
        <v>7176.709767123163</v>
      </c>
      <c r="G169" s="88">
        <v>155.30850806598517</v>
      </c>
      <c r="H169" s="88">
        <v>27.253713233227494</v>
      </c>
      <c r="I169" s="88">
        <v>304.51484251664255</v>
      </c>
      <c r="J169" s="88">
        <v>2056.390712474212</v>
      </c>
      <c r="K169" s="88">
        <v>396.5500180135891</v>
      </c>
      <c r="L169" s="88">
        <v>339.49366739950773</v>
      </c>
      <c r="M169" s="88">
        <v>2665.550226076827</v>
      </c>
      <c r="N169" s="88">
        <v>905.0502866858105</v>
      </c>
      <c r="O169" s="88">
        <v>92.364</v>
      </c>
      <c r="P169" s="88">
        <v>199.97977002053386</v>
      </c>
      <c r="Q169" s="32"/>
      <c r="R169" s="32"/>
    </row>
    <row r="170" spans="1:18" ht="13.5" thickBot="1">
      <c r="A170" s="89">
        <v>2004</v>
      </c>
      <c r="B170" s="87" t="s">
        <v>66</v>
      </c>
      <c r="C170" s="88">
        <v>7908</v>
      </c>
      <c r="D170" s="88">
        <v>487</v>
      </c>
      <c r="E170" s="88">
        <v>41</v>
      </c>
      <c r="F170" s="88">
        <v>7379</v>
      </c>
      <c r="G170" s="88">
        <v>173</v>
      </c>
      <c r="H170" s="88">
        <v>40</v>
      </c>
      <c r="I170" s="88">
        <v>359</v>
      </c>
      <c r="J170" s="88">
        <v>2168</v>
      </c>
      <c r="K170" s="88">
        <v>344</v>
      </c>
      <c r="L170" s="88">
        <v>398</v>
      </c>
      <c r="M170" s="88">
        <v>2639</v>
      </c>
      <c r="N170" s="88">
        <v>956</v>
      </c>
      <c r="O170" s="88">
        <v>85</v>
      </c>
      <c r="P170" s="88">
        <v>134</v>
      </c>
      <c r="Q170" s="32"/>
      <c r="R170" s="32"/>
    </row>
    <row r="171" spans="2:18" ht="12.75">
      <c r="B171" s="36"/>
      <c r="C171" s="32"/>
      <c r="D171" s="32"/>
      <c r="E171" s="32"/>
      <c r="F171" s="32"/>
      <c r="G171" s="32"/>
      <c r="H171" s="32"/>
      <c r="I171" s="32"/>
      <c r="J171" s="32"/>
      <c r="K171" s="32"/>
      <c r="L171" s="32"/>
      <c r="M171" s="32"/>
      <c r="N171" s="32"/>
      <c r="O171" s="32"/>
      <c r="P171" s="32"/>
      <c r="Q171" s="32"/>
      <c r="R171" s="32"/>
    </row>
    <row r="172" spans="2:18" ht="12">
      <c r="B172" s="36"/>
      <c r="C172" s="32"/>
      <c r="D172" s="32"/>
      <c r="E172" s="32"/>
      <c r="F172" s="32"/>
      <c r="G172" s="32"/>
      <c r="H172" s="32"/>
      <c r="I172" s="32"/>
      <c r="J172" s="32"/>
      <c r="K172" s="32"/>
      <c r="L172" s="32"/>
      <c r="M172" s="32"/>
      <c r="N172" s="32"/>
      <c r="O172" s="32"/>
      <c r="P172" s="32"/>
      <c r="Q172" s="32"/>
      <c r="R172" s="32"/>
    </row>
    <row r="173" spans="2:18" ht="12">
      <c r="B173" s="36"/>
      <c r="C173" s="32"/>
      <c r="D173" s="32"/>
      <c r="E173" s="32"/>
      <c r="F173" s="32"/>
      <c r="G173" s="32"/>
      <c r="H173" s="32"/>
      <c r="I173" s="32"/>
      <c r="J173" s="32"/>
      <c r="K173" s="32"/>
      <c r="L173" s="32"/>
      <c r="M173" s="32"/>
      <c r="N173" s="32"/>
      <c r="O173" s="32"/>
      <c r="P173" s="32"/>
      <c r="Q173" s="32"/>
      <c r="R173" s="32"/>
    </row>
    <row r="174" spans="2:18" ht="12">
      <c r="B174" s="36"/>
      <c r="C174" s="32"/>
      <c r="D174" s="32"/>
      <c r="E174" s="32"/>
      <c r="F174" s="32"/>
      <c r="G174" s="32"/>
      <c r="H174" s="32"/>
      <c r="I174" s="32"/>
      <c r="J174" s="32"/>
      <c r="K174" s="32"/>
      <c r="L174" s="32"/>
      <c r="M174" s="32"/>
      <c r="N174" s="32"/>
      <c r="O174" s="32"/>
      <c r="P174" s="32"/>
      <c r="Q174" s="32"/>
      <c r="R174" s="32"/>
    </row>
    <row r="175" spans="3:18" ht="12">
      <c r="C175" s="32"/>
      <c r="D175" s="32"/>
      <c r="E175" s="32"/>
      <c r="F175" s="32"/>
      <c r="G175" s="32"/>
      <c r="H175" s="32"/>
      <c r="I175" s="32"/>
      <c r="J175" s="32"/>
      <c r="K175" s="32"/>
      <c r="L175" s="32"/>
      <c r="M175" s="32"/>
      <c r="N175" s="32"/>
      <c r="O175" s="32"/>
      <c r="P175" s="32"/>
      <c r="Q175" s="32"/>
      <c r="R175" s="32"/>
    </row>
    <row r="176" spans="3:18" ht="12">
      <c r="C176" s="32"/>
      <c r="D176" s="32"/>
      <c r="E176" s="32"/>
      <c r="F176" s="32"/>
      <c r="G176" s="32"/>
      <c r="H176" s="32"/>
      <c r="I176" s="32"/>
      <c r="J176" s="32"/>
      <c r="K176" s="32"/>
      <c r="L176" s="32"/>
      <c r="M176" s="32"/>
      <c r="N176" s="32"/>
      <c r="O176" s="32"/>
      <c r="P176" s="32"/>
      <c r="Q176" s="32"/>
      <c r="R176" s="32"/>
    </row>
    <row r="177" spans="3:18" ht="12">
      <c r="C177" s="32"/>
      <c r="D177" s="32"/>
      <c r="E177" s="32"/>
      <c r="F177" s="32"/>
      <c r="G177" s="32"/>
      <c r="H177" s="32"/>
      <c r="I177" s="32"/>
      <c r="J177" s="32"/>
      <c r="K177" s="32"/>
      <c r="L177" s="32"/>
      <c r="M177" s="32"/>
      <c r="N177" s="32"/>
      <c r="O177" s="32"/>
      <c r="P177" s="32"/>
      <c r="Q177" s="32"/>
      <c r="R177" s="32"/>
    </row>
    <row r="178" spans="3:18" ht="12">
      <c r="C178" s="32"/>
      <c r="D178" s="32"/>
      <c r="E178" s="32"/>
      <c r="F178" s="32"/>
      <c r="G178" s="32"/>
      <c r="H178" s="32"/>
      <c r="I178" s="32"/>
      <c r="J178" s="32"/>
      <c r="K178" s="32"/>
      <c r="L178" s="32"/>
      <c r="M178" s="32"/>
      <c r="N178" s="32"/>
      <c r="O178" s="32"/>
      <c r="P178" s="32"/>
      <c r="Q178" s="32"/>
      <c r="R178" s="32"/>
    </row>
    <row r="179" spans="3:18" ht="12">
      <c r="C179" s="32"/>
      <c r="D179" s="32"/>
      <c r="E179" s="32"/>
      <c r="F179" s="32"/>
      <c r="G179" s="32"/>
      <c r="H179" s="32"/>
      <c r="I179" s="32"/>
      <c r="J179" s="32"/>
      <c r="K179" s="32"/>
      <c r="L179" s="32"/>
      <c r="M179" s="32"/>
      <c r="N179" s="32"/>
      <c r="O179" s="32"/>
      <c r="P179" s="32"/>
      <c r="Q179" s="32"/>
      <c r="R179" s="32"/>
    </row>
    <row r="180" spans="3:18" ht="12">
      <c r="C180" s="32"/>
      <c r="D180" s="32"/>
      <c r="E180" s="32"/>
      <c r="F180" s="32"/>
      <c r="G180" s="32"/>
      <c r="H180" s="32"/>
      <c r="I180" s="32"/>
      <c r="J180" s="32"/>
      <c r="K180" s="32"/>
      <c r="L180" s="32"/>
      <c r="M180" s="32"/>
      <c r="N180" s="32"/>
      <c r="O180" s="32"/>
      <c r="P180" s="32"/>
      <c r="Q180" s="32"/>
      <c r="R180" s="32"/>
    </row>
    <row r="181" spans="3:18" ht="12">
      <c r="C181" s="32"/>
      <c r="D181" s="32"/>
      <c r="E181" s="32"/>
      <c r="F181" s="32"/>
      <c r="G181" s="32"/>
      <c r="H181" s="32"/>
      <c r="I181" s="32"/>
      <c r="J181" s="32"/>
      <c r="K181" s="32"/>
      <c r="L181" s="32"/>
      <c r="M181" s="32"/>
      <c r="N181" s="32"/>
      <c r="O181" s="32"/>
      <c r="P181" s="32"/>
      <c r="Q181" s="32"/>
      <c r="R181" s="32"/>
    </row>
    <row r="182" spans="3:18" ht="12">
      <c r="C182" s="32"/>
      <c r="D182" s="32"/>
      <c r="E182" s="32"/>
      <c r="F182" s="32"/>
      <c r="G182" s="32"/>
      <c r="H182" s="32"/>
      <c r="I182" s="32"/>
      <c r="J182" s="32"/>
      <c r="K182" s="32"/>
      <c r="L182" s="32"/>
      <c r="M182" s="32"/>
      <c r="N182" s="32"/>
      <c r="O182" s="32"/>
      <c r="P182" s="32"/>
      <c r="Q182" s="32"/>
      <c r="R182" s="32"/>
    </row>
    <row r="183" spans="3:18" ht="12">
      <c r="C183" s="32"/>
      <c r="D183" s="32"/>
      <c r="E183" s="32"/>
      <c r="F183" s="32"/>
      <c r="G183" s="32"/>
      <c r="H183" s="32"/>
      <c r="I183" s="32"/>
      <c r="J183" s="32"/>
      <c r="K183" s="32"/>
      <c r="L183" s="32"/>
      <c r="M183" s="32"/>
      <c r="N183" s="32"/>
      <c r="O183" s="32"/>
      <c r="P183" s="32"/>
      <c r="Q183" s="32"/>
      <c r="R183" s="32"/>
    </row>
    <row r="184" spans="3:18" ht="12">
      <c r="C184" s="32"/>
      <c r="D184" s="32"/>
      <c r="E184" s="32"/>
      <c r="F184" s="32"/>
      <c r="G184" s="32"/>
      <c r="H184" s="32"/>
      <c r="I184" s="32"/>
      <c r="J184" s="32"/>
      <c r="K184" s="32"/>
      <c r="L184" s="32"/>
      <c r="M184" s="32"/>
      <c r="N184" s="32"/>
      <c r="O184" s="32"/>
      <c r="P184" s="32"/>
      <c r="Q184" s="32"/>
      <c r="R184" s="32"/>
    </row>
    <row r="185" spans="3:18" ht="12">
      <c r="C185" s="32"/>
      <c r="D185" s="32"/>
      <c r="E185" s="32"/>
      <c r="F185" s="32"/>
      <c r="G185" s="32"/>
      <c r="H185" s="32"/>
      <c r="I185" s="32"/>
      <c r="J185" s="32"/>
      <c r="K185" s="32"/>
      <c r="L185" s="32"/>
      <c r="M185" s="32"/>
      <c r="N185" s="32"/>
      <c r="O185" s="32"/>
      <c r="P185" s="32"/>
      <c r="Q185" s="32"/>
      <c r="R185" s="32"/>
    </row>
    <row r="186" spans="3:18" ht="12">
      <c r="C186" s="32"/>
      <c r="D186" s="32"/>
      <c r="E186" s="32"/>
      <c r="F186" s="32"/>
      <c r="G186" s="32"/>
      <c r="H186" s="32"/>
      <c r="I186" s="32"/>
      <c r="J186" s="32"/>
      <c r="K186" s="32"/>
      <c r="L186" s="32"/>
      <c r="M186" s="32"/>
      <c r="N186" s="32"/>
      <c r="O186" s="32"/>
      <c r="P186" s="32"/>
      <c r="Q186" s="32"/>
      <c r="R186" s="32"/>
    </row>
    <row r="187" spans="3:18" ht="12">
      <c r="C187" s="32"/>
      <c r="D187" s="32"/>
      <c r="E187" s="32"/>
      <c r="F187" s="32"/>
      <c r="G187" s="32"/>
      <c r="H187" s="32"/>
      <c r="I187" s="32"/>
      <c r="J187" s="32"/>
      <c r="K187" s="32"/>
      <c r="L187" s="32"/>
      <c r="M187" s="32"/>
      <c r="N187" s="32"/>
      <c r="O187" s="32"/>
      <c r="P187" s="32"/>
      <c r="Q187" s="32"/>
      <c r="R187" s="32"/>
    </row>
    <row r="188" spans="3:18" ht="12">
      <c r="C188" s="32"/>
      <c r="D188" s="32"/>
      <c r="E188" s="32"/>
      <c r="F188" s="32"/>
      <c r="G188" s="32"/>
      <c r="H188" s="32"/>
      <c r="I188" s="32"/>
      <c r="J188" s="32"/>
      <c r="K188" s="32"/>
      <c r="L188" s="32"/>
      <c r="M188" s="32"/>
      <c r="N188" s="32"/>
      <c r="O188" s="32"/>
      <c r="P188" s="32"/>
      <c r="Q188" s="32"/>
      <c r="R188" s="32"/>
    </row>
    <row r="189" spans="3:18" ht="12">
      <c r="C189" s="32"/>
      <c r="D189" s="32"/>
      <c r="E189" s="32"/>
      <c r="F189" s="32"/>
      <c r="G189" s="32"/>
      <c r="H189" s="32"/>
      <c r="I189" s="32"/>
      <c r="J189" s="32"/>
      <c r="K189" s="32"/>
      <c r="L189" s="32"/>
      <c r="M189" s="32"/>
      <c r="N189" s="32"/>
      <c r="O189" s="32"/>
      <c r="P189" s="32"/>
      <c r="Q189" s="32"/>
      <c r="R189" s="32"/>
    </row>
    <row r="190" spans="3:18" ht="12">
      <c r="C190" s="32"/>
      <c r="D190" s="32"/>
      <c r="E190" s="32"/>
      <c r="F190" s="32"/>
      <c r="G190" s="32"/>
      <c r="H190" s="32"/>
      <c r="I190" s="32"/>
      <c r="J190" s="32"/>
      <c r="K190" s="32"/>
      <c r="L190" s="32"/>
      <c r="M190" s="32"/>
      <c r="N190" s="32"/>
      <c r="O190" s="32"/>
      <c r="P190" s="32"/>
      <c r="Q190" s="32"/>
      <c r="R190" s="32"/>
    </row>
    <row r="191" spans="3:18" ht="12">
      <c r="C191" s="32"/>
      <c r="D191" s="32"/>
      <c r="E191" s="32"/>
      <c r="F191" s="32"/>
      <c r="G191" s="32"/>
      <c r="H191" s="32"/>
      <c r="I191" s="32"/>
      <c r="J191" s="32"/>
      <c r="K191" s="32"/>
      <c r="L191" s="32"/>
      <c r="M191" s="32"/>
      <c r="N191" s="32"/>
      <c r="O191" s="32"/>
      <c r="P191" s="32"/>
      <c r="Q191" s="32"/>
      <c r="R191" s="32"/>
    </row>
    <row r="192" spans="3:18" ht="12">
      <c r="C192" s="32"/>
      <c r="D192" s="32"/>
      <c r="E192" s="32"/>
      <c r="F192" s="32"/>
      <c r="G192" s="32"/>
      <c r="H192" s="32"/>
      <c r="I192" s="32"/>
      <c r="J192" s="32"/>
      <c r="K192" s="32"/>
      <c r="L192" s="32"/>
      <c r="M192" s="32"/>
      <c r="N192" s="32"/>
      <c r="O192" s="32"/>
      <c r="P192" s="32"/>
      <c r="Q192" s="32"/>
      <c r="R192" s="32"/>
    </row>
    <row r="193" spans="3:18" ht="12">
      <c r="C193" s="32"/>
      <c r="D193" s="32"/>
      <c r="E193" s="32"/>
      <c r="F193" s="32"/>
      <c r="G193" s="32"/>
      <c r="H193" s="32"/>
      <c r="I193" s="32"/>
      <c r="J193" s="32"/>
      <c r="K193" s="32"/>
      <c r="L193" s="32"/>
      <c r="M193" s="32"/>
      <c r="N193" s="32"/>
      <c r="O193" s="32"/>
      <c r="P193" s="32"/>
      <c r="Q193" s="32"/>
      <c r="R193" s="32"/>
    </row>
    <row r="194" spans="3:18" ht="12">
      <c r="C194" s="32"/>
      <c r="D194" s="32"/>
      <c r="E194" s="32"/>
      <c r="F194" s="32"/>
      <c r="G194" s="32"/>
      <c r="H194" s="32"/>
      <c r="I194" s="32"/>
      <c r="J194" s="32"/>
      <c r="K194" s="32"/>
      <c r="L194" s="32"/>
      <c r="M194" s="32"/>
      <c r="N194" s="32"/>
      <c r="O194" s="32"/>
      <c r="P194" s="32"/>
      <c r="Q194" s="32"/>
      <c r="R194" s="32"/>
    </row>
    <row r="195" spans="3:18" ht="12">
      <c r="C195" s="32"/>
      <c r="D195" s="32"/>
      <c r="E195" s="32"/>
      <c r="F195" s="32"/>
      <c r="G195" s="32"/>
      <c r="H195" s="32"/>
      <c r="I195" s="32"/>
      <c r="J195" s="32"/>
      <c r="K195" s="32"/>
      <c r="L195" s="32"/>
      <c r="M195" s="32"/>
      <c r="N195" s="32"/>
      <c r="O195" s="32"/>
      <c r="P195" s="32"/>
      <c r="Q195" s="32"/>
      <c r="R195" s="32"/>
    </row>
    <row r="196" spans="3:18" ht="12">
      <c r="C196" s="32"/>
      <c r="D196" s="32"/>
      <c r="E196" s="32"/>
      <c r="F196" s="32"/>
      <c r="G196" s="32"/>
      <c r="H196" s="32"/>
      <c r="I196" s="32"/>
      <c r="J196" s="32"/>
      <c r="K196" s="32"/>
      <c r="L196" s="32"/>
      <c r="M196" s="32"/>
      <c r="N196" s="32"/>
      <c r="O196" s="32"/>
      <c r="P196" s="32"/>
      <c r="Q196" s="32"/>
      <c r="R196" s="32"/>
    </row>
    <row r="197" spans="3:18" ht="12">
      <c r="C197" s="32"/>
      <c r="D197" s="32"/>
      <c r="E197" s="32"/>
      <c r="F197" s="32"/>
      <c r="G197" s="32"/>
      <c r="H197" s="32"/>
      <c r="I197" s="32"/>
      <c r="J197" s="32"/>
      <c r="K197" s="32"/>
      <c r="L197" s="32"/>
      <c r="M197" s="32"/>
      <c r="N197" s="32"/>
      <c r="O197" s="32"/>
      <c r="P197" s="32"/>
      <c r="Q197" s="32"/>
      <c r="R197" s="32"/>
    </row>
    <row r="198" spans="3:18" ht="12">
      <c r="C198" s="32"/>
      <c r="D198" s="32"/>
      <c r="E198" s="32"/>
      <c r="F198" s="32"/>
      <c r="G198" s="32"/>
      <c r="H198" s="32"/>
      <c r="I198" s="32"/>
      <c r="J198" s="32"/>
      <c r="K198" s="32"/>
      <c r="L198" s="32"/>
      <c r="M198" s="32"/>
      <c r="N198" s="32"/>
      <c r="O198" s="32"/>
      <c r="P198" s="32"/>
      <c r="Q198" s="32"/>
      <c r="R198" s="32"/>
    </row>
    <row r="199" spans="3:18" ht="12">
      <c r="C199" s="32"/>
      <c r="D199" s="32"/>
      <c r="E199" s="32"/>
      <c r="F199" s="32"/>
      <c r="G199" s="32"/>
      <c r="H199" s="32"/>
      <c r="I199" s="32"/>
      <c r="J199" s="32"/>
      <c r="K199" s="32"/>
      <c r="L199" s="32"/>
      <c r="M199" s="32"/>
      <c r="N199" s="32"/>
      <c r="O199" s="32"/>
      <c r="P199" s="32"/>
      <c r="Q199" s="32"/>
      <c r="R199" s="32"/>
    </row>
    <row r="200" spans="3:18" ht="12">
      <c r="C200" s="32"/>
      <c r="D200" s="32"/>
      <c r="E200" s="32"/>
      <c r="F200" s="32"/>
      <c r="G200" s="32"/>
      <c r="H200" s="32"/>
      <c r="I200" s="32"/>
      <c r="J200" s="32"/>
      <c r="K200" s="32"/>
      <c r="L200" s="32"/>
      <c r="M200" s="32"/>
      <c r="N200" s="32"/>
      <c r="O200" s="32"/>
      <c r="P200" s="32"/>
      <c r="Q200" s="32"/>
      <c r="R200" s="32"/>
    </row>
    <row r="201" spans="3:18" ht="12">
      <c r="C201" s="32"/>
      <c r="D201" s="32"/>
      <c r="E201" s="32"/>
      <c r="F201" s="32"/>
      <c r="G201" s="32"/>
      <c r="H201" s="32"/>
      <c r="I201" s="32"/>
      <c r="J201" s="32"/>
      <c r="K201" s="32"/>
      <c r="L201" s="32"/>
      <c r="M201" s="32"/>
      <c r="N201" s="32"/>
      <c r="O201" s="32"/>
      <c r="P201" s="32"/>
      <c r="Q201" s="32"/>
      <c r="R201" s="32"/>
    </row>
    <row r="202" spans="3:18" ht="12">
      <c r="C202" s="32"/>
      <c r="D202" s="32"/>
      <c r="E202" s="32"/>
      <c r="F202" s="32"/>
      <c r="G202" s="32"/>
      <c r="H202" s="32"/>
      <c r="I202" s="32"/>
      <c r="J202" s="32"/>
      <c r="K202" s="32"/>
      <c r="L202" s="32"/>
      <c r="M202" s="32"/>
      <c r="N202" s="32"/>
      <c r="O202" s="32"/>
      <c r="P202" s="32"/>
      <c r="Q202" s="32"/>
      <c r="R202" s="32"/>
    </row>
    <row r="203" spans="3:18" ht="12">
      <c r="C203" s="32"/>
      <c r="D203" s="32"/>
      <c r="E203" s="32"/>
      <c r="F203" s="32"/>
      <c r="G203" s="32"/>
      <c r="H203" s="32"/>
      <c r="I203" s="32"/>
      <c r="J203" s="32"/>
      <c r="K203" s="32"/>
      <c r="L203" s="32"/>
      <c r="M203" s="32"/>
      <c r="N203" s="32"/>
      <c r="O203" s="32"/>
      <c r="P203" s="32"/>
      <c r="Q203" s="32"/>
      <c r="R203" s="32"/>
    </row>
    <row r="204" spans="3:18" ht="12">
      <c r="C204" s="32"/>
      <c r="D204" s="32"/>
      <c r="E204" s="32"/>
      <c r="F204" s="32"/>
      <c r="G204" s="32"/>
      <c r="H204" s="32"/>
      <c r="I204" s="32"/>
      <c r="J204" s="32"/>
      <c r="K204" s="32"/>
      <c r="L204" s="32"/>
      <c r="M204" s="32"/>
      <c r="N204" s="32"/>
      <c r="O204" s="32"/>
      <c r="P204" s="32"/>
      <c r="Q204" s="32"/>
      <c r="R204" s="32"/>
    </row>
    <row r="205" spans="3:18" ht="12">
      <c r="C205" s="32"/>
      <c r="D205" s="32"/>
      <c r="E205" s="32"/>
      <c r="F205" s="32"/>
      <c r="G205" s="32"/>
      <c r="H205" s="32"/>
      <c r="I205" s="32"/>
      <c r="J205" s="32"/>
      <c r="K205" s="32"/>
      <c r="L205" s="32"/>
      <c r="M205" s="32"/>
      <c r="N205" s="32"/>
      <c r="O205" s="32"/>
      <c r="P205" s="32"/>
      <c r="Q205" s="32"/>
      <c r="R205" s="32"/>
    </row>
    <row r="206" spans="3:18" ht="12">
      <c r="C206" s="32"/>
      <c r="D206" s="32"/>
      <c r="E206" s="32"/>
      <c r="F206" s="32"/>
      <c r="G206" s="32"/>
      <c r="H206" s="32"/>
      <c r="I206" s="32"/>
      <c r="J206" s="32"/>
      <c r="K206" s="32"/>
      <c r="L206" s="32"/>
      <c r="M206" s="32"/>
      <c r="N206" s="32"/>
      <c r="O206" s="32"/>
      <c r="P206" s="32"/>
      <c r="Q206" s="32"/>
      <c r="R206" s="32"/>
    </row>
    <row r="207" spans="3:18" ht="12">
      <c r="C207" s="32"/>
      <c r="D207" s="32"/>
      <c r="E207" s="32"/>
      <c r="F207" s="32"/>
      <c r="G207" s="32"/>
      <c r="H207" s="32"/>
      <c r="I207" s="32"/>
      <c r="J207" s="32"/>
      <c r="K207" s="32"/>
      <c r="L207" s="32"/>
      <c r="M207" s="32"/>
      <c r="N207" s="32"/>
      <c r="O207" s="32"/>
      <c r="P207" s="32"/>
      <c r="Q207" s="32"/>
      <c r="R207" s="32"/>
    </row>
    <row r="208" spans="3:18" ht="12">
      <c r="C208" s="32"/>
      <c r="D208" s="32"/>
      <c r="E208" s="32"/>
      <c r="F208" s="32"/>
      <c r="G208" s="32"/>
      <c r="H208" s="32"/>
      <c r="I208" s="32"/>
      <c r="J208" s="32"/>
      <c r="K208" s="32"/>
      <c r="L208" s="32"/>
      <c r="M208" s="32"/>
      <c r="N208" s="32"/>
      <c r="O208" s="32"/>
      <c r="P208" s="32"/>
      <c r="Q208" s="32"/>
      <c r="R208" s="32"/>
    </row>
    <row r="209" spans="3:18" ht="12">
      <c r="C209" s="32"/>
      <c r="D209" s="32"/>
      <c r="E209" s="32"/>
      <c r="F209" s="32"/>
      <c r="G209" s="32"/>
      <c r="H209" s="32"/>
      <c r="I209" s="32"/>
      <c r="J209" s="32"/>
      <c r="K209" s="32"/>
      <c r="L209" s="32"/>
      <c r="M209" s="32"/>
      <c r="N209" s="32"/>
      <c r="O209" s="32"/>
      <c r="P209" s="32"/>
      <c r="Q209" s="32"/>
      <c r="R209" s="32"/>
    </row>
    <row r="210" spans="3:18" ht="12">
      <c r="C210" s="32"/>
      <c r="D210" s="32"/>
      <c r="E210" s="32"/>
      <c r="F210" s="32"/>
      <c r="G210" s="32"/>
      <c r="H210" s="32"/>
      <c r="I210" s="32"/>
      <c r="J210" s="32"/>
      <c r="K210" s="32"/>
      <c r="L210" s="32"/>
      <c r="M210" s="32"/>
      <c r="N210" s="32"/>
      <c r="O210" s="32"/>
      <c r="P210" s="32"/>
      <c r="Q210" s="32"/>
      <c r="R210" s="32"/>
    </row>
    <row r="211" spans="3:18" ht="12">
      <c r="C211" s="32"/>
      <c r="D211" s="32"/>
      <c r="E211" s="32"/>
      <c r="F211" s="32"/>
      <c r="G211" s="32"/>
      <c r="H211" s="32"/>
      <c r="I211" s="32"/>
      <c r="J211" s="32"/>
      <c r="K211" s="32"/>
      <c r="L211" s="32"/>
      <c r="M211" s="32"/>
      <c r="N211" s="32"/>
      <c r="O211" s="32"/>
      <c r="P211" s="32"/>
      <c r="Q211" s="32"/>
      <c r="R211" s="32"/>
    </row>
    <row r="212" spans="3:18" ht="12">
      <c r="C212" s="32"/>
      <c r="D212" s="32"/>
      <c r="E212" s="32"/>
      <c r="F212" s="32"/>
      <c r="G212" s="32"/>
      <c r="H212" s="32"/>
      <c r="I212" s="32"/>
      <c r="J212" s="32"/>
      <c r="K212" s="32"/>
      <c r="L212" s="32"/>
      <c r="M212" s="32"/>
      <c r="N212" s="32"/>
      <c r="O212" s="32"/>
      <c r="P212" s="32"/>
      <c r="Q212" s="32"/>
      <c r="R212" s="32"/>
    </row>
    <row r="213" spans="3:18" ht="12">
      <c r="C213" s="32"/>
      <c r="D213" s="32"/>
      <c r="E213" s="32"/>
      <c r="F213" s="32"/>
      <c r="G213" s="32"/>
      <c r="H213" s="32"/>
      <c r="I213" s="32"/>
      <c r="J213" s="32"/>
      <c r="K213" s="32"/>
      <c r="L213" s="32"/>
      <c r="M213" s="32"/>
      <c r="N213" s="32"/>
      <c r="O213" s="32"/>
      <c r="P213" s="32"/>
      <c r="Q213" s="32"/>
      <c r="R213" s="32"/>
    </row>
    <row r="214" spans="3:18" ht="12">
      <c r="C214" s="32"/>
      <c r="D214" s="32"/>
      <c r="E214" s="32"/>
      <c r="F214" s="32"/>
      <c r="G214" s="32"/>
      <c r="H214" s="32"/>
      <c r="I214" s="32"/>
      <c r="J214" s="32"/>
      <c r="K214" s="32"/>
      <c r="L214" s="32"/>
      <c r="M214" s="32"/>
      <c r="N214" s="32"/>
      <c r="O214" s="32"/>
      <c r="P214" s="32"/>
      <c r="Q214" s="32"/>
      <c r="R214" s="32"/>
    </row>
    <row r="215" spans="3:18" ht="12">
      <c r="C215" s="32"/>
      <c r="D215" s="32"/>
      <c r="E215" s="32"/>
      <c r="F215" s="32"/>
      <c r="G215" s="32"/>
      <c r="H215" s="32"/>
      <c r="I215" s="32"/>
      <c r="J215" s="32"/>
      <c r="K215" s="32"/>
      <c r="L215" s="32"/>
      <c r="M215" s="32"/>
      <c r="N215" s="32"/>
      <c r="O215" s="32"/>
      <c r="P215" s="32"/>
      <c r="Q215" s="32"/>
      <c r="R215" s="32"/>
    </row>
    <row r="216" spans="3:18" ht="12">
      <c r="C216" s="32"/>
      <c r="D216" s="32"/>
      <c r="E216" s="32"/>
      <c r="F216" s="32"/>
      <c r="G216" s="32"/>
      <c r="H216" s="32"/>
      <c r="I216" s="32"/>
      <c r="J216" s="32"/>
      <c r="K216" s="32"/>
      <c r="L216" s="32"/>
      <c r="M216" s="32"/>
      <c r="N216" s="32"/>
      <c r="O216" s="32"/>
      <c r="P216" s="32"/>
      <c r="Q216" s="32"/>
      <c r="R216" s="32"/>
    </row>
    <row r="217" spans="3:18" ht="12">
      <c r="C217" s="32"/>
      <c r="D217" s="32"/>
      <c r="E217" s="32"/>
      <c r="F217" s="32"/>
      <c r="G217" s="32"/>
      <c r="H217" s="32"/>
      <c r="I217" s="32"/>
      <c r="J217" s="32"/>
      <c r="K217" s="32"/>
      <c r="L217" s="32"/>
      <c r="M217" s="32"/>
      <c r="N217" s="32"/>
      <c r="O217" s="32"/>
      <c r="P217" s="32"/>
      <c r="Q217" s="32"/>
      <c r="R217" s="32"/>
    </row>
    <row r="218" spans="3:18" ht="12">
      <c r="C218" s="32"/>
      <c r="D218" s="32"/>
      <c r="E218" s="32"/>
      <c r="F218" s="32"/>
      <c r="G218" s="32"/>
      <c r="H218" s="32"/>
      <c r="I218" s="32"/>
      <c r="J218" s="32"/>
      <c r="K218" s="32"/>
      <c r="L218" s="32"/>
      <c r="M218" s="32"/>
      <c r="N218" s="32"/>
      <c r="O218" s="32"/>
      <c r="P218" s="32"/>
      <c r="Q218" s="32"/>
      <c r="R218" s="32"/>
    </row>
    <row r="219" spans="3:18" ht="12">
      <c r="C219" s="32"/>
      <c r="D219" s="32"/>
      <c r="E219" s="32"/>
      <c r="F219" s="32"/>
      <c r="G219" s="32"/>
      <c r="H219" s="32"/>
      <c r="I219" s="32"/>
      <c r="J219" s="32"/>
      <c r="K219" s="32"/>
      <c r="L219" s="32"/>
      <c r="M219" s="32"/>
      <c r="N219" s="32"/>
      <c r="O219" s="32"/>
      <c r="P219" s="32"/>
      <c r="Q219" s="32"/>
      <c r="R219" s="32"/>
    </row>
    <row r="220" spans="3:18" ht="12">
      <c r="C220" s="32"/>
      <c r="D220" s="32"/>
      <c r="E220" s="32"/>
      <c r="F220" s="32"/>
      <c r="G220" s="32"/>
      <c r="H220" s="32"/>
      <c r="I220" s="32"/>
      <c r="J220" s="32"/>
      <c r="K220" s="32"/>
      <c r="L220" s="32"/>
      <c r="M220" s="32"/>
      <c r="N220" s="32"/>
      <c r="O220" s="32"/>
      <c r="P220" s="32"/>
      <c r="Q220" s="32"/>
      <c r="R220" s="32"/>
    </row>
    <row r="221" spans="3:18" ht="12">
      <c r="C221" s="32"/>
      <c r="D221" s="32"/>
      <c r="E221" s="32"/>
      <c r="F221" s="32"/>
      <c r="G221" s="32"/>
      <c r="H221" s="32"/>
      <c r="I221" s="32"/>
      <c r="J221" s="32"/>
      <c r="K221" s="32"/>
      <c r="L221" s="32"/>
      <c r="M221" s="32"/>
      <c r="N221" s="32"/>
      <c r="O221" s="32"/>
      <c r="P221" s="32"/>
      <c r="Q221" s="32"/>
      <c r="R221" s="32"/>
    </row>
    <row r="222" spans="3:18" ht="12">
      <c r="C222" s="32"/>
      <c r="D222" s="32"/>
      <c r="E222" s="32"/>
      <c r="F222" s="32"/>
      <c r="G222" s="32"/>
      <c r="H222" s="32"/>
      <c r="I222" s="32"/>
      <c r="J222" s="32"/>
      <c r="K222" s="32"/>
      <c r="L222" s="32"/>
      <c r="M222" s="32"/>
      <c r="N222" s="32"/>
      <c r="O222" s="32"/>
      <c r="P222" s="32"/>
      <c r="Q222" s="32"/>
      <c r="R222" s="32"/>
    </row>
    <row r="223" spans="3:18" ht="12">
      <c r="C223" s="32"/>
      <c r="D223" s="32"/>
      <c r="E223" s="32"/>
      <c r="F223" s="32"/>
      <c r="G223" s="32"/>
      <c r="H223" s="32"/>
      <c r="I223" s="32"/>
      <c r="J223" s="32"/>
      <c r="K223" s="32"/>
      <c r="L223" s="32"/>
      <c r="M223" s="32"/>
      <c r="N223" s="32"/>
      <c r="O223" s="32"/>
      <c r="P223" s="32"/>
      <c r="Q223" s="32"/>
      <c r="R223" s="32"/>
    </row>
    <row r="224" spans="3:18" ht="12">
      <c r="C224" s="32"/>
      <c r="D224" s="32"/>
      <c r="E224" s="32"/>
      <c r="F224" s="32"/>
      <c r="G224" s="32"/>
      <c r="H224" s="32"/>
      <c r="I224" s="32"/>
      <c r="J224" s="32"/>
      <c r="K224" s="32"/>
      <c r="L224" s="32"/>
      <c r="M224" s="32"/>
      <c r="N224" s="32"/>
      <c r="O224" s="32"/>
      <c r="P224" s="32"/>
      <c r="Q224" s="32"/>
      <c r="R224" s="32"/>
    </row>
    <row r="225" spans="3:18" ht="12">
      <c r="C225" s="32"/>
      <c r="D225" s="32"/>
      <c r="E225" s="32"/>
      <c r="F225" s="32"/>
      <c r="G225" s="32"/>
      <c r="H225" s="32"/>
      <c r="I225" s="32"/>
      <c r="J225" s="32"/>
      <c r="K225" s="32"/>
      <c r="L225" s="32"/>
      <c r="M225" s="32"/>
      <c r="N225" s="32"/>
      <c r="O225" s="32"/>
      <c r="P225" s="32"/>
      <c r="Q225" s="32"/>
      <c r="R225" s="32"/>
    </row>
    <row r="226" spans="3:18" ht="12">
      <c r="C226" s="32"/>
      <c r="D226" s="32"/>
      <c r="E226" s="32"/>
      <c r="F226" s="32"/>
      <c r="G226" s="32"/>
      <c r="H226" s="32"/>
      <c r="I226" s="32"/>
      <c r="J226" s="32"/>
      <c r="K226" s="32"/>
      <c r="L226" s="32"/>
      <c r="M226" s="32"/>
      <c r="N226" s="32"/>
      <c r="O226" s="32"/>
      <c r="P226" s="32"/>
      <c r="Q226" s="32"/>
      <c r="R226" s="32"/>
    </row>
    <row r="227" spans="3:18" ht="12">
      <c r="C227" s="32"/>
      <c r="D227" s="32"/>
      <c r="E227" s="32"/>
      <c r="F227" s="32"/>
      <c r="G227" s="32"/>
      <c r="H227" s="32"/>
      <c r="I227" s="32"/>
      <c r="J227" s="32"/>
      <c r="K227" s="32"/>
      <c r="L227" s="32"/>
      <c r="M227" s="32"/>
      <c r="N227" s="32"/>
      <c r="O227" s="32"/>
      <c r="P227" s="32"/>
      <c r="Q227" s="32"/>
      <c r="R227" s="32"/>
    </row>
    <row r="228" spans="3:18" ht="12">
      <c r="C228" s="32"/>
      <c r="D228" s="32"/>
      <c r="E228" s="32"/>
      <c r="F228" s="32"/>
      <c r="G228" s="32"/>
      <c r="H228" s="32"/>
      <c r="I228" s="32"/>
      <c r="J228" s="32"/>
      <c r="K228" s="32"/>
      <c r="L228" s="32"/>
      <c r="M228" s="32"/>
      <c r="N228" s="32"/>
      <c r="O228" s="32"/>
      <c r="P228" s="32"/>
      <c r="Q228" s="32"/>
      <c r="R228" s="32"/>
    </row>
    <row r="229" spans="3:18" ht="12">
      <c r="C229" s="32"/>
      <c r="D229" s="32"/>
      <c r="E229" s="32"/>
      <c r="F229" s="32"/>
      <c r="G229" s="32"/>
      <c r="H229" s="32"/>
      <c r="I229" s="32"/>
      <c r="J229" s="32"/>
      <c r="K229" s="32"/>
      <c r="L229" s="32"/>
      <c r="M229" s="32"/>
      <c r="N229" s="32"/>
      <c r="O229" s="32"/>
      <c r="P229" s="32"/>
      <c r="Q229" s="32"/>
      <c r="R229" s="32"/>
    </row>
    <row r="230" spans="3:18" ht="12">
      <c r="C230" s="32"/>
      <c r="D230" s="32"/>
      <c r="E230" s="32"/>
      <c r="F230" s="32"/>
      <c r="G230" s="32"/>
      <c r="H230" s="32"/>
      <c r="I230" s="32"/>
      <c r="J230" s="32"/>
      <c r="K230" s="32"/>
      <c r="L230" s="32"/>
      <c r="M230" s="32"/>
      <c r="N230" s="32"/>
      <c r="O230" s="32"/>
      <c r="P230" s="32"/>
      <c r="Q230" s="32"/>
      <c r="R230" s="32"/>
    </row>
    <row r="231" spans="3:18" ht="12">
      <c r="C231" s="32"/>
      <c r="D231" s="32"/>
      <c r="E231" s="32"/>
      <c r="F231" s="32"/>
      <c r="G231" s="32"/>
      <c r="H231" s="32"/>
      <c r="I231" s="32"/>
      <c r="J231" s="32"/>
      <c r="K231" s="32"/>
      <c r="L231" s="32"/>
      <c r="M231" s="32"/>
      <c r="N231" s="32"/>
      <c r="O231" s="32"/>
      <c r="P231" s="32"/>
      <c r="Q231" s="32"/>
      <c r="R231" s="32"/>
    </row>
    <row r="232" spans="3:18" ht="12">
      <c r="C232" s="32"/>
      <c r="D232" s="32"/>
      <c r="E232" s="32"/>
      <c r="F232" s="32"/>
      <c r="G232" s="32"/>
      <c r="H232" s="32"/>
      <c r="I232" s="32"/>
      <c r="J232" s="32"/>
      <c r="K232" s="32"/>
      <c r="L232" s="32"/>
      <c r="M232" s="32"/>
      <c r="N232" s="32"/>
      <c r="O232" s="32"/>
      <c r="P232" s="32"/>
      <c r="Q232" s="32"/>
      <c r="R232" s="32"/>
    </row>
    <row r="233" spans="3:18" ht="12">
      <c r="C233" s="32"/>
      <c r="D233" s="32"/>
      <c r="E233" s="32"/>
      <c r="F233" s="32"/>
      <c r="G233" s="32"/>
      <c r="H233" s="32"/>
      <c r="I233" s="32"/>
      <c r="J233" s="32"/>
      <c r="K233" s="32"/>
      <c r="L233" s="32"/>
      <c r="M233" s="32"/>
      <c r="N233" s="32"/>
      <c r="O233" s="32"/>
      <c r="P233" s="32"/>
      <c r="Q233" s="32"/>
      <c r="R233" s="32"/>
    </row>
    <row r="234" spans="3:18" ht="12">
      <c r="C234" s="32"/>
      <c r="D234" s="32"/>
      <c r="E234" s="32"/>
      <c r="F234" s="32"/>
      <c r="G234" s="32"/>
      <c r="H234" s="32"/>
      <c r="I234" s="32"/>
      <c r="J234" s="32"/>
      <c r="K234" s="32"/>
      <c r="L234" s="32"/>
      <c r="M234" s="32"/>
      <c r="N234" s="32"/>
      <c r="O234" s="32"/>
      <c r="P234" s="32"/>
      <c r="Q234" s="32"/>
      <c r="R234" s="32"/>
    </row>
    <row r="235" spans="3:18" ht="12">
      <c r="C235" s="32"/>
      <c r="D235" s="32"/>
      <c r="E235" s="32"/>
      <c r="F235" s="32"/>
      <c r="G235" s="32"/>
      <c r="H235" s="32"/>
      <c r="I235" s="32"/>
      <c r="J235" s="32"/>
      <c r="K235" s="32"/>
      <c r="L235" s="32"/>
      <c r="M235" s="32"/>
      <c r="N235" s="32"/>
      <c r="O235" s="32"/>
      <c r="P235" s="32"/>
      <c r="Q235" s="32"/>
      <c r="R235" s="32"/>
    </row>
    <row r="236" spans="3:18" ht="12">
      <c r="C236" s="32"/>
      <c r="D236" s="32"/>
      <c r="E236" s="32"/>
      <c r="F236" s="32"/>
      <c r="G236" s="32"/>
      <c r="H236" s="32"/>
      <c r="I236" s="32"/>
      <c r="J236" s="32"/>
      <c r="K236" s="32"/>
      <c r="L236" s="32"/>
      <c r="M236" s="32"/>
      <c r="N236" s="32"/>
      <c r="O236" s="32"/>
      <c r="P236" s="32"/>
      <c r="Q236" s="32"/>
      <c r="R236" s="32"/>
    </row>
    <row r="237" spans="3:18" ht="12">
      <c r="C237" s="32"/>
      <c r="D237" s="32"/>
      <c r="E237" s="32"/>
      <c r="F237" s="32"/>
      <c r="G237" s="32"/>
      <c r="H237" s="32"/>
      <c r="I237" s="32"/>
      <c r="J237" s="32"/>
      <c r="K237" s="32"/>
      <c r="L237" s="32"/>
      <c r="M237" s="32"/>
      <c r="N237" s="32"/>
      <c r="O237" s="32"/>
      <c r="P237" s="32"/>
      <c r="Q237" s="32"/>
      <c r="R237" s="32"/>
    </row>
    <row r="238" spans="3:18" ht="12">
      <c r="C238" s="32"/>
      <c r="D238" s="32"/>
      <c r="E238" s="32"/>
      <c r="F238" s="32"/>
      <c r="G238" s="32"/>
      <c r="H238" s="32"/>
      <c r="I238" s="32"/>
      <c r="J238" s="32"/>
      <c r="K238" s="32"/>
      <c r="L238" s="32"/>
      <c r="M238" s="32"/>
      <c r="N238" s="32"/>
      <c r="O238" s="32"/>
      <c r="P238" s="32"/>
      <c r="Q238" s="32"/>
      <c r="R238" s="32"/>
    </row>
    <row r="239" spans="3:18" ht="12">
      <c r="C239" s="32"/>
      <c r="D239" s="32"/>
      <c r="E239" s="32"/>
      <c r="F239" s="32"/>
      <c r="G239" s="32"/>
      <c r="H239" s="32"/>
      <c r="I239" s="32"/>
      <c r="J239" s="32"/>
      <c r="K239" s="32"/>
      <c r="L239" s="32"/>
      <c r="M239" s="32"/>
      <c r="N239" s="32"/>
      <c r="O239" s="32"/>
      <c r="P239" s="32"/>
      <c r="Q239" s="32"/>
      <c r="R239" s="32"/>
    </row>
    <row r="240" spans="3:18" ht="12">
      <c r="C240" s="32"/>
      <c r="D240" s="32"/>
      <c r="E240" s="32"/>
      <c r="F240" s="32"/>
      <c r="G240" s="32"/>
      <c r="H240" s="32"/>
      <c r="I240" s="32"/>
      <c r="J240" s="32"/>
      <c r="K240" s="32"/>
      <c r="L240" s="32"/>
      <c r="M240" s="32"/>
      <c r="N240" s="32"/>
      <c r="O240" s="32"/>
      <c r="P240" s="32"/>
      <c r="Q240" s="32"/>
      <c r="R240" s="32"/>
    </row>
    <row r="241" spans="3:18" ht="12">
      <c r="C241" s="32"/>
      <c r="D241" s="32"/>
      <c r="E241" s="32"/>
      <c r="F241" s="32"/>
      <c r="G241" s="32"/>
      <c r="H241" s="32"/>
      <c r="I241" s="32"/>
      <c r="J241" s="32"/>
      <c r="K241" s="32"/>
      <c r="L241" s="32"/>
      <c r="M241" s="32"/>
      <c r="N241" s="32"/>
      <c r="O241" s="32"/>
      <c r="P241" s="32"/>
      <c r="Q241" s="32"/>
      <c r="R241" s="32"/>
    </row>
    <row r="242" spans="3:18" ht="12">
      <c r="C242" s="32"/>
      <c r="D242" s="32"/>
      <c r="E242" s="32"/>
      <c r="F242" s="32"/>
      <c r="G242" s="32"/>
      <c r="H242" s="32"/>
      <c r="I242" s="32"/>
      <c r="J242" s="32"/>
      <c r="K242" s="32"/>
      <c r="L242" s="32"/>
      <c r="M242" s="32"/>
      <c r="N242" s="32"/>
      <c r="O242" s="32"/>
      <c r="P242" s="32"/>
      <c r="Q242" s="32"/>
      <c r="R242" s="32"/>
    </row>
    <row r="243" spans="3:18" ht="12">
      <c r="C243" s="32"/>
      <c r="D243" s="32"/>
      <c r="E243" s="32"/>
      <c r="F243" s="32"/>
      <c r="G243" s="32"/>
      <c r="H243" s="32"/>
      <c r="I243" s="32"/>
      <c r="J243" s="32"/>
      <c r="K243" s="32"/>
      <c r="L243" s="32"/>
      <c r="M243" s="32"/>
      <c r="N243" s="32"/>
      <c r="O243" s="32"/>
      <c r="P243" s="32"/>
      <c r="Q243" s="32"/>
      <c r="R243" s="32"/>
    </row>
    <row r="244" spans="3:18" ht="12">
      <c r="C244" s="32"/>
      <c r="D244" s="32"/>
      <c r="E244" s="32"/>
      <c r="F244" s="32"/>
      <c r="G244" s="32"/>
      <c r="H244" s="32"/>
      <c r="I244" s="32"/>
      <c r="J244" s="32"/>
      <c r="K244" s="32"/>
      <c r="L244" s="32"/>
      <c r="M244" s="32"/>
      <c r="N244" s="32"/>
      <c r="O244" s="32"/>
      <c r="P244" s="32"/>
      <c r="Q244" s="32"/>
      <c r="R244" s="32"/>
    </row>
    <row r="245" spans="3:18" ht="12">
      <c r="C245" s="32"/>
      <c r="D245" s="32"/>
      <c r="E245" s="32"/>
      <c r="F245" s="32"/>
      <c r="G245" s="32"/>
      <c r="H245" s="32"/>
      <c r="I245" s="32"/>
      <c r="J245" s="32"/>
      <c r="K245" s="32"/>
      <c r="L245" s="32"/>
      <c r="M245" s="32"/>
      <c r="N245" s="32"/>
      <c r="O245" s="32"/>
      <c r="P245" s="32"/>
      <c r="Q245" s="32"/>
      <c r="R245" s="32"/>
    </row>
    <row r="246" spans="3:18" ht="12">
      <c r="C246" s="32"/>
      <c r="D246" s="32"/>
      <c r="E246" s="32"/>
      <c r="F246" s="32"/>
      <c r="G246" s="32"/>
      <c r="H246" s="32"/>
      <c r="I246" s="32"/>
      <c r="J246" s="32"/>
      <c r="K246" s="32"/>
      <c r="L246" s="32"/>
      <c r="M246" s="32"/>
      <c r="N246" s="32"/>
      <c r="O246" s="32"/>
      <c r="P246" s="32"/>
      <c r="Q246" s="32"/>
      <c r="R246" s="32"/>
    </row>
    <row r="247" spans="3:18" ht="12">
      <c r="C247" s="32"/>
      <c r="D247" s="32"/>
      <c r="E247" s="32"/>
      <c r="F247" s="32"/>
      <c r="G247" s="32"/>
      <c r="H247" s="32"/>
      <c r="I247" s="32"/>
      <c r="J247" s="32"/>
      <c r="K247" s="32"/>
      <c r="L247" s="32"/>
      <c r="M247" s="32"/>
      <c r="N247" s="32"/>
      <c r="O247" s="32"/>
      <c r="P247" s="32"/>
      <c r="Q247" s="32"/>
      <c r="R247" s="32"/>
    </row>
    <row r="248" spans="3:18" ht="12">
      <c r="C248" s="32"/>
      <c r="D248" s="32"/>
      <c r="E248" s="32"/>
      <c r="F248" s="32"/>
      <c r="G248" s="32"/>
      <c r="H248" s="32"/>
      <c r="I248" s="32"/>
      <c r="J248" s="32"/>
      <c r="K248" s="32"/>
      <c r="L248" s="32"/>
      <c r="M248" s="32"/>
      <c r="N248" s="32"/>
      <c r="O248" s="32"/>
      <c r="P248" s="32"/>
      <c r="Q248" s="32"/>
      <c r="R248" s="32"/>
    </row>
    <row r="249" spans="3:18" ht="12">
      <c r="C249" s="32"/>
      <c r="D249" s="32"/>
      <c r="E249" s="32"/>
      <c r="F249" s="32"/>
      <c r="G249" s="32"/>
      <c r="H249" s="32"/>
      <c r="I249" s="32"/>
      <c r="J249" s="32"/>
      <c r="K249" s="32"/>
      <c r="L249" s="32"/>
      <c r="M249" s="32"/>
      <c r="N249" s="32"/>
      <c r="O249" s="32"/>
      <c r="P249" s="32"/>
      <c r="Q249" s="32"/>
      <c r="R249" s="32"/>
    </row>
    <row r="250" spans="3:18" ht="12">
      <c r="C250" s="32"/>
      <c r="D250" s="32"/>
      <c r="E250" s="32"/>
      <c r="F250" s="32"/>
      <c r="G250" s="32"/>
      <c r="H250" s="32"/>
      <c r="I250" s="32"/>
      <c r="J250" s="32"/>
      <c r="K250" s="32"/>
      <c r="L250" s="32"/>
      <c r="M250" s="32"/>
      <c r="N250" s="32"/>
      <c r="O250" s="32"/>
      <c r="P250" s="32"/>
      <c r="Q250" s="32"/>
      <c r="R250" s="32"/>
    </row>
    <row r="251" spans="3:18" ht="12">
      <c r="C251" s="32"/>
      <c r="D251" s="32"/>
      <c r="E251" s="32"/>
      <c r="F251" s="32"/>
      <c r="G251" s="32"/>
      <c r="H251" s="32"/>
      <c r="I251" s="32"/>
      <c r="J251" s="32"/>
      <c r="K251" s="32"/>
      <c r="L251" s="32"/>
      <c r="M251" s="32"/>
      <c r="N251" s="32"/>
      <c r="O251" s="32"/>
      <c r="P251" s="32"/>
      <c r="Q251" s="32"/>
      <c r="R251" s="32"/>
    </row>
    <row r="252" spans="3:18" ht="12">
      <c r="C252" s="32"/>
      <c r="D252" s="32"/>
      <c r="E252" s="32"/>
      <c r="F252" s="32"/>
      <c r="G252" s="32"/>
      <c r="H252" s="32"/>
      <c r="I252" s="32"/>
      <c r="J252" s="32"/>
      <c r="K252" s="32"/>
      <c r="L252" s="32"/>
      <c r="M252" s="32"/>
      <c r="N252" s="32"/>
      <c r="O252" s="32"/>
      <c r="P252" s="32"/>
      <c r="Q252" s="32"/>
      <c r="R252" s="32"/>
    </row>
    <row r="253" spans="3:18" ht="12">
      <c r="C253" s="32"/>
      <c r="D253" s="32"/>
      <c r="E253" s="32"/>
      <c r="F253" s="32"/>
      <c r="G253" s="32"/>
      <c r="H253" s="32"/>
      <c r="I253" s="32"/>
      <c r="J253" s="32"/>
      <c r="K253" s="32"/>
      <c r="L253" s="32"/>
      <c r="M253" s="32"/>
      <c r="N253" s="32"/>
      <c r="O253" s="32"/>
      <c r="P253" s="32"/>
      <c r="Q253" s="32"/>
      <c r="R253" s="32"/>
    </row>
    <row r="254" spans="3:18" ht="12">
      <c r="C254" s="32"/>
      <c r="D254" s="32"/>
      <c r="E254" s="32"/>
      <c r="F254" s="32"/>
      <c r="G254" s="32"/>
      <c r="H254" s="32"/>
      <c r="I254" s="32"/>
      <c r="J254" s="32"/>
      <c r="K254" s="32"/>
      <c r="L254" s="32"/>
      <c r="M254" s="32"/>
      <c r="N254" s="32"/>
      <c r="O254" s="32"/>
      <c r="P254" s="32"/>
      <c r="Q254" s="32"/>
      <c r="R254" s="32"/>
    </row>
    <row r="255" spans="3:18" ht="12">
      <c r="C255" s="32"/>
      <c r="D255" s="32"/>
      <c r="E255" s="32"/>
      <c r="F255" s="32"/>
      <c r="G255" s="32"/>
      <c r="H255" s="32"/>
      <c r="I255" s="32"/>
      <c r="J255" s="32"/>
      <c r="K255" s="32"/>
      <c r="L255" s="32"/>
      <c r="M255" s="32"/>
      <c r="N255" s="32"/>
      <c r="O255" s="32"/>
      <c r="P255" s="32"/>
      <c r="Q255" s="32"/>
      <c r="R255" s="32"/>
    </row>
    <row r="256" spans="3:18" ht="12">
      <c r="C256" s="32"/>
      <c r="D256" s="32"/>
      <c r="E256" s="32"/>
      <c r="F256" s="32"/>
      <c r="G256" s="32"/>
      <c r="H256" s="32"/>
      <c r="I256" s="32"/>
      <c r="J256" s="32"/>
      <c r="K256" s="32"/>
      <c r="L256" s="32"/>
      <c r="M256" s="32"/>
      <c r="N256" s="32"/>
      <c r="O256" s="32"/>
      <c r="P256" s="32"/>
      <c r="Q256" s="32"/>
      <c r="R256" s="32"/>
    </row>
    <row r="257" spans="3:18" ht="12">
      <c r="C257" s="32"/>
      <c r="D257" s="32"/>
      <c r="E257" s="32"/>
      <c r="F257" s="32"/>
      <c r="G257" s="32"/>
      <c r="H257" s="32"/>
      <c r="I257" s="32"/>
      <c r="J257" s="32"/>
      <c r="K257" s="32"/>
      <c r="L257" s="32"/>
      <c r="M257" s="32"/>
      <c r="N257" s="32"/>
      <c r="O257" s="32"/>
      <c r="P257" s="32"/>
      <c r="Q257" s="32"/>
      <c r="R257" s="32"/>
    </row>
    <row r="258" spans="3:18" ht="12">
      <c r="C258" s="32"/>
      <c r="D258" s="32"/>
      <c r="E258" s="32"/>
      <c r="F258" s="32"/>
      <c r="G258" s="32"/>
      <c r="H258" s="32"/>
      <c r="I258" s="32"/>
      <c r="J258" s="32"/>
      <c r="K258" s="32"/>
      <c r="L258" s="32"/>
      <c r="M258" s="32"/>
      <c r="N258" s="32"/>
      <c r="O258" s="32"/>
      <c r="P258" s="32"/>
      <c r="Q258" s="32"/>
      <c r="R258" s="32"/>
    </row>
    <row r="259" spans="3:18" ht="12">
      <c r="C259" s="32"/>
      <c r="D259" s="32"/>
      <c r="E259" s="32"/>
      <c r="F259" s="32"/>
      <c r="G259" s="32"/>
      <c r="H259" s="32"/>
      <c r="I259" s="32"/>
      <c r="J259" s="32"/>
      <c r="K259" s="32"/>
      <c r="L259" s="32"/>
      <c r="M259" s="32"/>
      <c r="N259" s="32"/>
      <c r="O259" s="32"/>
      <c r="P259" s="32"/>
      <c r="Q259" s="32"/>
      <c r="R259" s="32"/>
    </row>
    <row r="260" spans="3:18" ht="12">
      <c r="C260" s="32"/>
      <c r="D260" s="32"/>
      <c r="E260" s="32"/>
      <c r="F260" s="32"/>
      <c r="G260" s="32"/>
      <c r="H260" s="32"/>
      <c r="I260" s="32"/>
      <c r="J260" s="32"/>
      <c r="K260" s="32"/>
      <c r="L260" s="32"/>
      <c r="M260" s="32"/>
      <c r="N260" s="32"/>
      <c r="O260" s="32"/>
      <c r="P260" s="32"/>
      <c r="Q260" s="32"/>
      <c r="R260" s="32"/>
    </row>
    <row r="261" spans="3:18" ht="12">
      <c r="C261" s="32"/>
      <c r="D261" s="32"/>
      <c r="E261" s="32"/>
      <c r="F261" s="32"/>
      <c r="G261" s="32"/>
      <c r="H261" s="32"/>
      <c r="I261" s="32"/>
      <c r="J261" s="32"/>
      <c r="K261" s="32"/>
      <c r="L261" s="32"/>
      <c r="M261" s="32"/>
      <c r="N261" s="32"/>
      <c r="O261" s="32"/>
      <c r="P261" s="32"/>
      <c r="Q261" s="32"/>
      <c r="R261" s="32"/>
    </row>
    <row r="262" spans="3:18" ht="12">
      <c r="C262" s="32"/>
      <c r="D262" s="32"/>
      <c r="E262" s="32"/>
      <c r="F262" s="32"/>
      <c r="G262" s="32"/>
      <c r="H262" s="32"/>
      <c r="I262" s="32"/>
      <c r="J262" s="32"/>
      <c r="K262" s="32"/>
      <c r="L262" s="32"/>
      <c r="M262" s="32"/>
      <c r="N262" s="32"/>
      <c r="O262" s="32"/>
      <c r="P262" s="32"/>
      <c r="Q262" s="32"/>
      <c r="R262" s="32"/>
    </row>
    <row r="263" spans="3:18" ht="12">
      <c r="C263" s="32"/>
      <c r="D263" s="32"/>
      <c r="E263" s="32"/>
      <c r="F263" s="32"/>
      <c r="G263" s="32"/>
      <c r="H263" s="32"/>
      <c r="I263" s="32"/>
      <c r="J263" s="32"/>
      <c r="K263" s="32"/>
      <c r="L263" s="32"/>
      <c r="M263" s="32"/>
      <c r="N263" s="32"/>
      <c r="O263" s="32"/>
      <c r="P263" s="32"/>
      <c r="Q263" s="32"/>
      <c r="R263" s="32"/>
    </row>
    <row r="264" spans="3:18" ht="12">
      <c r="C264" s="32"/>
      <c r="D264" s="32"/>
      <c r="E264" s="32"/>
      <c r="F264" s="32"/>
      <c r="G264" s="32"/>
      <c r="H264" s="32"/>
      <c r="I264" s="32"/>
      <c r="J264" s="32"/>
      <c r="K264" s="32"/>
      <c r="L264" s="32"/>
      <c r="M264" s="32"/>
      <c r="N264" s="32"/>
      <c r="O264" s="32"/>
      <c r="P264" s="32"/>
      <c r="Q264" s="32"/>
      <c r="R264" s="32"/>
    </row>
    <row r="265" spans="3:18" ht="12">
      <c r="C265" s="32"/>
      <c r="D265" s="32"/>
      <c r="E265" s="32"/>
      <c r="F265" s="32"/>
      <c r="G265" s="32"/>
      <c r="H265" s="32"/>
      <c r="I265" s="32"/>
      <c r="J265" s="32"/>
      <c r="K265" s="32"/>
      <c r="L265" s="32"/>
      <c r="M265" s="32"/>
      <c r="N265" s="32"/>
      <c r="O265" s="32"/>
      <c r="P265" s="32"/>
      <c r="Q265" s="32"/>
      <c r="R265" s="32"/>
    </row>
    <row r="266" spans="3:18" ht="12">
      <c r="C266" s="32"/>
      <c r="D266" s="32"/>
      <c r="E266" s="32"/>
      <c r="F266" s="32"/>
      <c r="G266" s="32"/>
      <c r="H266" s="32"/>
      <c r="I266" s="32"/>
      <c r="J266" s="32"/>
      <c r="K266" s="32"/>
      <c r="L266" s="32"/>
      <c r="M266" s="32"/>
      <c r="N266" s="32"/>
      <c r="O266" s="32"/>
      <c r="P266" s="32"/>
      <c r="Q266" s="32"/>
      <c r="R266" s="32"/>
    </row>
    <row r="267" spans="3:18" ht="12">
      <c r="C267" s="32"/>
      <c r="D267" s="32"/>
      <c r="E267" s="32"/>
      <c r="F267" s="32"/>
      <c r="G267" s="32"/>
      <c r="H267" s="32"/>
      <c r="I267" s="32"/>
      <c r="J267" s="32"/>
      <c r="K267" s="32"/>
      <c r="L267" s="32"/>
      <c r="M267" s="32"/>
      <c r="N267" s="32"/>
      <c r="O267" s="32"/>
      <c r="P267" s="32"/>
      <c r="Q267" s="32"/>
      <c r="R267" s="32"/>
    </row>
    <row r="268" spans="3:18" ht="12">
      <c r="C268" s="32"/>
      <c r="D268" s="32"/>
      <c r="E268" s="32"/>
      <c r="F268" s="32"/>
      <c r="G268" s="32"/>
      <c r="H268" s="32"/>
      <c r="I268" s="32"/>
      <c r="J268" s="32"/>
      <c r="K268" s="32"/>
      <c r="L268" s="32"/>
      <c r="M268" s="32"/>
      <c r="N268" s="32"/>
      <c r="O268" s="32"/>
      <c r="P268" s="32"/>
      <c r="Q268" s="32"/>
      <c r="R268" s="32"/>
    </row>
    <row r="269" spans="3:18" ht="12">
      <c r="C269" s="32"/>
      <c r="D269" s="32"/>
      <c r="E269" s="32"/>
      <c r="F269" s="32"/>
      <c r="G269" s="32"/>
      <c r="H269" s="32"/>
      <c r="I269" s="32"/>
      <c r="J269" s="32"/>
      <c r="K269" s="32"/>
      <c r="L269" s="32"/>
      <c r="M269" s="32"/>
      <c r="N269" s="32"/>
      <c r="O269" s="32"/>
      <c r="P269" s="32"/>
      <c r="Q269" s="32"/>
      <c r="R269" s="32"/>
    </row>
    <row r="270" spans="3:18" ht="12">
      <c r="C270" s="32"/>
      <c r="D270" s="32"/>
      <c r="E270" s="32"/>
      <c r="F270" s="32"/>
      <c r="G270" s="32"/>
      <c r="H270" s="32"/>
      <c r="I270" s="32"/>
      <c r="J270" s="32"/>
      <c r="K270" s="32"/>
      <c r="L270" s="32"/>
      <c r="M270" s="32"/>
      <c r="N270" s="32"/>
      <c r="O270" s="32"/>
      <c r="P270" s="32"/>
      <c r="Q270" s="32"/>
      <c r="R270" s="32"/>
    </row>
    <row r="271" spans="3:18" ht="12">
      <c r="C271" s="32"/>
      <c r="D271" s="32"/>
      <c r="E271" s="32"/>
      <c r="F271" s="32"/>
      <c r="G271" s="32"/>
      <c r="H271" s="32"/>
      <c r="I271" s="32"/>
      <c r="J271" s="32"/>
      <c r="K271" s="32"/>
      <c r="L271" s="32"/>
      <c r="M271" s="32"/>
      <c r="N271" s="32"/>
      <c r="O271" s="32"/>
      <c r="P271" s="32"/>
      <c r="Q271" s="32"/>
      <c r="R271" s="32"/>
    </row>
    <row r="272" spans="3:18" ht="12">
      <c r="C272" s="32"/>
      <c r="D272" s="32"/>
      <c r="E272" s="32"/>
      <c r="F272" s="32"/>
      <c r="G272" s="32"/>
      <c r="H272" s="32"/>
      <c r="I272" s="32"/>
      <c r="J272" s="32"/>
      <c r="K272" s="32"/>
      <c r="L272" s="32"/>
      <c r="M272" s="32"/>
      <c r="N272" s="32"/>
      <c r="O272" s="32"/>
      <c r="P272" s="32"/>
      <c r="Q272" s="32"/>
      <c r="R272" s="32"/>
    </row>
    <row r="273" spans="3:18" ht="12">
      <c r="C273" s="32"/>
      <c r="D273" s="32"/>
      <c r="E273" s="32"/>
      <c r="F273" s="32"/>
      <c r="G273" s="32"/>
      <c r="H273" s="32"/>
      <c r="I273" s="32"/>
      <c r="J273" s="32"/>
      <c r="K273" s="32"/>
      <c r="L273" s="32"/>
      <c r="M273" s="32"/>
      <c r="N273" s="32"/>
      <c r="O273" s="32"/>
      <c r="P273" s="32"/>
      <c r="Q273" s="32"/>
      <c r="R273" s="32"/>
    </row>
    <row r="274" spans="3:18" ht="12">
      <c r="C274" s="32"/>
      <c r="D274" s="32"/>
      <c r="E274" s="32"/>
      <c r="F274" s="32"/>
      <c r="G274" s="32"/>
      <c r="H274" s="32"/>
      <c r="I274" s="32"/>
      <c r="J274" s="32"/>
      <c r="K274" s="32"/>
      <c r="L274" s="32"/>
      <c r="M274" s="32"/>
      <c r="N274" s="32"/>
      <c r="O274" s="32"/>
      <c r="P274" s="32"/>
      <c r="Q274" s="32"/>
      <c r="R274" s="32"/>
    </row>
    <row r="275" spans="3:18" ht="12">
      <c r="C275" s="32"/>
      <c r="D275" s="32"/>
      <c r="E275" s="32"/>
      <c r="F275" s="32"/>
      <c r="G275" s="32"/>
      <c r="H275" s="32"/>
      <c r="I275" s="32"/>
      <c r="J275" s="32"/>
      <c r="K275" s="32"/>
      <c r="L275" s="32"/>
      <c r="M275" s="32"/>
      <c r="N275" s="32"/>
      <c r="O275" s="32"/>
      <c r="P275" s="32"/>
      <c r="Q275" s="32"/>
      <c r="R275" s="32"/>
    </row>
    <row r="276" spans="3:18" ht="12">
      <c r="C276" s="32"/>
      <c r="D276" s="32"/>
      <c r="E276" s="32"/>
      <c r="F276" s="32"/>
      <c r="G276" s="32"/>
      <c r="H276" s="32"/>
      <c r="I276" s="32"/>
      <c r="J276" s="32"/>
      <c r="K276" s="32"/>
      <c r="L276" s="32"/>
      <c r="M276" s="32"/>
      <c r="N276" s="32"/>
      <c r="O276" s="32"/>
      <c r="P276" s="32"/>
      <c r="Q276" s="32"/>
      <c r="R276" s="32"/>
    </row>
    <row r="277" spans="3:18" ht="12">
      <c r="C277" s="32"/>
      <c r="D277" s="32"/>
      <c r="E277" s="32"/>
      <c r="F277" s="32"/>
      <c r="G277" s="32"/>
      <c r="H277" s="32"/>
      <c r="I277" s="32"/>
      <c r="J277" s="32"/>
      <c r="K277" s="32"/>
      <c r="L277" s="32"/>
      <c r="M277" s="32"/>
      <c r="N277" s="32"/>
      <c r="O277" s="32"/>
      <c r="P277" s="32"/>
      <c r="Q277" s="32"/>
      <c r="R277" s="32"/>
    </row>
    <row r="278" spans="3:18" ht="12">
      <c r="C278" s="32"/>
      <c r="D278" s="32"/>
      <c r="E278" s="32"/>
      <c r="F278" s="32"/>
      <c r="G278" s="32"/>
      <c r="H278" s="32"/>
      <c r="I278" s="32"/>
      <c r="J278" s="32"/>
      <c r="K278" s="32"/>
      <c r="L278" s="32"/>
      <c r="M278" s="32"/>
      <c r="N278" s="32"/>
      <c r="O278" s="32"/>
      <c r="P278" s="32"/>
      <c r="Q278" s="32"/>
      <c r="R278" s="32"/>
    </row>
    <row r="279" spans="3:18" ht="12">
      <c r="C279" s="32"/>
      <c r="D279" s="32"/>
      <c r="E279" s="32"/>
      <c r="F279" s="32"/>
      <c r="G279" s="32"/>
      <c r="H279" s="32"/>
      <c r="I279" s="32"/>
      <c r="J279" s="32"/>
      <c r="K279" s="32"/>
      <c r="L279" s="32"/>
      <c r="M279" s="32"/>
      <c r="N279" s="32"/>
      <c r="O279" s="32"/>
      <c r="P279" s="32"/>
      <c r="Q279" s="32"/>
      <c r="R279" s="32"/>
    </row>
    <row r="280" spans="3:18" ht="12">
      <c r="C280" s="32"/>
      <c r="D280" s="32"/>
      <c r="E280" s="32"/>
      <c r="F280" s="32"/>
      <c r="G280" s="32"/>
      <c r="H280" s="32"/>
      <c r="I280" s="32"/>
      <c r="J280" s="32"/>
      <c r="K280" s="32"/>
      <c r="L280" s="32"/>
      <c r="M280" s="32"/>
      <c r="N280" s="32"/>
      <c r="O280" s="32"/>
      <c r="P280" s="32"/>
      <c r="Q280" s="32"/>
      <c r="R280" s="32"/>
    </row>
    <row r="281" spans="3:18" ht="12">
      <c r="C281" s="32"/>
      <c r="D281" s="32"/>
      <c r="E281" s="32"/>
      <c r="F281" s="32"/>
      <c r="G281" s="32"/>
      <c r="H281" s="32"/>
      <c r="I281" s="32"/>
      <c r="J281" s="32"/>
      <c r="K281" s="32"/>
      <c r="L281" s="32"/>
      <c r="M281" s="32"/>
      <c r="N281" s="32"/>
      <c r="O281" s="32"/>
      <c r="P281" s="32"/>
      <c r="Q281" s="32"/>
      <c r="R281" s="32"/>
    </row>
    <row r="282" spans="3:18" ht="12">
      <c r="C282" s="32"/>
      <c r="D282" s="32"/>
      <c r="E282" s="32"/>
      <c r="F282" s="32"/>
      <c r="G282" s="32"/>
      <c r="H282" s="32"/>
      <c r="I282" s="32"/>
      <c r="J282" s="32"/>
      <c r="K282" s="32"/>
      <c r="L282" s="32"/>
      <c r="M282" s="32"/>
      <c r="N282" s="32"/>
      <c r="O282" s="32"/>
      <c r="P282" s="32"/>
      <c r="Q282" s="32"/>
      <c r="R282" s="32"/>
    </row>
    <row r="283" spans="3:18" ht="12">
      <c r="C283" s="32"/>
      <c r="D283" s="32"/>
      <c r="E283" s="32"/>
      <c r="F283" s="32"/>
      <c r="G283" s="32"/>
      <c r="H283" s="32"/>
      <c r="I283" s="32"/>
      <c r="J283" s="32"/>
      <c r="K283" s="32"/>
      <c r="L283" s="32"/>
      <c r="M283" s="32"/>
      <c r="N283" s="32"/>
      <c r="O283" s="32"/>
      <c r="P283" s="32"/>
      <c r="Q283" s="32"/>
      <c r="R283" s="32"/>
    </row>
    <row r="284" spans="3:18" ht="12">
      <c r="C284" s="32"/>
      <c r="D284" s="32"/>
      <c r="E284" s="32"/>
      <c r="F284" s="32"/>
      <c r="G284" s="32"/>
      <c r="H284" s="32"/>
      <c r="I284" s="32"/>
      <c r="J284" s="32"/>
      <c r="K284" s="32"/>
      <c r="L284" s="32"/>
      <c r="M284" s="32"/>
      <c r="N284" s="32"/>
      <c r="O284" s="32"/>
      <c r="P284" s="32"/>
      <c r="Q284" s="32"/>
      <c r="R284" s="32"/>
    </row>
    <row r="285" spans="3:18" ht="12">
      <c r="C285" s="32"/>
      <c r="D285" s="32"/>
      <c r="E285" s="32"/>
      <c r="F285" s="32"/>
      <c r="G285" s="32"/>
      <c r="H285" s="32"/>
      <c r="I285" s="32"/>
      <c r="J285" s="32"/>
      <c r="K285" s="32"/>
      <c r="L285" s="32"/>
      <c r="M285" s="32"/>
      <c r="N285" s="32"/>
      <c r="O285" s="32"/>
      <c r="P285" s="32"/>
      <c r="Q285" s="32"/>
      <c r="R285" s="32"/>
    </row>
    <row r="286" spans="3:18" ht="12">
      <c r="C286" s="32"/>
      <c r="D286" s="32"/>
      <c r="E286" s="32"/>
      <c r="F286" s="32"/>
      <c r="G286" s="32"/>
      <c r="H286" s="32"/>
      <c r="I286" s="32"/>
      <c r="J286" s="32"/>
      <c r="K286" s="32"/>
      <c r="L286" s="32"/>
      <c r="M286" s="32"/>
      <c r="N286" s="32"/>
      <c r="O286" s="32"/>
      <c r="P286" s="32"/>
      <c r="Q286" s="32"/>
      <c r="R286" s="32"/>
    </row>
    <row r="287" spans="3:18" ht="12">
      <c r="C287" s="32"/>
      <c r="D287" s="32"/>
      <c r="E287" s="32"/>
      <c r="F287" s="32"/>
      <c r="G287" s="32"/>
      <c r="H287" s="32"/>
      <c r="I287" s="32"/>
      <c r="J287" s="32"/>
      <c r="K287" s="32"/>
      <c r="L287" s="32"/>
      <c r="M287" s="32"/>
      <c r="N287" s="32"/>
      <c r="O287" s="32"/>
      <c r="P287" s="32"/>
      <c r="Q287" s="32"/>
      <c r="R287" s="32"/>
    </row>
    <row r="288" spans="3:18" ht="12">
      <c r="C288" s="32"/>
      <c r="D288" s="32"/>
      <c r="E288" s="32"/>
      <c r="F288" s="32"/>
      <c r="G288" s="32"/>
      <c r="H288" s="32"/>
      <c r="I288" s="32"/>
      <c r="J288" s="32"/>
      <c r="K288" s="32"/>
      <c r="L288" s="32"/>
      <c r="M288" s="32"/>
      <c r="N288" s="32"/>
      <c r="O288" s="32"/>
      <c r="P288" s="32"/>
      <c r="Q288" s="32"/>
      <c r="R288" s="32"/>
    </row>
    <row r="289" spans="3:18" ht="12">
      <c r="C289" s="32"/>
      <c r="D289" s="32"/>
      <c r="E289" s="32"/>
      <c r="F289" s="32"/>
      <c r="G289" s="32"/>
      <c r="H289" s="32"/>
      <c r="I289" s="32"/>
      <c r="J289" s="32"/>
      <c r="K289" s="32"/>
      <c r="L289" s="32"/>
      <c r="M289" s="32"/>
      <c r="N289" s="32"/>
      <c r="O289" s="32"/>
      <c r="P289" s="32"/>
      <c r="Q289" s="32"/>
      <c r="R289" s="32"/>
    </row>
    <row r="290" spans="3:18" ht="12">
      <c r="C290" s="32"/>
      <c r="D290" s="32"/>
      <c r="E290" s="32"/>
      <c r="F290" s="32"/>
      <c r="G290" s="32"/>
      <c r="H290" s="32"/>
      <c r="I290" s="32"/>
      <c r="J290" s="32"/>
      <c r="K290" s="32"/>
      <c r="L290" s="32"/>
      <c r="M290" s="32"/>
      <c r="N290" s="32"/>
      <c r="O290" s="32"/>
      <c r="P290" s="32"/>
      <c r="Q290" s="32"/>
      <c r="R290" s="32"/>
    </row>
    <row r="291" spans="3:18" ht="12">
      <c r="C291" s="32"/>
      <c r="D291" s="32"/>
      <c r="E291" s="32"/>
      <c r="F291" s="32"/>
      <c r="G291" s="32"/>
      <c r="H291" s="32"/>
      <c r="I291" s="32"/>
      <c r="J291" s="32"/>
      <c r="K291" s="32"/>
      <c r="L291" s="32"/>
      <c r="M291" s="32"/>
      <c r="N291" s="32"/>
      <c r="O291" s="32"/>
      <c r="P291" s="32"/>
      <c r="Q291" s="32"/>
      <c r="R291" s="32"/>
    </row>
    <row r="292" spans="3:18" ht="12">
      <c r="C292" s="32"/>
      <c r="D292" s="32"/>
      <c r="E292" s="32"/>
      <c r="F292" s="32"/>
      <c r="G292" s="32"/>
      <c r="H292" s="32"/>
      <c r="I292" s="32"/>
      <c r="J292" s="32"/>
      <c r="K292" s="32"/>
      <c r="L292" s="32"/>
      <c r="M292" s="32"/>
      <c r="N292" s="32"/>
      <c r="O292" s="32"/>
      <c r="P292" s="32"/>
      <c r="Q292" s="32"/>
      <c r="R292" s="32"/>
    </row>
    <row r="293" spans="3:18" ht="12">
      <c r="C293" s="32"/>
      <c r="D293" s="32"/>
      <c r="E293" s="32"/>
      <c r="F293" s="32"/>
      <c r="G293" s="32"/>
      <c r="H293" s="32"/>
      <c r="I293" s="32"/>
      <c r="J293" s="32"/>
      <c r="K293" s="32"/>
      <c r="L293" s="32"/>
      <c r="M293" s="32"/>
      <c r="N293" s="32"/>
      <c r="O293" s="32"/>
      <c r="P293" s="32"/>
      <c r="Q293" s="32"/>
      <c r="R293" s="32"/>
    </row>
    <row r="294" spans="3:18" ht="12">
      <c r="C294" s="32"/>
      <c r="D294" s="32"/>
      <c r="E294" s="32"/>
      <c r="F294" s="32"/>
      <c r="G294" s="32"/>
      <c r="H294" s="32"/>
      <c r="I294" s="32"/>
      <c r="J294" s="32"/>
      <c r="K294" s="32"/>
      <c r="L294" s="32"/>
      <c r="M294" s="32"/>
      <c r="N294" s="32"/>
      <c r="O294" s="32"/>
      <c r="P294" s="32"/>
      <c r="Q294" s="32"/>
      <c r="R294" s="32"/>
    </row>
    <row r="295" spans="3:18" ht="12">
      <c r="C295" s="32"/>
      <c r="D295" s="32"/>
      <c r="E295" s="32"/>
      <c r="F295" s="32"/>
      <c r="G295" s="32"/>
      <c r="H295" s="32"/>
      <c r="I295" s="32"/>
      <c r="J295" s="32"/>
      <c r="K295" s="32"/>
      <c r="L295" s="32"/>
      <c r="M295" s="32"/>
      <c r="N295" s="32"/>
      <c r="O295" s="32"/>
      <c r="P295" s="32"/>
      <c r="Q295" s="32"/>
      <c r="R295" s="32"/>
    </row>
    <row r="296" spans="3:18" ht="12">
      <c r="C296" s="32"/>
      <c r="D296" s="32"/>
      <c r="E296" s="32"/>
      <c r="F296" s="32"/>
      <c r="G296" s="32"/>
      <c r="H296" s="32"/>
      <c r="I296" s="32"/>
      <c r="J296" s="32"/>
      <c r="K296" s="32"/>
      <c r="L296" s="32"/>
      <c r="M296" s="32"/>
      <c r="N296" s="32"/>
      <c r="O296" s="32"/>
      <c r="P296" s="32"/>
      <c r="Q296" s="32"/>
      <c r="R296" s="32"/>
    </row>
    <row r="297" spans="3:18" ht="12">
      <c r="C297" s="32"/>
      <c r="D297" s="32"/>
      <c r="E297" s="32"/>
      <c r="F297" s="32"/>
      <c r="G297" s="32"/>
      <c r="H297" s="32"/>
      <c r="I297" s="32"/>
      <c r="J297" s="32"/>
      <c r="K297" s="32"/>
      <c r="L297" s="32"/>
      <c r="M297" s="32"/>
      <c r="N297" s="32"/>
      <c r="O297" s="32"/>
      <c r="P297" s="32"/>
      <c r="Q297" s="32"/>
      <c r="R297" s="32"/>
    </row>
    <row r="298" spans="3:18" ht="12">
      <c r="C298" s="32"/>
      <c r="D298" s="32"/>
      <c r="E298" s="32"/>
      <c r="F298" s="32"/>
      <c r="G298" s="32"/>
      <c r="H298" s="32"/>
      <c r="I298" s="32"/>
      <c r="J298" s="32"/>
      <c r="K298" s="32"/>
      <c r="L298" s="32"/>
      <c r="M298" s="32"/>
      <c r="N298" s="32"/>
      <c r="O298" s="32"/>
      <c r="P298" s="32"/>
      <c r="Q298" s="32"/>
      <c r="R298" s="32"/>
    </row>
    <row r="299" spans="3:18" ht="12">
      <c r="C299" s="32"/>
      <c r="D299" s="32"/>
      <c r="E299" s="32"/>
      <c r="F299" s="32"/>
      <c r="G299" s="32"/>
      <c r="H299" s="32"/>
      <c r="I299" s="32"/>
      <c r="J299" s="32"/>
      <c r="K299" s="32"/>
      <c r="L299" s="32"/>
      <c r="M299" s="32"/>
      <c r="N299" s="32"/>
      <c r="O299" s="32"/>
      <c r="P299" s="32"/>
      <c r="Q299" s="32"/>
      <c r="R299" s="32"/>
    </row>
    <row r="300" spans="3:18" ht="12">
      <c r="C300" s="32"/>
      <c r="D300" s="32"/>
      <c r="E300" s="32"/>
      <c r="F300" s="32"/>
      <c r="G300" s="32"/>
      <c r="H300" s="32"/>
      <c r="I300" s="32"/>
      <c r="J300" s="32"/>
      <c r="K300" s="32"/>
      <c r="L300" s="32"/>
      <c r="M300" s="32"/>
      <c r="N300" s="32"/>
      <c r="O300" s="32"/>
      <c r="P300" s="32"/>
      <c r="Q300" s="32"/>
      <c r="R300" s="32"/>
    </row>
    <row r="301" spans="3:18" ht="12">
      <c r="C301" s="32"/>
      <c r="D301" s="32"/>
      <c r="E301" s="32"/>
      <c r="F301" s="32"/>
      <c r="G301" s="32"/>
      <c r="H301" s="32"/>
      <c r="I301" s="32"/>
      <c r="J301" s="32"/>
      <c r="K301" s="32"/>
      <c r="L301" s="32"/>
      <c r="M301" s="32"/>
      <c r="N301" s="32"/>
      <c r="O301" s="32"/>
      <c r="P301" s="32"/>
      <c r="Q301" s="32"/>
      <c r="R301" s="32"/>
    </row>
    <row r="302" spans="3:18" ht="12">
      <c r="C302" s="32"/>
      <c r="D302" s="32"/>
      <c r="E302" s="32"/>
      <c r="F302" s="32"/>
      <c r="G302" s="32"/>
      <c r="H302" s="32"/>
      <c r="I302" s="32"/>
      <c r="J302" s="32"/>
      <c r="K302" s="32"/>
      <c r="L302" s="32"/>
      <c r="M302" s="32"/>
      <c r="N302" s="32"/>
      <c r="O302" s="32"/>
      <c r="P302" s="32"/>
      <c r="Q302" s="32"/>
      <c r="R302" s="32"/>
    </row>
    <row r="303" spans="3:18" ht="12">
      <c r="C303" s="32"/>
      <c r="D303" s="32"/>
      <c r="E303" s="32"/>
      <c r="F303" s="32"/>
      <c r="G303" s="32"/>
      <c r="H303" s="32"/>
      <c r="I303" s="32"/>
      <c r="J303" s="32"/>
      <c r="K303" s="32"/>
      <c r="L303" s="32"/>
      <c r="M303" s="32"/>
      <c r="N303" s="32"/>
      <c r="O303" s="32"/>
      <c r="P303" s="32"/>
      <c r="Q303" s="32"/>
      <c r="R303" s="32"/>
    </row>
    <row r="304" spans="3:18" ht="12">
      <c r="C304" s="32"/>
      <c r="D304" s="32"/>
      <c r="E304" s="32"/>
      <c r="F304" s="32"/>
      <c r="G304" s="32"/>
      <c r="H304" s="32"/>
      <c r="I304" s="32"/>
      <c r="J304" s="32"/>
      <c r="K304" s="32"/>
      <c r="L304" s="32"/>
      <c r="M304" s="32"/>
      <c r="N304" s="32"/>
      <c r="O304" s="32"/>
      <c r="P304" s="32"/>
      <c r="Q304" s="32"/>
      <c r="R304" s="32"/>
    </row>
    <row r="305" spans="3:18" ht="12">
      <c r="C305" s="32"/>
      <c r="D305" s="32"/>
      <c r="E305" s="32"/>
      <c r="F305" s="32"/>
      <c r="G305" s="32"/>
      <c r="H305" s="32"/>
      <c r="I305" s="32"/>
      <c r="J305" s="32"/>
      <c r="K305" s="32"/>
      <c r="L305" s="32"/>
      <c r="M305" s="32"/>
      <c r="N305" s="32"/>
      <c r="O305" s="32"/>
      <c r="P305" s="32"/>
      <c r="Q305" s="32"/>
      <c r="R305" s="32"/>
    </row>
    <row r="306" spans="3:18" ht="12">
      <c r="C306" s="32"/>
      <c r="D306" s="32"/>
      <c r="E306" s="32"/>
      <c r="F306" s="32"/>
      <c r="G306" s="32"/>
      <c r="H306" s="32"/>
      <c r="I306" s="32"/>
      <c r="J306" s="32"/>
      <c r="K306" s="32"/>
      <c r="L306" s="32"/>
      <c r="M306" s="32"/>
      <c r="N306" s="32"/>
      <c r="O306" s="32"/>
      <c r="P306" s="32"/>
      <c r="Q306" s="32"/>
      <c r="R306" s="32"/>
    </row>
    <row r="307" spans="3:18" ht="12">
      <c r="C307" s="32"/>
      <c r="D307" s="32"/>
      <c r="E307" s="32"/>
      <c r="F307" s="32"/>
      <c r="G307" s="32"/>
      <c r="H307" s="32"/>
      <c r="I307" s="32"/>
      <c r="J307" s="32"/>
      <c r="K307" s="32"/>
      <c r="L307" s="32"/>
      <c r="M307" s="32"/>
      <c r="N307" s="32"/>
      <c r="O307" s="32"/>
      <c r="P307" s="32"/>
      <c r="Q307" s="32"/>
      <c r="R307" s="32"/>
    </row>
    <row r="308" spans="3:18" ht="12">
      <c r="C308" s="32"/>
      <c r="D308" s="32"/>
      <c r="E308" s="32"/>
      <c r="F308" s="32"/>
      <c r="G308" s="32"/>
      <c r="H308" s="32"/>
      <c r="I308" s="32"/>
      <c r="J308" s="32"/>
      <c r="K308" s="32"/>
      <c r="L308" s="32"/>
      <c r="M308" s="32"/>
      <c r="N308" s="32"/>
      <c r="O308" s="32"/>
      <c r="P308" s="32"/>
      <c r="Q308" s="32"/>
      <c r="R308" s="32"/>
    </row>
    <row r="309" spans="3:18" ht="12">
      <c r="C309" s="32"/>
      <c r="D309" s="32"/>
      <c r="E309" s="32"/>
      <c r="F309" s="32"/>
      <c r="G309" s="32"/>
      <c r="H309" s="32"/>
      <c r="I309" s="32"/>
      <c r="J309" s="32"/>
      <c r="K309" s="32"/>
      <c r="L309" s="32"/>
      <c r="M309" s="32"/>
      <c r="N309" s="32"/>
      <c r="O309" s="32"/>
      <c r="P309" s="32"/>
      <c r="Q309" s="32"/>
      <c r="R309" s="32"/>
    </row>
    <row r="310" spans="3:18" ht="12">
      <c r="C310" s="32"/>
      <c r="D310" s="32"/>
      <c r="E310" s="32"/>
      <c r="F310" s="32"/>
      <c r="G310" s="32"/>
      <c r="H310" s="32"/>
      <c r="I310" s="32"/>
      <c r="J310" s="32"/>
      <c r="K310" s="32"/>
      <c r="L310" s="32"/>
      <c r="M310" s="32"/>
      <c r="N310" s="32"/>
      <c r="O310" s="32"/>
      <c r="P310" s="32"/>
      <c r="Q310" s="32"/>
      <c r="R310" s="32"/>
    </row>
    <row r="311" spans="3:18" ht="12">
      <c r="C311" s="32"/>
      <c r="D311" s="32"/>
      <c r="E311" s="32"/>
      <c r="F311" s="32"/>
      <c r="G311" s="32"/>
      <c r="H311" s="32"/>
      <c r="I311" s="32"/>
      <c r="J311" s="32"/>
      <c r="K311" s="32"/>
      <c r="L311" s="32"/>
      <c r="M311" s="32"/>
      <c r="N311" s="32"/>
      <c r="O311" s="32"/>
      <c r="P311" s="32"/>
      <c r="Q311" s="32"/>
      <c r="R311" s="32"/>
    </row>
    <row r="312" spans="3:18" ht="12">
      <c r="C312" s="32"/>
      <c r="D312" s="32"/>
      <c r="E312" s="32"/>
      <c r="F312" s="32"/>
      <c r="G312" s="32"/>
      <c r="H312" s="32"/>
      <c r="I312" s="32"/>
      <c r="J312" s="32"/>
      <c r="K312" s="32"/>
      <c r="L312" s="32"/>
      <c r="M312" s="32"/>
      <c r="N312" s="32"/>
      <c r="O312" s="32"/>
      <c r="P312" s="32"/>
      <c r="Q312" s="32"/>
      <c r="R312" s="32"/>
    </row>
    <row r="313" spans="3:18" ht="12">
      <c r="C313" s="32"/>
      <c r="D313" s="32"/>
      <c r="E313" s="32"/>
      <c r="F313" s="32"/>
      <c r="G313" s="32"/>
      <c r="H313" s="32"/>
      <c r="I313" s="32"/>
      <c r="J313" s="32"/>
      <c r="K313" s="32"/>
      <c r="L313" s="32"/>
      <c r="M313" s="32"/>
      <c r="N313" s="32"/>
      <c r="O313" s="32"/>
      <c r="P313" s="32"/>
      <c r="Q313" s="32"/>
      <c r="R313" s="32"/>
    </row>
    <row r="314" spans="3:18" ht="12">
      <c r="C314" s="32"/>
      <c r="D314" s="32"/>
      <c r="E314" s="32"/>
      <c r="F314" s="32"/>
      <c r="G314" s="32"/>
      <c r="H314" s="32"/>
      <c r="I314" s="32"/>
      <c r="J314" s="32"/>
      <c r="K314" s="32"/>
      <c r="L314" s="32"/>
      <c r="M314" s="32"/>
      <c r="N314" s="32"/>
      <c r="O314" s="32"/>
      <c r="P314" s="32"/>
      <c r="Q314" s="32"/>
      <c r="R314" s="32"/>
    </row>
    <row r="315" spans="3:18" ht="12">
      <c r="C315" s="32"/>
      <c r="D315" s="32"/>
      <c r="E315" s="32"/>
      <c r="F315" s="32"/>
      <c r="G315" s="32"/>
      <c r="H315" s="32"/>
      <c r="I315" s="32"/>
      <c r="J315" s="32"/>
      <c r="K315" s="32"/>
      <c r="L315" s="32"/>
      <c r="M315" s="32"/>
      <c r="N315" s="32"/>
      <c r="O315" s="32"/>
      <c r="P315" s="32"/>
      <c r="Q315" s="32"/>
      <c r="R315" s="32"/>
    </row>
    <row r="316" spans="3:18" ht="12">
      <c r="C316" s="32"/>
      <c r="D316" s="32"/>
      <c r="E316" s="32"/>
      <c r="F316" s="32"/>
      <c r="G316" s="32"/>
      <c r="H316" s="32"/>
      <c r="I316" s="32"/>
      <c r="J316" s="32"/>
      <c r="K316" s="32"/>
      <c r="L316" s="32"/>
      <c r="M316" s="32"/>
      <c r="N316" s="32"/>
      <c r="O316" s="32"/>
      <c r="P316" s="32"/>
      <c r="Q316" s="32"/>
      <c r="R316" s="32"/>
    </row>
    <row r="317" spans="3:18" ht="12">
      <c r="C317" s="32"/>
      <c r="D317" s="32"/>
      <c r="E317" s="32"/>
      <c r="F317" s="32"/>
      <c r="G317" s="32"/>
      <c r="H317" s="32"/>
      <c r="I317" s="32"/>
      <c r="J317" s="32"/>
      <c r="K317" s="32"/>
      <c r="L317" s="32"/>
      <c r="M317" s="32"/>
      <c r="N317" s="32"/>
      <c r="O317" s="32"/>
      <c r="P317" s="32"/>
      <c r="Q317" s="32"/>
      <c r="R317" s="32"/>
    </row>
    <row r="318" spans="3:18" ht="12">
      <c r="C318" s="32"/>
      <c r="D318" s="32"/>
      <c r="E318" s="32"/>
      <c r="F318" s="32"/>
      <c r="G318" s="32"/>
      <c r="H318" s="32"/>
      <c r="I318" s="32"/>
      <c r="J318" s="32"/>
      <c r="K318" s="32"/>
      <c r="L318" s="32"/>
      <c r="M318" s="32"/>
      <c r="N318" s="32"/>
      <c r="O318" s="32"/>
      <c r="P318" s="32"/>
      <c r="Q318" s="32"/>
      <c r="R318" s="32"/>
    </row>
    <row r="319" spans="3:18" ht="12">
      <c r="C319" s="32"/>
      <c r="D319" s="32"/>
      <c r="E319" s="32"/>
      <c r="F319" s="32"/>
      <c r="G319" s="32"/>
      <c r="H319" s="32"/>
      <c r="I319" s="32"/>
      <c r="J319" s="32"/>
      <c r="K319" s="32"/>
      <c r="L319" s="32"/>
      <c r="M319" s="32"/>
      <c r="N319" s="32"/>
      <c r="O319" s="32"/>
      <c r="P319" s="32"/>
      <c r="Q319" s="32"/>
      <c r="R319" s="32"/>
    </row>
    <row r="320" spans="3:18" ht="12">
      <c r="C320" s="32"/>
      <c r="D320" s="32"/>
      <c r="E320" s="32"/>
      <c r="F320" s="32"/>
      <c r="G320" s="32"/>
      <c r="H320" s="32"/>
      <c r="I320" s="32"/>
      <c r="J320" s="32"/>
      <c r="K320" s="32"/>
      <c r="L320" s="32"/>
      <c r="M320" s="32"/>
      <c r="N320" s="32"/>
      <c r="O320" s="32"/>
      <c r="P320" s="32"/>
      <c r="Q320" s="32"/>
      <c r="R320" s="32"/>
    </row>
    <row r="321" spans="3:18" ht="12">
      <c r="C321" s="32"/>
      <c r="D321" s="32"/>
      <c r="E321" s="32"/>
      <c r="F321" s="32"/>
      <c r="G321" s="32"/>
      <c r="H321" s="32"/>
      <c r="I321" s="32"/>
      <c r="J321" s="32"/>
      <c r="K321" s="32"/>
      <c r="L321" s="32"/>
      <c r="M321" s="32"/>
      <c r="N321" s="32"/>
      <c r="O321" s="32"/>
      <c r="P321" s="32"/>
      <c r="Q321" s="32"/>
      <c r="R321" s="32"/>
    </row>
    <row r="322" spans="3:18" ht="12">
      <c r="C322" s="32"/>
      <c r="D322" s="32"/>
      <c r="E322" s="32"/>
      <c r="F322" s="32"/>
      <c r="G322" s="32"/>
      <c r="H322" s="32"/>
      <c r="I322" s="32"/>
      <c r="J322" s="32"/>
      <c r="K322" s="32"/>
      <c r="L322" s="32"/>
      <c r="M322" s="32"/>
      <c r="N322" s="32"/>
      <c r="O322" s="32"/>
      <c r="P322" s="32"/>
      <c r="Q322" s="32"/>
      <c r="R322" s="32"/>
    </row>
    <row r="323" spans="3:18" ht="12">
      <c r="C323" s="32"/>
      <c r="D323" s="32"/>
      <c r="E323" s="32"/>
      <c r="F323" s="32"/>
      <c r="G323" s="32"/>
      <c r="H323" s="32"/>
      <c r="I323" s="32"/>
      <c r="J323" s="32"/>
      <c r="K323" s="32"/>
      <c r="L323" s="32"/>
      <c r="M323" s="32"/>
      <c r="N323" s="32"/>
      <c r="O323" s="32"/>
      <c r="P323" s="32"/>
      <c r="Q323" s="32"/>
      <c r="R323" s="32"/>
    </row>
    <row r="324" spans="3:18" ht="12">
      <c r="C324" s="32"/>
      <c r="D324" s="32"/>
      <c r="E324" s="32"/>
      <c r="F324" s="32"/>
      <c r="G324" s="32"/>
      <c r="H324" s="32"/>
      <c r="I324" s="32"/>
      <c r="J324" s="32"/>
      <c r="K324" s="32"/>
      <c r="L324" s="32"/>
      <c r="M324" s="32"/>
      <c r="N324" s="32"/>
      <c r="O324" s="32"/>
      <c r="P324" s="32"/>
      <c r="Q324" s="32"/>
      <c r="R324" s="32"/>
    </row>
    <row r="325" spans="3:18" ht="12">
      <c r="C325" s="32"/>
      <c r="D325" s="32"/>
      <c r="E325" s="32"/>
      <c r="F325" s="32"/>
      <c r="G325" s="32"/>
      <c r="H325" s="32"/>
      <c r="I325" s="32"/>
      <c r="J325" s="32"/>
      <c r="K325" s="32"/>
      <c r="L325" s="32"/>
      <c r="M325" s="32"/>
      <c r="N325" s="32"/>
      <c r="O325" s="32"/>
      <c r="P325" s="32"/>
      <c r="Q325" s="32"/>
      <c r="R325" s="32"/>
    </row>
    <row r="326" spans="3:18" ht="12">
      <c r="C326" s="32"/>
      <c r="D326" s="32"/>
      <c r="E326" s="32"/>
      <c r="F326" s="32"/>
      <c r="G326" s="32"/>
      <c r="H326" s="32"/>
      <c r="I326" s="32"/>
      <c r="J326" s="32"/>
      <c r="K326" s="32"/>
      <c r="L326" s="32"/>
      <c r="M326" s="32"/>
      <c r="N326" s="32"/>
      <c r="O326" s="32"/>
      <c r="P326" s="32"/>
      <c r="Q326" s="32"/>
      <c r="R326" s="32"/>
    </row>
    <row r="327" spans="3:18" ht="12">
      <c r="C327" s="32"/>
      <c r="D327" s="32"/>
      <c r="E327" s="32"/>
      <c r="F327" s="32"/>
      <c r="G327" s="32"/>
      <c r="H327" s="32"/>
      <c r="I327" s="32"/>
      <c r="J327" s="32"/>
      <c r="K327" s="32"/>
      <c r="L327" s="32"/>
      <c r="M327" s="32"/>
      <c r="N327" s="32"/>
      <c r="O327" s="32"/>
      <c r="P327" s="32"/>
      <c r="Q327" s="32"/>
      <c r="R327" s="32"/>
    </row>
    <row r="328" spans="3:18" ht="12">
      <c r="C328" s="32"/>
      <c r="D328" s="32"/>
      <c r="E328" s="32"/>
      <c r="F328" s="32"/>
      <c r="G328" s="32"/>
      <c r="H328" s="32"/>
      <c r="I328" s="32"/>
      <c r="J328" s="32"/>
      <c r="K328" s="32"/>
      <c r="L328" s="32"/>
      <c r="M328" s="32"/>
      <c r="N328" s="32"/>
      <c r="O328" s="32"/>
      <c r="P328" s="32"/>
      <c r="Q328" s="32"/>
      <c r="R328" s="32"/>
    </row>
    <row r="329" spans="3:18" ht="12">
      <c r="C329" s="32"/>
      <c r="D329" s="32"/>
      <c r="E329" s="32"/>
      <c r="F329" s="32"/>
      <c r="G329" s="32"/>
      <c r="H329" s="32"/>
      <c r="I329" s="32"/>
      <c r="J329" s="32"/>
      <c r="K329" s="32"/>
      <c r="L329" s="32"/>
      <c r="M329" s="32"/>
      <c r="N329" s="32"/>
      <c r="O329" s="32"/>
      <c r="P329" s="32"/>
      <c r="Q329" s="32"/>
      <c r="R329" s="32"/>
    </row>
    <row r="330" spans="3:18" ht="12">
      <c r="C330" s="32"/>
      <c r="D330" s="32"/>
      <c r="E330" s="32"/>
      <c r="F330" s="32"/>
      <c r="G330" s="32"/>
      <c r="H330" s="32"/>
      <c r="I330" s="32"/>
      <c r="J330" s="32"/>
      <c r="K330" s="32"/>
      <c r="L330" s="32"/>
      <c r="M330" s="32"/>
      <c r="N330" s="32"/>
      <c r="O330" s="32"/>
      <c r="P330" s="32"/>
      <c r="Q330" s="32"/>
      <c r="R330" s="32"/>
    </row>
    <row r="331" spans="3:18" ht="12">
      <c r="C331" s="32"/>
      <c r="D331" s="32"/>
      <c r="E331" s="32"/>
      <c r="F331" s="32"/>
      <c r="G331" s="32"/>
      <c r="H331" s="32"/>
      <c r="I331" s="32"/>
      <c r="J331" s="32"/>
      <c r="K331" s="32"/>
      <c r="L331" s="32"/>
      <c r="M331" s="32"/>
      <c r="N331" s="32"/>
      <c r="O331" s="32"/>
      <c r="P331" s="32"/>
      <c r="Q331" s="32"/>
      <c r="R331" s="32"/>
    </row>
    <row r="332" spans="3:18" ht="12">
      <c r="C332" s="32"/>
      <c r="D332" s="32"/>
      <c r="E332" s="32"/>
      <c r="F332" s="32"/>
      <c r="G332" s="32"/>
      <c r="H332" s="32"/>
      <c r="I332" s="32"/>
      <c r="J332" s="32"/>
      <c r="K332" s="32"/>
      <c r="L332" s="32"/>
      <c r="M332" s="32"/>
      <c r="N332" s="32"/>
      <c r="O332" s="32"/>
      <c r="P332" s="32"/>
      <c r="Q332" s="32"/>
      <c r="R332" s="32"/>
    </row>
    <row r="333" spans="3:18" ht="12">
      <c r="C333" s="32"/>
      <c r="D333" s="32"/>
      <c r="E333" s="32"/>
      <c r="F333" s="32"/>
      <c r="G333" s="32"/>
      <c r="H333" s="32"/>
      <c r="I333" s="32"/>
      <c r="J333" s="32"/>
      <c r="K333" s="32"/>
      <c r="L333" s="32"/>
      <c r="M333" s="32"/>
      <c r="N333" s="32"/>
      <c r="O333" s="32"/>
      <c r="P333" s="32"/>
      <c r="Q333" s="32"/>
      <c r="R333" s="32"/>
    </row>
    <row r="334" spans="3:18" ht="12">
      <c r="C334" s="32"/>
      <c r="D334" s="32"/>
      <c r="E334" s="32"/>
      <c r="F334" s="32"/>
      <c r="G334" s="32"/>
      <c r="H334" s="32"/>
      <c r="I334" s="32"/>
      <c r="J334" s="32"/>
      <c r="K334" s="32"/>
      <c r="L334" s="32"/>
      <c r="M334" s="32"/>
      <c r="N334" s="32"/>
      <c r="O334" s="32"/>
      <c r="P334" s="32"/>
      <c r="Q334" s="32"/>
      <c r="R334" s="32"/>
    </row>
    <row r="335" spans="3:18" ht="12">
      <c r="C335" s="32"/>
      <c r="D335" s="32"/>
      <c r="E335" s="32"/>
      <c r="F335" s="32"/>
      <c r="G335" s="32"/>
      <c r="H335" s="32"/>
      <c r="I335" s="32"/>
      <c r="J335" s="32"/>
      <c r="K335" s="32"/>
      <c r="L335" s="32"/>
      <c r="M335" s="32"/>
      <c r="N335" s="32"/>
      <c r="O335" s="32"/>
      <c r="P335" s="32"/>
      <c r="Q335" s="32"/>
      <c r="R335" s="32"/>
    </row>
    <row r="336" spans="3:18" ht="12">
      <c r="C336" s="32"/>
      <c r="D336" s="32"/>
      <c r="E336" s="32"/>
      <c r="F336" s="32"/>
      <c r="G336" s="32"/>
      <c r="H336" s="32"/>
      <c r="I336" s="32"/>
      <c r="J336" s="32"/>
      <c r="K336" s="32"/>
      <c r="L336" s="32"/>
      <c r="M336" s="32"/>
      <c r="N336" s="32"/>
      <c r="O336" s="32"/>
      <c r="P336" s="32"/>
      <c r="Q336" s="32"/>
      <c r="R336" s="32"/>
    </row>
    <row r="337" spans="3:18" ht="12">
      <c r="C337" s="32"/>
      <c r="D337" s="32"/>
      <c r="E337" s="32"/>
      <c r="F337" s="32"/>
      <c r="G337" s="32"/>
      <c r="H337" s="32"/>
      <c r="I337" s="32"/>
      <c r="J337" s="32"/>
      <c r="K337" s="32"/>
      <c r="L337" s="32"/>
      <c r="M337" s="32"/>
      <c r="N337" s="32"/>
      <c r="O337" s="32"/>
      <c r="P337" s="32"/>
      <c r="Q337" s="32"/>
      <c r="R337" s="32"/>
    </row>
    <row r="338" spans="3:18" ht="12">
      <c r="C338" s="32"/>
      <c r="D338" s="32"/>
      <c r="E338" s="32"/>
      <c r="F338" s="32"/>
      <c r="G338" s="32"/>
      <c r="H338" s="32"/>
      <c r="I338" s="32"/>
      <c r="J338" s="32"/>
      <c r="K338" s="32"/>
      <c r="L338" s="32"/>
      <c r="M338" s="32"/>
      <c r="N338" s="32"/>
      <c r="O338" s="32"/>
      <c r="P338" s="32"/>
      <c r="Q338" s="32"/>
      <c r="R338" s="32"/>
    </row>
    <row r="339" spans="3:18" ht="12">
      <c r="C339" s="32"/>
      <c r="D339" s="32"/>
      <c r="E339" s="32"/>
      <c r="F339" s="32"/>
      <c r="G339" s="32"/>
      <c r="H339" s="32"/>
      <c r="I339" s="32"/>
      <c r="J339" s="32"/>
      <c r="K339" s="32"/>
      <c r="L339" s="32"/>
      <c r="M339" s="32"/>
      <c r="N339" s="32"/>
      <c r="O339" s="32"/>
      <c r="P339" s="32"/>
      <c r="Q339" s="32"/>
      <c r="R339" s="32"/>
    </row>
    <row r="340" spans="3:18" ht="12">
      <c r="C340" s="32"/>
      <c r="D340" s="32"/>
      <c r="E340" s="32"/>
      <c r="F340" s="32"/>
      <c r="G340" s="32"/>
      <c r="H340" s="32"/>
      <c r="I340" s="32"/>
      <c r="J340" s="32"/>
      <c r="K340" s="32"/>
      <c r="L340" s="32"/>
      <c r="M340" s="32"/>
      <c r="N340" s="32"/>
      <c r="O340" s="32"/>
      <c r="P340" s="32"/>
      <c r="Q340" s="32"/>
      <c r="R340" s="32"/>
    </row>
    <row r="341" spans="3:18" ht="12">
      <c r="C341" s="32"/>
      <c r="D341" s="32"/>
      <c r="E341" s="32"/>
      <c r="F341" s="32"/>
      <c r="G341" s="32"/>
      <c r="H341" s="32"/>
      <c r="I341" s="32"/>
      <c r="J341" s="32"/>
      <c r="K341" s="32"/>
      <c r="L341" s="32"/>
      <c r="M341" s="32"/>
      <c r="N341" s="32"/>
      <c r="O341" s="32"/>
      <c r="P341" s="32"/>
      <c r="Q341" s="32"/>
      <c r="R341" s="32"/>
    </row>
    <row r="342" spans="3:18" ht="12">
      <c r="C342" s="32"/>
      <c r="D342" s="32"/>
      <c r="E342" s="32"/>
      <c r="F342" s="32"/>
      <c r="G342" s="32"/>
      <c r="H342" s="32"/>
      <c r="I342" s="32"/>
      <c r="J342" s="32"/>
      <c r="K342" s="32"/>
      <c r="L342" s="32"/>
      <c r="M342" s="32"/>
      <c r="N342" s="32"/>
      <c r="O342" s="32"/>
      <c r="P342" s="32"/>
      <c r="Q342" s="32"/>
      <c r="R342" s="32"/>
    </row>
    <row r="343" spans="3:18" ht="12">
      <c r="C343" s="32"/>
      <c r="D343" s="32"/>
      <c r="E343" s="32"/>
      <c r="F343" s="32"/>
      <c r="G343" s="32"/>
      <c r="H343" s="32"/>
      <c r="I343" s="32"/>
      <c r="J343" s="32"/>
      <c r="K343" s="32"/>
      <c r="L343" s="32"/>
      <c r="M343" s="32"/>
      <c r="N343" s="32"/>
      <c r="O343" s="32"/>
      <c r="P343" s="32"/>
      <c r="Q343" s="32"/>
      <c r="R343" s="32"/>
    </row>
    <row r="344" spans="3:18" ht="12">
      <c r="C344" s="32"/>
      <c r="D344" s="32"/>
      <c r="E344" s="32"/>
      <c r="F344" s="32"/>
      <c r="G344" s="32"/>
      <c r="H344" s="32"/>
      <c r="I344" s="32"/>
      <c r="J344" s="32"/>
      <c r="K344" s="32"/>
      <c r="L344" s="32"/>
      <c r="M344" s="32"/>
      <c r="N344" s="32"/>
      <c r="O344" s="32"/>
      <c r="P344" s="32"/>
      <c r="Q344" s="32"/>
      <c r="R344" s="32"/>
    </row>
    <row r="345" spans="3:18" ht="12">
      <c r="C345" s="32"/>
      <c r="D345" s="32"/>
      <c r="E345" s="32"/>
      <c r="F345" s="32"/>
      <c r="G345" s="32"/>
      <c r="H345" s="32"/>
      <c r="I345" s="32"/>
      <c r="J345" s="32"/>
      <c r="K345" s="32"/>
      <c r="L345" s="32"/>
      <c r="M345" s="32"/>
      <c r="N345" s="32"/>
      <c r="O345" s="32"/>
      <c r="P345" s="32"/>
      <c r="Q345" s="32"/>
      <c r="R345" s="32"/>
    </row>
    <row r="346" spans="3:18" ht="12">
      <c r="C346" s="32"/>
      <c r="D346" s="32"/>
      <c r="E346" s="32"/>
      <c r="F346" s="32"/>
      <c r="G346" s="32"/>
      <c r="H346" s="32"/>
      <c r="I346" s="32"/>
      <c r="J346" s="32"/>
      <c r="K346" s="32"/>
      <c r="L346" s="32"/>
      <c r="M346" s="32"/>
      <c r="N346" s="32"/>
      <c r="O346" s="32"/>
      <c r="P346" s="32"/>
      <c r="Q346" s="32"/>
      <c r="R346" s="32"/>
    </row>
    <row r="347" spans="3:18" ht="12">
      <c r="C347" s="32"/>
      <c r="D347" s="32"/>
      <c r="E347" s="32"/>
      <c r="F347" s="32"/>
      <c r="G347" s="32"/>
      <c r="H347" s="32"/>
      <c r="I347" s="32"/>
      <c r="J347" s="32"/>
      <c r="K347" s="32"/>
      <c r="L347" s="32"/>
      <c r="M347" s="32"/>
      <c r="N347" s="32"/>
      <c r="O347" s="32"/>
      <c r="P347" s="32"/>
      <c r="Q347" s="32"/>
      <c r="R347" s="32"/>
    </row>
    <row r="348" spans="3:18" ht="12">
      <c r="C348" s="32"/>
      <c r="D348" s="32"/>
      <c r="E348" s="32"/>
      <c r="F348" s="32"/>
      <c r="G348" s="32"/>
      <c r="H348" s="32"/>
      <c r="I348" s="32"/>
      <c r="J348" s="32"/>
      <c r="K348" s="32"/>
      <c r="L348" s="32"/>
      <c r="M348" s="32"/>
      <c r="N348" s="32"/>
      <c r="O348" s="32"/>
      <c r="P348" s="32"/>
      <c r="Q348" s="32"/>
      <c r="R348" s="32"/>
    </row>
    <row r="349" spans="3:18" ht="12">
      <c r="C349" s="32"/>
      <c r="D349" s="32"/>
      <c r="E349" s="32"/>
      <c r="F349" s="32"/>
      <c r="G349" s="32"/>
      <c r="H349" s="32"/>
      <c r="I349" s="32"/>
      <c r="J349" s="32"/>
      <c r="K349" s="32"/>
      <c r="L349" s="32"/>
      <c r="M349" s="32"/>
      <c r="N349" s="32"/>
      <c r="O349" s="32"/>
      <c r="P349" s="32"/>
      <c r="Q349" s="32"/>
      <c r="R349" s="32"/>
    </row>
    <row r="350" spans="3:18" ht="12">
      <c r="C350" s="32"/>
      <c r="D350" s="32"/>
      <c r="E350" s="32"/>
      <c r="F350" s="32"/>
      <c r="G350" s="32"/>
      <c r="H350" s="32"/>
      <c r="I350" s="32"/>
      <c r="J350" s="32"/>
      <c r="K350" s="32"/>
      <c r="L350" s="32"/>
      <c r="M350" s="32"/>
      <c r="N350" s="32"/>
      <c r="O350" s="32"/>
      <c r="P350" s="32"/>
      <c r="Q350" s="32"/>
      <c r="R350" s="32"/>
    </row>
    <row r="351" spans="3:18" ht="12">
      <c r="C351" s="32"/>
      <c r="D351" s="32"/>
      <c r="E351" s="32"/>
      <c r="F351" s="32"/>
      <c r="G351" s="32"/>
      <c r="H351" s="32"/>
      <c r="I351" s="32"/>
      <c r="J351" s="32"/>
      <c r="K351" s="32"/>
      <c r="L351" s="32"/>
      <c r="M351" s="32"/>
      <c r="N351" s="32"/>
      <c r="O351" s="32"/>
      <c r="P351" s="32"/>
      <c r="Q351" s="32"/>
      <c r="R351" s="32"/>
    </row>
    <row r="352" spans="3:18" ht="12">
      <c r="C352" s="32"/>
      <c r="D352" s="32"/>
      <c r="E352" s="32"/>
      <c r="F352" s="32"/>
      <c r="G352" s="32"/>
      <c r="H352" s="32"/>
      <c r="I352" s="32"/>
      <c r="J352" s="32"/>
      <c r="K352" s="32"/>
      <c r="L352" s="32"/>
      <c r="M352" s="32"/>
      <c r="N352" s="32"/>
      <c r="O352" s="32"/>
      <c r="P352" s="32"/>
      <c r="Q352" s="32"/>
      <c r="R352" s="32"/>
    </row>
    <row r="353" spans="3:18" ht="12">
      <c r="C353" s="32"/>
      <c r="D353" s="32"/>
      <c r="E353" s="32"/>
      <c r="F353" s="32"/>
      <c r="G353" s="32"/>
      <c r="H353" s="32"/>
      <c r="I353" s="32"/>
      <c r="J353" s="32"/>
      <c r="K353" s="32"/>
      <c r="L353" s="32"/>
      <c r="M353" s="32"/>
      <c r="N353" s="32"/>
      <c r="O353" s="32"/>
      <c r="P353" s="32"/>
      <c r="Q353" s="32"/>
      <c r="R353" s="32"/>
    </row>
    <row r="354" spans="3:18" ht="12">
      <c r="C354" s="32"/>
      <c r="D354" s="32"/>
      <c r="E354" s="32"/>
      <c r="F354" s="32"/>
      <c r="G354" s="32"/>
      <c r="H354" s="32"/>
      <c r="I354" s="32"/>
      <c r="J354" s="32"/>
      <c r="K354" s="32"/>
      <c r="L354" s="32"/>
      <c r="M354" s="32"/>
      <c r="N354" s="32"/>
      <c r="O354" s="32"/>
      <c r="P354" s="32"/>
      <c r="Q354" s="32"/>
      <c r="R354" s="32"/>
    </row>
    <row r="355" spans="3:18" ht="12">
      <c r="C355" s="32"/>
      <c r="D355" s="32"/>
      <c r="E355" s="32"/>
      <c r="F355" s="32"/>
      <c r="G355" s="32"/>
      <c r="H355" s="32"/>
      <c r="I355" s="32"/>
      <c r="J355" s="32"/>
      <c r="K355" s="32"/>
      <c r="L355" s="32"/>
      <c r="M355" s="32"/>
      <c r="N355" s="32"/>
      <c r="O355" s="32"/>
      <c r="P355" s="32"/>
      <c r="Q355" s="32"/>
      <c r="R355" s="32"/>
    </row>
    <row r="356" spans="3:18" ht="12">
      <c r="C356" s="32"/>
      <c r="D356" s="32"/>
      <c r="E356" s="32"/>
      <c r="F356" s="32"/>
      <c r="G356" s="32"/>
      <c r="H356" s="32"/>
      <c r="I356" s="32"/>
      <c r="J356" s="32"/>
      <c r="K356" s="32"/>
      <c r="L356" s="32"/>
      <c r="M356" s="32"/>
      <c r="N356" s="32"/>
      <c r="O356" s="32"/>
      <c r="P356" s="32"/>
      <c r="Q356" s="32"/>
      <c r="R356" s="32"/>
    </row>
    <row r="357" spans="3:18" ht="12">
      <c r="C357" s="32"/>
      <c r="D357" s="32"/>
      <c r="E357" s="32"/>
      <c r="F357" s="32"/>
      <c r="G357" s="32"/>
      <c r="H357" s="32"/>
      <c r="I357" s="32"/>
      <c r="J357" s="32"/>
      <c r="K357" s="32"/>
      <c r="L357" s="32"/>
      <c r="M357" s="32"/>
      <c r="N357" s="32"/>
      <c r="O357" s="32"/>
      <c r="P357" s="32"/>
      <c r="Q357" s="32"/>
      <c r="R357" s="32"/>
    </row>
    <row r="358" spans="3:18" ht="12">
      <c r="C358" s="32"/>
      <c r="D358" s="32"/>
      <c r="E358" s="32"/>
      <c r="F358" s="32"/>
      <c r="G358" s="32"/>
      <c r="H358" s="32"/>
      <c r="I358" s="32"/>
      <c r="J358" s="32"/>
      <c r="K358" s="32"/>
      <c r="L358" s="32"/>
      <c r="M358" s="32"/>
      <c r="N358" s="32"/>
      <c r="O358" s="32"/>
      <c r="P358" s="32"/>
      <c r="Q358" s="32"/>
      <c r="R358" s="32"/>
    </row>
    <row r="359" spans="3:18" ht="12">
      <c r="C359" s="32"/>
      <c r="D359" s="32"/>
      <c r="E359" s="32"/>
      <c r="F359" s="32"/>
      <c r="G359" s="32"/>
      <c r="H359" s="32"/>
      <c r="I359" s="32"/>
      <c r="J359" s="32"/>
      <c r="K359" s="32"/>
      <c r="L359" s="32"/>
      <c r="M359" s="32"/>
      <c r="N359" s="32"/>
      <c r="O359" s="32"/>
      <c r="P359" s="32"/>
      <c r="Q359" s="32"/>
      <c r="R359" s="32"/>
    </row>
    <row r="360" spans="3:18" ht="12">
      <c r="C360" s="32"/>
      <c r="D360" s="32"/>
      <c r="E360" s="32"/>
      <c r="F360" s="32"/>
      <c r="G360" s="32"/>
      <c r="H360" s="32"/>
      <c r="I360" s="32"/>
      <c r="J360" s="32"/>
      <c r="K360" s="32"/>
      <c r="L360" s="32"/>
      <c r="M360" s="32"/>
      <c r="N360" s="32"/>
      <c r="O360" s="32"/>
      <c r="P360" s="32"/>
      <c r="Q360" s="32"/>
      <c r="R360" s="32"/>
    </row>
    <row r="361" spans="3:18" ht="12">
      <c r="C361" s="32"/>
      <c r="D361" s="32"/>
      <c r="E361" s="32"/>
      <c r="F361" s="32"/>
      <c r="G361" s="32"/>
      <c r="H361" s="32"/>
      <c r="I361" s="32"/>
      <c r="J361" s="32"/>
      <c r="K361" s="32"/>
      <c r="L361" s="32"/>
      <c r="M361" s="32"/>
      <c r="N361" s="32"/>
      <c r="O361" s="32"/>
      <c r="P361" s="32"/>
      <c r="Q361" s="32"/>
      <c r="R361" s="32"/>
    </row>
    <row r="362" spans="3:18" ht="12">
      <c r="C362" s="32"/>
      <c r="D362" s="32"/>
      <c r="E362" s="32"/>
      <c r="F362" s="32"/>
      <c r="G362" s="32"/>
      <c r="H362" s="32"/>
      <c r="I362" s="32"/>
      <c r="J362" s="32"/>
      <c r="K362" s="32"/>
      <c r="L362" s="32"/>
      <c r="M362" s="32"/>
      <c r="N362" s="32"/>
      <c r="O362" s="32"/>
      <c r="P362" s="32"/>
      <c r="Q362" s="32"/>
      <c r="R362" s="32"/>
    </row>
    <row r="363" spans="3:18" ht="12">
      <c r="C363" s="32"/>
      <c r="D363" s="32"/>
      <c r="E363" s="32"/>
      <c r="F363" s="32"/>
      <c r="G363" s="32"/>
      <c r="H363" s="32"/>
      <c r="I363" s="32"/>
      <c r="J363" s="32"/>
      <c r="K363" s="32"/>
      <c r="L363" s="32"/>
      <c r="M363" s="32"/>
      <c r="N363" s="32"/>
      <c r="O363" s="32"/>
      <c r="P363" s="32"/>
      <c r="Q363" s="32"/>
      <c r="R363" s="32"/>
    </row>
    <row r="364" spans="3:18" ht="12">
      <c r="C364" s="32"/>
      <c r="D364" s="32"/>
      <c r="E364" s="32"/>
      <c r="F364" s="32"/>
      <c r="G364" s="32"/>
      <c r="H364" s="32"/>
      <c r="I364" s="32"/>
      <c r="J364" s="32"/>
      <c r="K364" s="32"/>
      <c r="L364" s="32"/>
      <c r="M364" s="32"/>
      <c r="N364" s="32"/>
      <c r="O364" s="32"/>
      <c r="P364" s="32"/>
      <c r="Q364" s="32"/>
      <c r="R364" s="32"/>
    </row>
    <row r="365" spans="3:18" ht="12">
      <c r="C365" s="32"/>
      <c r="D365" s="32"/>
      <c r="E365" s="32"/>
      <c r="F365" s="32"/>
      <c r="G365" s="32"/>
      <c r="H365" s="32"/>
      <c r="I365" s="32"/>
      <c r="J365" s="32"/>
      <c r="K365" s="32"/>
      <c r="L365" s="32"/>
      <c r="M365" s="32"/>
      <c r="N365" s="32"/>
      <c r="O365" s="32"/>
      <c r="P365" s="32"/>
      <c r="Q365" s="32"/>
      <c r="R365" s="32"/>
    </row>
    <row r="366" spans="3:18" ht="12">
      <c r="C366" s="32"/>
      <c r="D366" s="32"/>
      <c r="E366" s="32"/>
      <c r="F366" s="32"/>
      <c r="G366" s="32"/>
      <c r="H366" s="32"/>
      <c r="I366" s="32"/>
      <c r="J366" s="32"/>
      <c r="K366" s="32"/>
      <c r="L366" s="32"/>
      <c r="M366" s="32"/>
      <c r="N366" s="32"/>
      <c r="O366" s="32"/>
      <c r="P366" s="32"/>
      <c r="Q366" s="32"/>
      <c r="R366" s="32"/>
    </row>
    <row r="367" spans="3:18" ht="12">
      <c r="C367" s="32"/>
      <c r="D367" s="32"/>
      <c r="E367" s="32"/>
      <c r="F367" s="32"/>
      <c r="G367" s="32"/>
      <c r="H367" s="32"/>
      <c r="I367" s="32"/>
      <c r="J367" s="32"/>
      <c r="K367" s="32"/>
      <c r="L367" s="32"/>
      <c r="M367" s="32"/>
      <c r="N367" s="32"/>
      <c r="O367" s="32"/>
      <c r="P367" s="32"/>
      <c r="Q367" s="32"/>
      <c r="R367" s="32"/>
    </row>
    <row r="368" spans="3:18" ht="12">
      <c r="C368" s="32"/>
      <c r="D368" s="32"/>
      <c r="E368" s="32"/>
      <c r="F368" s="32"/>
      <c r="G368" s="32"/>
      <c r="H368" s="32"/>
      <c r="I368" s="32"/>
      <c r="J368" s="32"/>
      <c r="K368" s="32"/>
      <c r="L368" s="32"/>
      <c r="M368" s="32"/>
      <c r="N368" s="32"/>
      <c r="O368" s="32"/>
      <c r="P368" s="32"/>
      <c r="Q368" s="32"/>
      <c r="R368" s="32"/>
    </row>
    <row r="369" spans="3:18" ht="12">
      <c r="C369" s="32"/>
      <c r="D369" s="32"/>
      <c r="E369" s="32"/>
      <c r="F369" s="32"/>
      <c r="G369" s="32"/>
      <c r="H369" s="32"/>
      <c r="I369" s="32"/>
      <c r="J369" s="32"/>
      <c r="K369" s="32"/>
      <c r="L369" s="32"/>
      <c r="M369" s="32"/>
      <c r="N369" s="32"/>
      <c r="O369" s="32"/>
      <c r="P369" s="32"/>
      <c r="Q369" s="32"/>
      <c r="R369" s="32"/>
    </row>
    <row r="370" spans="3:18" ht="12">
      <c r="C370" s="32"/>
      <c r="D370" s="32"/>
      <c r="E370" s="32"/>
      <c r="F370" s="32"/>
      <c r="G370" s="32"/>
      <c r="H370" s="32"/>
      <c r="I370" s="32"/>
      <c r="J370" s="32"/>
      <c r="K370" s="32"/>
      <c r="L370" s="32"/>
      <c r="M370" s="32"/>
      <c r="N370" s="32"/>
      <c r="O370" s="32"/>
      <c r="P370" s="32"/>
      <c r="Q370" s="32"/>
      <c r="R370" s="32"/>
    </row>
    <row r="371" spans="3:18" ht="12">
      <c r="C371" s="32"/>
      <c r="D371" s="32"/>
      <c r="E371" s="32"/>
      <c r="F371" s="32"/>
      <c r="G371" s="32"/>
      <c r="H371" s="32"/>
      <c r="I371" s="32"/>
      <c r="J371" s="32"/>
      <c r="K371" s="32"/>
      <c r="L371" s="32"/>
      <c r="M371" s="32"/>
      <c r="N371" s="32"/>
      <c r="O371" s="32"/>
      <c r="P371" s="32"/>
      <c r="Q371" s="32"/>
      <c r="R371" s="32"/>
    </row>
    <row r="372" spans="3:18" ht="12">
      <c r="C372" s="32"/>
      <c r="D372" s="32"/>
      <c r="E372" s="32"/>
      <c r="F372" s="32"/>
      <c r="G372" s="32"/>
      <c r="H372" s="32"/>
      <c r="I372" s="32"/>
      <c r="J372" s="32"/>
      <c r="K372" s="32"/>
      <c r="L372" s="32"/>
      <c r="M372" s="32"/>
      <c r="N372" s="32"/>
      <c r="O372" s="32"/>
      <c r="P372" s="32"/>
      <c r="Q372" s="32"/>
      <c r="R372" s="32"/>
    </row>
    <row r="373" spans="3:18" ht="12">
      <c r="C373" s="32"/>
      <c r="D373" s="32"/>
      <c r="E373" s="32"/>
      <c r="F373" s="32"/>
      <c r="G373" s="32"/>
      <c r="H373" s="32"/>
      <c r="I373" s="32"/>
      <c r="J373" s="32"/>
      <c r="K373" s="32"/>
      <c r="L373" s="32"/>
      <c r="M373" s="32"/>
      <c r="N373" s="32"/>
      <c r="O373" s="32"/>
      <c r="P373" s="32"/>
      <c r="Q373" s="32"/>
      <c r="R373" s="32"/>
    </row>
    <row r="374" spans="3:18" ht="12">
      <c r="C374" s="32"/>
      <c r="D374" s="32"/>
      <c r="E374" s="32"/>
      <c r="F374" s="32"/>
      <c r="G374" s="32"/>
      <c r="H374" s="32"/>
      <c r="I374" s="32"/>
      <c r="J374" s="32"/>
      <c r="K374" s="32"/>
      <c r="L374" s="32"/>
      <c r="M374" s="32"/>
      <c r="N374" s="32"/>
      <c r="O374" s="32"/>
      <c r="P374" s="32"/>
      <c r="Q374" s="32"/>
      <c r="R374" s="32"/>
    </row>
    <row r="375" spans="3:18" ht="12">
      <c r="C375" s="32"/>
      <c r="D375" s="32"/>
      <c r="E375" s="32"/>
      <c r="F375" s="32"/>
      <c r="G375" s="32"/>
      <c r="H375" s="32"/>
      <c r="I375" s="32"/>
      <c r="J375" s="32"/>
      <c r="K375" s="32"/>
      <c r="L375" s="32"/>
      <c r="M375" s="32"/>
      <c r="N375" s="32"/>
      <c r="O375" s="32"/>
      <c r="P375" s="32"/>
      <c r="Q375" s="32"/>
      <c r="R375" s="32"/>
    </row>
    <row r="376" spans="3:18" ht="12">
      <c r="C376" s="32"/>
      <c r="D376" s="32"/>
      <c r="E376" s="32"/>
      <c r="F376" s="32"/>
      <c r="G376" s="32"/>
      <c r="H376" s="32"/>
      <c r="I376" s="32"/>
      <c r="J376" s="32"/>
      <c r="K376" s="32"/>
      <c r="L376" s="32"/>
      <c r="M376" s="32"/>
      <c r="N376" s="32"/>
      <c r="O376" s="32"/>
      <c r="P376" s="32"/>
      <c r="Q376" s="32"/>
      <c r="R376" s="32"/>
    </row>
    <row r="377" spans="3:18" ht="12">
      <c r="C377" s="32"/>
      <c r="D377" s="32"/>
      <c r="E377" s="32"/>
      <c r="F377" s="32"/>
      <c r="G377" s="32"/>
      <c r="H377" s="32"/>
      <c r="I377" s="32"/>
      <c r="J377" s="32"/>
      <c r="K377" s="32"/>
      <c r="L377" s="32"/>
      <c r="M377" s="32"/>
      <c r="N377" s="32"/>
      <c r="O377" s="32"/>
      <c r="P377" s="32"/>
      <c r="Q377" s="32"/>
      <c r="R377" s="32"/>
    </row>
    <row r="378" spans="3:18" ht="12">
      <c r="C378" s="32"/>
      <c r="D378" s="32"/>
      <c r="E378" s="32"/>
      <c r="F378" s="32"/>
      <c r="G378" s="32"/>
      <c r="H378" s="32"/>
      <c r="I378" s="32"/>
      <c r="J378" s="32"/>
      <c r="K378" s="32"/>
      <c r="L378" s="32"/>
      <c r="M378" s="32"/>
      <c r="N378" s="32"/>
      <c r="O378" s="32"/>
      <c r="P378" s="32"/>
      <c r="Q378" s="32"/>
      <c r="R378" s="32"/>
    </row>
    <row r="379" spans="3:18" ht="12">
      <c r="C379" s="32"/>
      <c r="D379" s="32"/>
      <c r="E379" s="32"/>
      <c r="F379" s="32"/>
      <c r="G379" s="32"/>
      <c r="H379" s="32"/>
      <c r="I379" s="32"/>
      <c r="J379" s="32"/>
      <c r="K379" s="32"/>
      <c r="L379" s="32"/>
      <c r="M379" s="32"/>
      <c r="N379" s="32"/>
      <c r="O379" s="32"/>
      <c r="P379" s="32"/>
      <c r="Q379" s="32"/>
      <c r="R379" s="32"/>
    </row>
    <row r="380" spans="3:18" ht="12">
      <c r="C380" s="32"/>
      <c r="D380" s="32"/>
      <c r="E380" s="32"/>
      <c r="F380" s="32"/>
      <c r="G380" s="32"/>
      <c r="H380" s="32"/>
      <c r="I380" s="32"/>
      <c r="J380" s="32"/>
      <c r="K380" s="32"/>
      <c r="L380" s="32"/>
      <c r="M380" s="32"/>
      <c r="N380" s="32"/>
      <c r="O380" s="32"/>
      <c r="P380" s="32"/>
      <c r="Q380" s="32"/>
      <c r="R380" s="32"/>
    </row>
    <row r="381" spans="3:18" ht="12">
      <c r="C381" s="32"/>
      <c r="D381" s="32"/>
      <c r="E381" s="32"/>
      <c r="F381" s="32"/>
      <c r="G381" s="32"/>
      <c r="H381" s="32"/>
      <c r="I381" s="32"/>
      <c r="J381" s="32"/>
      <c r="K381" s="32"/>
      <c r="L381" s="32"/>
      <c r="M381" s="32"/>
      <c r="N381" s="32"/>
      <c r="O381" s="32"/>
      <c r="P381" s="32"/>
      <c r="Q381" s="32"/>
      <c r="R381" s="32"/>
    </row>
    <row r="382" spans="3:18" ht="12">
      <c r="C382" s="32"/>
      <c r="D382" s="32"/>
      <c r="E382" s="32"/>
      <c r="F382" s="32"/>
      <c r="G382" s="32"/>
      <c r="H382" s="32"/>
      <c r="I382" s="32"/>
      <c r="J382" s="32"/>
      <c r="K382" s="32"/>
      <c r="L382" s="32"/>
      <c r="M382" s="32"/>
      <c r="N382" s="32"/>
      <c r="O382" s="32"/>
      <c r="P382" s="32"/>
      <c r="Q382" s="32"/>
      <c r="R382" s="32"/>
    </row>
    <row r="383" spans="3:18" ht="12">
      <c r="C383" s="32"/>
      <c r="D383" s="32"/>
      <c r="E383" s="32"/>
      <c r="F383" s="32"/>
      <c r="G383" s="32"/>
      <c r="H383" s="32"/>
      <c r="I383" s="32"/>
      <c r="J383" s="32"/>
      <c r="K383" s="32"/>
      <c r="L383" s="32"/>
      <c r="M383" s="32"/>
      <c r="N383" s="32"/>
      <c r="O383" s="32"/>
      <c r="P383" s="32"/>
      <c r="Q383" s="32"/>
      <c r="R383" s="32"/>
    </row>
    <row r="384" spans="3:18" ht="12">
      <c r="C384" s="32"/>
      <c r="D384" s="32"/>
      <c r="E384" s="32"/>
      <c r="F384" s="32"/>
      <c r="G384" s="32"/>
      <c r="H384" s="32"/>
      <c r="I384" s="32"/>
      <c r="J384" s="32"/>
      <c r="K384" s="32"/>
      <c r="L384" s="32"/>
      <c r="M384" s="32"/>
      <c r="N384" s="32"/>
      <c r="O384" s="32"/>
      <c r="P384" s="32"/>
      <c r="Q384" s="32"/>
      <c r="R384" s="32"/>
    </row>
    <row r="385" spans="3:18" ht="12">
      <c r="C385" s="32"/>
      <c r="D385" s="32"/>
      <c r="E385" s="32"/>
      <c r="F385" s="32"/>
      <c r="G385" s="32"/>
      <c r="H385" s="32"/>
      <c r="I385" s="32"/>
      <c r="J385" s="32"/>
      <c r="K385" s="32"/>
      <c r="L385" s="32"/>
      <c r="M385" s="32"/>
      <c r="N385" s="32"/>
      <c r="O385" s="32"/>
      <c r="P385" s="32"/>
      <c r="Q385" s="32"/>
      <c r="R385" s="32"/>
    </row>
    <row r="386" spans="3:18" ht="12">
      <c r="C386" s="32"/>
      <c r="D386" s="32"/>
      <c r="E386" s="32"/>
      <c r="F386" s="32"/>
      <c r="G386" s="32"/>
      <c r="H386" s="32"/>
      <c r="I386" s="32"/>
      <c r="J386" s="32"/>
      <c r="K386" s="32"/>
      <c r="L386" s="32"/>
      <c r="M386" s="32"/>
      <c r="N386" s="32"/>
      <c r="O386" s="32"/>
      <c r="P386" s="32"/>
      <c r="Q386" s="32"/>
      <c r="R386" s="32"/>
    </row>
    <row r="387" spans="3:18" ht="12">
      <c r="C387" s="32"/>
      <c r="D387" s="32"/>
      <c r="E387" s="32"/>
      <c r="F387" s="32"/>
      <c r="G387" s="32"/>
      <c r="H387" s="32"/>
      <c r="I387" s="32"/>
      <c r="J387" s="32"/>
      <c r="K387" s="32"/>
      <c r="L387" s="32"/>
      <c r="M387" s="32"/>
      <c r="N387" s="32"/>
      <c r="O387" s="32"/>
      <c r="P387" s="32"/>
      <c r="Q387" s="32"/>
      <c r="R387" s="32"/>
    </row>
    <row r="388" spans="3:18" ht="12">
      <c r="C388" s="32"/>
      <c r="D388" s="32"/>
      <c r="E388" s="32"/>
      <c r="F388" s="32"/>
      <c r="G388" s="32"/>
      <c r="H388" s="32"/>
      <c r="I388" s="32"/>
      <c r="J388" s="32"/>
      <c r="K388" s="32"/>
      <c r="L388" s="32"/>
      <c r="M388" s="32"/>
      <c r="N388" s="32"/>
      <c r="O388" s="32"/>
      <c r="P388" s="32"/>
      <c r="Q388" s="32"/>
      <c r="R388" s="32"/>
    </row>
    <row r="389" spans="3:18" ht="12">
      <c r="C389" s="32"/>
      <c r="D389" s="32"/>
      <c r="E389" s="32"/>
      <c r="F389" s="32"/>
      <c r="G389" s="32"/>
      <c r="H389" s="32"/>
      <c r="I389" s="32"/>
      <c r="J389" s="32"/>
      <c r="K389" s="32"/>
      <c r="L389" s="32"/>
      <c r="M389" s="32"/>
      <c r="N389" s="32"/>
      <c r="O389" s="32"/>
      <c r="P389" s="32"/>
      <c r="Q389" s="32"/>
      <c r="R389" s="32"/>
    </row>
    <row r="390" spans="3:18" ht="12">
      <c r="C390" s="32"/>
      <c r="D390" s="32"/>
      <c r="E390" s="32"/>
      <c r="F390" s="32"/>
      <c r="G390" s="32"/>
      <c r="H390" s="32"/>
      <c r="I390" s="32"/>
      <c r="J390" s="32"/>
      <c r="K390" s="32"/>
      <c r="L390" s="32"/>
      <c r="M390" s="32"/>
      <c r="N390" s="32"/>
      <c r="O390" s="32"/>
      <c r="P390" s="32"/>
      <c r="Q390" s="32"/>
      <c r="R390" s="32"/>
    </row>
    <row r="391" spans="3:18" ht="12">
      <c r="C391" s="32"/>
      <c r="D391" s="32"/>
      <c r="E391" s="32"/>
      <c r="F391" s="32"/>
      <c r="G391" s="32"/>
      <c r="H391" s="32"/>
      <c r="I391" s="32"/>
      <c r="J391" s="32"/>
      <c r="K391" s="32"/>
      <c r="L391" s="32"/>
      <c r="M391" s="32"/>
      <c r="N391" s="32"/>
      <c r="O391" s="32"/>
      <c r="P391" s="32"/>
      <c r="Q391" s="32"/>
      <c r="R391" s="32"/>
    </row>
    <row r="392" spans="3:18" ht="12">
      <c r="C392" s="32"/>
      <c r="D392" s="32"/>
      <c r="E392" s="32"/>
      <c r="F392" s="32"/>
      <c r="G392" s="32"/>
      <c r="H392" s="32"/>
      <c r="I392" s="32"/>
      <c r="J392" s="32"/>
      <c r="K392" s="32"/>
      <c r="L392" s="32"/>
      <c r="M392" s="32"/>
      <c r="N392" s="32"/>
      <c r="O392" s="32"/>
      <c r="P392" s="32"/>
      <c r="Q392" s="32"/>
      <c r="R392" s="32"/>
    </row>
    <row r="393" spans="3:18" ht="12">
      <c r="C393" s="32"/>
      <c r="D393" s="32"/>
      <c r="E393" s="32"/>
      <c r="F393" s="32"/>
      <c r="G393" s="32"/>
      <c r="H393" s="32"/>
      <c r="I393" s="32"/>
      <c r="J393" s="32"/>
      <c r="K393" s="32"/>
      <c r="L393" s="32"/>
      <c r="M393" s="32"/>
      <c r="N393" s="32"/>
      <c r="O393" s="32"/>
      <c r="P393" s="32"/>
      <c r="Q393" s="32"/>
      <c r="R393" s="32"/>
    </row>
    <row r="394" spans="3:18" ht="12">
      <c r="C394" s="32"/>
      <c r="D394" s="32"/>
      <c r="E394" s="32"/>
      <c r="F394" s="32"/>
      <c r="G394" s="32"/>
      <c r="H394" s="32"/>
      <c r="I394" s="32"/>
      <c r="J394" s="32"/>
      <c r="K394" s="32"/>
      <c r="L394" s="32"/>
      <c r="M394" s="32"/>
      <c r="N394" s="32"/>
      <c r="O394" s="32"/>
      <c r="P394" s="32"/>
      <c r="Q394" s="32"/>
      <c r="R394" s="32"/>
    </row>
    <row r="395" spans="3:18" ht="12">
      <c r="C395" s="32"/>
      <c r="D395" s="32"/>
      <c r="E395" s="32"/>
      <c r="F395" s="32"/>
      <c r="G395" s="32"/>
      <c r="H395" s="32"/>
      <c r="I395" s="32"/>
      <c r="J395" s="32"/>
      <c r="K395" s="32"/>
      <c r="L395" s="32"/>
      <c r="M395" s="32"/>
      <c r="N395" s="32"/>
      <c r="O395" s="32"/>
      <c r="P395" s="32"/>
      <c r="Q395" s="32"/>
      <c r="R395" s="32"/>
    </row>
    <row r="396" spans="3:18" ht="12">
      <c r="C396" s="32"/>
      <c r="D396" s="32"/>
      <c r="E396" s="32"/>
      <c r="F396" s="32"/>
      <c r="G396" s="32"/>
      <c r="H396" s="32"/>
      <c r="I396" s="32"/>
      <c r="J396" s="32"/>
      <c r="K396" s="32"/>
      <c r="L396" s="32"/>
      <c r="M396" s="32"/>
      <c r="N396" s="32"/>
      <c r="O396" s="32"/>
      <c r="P396" s="32"/>
      <c r="Q396" s="32"/>
      <c r="R396" s="32"/>
    </row>
    <row r="397" spans="3:18" ht="12">
      <c r="C397" s="32"/>
      <c r="D397" s="32"/>
      <c r="E397" s="32"/>
      <c r="F397" s="32"/>
      <c r="G397" s="32"/>
      <c r="H397" s="32"/>
      <c r="I397" s="32"/>
      <c r="J397" s="32"/>
      <c r="K397" s="32"/>
      <c r="L397" s="32"/>
      <c r="M397" s="32"/>
      <c r="N397" s="32"/>
      <c r="O397" s="32"/>
      <c r="P397" s="32"/>
      <c r="Q397" s="32"/>
      <c r="R397" s="32"/>
    </row>
    <row r="398" spans="3:18" ht="12">
      <c r="C398" s="32"/>
      <c r="D398" s="32"/>
      <c r="E398" s="32"/>
      <c r="F398" s="32"/>
      <c r="G398" s="32"/>
      <c r="H398" s="32"/>
      <c r="I398" s="32"/>
      <c r="J398" s="32"/>
      <c r="K398" s="32"/>
      <c r="L398" s="32"/>
      <c r="M398" s="32"/>
      <c r="N398" s="32"/>
      <c r="O398" s="32"/>
      <c r="P398" s="32"/>
      <c r="Q398" s="32"/>
      <c r="R398" s="32"/>
    </row>
    <row r="399" spans="3:18" ht="12">
      <c r="C399" s="32"/>
      <c r="D399" s="32"/>
      <c r="E399" s="32"/>
      <c r="F399" s="32"/>
      <c r="G399" s="32"/>
      <c r="H399" s="32"/>
      <c r="I399" s="32"/>
      <c r="J399" s="32"/>
      <c r="K399" s="32"/>
      <c r="L399" s="32"/>
      <c r="M399" s="32"/>
      <c r="N399" s="32"/>
      <c r="O399" s="32"/>
      <c r="P399" s="32"/>
      <c r="Q399" s="32"/>
      <c r="R399" s="32"/>
    </row>
    <row r="400" spans="3:18" ht="12">
      <c r="C400" s="32"/>
      <c r="D400" s="32"/>
      <c r="E400" s="32"/>
      <c r="F400" s="32"/>
      <c r="G400" s="32"/>
      <c r="H400" s="32"/>
      <c r="I400" s="32"/>
      <c r="J400" s="32"/>
      <c r="K400" s="32"/>
      <c r="L400" s="32"/>
      <c r="M400" s="32"/>
      <c r="N400" s="32"/>
      <c r="O400" s="32"/>
      <c r="P400" s="32"/>
      <c r="Q400" s="32"/>
      <c r="R400" s="32"/>
    </row>
    <row r="401" spans="3:18" ht="12">
      <c r="C401" s="32"/>
      <c r="D401" s="32"/>
      <c r="E401" s="32"/>
      <c r="F401" s="32"/>
      <c r="G401" s="32"/>
      <c r="H401" s="32"/>
      <c r="I401" s="32"/>
      <c r="J401" s="32"/>
      <c r="K401" s="32"/>
      <c r="L401" s="32"/>
      <c r="M401" s="32"/>
      <c r="N401" s="32"/>
      <c r="O401" s="32"/>
      <c r="P401" s="32"/>
      <c r="Q401" s="32"/>
      <c r="R401" s="32"/>
    </row>
    <row r="402" spans="3:18" ht="12">
      <c r="C402" s="32"/>
      <c r="D402" s="32"/>
      <c r="E402" s="32"/>
      <c r="F402" s="32"/>
      <c r="G402" s="32"/>
      <c r="H402" s="32"/>
      <c r="I402" s="32"/>
      <c r="J402" s="32"/>
      <c r="K402" s="32"/>
      <c r="L402" s="32"/>
      <c r="M402" s="32"/>
      <c r="N402" s="32"/>
      <c r="O402" s="32"/>
      <c r="P402" s="32"/>
      <c r="Q402" s="32"/>
      <c r="R402" s="32"/>
    </row>
    <row r="403" spans="3:18" ht="12">
      <c r="C403" s="32"/>
      <c r="D403" s="32"/>
      <c r="E403" s="32"/>
      <c r="F403" s="32"/>
      <c r="G403" s="32"/>
      <c r="H403" s="32"/>
      <c r="I403" s="32"/>
      <c r="J403" s="32"/>
      <c r="K403" s="32"/>
      <c r="L403" s="32"/>
      <c r="M403" s="32"/>
      <c r="N403" s="32"/>
      <c r="O403" s="32"/>
      <c r="P403" s="32"/>
      <c r="Q403" s="32"/>
      <c r="R403" s="32"/>
    </row>
    <row r="404" spans="3:18" ht="12">
      <c r="C404" s="32"/>
      <c r="D404" s="32"/>
      <c r="E404" s="32"/>
      <c r="F404" s="32"/>
      <c r="G404" s="32"/>
      <c r="H404" s="32"/>
      <c r="I404" s="32"/>
      <c r="J404" s="32"/>
      <c r="K404" s="32"/>
      <c r="L404" s="32"/>
      <c r="M404" s="32"/>
      <c r="N404" s="32"/>
      <c r="O404" s="32"/>
      <c r="P404" s="32"/>
      <c r="Q404" s="32"/>
      <c r="R404" s="32"/>
    </row>
    <row r="405" spans="3:18" ht="12">
      <c r="C405" s="32"/>
      <c r="D405" s="32"/>
      <c r="E405" s="32"/>
      <c r="F405" s="32"/>
      <c r="G405" s="32"/>
      <c r="H405" s="32"/>
      <c r="I405" s="32"/>
      <c r="J405" s="32"/>
      <c r="K405" s="32"/>
      <c r="L405" s="32"/>
      <c r="M405" s="32"/>
      <c r="N405" s="32"/>
      <c r="O405" s="32"/>
      <c r="P405" s="32"/>
      <c r="Q405" s="32"/>
      <c r="R405" s="32"/>
    </row>
    <row r="406" spans="3:18" ht="12">
      <c r="C406" s="32"/>
      <c r="D406" s="32"/>
      <c r="E406" s="32"/>
      <c r="F406" s="32"/>
      <c r="G406" s="32"/>
      <c r="H406" s="32"/>
      <c r="I406" s="32"/>
      <c r="J406" s="32"/>
      <c r="K406" s="32"/>
      <c r="L406" s="32"/>
      <c r="M406" s="32"/>
      <c r="N406" s="32"/>
      <c r="O406" s="32"/>
      <c r="P406" s="32"/>
      <c r="Q406" s="32"/>
      <c r="R406" s="32"/>
    </row>
    <row r="407" spans="3:18" ht="12">
      <c r="C407" s="32"/>
      <c r="D407" s="32"/>
      <c r="E407" s="32"/>
      <c r="F407" s="32"/>
      <c r="G407" s="32"/>
      <c r="H407" s="32"/>
      <c r="I407" s="32"/>
      <c r="J407" s="32"/>
      <c r="K407" s="32"/>
      <c r="L407" s="32"/>
      <c r="M407" s="32"/>
      <c r="N407" s="32"/>
      <c r="O407" s="32"/>
      <c r="P407" s="32"/>
      <c r="Q407" s="32"/>
      <c r="R407" s="32"/>
    </row>
    <row r="408" spans="3:18" ht="12">
      <c r="C408" s="32"/>
      <c r="D408" s="32"/>
      <c r="E408" s="32"/>
      <c r="F408" s="32"/>
      <c r="G408" s="32"/>
      <c r="H408" s="32"/>
      <c r="I408" s="32"/>
      <c r="J408" s="32"/>
      <c r="K408" s="32"/>
      <c r="L408" s="32"/>
      <c r="M408" s="32"/>
      <c r="N408" s="32"/>
      <c r="O408" s="32"/>
      <c r="P408" s="32"/>
      <c r="Q408" s="32"/>
      <c r="R408" s="32"/>
    </row>
    <row r="409" spans="3:18" ht="12">
      <c r="C409" s="32"/>
      <c r="D409" s="32"/>
      <c r="E409" s="32"/>
      <c r="F409" s="32"/>
      <c r="G409" s="32"/>
      <c r="H409" s="32"/>
      <c r="I409" s="32"/>
      <c r="J409" s="32"/>
      <c r="K409" s="32"/>
      <c r="L409" s="32"/>
      <c r="M409" s="32"/>
      <c r="N409" s="32"/>
      <c r="O409" s="32"/>
      <c r="P409" s="32"/>
      <c r="Q409" s="32"/>
      <c r="R409" s="32"/>
    </row>
    <row r="410" spans="3:18" ht="12">
      <c r="C410" s="32"/>
      <c r="D410" s="32"/>
      <c r="E410" s="32"/>
      <c r="F410" s="32"/>
      <c r="G410" s="32"/>
      <c r="H410" s="32"/>
      <c r="I410" s="32"/>
      <c r="J410" s="32"/>
      <c r="K410" s="32"/>
      <c r="L410" s="32"/>
      <c r="M410" s="32"/>
      <c r="N410" s="32"/>
      <c r="O410" s="32"/>
      <c r="P410" s="32"/>
      <c r="Q410" s="32"/>
      <c r="R410" s="32"/>
    </row>
    <row r="411" spans="3:18" ht="12">
      <c r="C411" s="32"/>
      <c r="D411" s="32"/>
      <c r="E411" s="32"/>
      <c r="F411" s="32"/>
      <c r="G411" s="32"/>
      <c r="H411" s="32"/>
      <c r="I411" s="32"/>
      <c r="J411" s="32"/>
      <c r="K411" s="32"/>
      <c r="L411" s="32"/>
      <c r="M411" s="32"/>
      <c r="N411" s="32"/>
      <c r="O411" s="32"/>
      <c r="P411" s="32"/>
      <c r="Q411" s="32"/>
      <c r="R411" s="32"/>
    </row>
    <row r="412" spans="3:18" ht="12">
      <c r="C412" s="32"/>
      <c r="D412" s="32"/>
      <c r="E412" s="32"/>
      <c r="F412" s="32"/>
      <c r="G412" s="32"/>
      <c r="H412" s="32"/>
      <c r="I412" s="32"/>
      <c r="J412" s="32"/>
      <c r="K412" s="32"/>
      <c r="L412" s="32"/>
      <c r="M412" s="32"/>
      <c r="N412" s="32"/>
      <c r="O412" s="32"/>
      <c r="P412" s="32"/>
      <c r="Q412" s="32"/>
      <c r="R412" s="32"/>
    </row>
    <row r="413" spans="3:18" ht="12">
      <c r="C413" s="32"/>
      <c r="D413" s="32"/>
      <c r="E413" s="32"/>
      <c r="F413" s="32"/>
      <c r="G413" s="32"/>
      <c r="H413" s="32"/>
      <c r="I413" s="32"/>
      <c r="J413" s="32"/>
      <c r="K413" s="32"/>
      <c r="L413" s="32"/>
      <c r="M413" s="32"/>
      <c r="N413" s="32"/>
      <c r="O413" s="32"/>
      <c r="P413" s="32"/>
      <c r="Q413" s="32"/>
      <c r="R413" s="32"/>
    </row>
    <row r="414" spans="3:18" ht="12">
      <c r="C414" s="32"/>
      <c r="D414" s="32"/>
      <c r="E414" s="32"/>
      <c r="F414" s="32"/>
      <c r="G414" s="32"/>
      <c r="H414" s="32"/>
      <c r="I414" s="32"/>
      <c r="J414" s="32"/>
      <c r="K414" s="32"/>
      <c r="L414" s="32"/>
      <c r="M414" s="32"/>
      <c r="N414" s="32"/>
      <c r="O414" s="32"/>
      <c r="P414" s="32"/>
      <c r="Q414" s="32"/>
      <c r="R414" s="32"/>
    </row>
    <row r="415" spans="3:18" ht="12">
      <c r="C415" s="32"/>
      <c r="D415" s="32"/>
      <c r="E415" s="32"/>
      <c r="F415" s="32"/>
      <c r="G415" s="32"/>
      <c r="H415" s="32"/>
      <c r="I415" s="32"/>
      <c r="J415" s="32"/>
      <c r="K415" s="32"/>
      <c r="L415" s="32"/>
      <c r="M415" s="32"/>
      <c r="N415" s="32"/>
      <c r="O415" s="32"/>
      <c r="P415" s="32"/>
      <c r="Q415" s="32"/>
      <c r="R415" s="32"/>
    </row>
    <row r="416" spans="3:18" ht="12">
      <c r="C416" s="32"/>
      <c r="D416" s="32"/>
      <c r="E416" s="32"/>
      <c r="F416" s="32"/>
      <c r="G416" s="32"/>
      <c r="H416" s="32"/>
      <c r="I416" s="32"/>
      <c r="J416" s="32"/>
      <c r="K416" s="32"/>
      <c r="L416" s="32"/>
      <c r="M416" s="32"/>
      <c r="N416" s="32"/>
      <c r="O416" s="32"/>
      <c r="P416" s="32"/>
      <c r="Q416" s="32"/>
      <c r="R416" s="32"/>
    </row>
    <row r="417" spans="3:18" ht="12">
      <c r="C417" s="32"/>
      <c r="D417" s="32"/>
      <c r="E417" s="32"/>
      <c r="F417" s="32"/>
      <c r="G417" s="32"/>
      <c r="H417" s="32"/>
      <c r="I417" s="32"/>
      <c r="J417" s="32"/>
      <c r="K417" s="32"/>
      <c r="L417" s="32"/>
      <c r="M417" s="32"/>
      <c r="N417" s="32"/>
      <c r="O417" s="32"/>
      <c r="P417" s="32"/>
      <c r="Q417" s="32"/>
      <c r="R417" s="32"/>
    </row>
    <row r="418" spans="3:18" ht="12">
      <c r="C418" s="32"/>
      <c r="D418" s="32"/>
      <c r="E418" s="32"/>
      <c r="F418" s="32"/>
      <c r="G418" s="32"/>
      <c r="H418" s="32"/>
      <c r="I418" s="32"/>
      <c r="J418" s="32"/>
      <c r="K418" s="32"/>
      <c r="L418" s="32"/>
      <c r="M418" s="32"/>
      <c r="N418" s="32"/>
      <c r="O418" s="32"/>
      <c r="P418" s="32"/>
      <c r="Q418" s="32"/>
      <c r="R418" s="32"/>
    </row>
    <row r="419" spans="3:18" ht="12">
      <c r="C419" s="32"/>
      <c r="D419" s="32"/>
      <c r="E419" s="32"/>
      <c r="F419" s="32"/>
      <c r="G419" s="32"/>
      <c r="H419" s="32"/>
      <c r="I419" s="32"/>
      <c r="J419" s="32"/>
      <c r="K419" s="32"/>
      <c r="L419" s="32"/>
      <c r="M419" s="32"/>
      <c r="N419" s="32"/>
      <c r="O419" s="32"/>
      <c r="P419" s="32"/>
      <c r="Q419" s="32"/>
      <c r="R419" s="32"/>
    </row>
    <row r="420" spans="3:18" ht="12">
      <c r="C420" s="32"/>
      <c r="D420" s="32"/>
      <c r="E420" s="32"/>
      <c r="F420" s="32"/>
      <c r="G420" s="32"/>
      <c r="H420" s="32"/>
      <c r="I420" s="32"/>
      <c r="J420" s="32"/>
      <c r="K420" s="32"/>
      <c r="L420" s="32"/>
      <c r="M420" s="32"/>
      <c r="N420" s="32"/>
      <c r="O420" s="32"/>
      <c r="P420" s="32"/>
      <c r="Q420" s="32"/>
      <c r="R420" s="32"/>
    </row>
    <row r="421" spans="3:18" ht="12">
      <c r="C421" s="32"/>
      <c r="D421" s="32"/>
      <c r="E421" s="32"/>
      <c r="F421" s="32"/>
      <c r="G421" s="32"/>
      <c r="H421" s="32"/>
      <c r="I421" s="32"/>
      <c r="J421" s="32"/>
      <c r="K421" s="32"/>
      <c r="L421" s="32"/>
      <c r="M421" s="32"/>
      <c r="N421" s="32"/>
      <c r="O421" s="32"/>
      <c r="P421" s="32"/>
      <c r="Q421" s="32"/>
      <c r="R421" s="32"/>
    </row>
    <row r="422" spans="3:18" ht="12">
      <c r="C422" s="32"/>
      <c r="D422" s="32"/>
      <c r="E422" s="32"/>
      <c r="F422" s="32"/>
      <c r="G422" s="32"/>
      <c r="H422" s="32"/>
      <c r="I422" s="32"/>
      <c r="J422" s="32"/>
      <c r="K422" s="32"/>
      <c r="L422" s="32"/>
      <c r="M422" s="32"/>
      <c r="N422" s="32"/>
      <c r="O422" s="32"/>
      <c r="P422" s="32"/>
      <c r="Q422" s="32"/>
      <c r="R422" s="32"/>
    </row>
    <row r="423" spans="3:18" ht="12">
      <c r="C423" s="32"/>
      <c r="D423" s="32"/>
      <c r="E423" s="32"/>
      <c r="F423" s="32"/>
      <c r="G423" s="32"/>
      <c r="H423" s="32"/>
      <c r="I423" s="32"/>
      <c r="J423" s="32"/>
      <c r="K423" s="32"/>
      <c r="L423" s="32"/>
      <c r="M423" s="32"/>
      <c r="N423" s="32"/>
      <c r="O423" s="32"/>
      <c r="P423" s="32"/>
      <c r="Q423" s="32"/>
      <c r="R423" s="32"/>
    </row>
    <row r="424" spans="3:18" ht="12">
      <c r="C424" s="32"/>
      <c r="D424" s="32"/>
      <c r="E424" s="32"/>
      <c r="F424" s="32"/>
      <c r="G424" s="32"/>
      <c r="H424" s="32"/>
      <c r="I424" s="32"/>
      <c r="J424" s="32"/>
      <c r="K424" s="32"/>
      <c r="L424" s="32"/>
      <c r="M424" s="32"/>
      <c r="N424" s="32"/>
      <c r="O424" s="32"/>
      <c r="P424" s="32"/>
      <c r="Q424" s="32"/>
      <c r="R424" s="32"/>
    </row>
    <row r="425" spans="3:18" ht="12">
      <c r="C425" s="32"/>
      <c r="D425" s="32"/>
      <c r="E425" s="32"/>
      <c r="F425" s="32"/>
      <c r="G425" s="32"/>
      <c r="H425" s="32"/>
      <c r="I425" s="32"/>
      <c r="J425" s="32"/>
      <c r="K425" s="32"/>
      <c r="L425" s="32"/>
      <c r="M425" s="32"/>
      <c r="N425" s="32"/>
      <c r="O425" s="32"/>
      <c r="P425" s="32"/>
      <c r="Q425" s="32"/>
      <c r="R425" s="32"/>
    </row>
    <row r="426" spans="3:18" ht="12">
      <c r="C426" s="32"/>
      <c r="D426" s="32"/>
      <c r="E426" s="32"/>
      <c r="F426" s="32"/>
      <c r="G426" s="32"/>
      <c r="H426" s="32"/>
      <c r="I426" s="32"/>
      <c r="J426" s="32"/>
      <c r="K426" s="32"/>
      <c r="L426" s="32"/>
      <c r="M426" s="32"/>
      <c r="N426" s="32"/>
      <c r="O426" s="32"/>
      <c r="P426" s="32"/>
      <c r="Q426" s="32"/>
      <c r="R426" s="32"/>
    </row>
    <row r="427" spans="3:18" ht="12">
      <c r="C427" s="32"/>
      <c r="D427" s="32"/>
      <c r="E427" s="32"/>
      <c r="F427" s="32"/>
      <c r="G427" s="32"/>
      <c r="H427" s="32"/>
      <c r="I427" s="32"/>
      <c r="J427" s="32"/>
      <c r="K427" s="32"/>
      <c r="L427" s="32"/>
      <c r="M427" s="32"/>
      <c r="N427" s="32"/>
      <c r="O427" s="32"/>
      <c r="P427" s="32"/>
      <c r="Q427" s="32"/>
      <c r="R427" s="32"/>
    </row>
    <row r="428" spans="3:18" ht="12">
      <c r="C428" s="32"/>
      <c r="D428" s="32"/>
      <c r="E428" s="32"/>
      <c r="F428" s="32"/>
      <c r="G428" s="32"/>
      <c r="H428" s="32"/>
      <c r="I428" s="32"/>
      <c r="J428" s="32"/>
      <c r="K428" s="32"/>
      <c r="L428" s="32"/>
      <c r="M428" s="32"/>
      <c r="N428" s="32"/>
      <c r="O428" s="32"/>
      <c r="P428" s="32"/>
      <c r="Q428" s="32"/>
      <c r="R428" s="32"/>
    </row>
    <row r="429" spans="3:18" ht="12">
      <c r="C429" s="32"/>
      <c r="D429" s="32"/>
      <c r="E429" s="32"/>
      <c r="F429" s="32"/>
      <c r="G429" s="32"/>
      <c r="H429" s="32"/>
      <c r="I429" s="32"/>
      <c r="J429" s="32"/>
      <c r="K429" s="32"/>
      <c r="L429" s="32"/>
      <c r="M429" s="32"/>
      <c r="N429" s="32"/>
      <c r="O429" s="32"/>
      <c r="P429" s="32"/>
      <c r="Q429" s="32"/>
      <c r="R429" s="32"/>
    </row>
    <row r="430" spans="3:18" ht="12">
      <c r="C430" s="32"/>
      <c r="D430" s="32"/>
      <c r="E430" s="32"/>
      <c r="F430" s="32"/>
      <c r="G430" s="32"/>
      <c r="H430" s="32"/>
      <c r="I430" s="32"/>
      <c r="J430" s="32"/>
      <c r="K430" s="32"/>
      <c r="L430" s="32"/>
      <c r="M430" s="32"/>
      <c r="N430" s="32"/>
      <c r="O430" s="32"/>
      <c r="P430" s="32"/>
      <c r="Q430" s="32"/>
      <c r="R430" s="32"/>
    </row>
    <row r="431" spans="3:18" ht="12">
      <c r="C431" s="32"/>
      <c r="D431" s="32"/>
      <c r="E431" s="32"/>
      <c r="F431" s="32"/>
      <c r="G431" s="32"/>
      <c r="H431" s="32"/>
      <c r="I431" s="32"/>
      <c r="J431" s="32"/>
      <c r="K431" s="32"/>
      <c r="L431" s="32"/>
      <c r="M431" s="32"/>
      <c r="N431" s="32"/>
      <c r="O431" s="32"/>
      <c r="P431" s="32"/>
      <c r="Q431" s="32"/>
      <c r="R431" s="32"/>
    </row>
    <row r="432" spans="3:18" ht="12">
      <c r="C432" s="32"/>
      <c r="D432" s="32"/>
      <c r="E432" s="32"/>
      <c r="F432" s="32"/>
      <c r="G432" s="32"/>
      <c r="H432" s="32"/>
      <c r="I432" s="32"/>
      <c r="J432" s="32"/>
      <c r="K432" s="32"/>
      <c r="L432" s="32"/>
      <c r="M432" s="32"/>
      <c r="N432" s="32"/>
      <c r="O432" s="32"/>
      <c r="P432" s="32"/>
      <c r="Q432" s="32"/>
      <c r="R432" s="32"/>
    </row>
    <row r="433" spans="3:18" ht="12">
      <c r="C433" s="32"/>
      <c r="D433" s="32"/>
      <c r="E433" s="32"/>
      <c r="F433" s="32"/>
      <c r="G433" s="32"/>
      <c r="H433" s="32"/>
      <c r="I433" s="32"/>
      <c r="J433" s="32"/>
      <c r="K433" s="32"/>
      <c r="L433" s="32"/>
      <c r="M433" s="32"/>
      <c r="N433" s="32"/>
      <c r="O433" s="32"/>
      <c r="P433" s="32"/>
      <c r="Q433" s="32"/>
      <c r="R433" s="32"/>
    </row>
    <row r="434" spans="3:18" ht="12">
      <c r="C434" s="32"/>
      <c r="D434" s="32"/>
      <c r="E434" s="32"/>
      <c r="F434" s="32"/>
      <c r="G434" s="32"/>
      <c r="H434" s="32"/>
      <c r="I434" s="32"/>
      <c r="J434" s="32"/>
      <c r="K434" s="32"/>
      <c r="L434" s="32"/>
      <c r="M434" s="32"/>
      <c r="N434" s="32"/>
      <c r="O434" s="32"/>
      <c r="P434" s="32"/>
      <c r="Q434" s="32"/>
      <c r="R434" s="32"/>
    </row>
    <row r="435" spans="3:18" ht="12">
      <c r="C435" s="32"/>
      <c r="D435" s="32"/>
      <c r="E435" s="32"/>
      <c r="F435" s="32"/>
      <c r="G435" s="32"/>
      <c r="H435" s="32"/>
      <c r="I435" s="32"/>
      <c r="J435" s="32"/>
      <c r="K435" s="32"/>
      <c r="L435" s="32"/>
      <c r="M435" s="32"/>
      <c r="N435" s="32"/>
      <c r="O435" s="32"/>
      <c r="P435" s="32"/>
      <c r="Q435" s="32"/>
      <c r="R435" s="32"/>
    </row>
    <row r="436" spans="3:18" ht="12">
      <c r="C436" s="32"/>
      <c r="D436" s="32"/>
      <c r="E436" s="32"/>
      <c r="F436" s="32"/>
      <c r="G436" s="32"/>
      <c r="H436" s="32"/>
      <c r="I436" s="32"/>
      <c r="J436" s="32"/>
      <c r="K436" s="32"/>
      <c r="L436" s="32"/>
      <c r="M436" s="32"/>
      <c r="N436" s="32"/>
      <c r="O436" s="32"/>
      <c r="P436" s="32"/>
      <c r="Q436" s="32"/>
      <c r="R436" s="32"/>
    </row>
  </sheetData>
  <sheetProtection/>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I426"/>
  <sheetViews>
    <sheetView zoomScalePageLayoutView="0" workbookViewId="0" topLeftCell="A1">
      <pane xSplit="2" ySplit="7" topLeftCell="I128" activePane="bottomRight" state="frozen"/>
      <selection pane="topLeft" activeCell="A1" sqref="A1"/>
      <selection pane="topRight" activeCell="C1" sqref="C1"/>
      <selection pane="bottomLeft" activeCell="A8" sqref="A8"/>
      <selection pane="bottomRight" activeCell="S140" sqref="S140"/>
    </sheetView>
  </sheetViews>
  <sheetFormatPr defaultColWidth="9.140625" defaultRowHeight="12.75"/>
  <cols>
    <col min="1" max="1" width="9.28125" style="30" customWidth="1"/>
    <col min="2" max="2" width="12.28125" style="0" bestFit="1" customWidth="1"/>
    <col min="3" max="3" width="9.28125" style="0" customWidth="1"/>
    <col min="6" max="6" width="9.28125" style="0" customWidth="1"/>
    <col min="17" max="17" width="15.00390625" style="0" customWidth="1"/>
    <col min="18" max="18" width="9.28125" style="0" customWidth="1"/>
  </cols>
  <sheetData>
    <row r="1" spans="1:17" ht="34.5">
      <c r="A1" s="21" t="s">
        <v>93</v>
      </c>
      <c r="B1" s="16"/>
      <c r="C1" s="16"/>
      <c r="D1" s="16"/>
      <c r="E1" s="16"/>
      <c r="F1" s="16"/>
      <c r="G1" s="16"/>
      <c r="H1" s="16"/>
      <c r="I1" s="16"/>
      <c r="J1" s="16"/>
      <c r="K1" s="16"/>
      <c r="L1" s="16"/>
      <c r="M1" s="16"/>
      <c r="N1" s="16"/>
      <c r="O1" s="16"/>
      <c r="P1" s="16"/>
      <c r="Q1" s="16"/>
    </row>
    <row r="2" spans="1:18" ht="12">
      <c r="A2" s="27" t="s">
        <v>91</v>
      </c>
      <c r="B2" s="28"/>
      <c r="C2" s="28"/>
      <c r="D2" s="28"/>
      <c r="E2" s="28"/>
      <c r="F2" s="28"/>
      <c r="G2" s="28"/>
      <c r="H2" s="28"/>
      <c r="I2" s="28"/>
      <c r="J2" s="28"/>
      <c r="K2" s="28"/>
      <c r="L2" s="28"/>
      <c r="M2" s="28"/>
      <c r="N2" s="28"/>
      <c r="O2" s="28"/>
      <c r="P2" s="29" t="s">
        <v>67</v>
      </c>
      <c r="Q2" s="78"/>
      <c r="R2" s="78"/>
    </row>
    <row r="3" spans="9:13" ht="12">
      <c r="I3" s="65" t="s">
        <v>95</v>
      </c>
      <c r="M3" s="67" t="s">
        <v>99</v>
      </c>
    </row>
    <row r="4" spans="4:31" ht="12">
      <c r="D4" s="2" t="s">
        <v>0</v>
      </c>
      <c r="E4" s="2"/>
      <c r="F4" s="1" t="s">
        <v>1</v>
      </c>
      <c r="G4" s="2" t="s">
        <v>2</v>
      </c>
      <c r="H4" s="2"/>
      <c r="I4" s="1"/>
      <c r="J4" s="1"/>
      <c r="K4" s="2" t="s">
        <v>3</v>
      </c>
      <c r="L4" s="2"/>
      <c r="M4" s="1"/>
      <c r="N4" s="1"/>
      <c r="O4" s="1"/>
      <c r="T4" s="2"/>
      <c r="U4" s="2"/>
      <c r="V4" s="1"/>
      <c r="W4" s="2"/>
      <c r="X4" s="2"/>
      <c r="Y4" s="1"/>
      <c r="Z4" s="1"/>
      <c r="AA4" s="2"/>
      <c r="AB4" s="2"/>
      <c r="AC4" s="1"/>
      <c r="AD4" s="1"/>
      <c r="AE4" s="1"/>
    </row>
    <row r="5" spans="1:31" ht="12">
      <c r="A5" s="33" t="s">
        <v>52</v>
      </c>
      <c r="C5" s="1" t="s">
        <v>5</v>
      </c>
      <c r="D5" s="1"/>
      <c r="E5" s="1"/>
      <c r="F5" s="1" t="s">
        <v>6</v>
      </c>
      <c r="G5" s="1" t="s">
        <v>7</v>
      </c>
      <c r="H5" s="1" t="s">
        <v>8</v>
      </c>
      <c r="I5" s="1"/>
      <c r="J5" s="1"/>
      <c r="K5" s="1" t="s">
        <v>9</v>
      </c>
      <c r="L5" s="1"/>
      <c r="M5" s="1" t="s">
        <v>10</v>
      </c>
      <c r="N5" s="1"/>
      <c r="O5" s="1"/>
      <c r="Q5" t="s">
        <v>121</v>
      </c>
      <c r="S5" s="1"/>
      <c r="T5" s="1"/>
      <c r="U5" s="1"/>
      <c r="V5" s="1"/>
      <c r="W5" s="1"/>
      <c r="X5" s="1"/>
      <c r="Y5" s="1"/>
      <c r="Z5" s="1"/>
      <c r="AA5" s="1"/>
      <c r="AB5" s="1"/>
      <c r="AC5" s="1"/>
      <c r="AD5" s="1"/>
      <c r="AE5" s="1"/>
    </row>
    <row r="6" spans="3:32" ht="15.75" customHeight="1">
      <c r="C6" s="1" t="s">
        <v>11</v>
      </c>
      <c r="D6" s="1" t="s">
        <v>12</v>
      </c>
      <c r="E6" s="1" t="s">
        <v>13</v>
      </c>
      <c r="F6" s="1" t="s">
        <v>14</v>
      </c>
      <c r="G6" s="1" t="s">
        <v>15</v>
      </c>
      <c r="H6" s="1" t="s">
        <v>16</v>
      </c>
      <c r="I6" s="1" t="s">
        <v>17</v>
      </c>
      <c r="J6" s="1" t="s">
        <v>18</v>
      </c>
      <c r="K6" s="1" t="s">
        <v>19</v>
      </c>
      <c r="L6" s="1" t="s">
        <v>20</v>
      </c>
      <c r="M6" s="1" t="s">
        <v>21</v>
      </c>
      <c r="N6" s="1" t="s">
        <v>12</v>
      </c>
      <c r="O6" s="1" t="s">
        <v>22</v>
      </c>
      <c r="P6" s="1" t="s">
        <v>23</v>
      </c>
      <c r="Q6" s="79" t="s">
        <v>120</v>
      </c>
      <c r="R6" s="1"/>
      <c r="S6" s="1" t="s">
        <v>115</v>
      </c>
      <c r="T6" s="1" t="s">
        <v>117</v>
      </c>
      <c r="U6" s="1" t="s">
        <v>116</v>
      </c>
      <c r="V6" s="1" t="s">
        <v>117</v>
      </c>
      <c r="W6" s="1"/>
      <c r="X6" s="1"/>
      <c r="Y6" s="1"/>
      <c r="Z6" s="1"/>
      <c r="AA6" s="1"/>
      <c r="AB6" s="1"/>
      <c r="AC6" s="1"/>
      <c r="AD6" s="1"/>
      <c r="AE6" s="1"/>
      <c r="AF6" s="1"/>
    </row>
    <row r="7" spans="1:32" ht="14.25" customHeight="1">
      <c r="A7" s="31" t="s">
        <v>4</v>
      </c>
      <c r="B7" s="5" t="s">
        <v>54</v>
      </c>
      <c r="C7" s="7" t="s">
        <v>26</v>
      </c>
      <c r="D7" s="3"/>
      <c r="E7" s="3" t="s">
        <v>27</v>
      </c>
      <c r="F7" s="3" t="s">
        <v>28</v>
      </c>
      <c r="G7" s="3" t="s">
        <v>29</v>
      </c>
      <c r="H7" s="3" t="s">
        <v>30</v>
      </c>
      <c r="I7" s="3" t="s">
        <v>31</v>
      </c>
      <c r="J7" s="3" t="s">
        <v>32</v>
      </c>
      <c r="K7" s="3" t="s">
        <v>33</v>
      </c>
      <c r="L7" s="3" t="s">
        <v>34</v>
      </c>
      <c r="M7" s="3" t="s">
        <v>34</v>
      </c>
      <c r="N7" s="3" t="s">
        <v>34</v>
      </c>
      <c r="O7" s="3" t="s">
        <v>35</v>
      </c>
      <c r="P7" s="8"/>
      <c r="Q7" s="8"/>
      <c r="R7" s="8"/>
      <c r="S7" s="7"/>
      <c r="T7" s="3" t="s">
        <v>119</v>
      </c>
      <c r="U7" s="3"/>
      <c r="V7" s="3" t="s">
        <v>118</v>
      </c>
      <c r="W7" s="3"/>
      <c r="X7" s="3"/>
      <c r="Y7" s="3"/>
      <c r="Z7" s="3"/>
      <c r="AA7" s="3"/>
      <c r="AB7" s="3"/>
      <c r="AC7" s="3"/>
      <c r="AD7" s="3"/>
      <c r="AE7" s="3"/>
      <c r="AF7" s="8"/>
    </row>
    <row r="8" spans="1:22" ht="12">
      <c r="A8" s="51">
        <v>1995</v>
      </c>
      <c r="B8" s="52" t="s">
        <v>55</v>
      </c>
      <c r="C8" s="53">
        <v>7729</v>
      </c>
      <c r="D8" s="53">
        <v>572</v>
      </c>
      <c r="E8" s="53">
        <v>6</v>
      </c>
      <c r="F8" s="53">
        <v>7150</v>
      </c>
      <c r="G8" s="53">
        <v>157</v>
      </c>
      <c r="H8" s="53">
        <v>12</v>
      </c>
      <c r="I8" s="53">
        <v>277</v>
      </c>
      <c r="J8" s="53">
        <v>2202</v>
      </c>
      <c r="K8" s="53">
        <v>606</v>
      </c>
      <c r="L8" s="53">
        <v>347</v>
      </c>
      <c r="M8" s="53">
        <v>2347</v>
      </c>
      <c r="N8" s="53">
        <v>854</v>
      </c>
      <c r="O8" s="53">
        <v>108</v>
      </c>
      <c r="P8" s="53">
        <v>119</v>
      </c>
      <c r="Q8" s="53">
        <f aca="true" t="shared" si="0" ref="Q8:Q39">+F8-SUM(G8:P8)</f>
        <v>121</v>
      </c>
      <c r="R8" s="34"/>
      <c r="S8" s="73">
        <f aca="true" t="shared" si="1" ref="S8:S39">+C8-D8-E8</f>
        <v>7151</v>
      </c>
      <c r="T8" s="73">
        <f aca="true" t="shared" si="2" ref="T8:T39">+F8-S8</f>
        <v>-1</v>
      </c>
      <c r="U8" s="73">
        <f aca="true" t="shared" si="3" ref="U8:U39">SUM(G8:P8)</f>
        <v>7029</v>
      </c>
      <c r="V8" s="73">
        <f aca="true" t="shared" si="4" ref="V8:V39">+F8-U8</f>
        <v>121</v>
      </c>
    </row>
    <row r="9" spans="1:22" ht="12">
      <c r="A9" s="51">
        <v>1995</v>
      </c>
      <c r="B9" s="52" t="s">
        <v>56</v>
      </c>
      <c r="C9" s="53">
        <v>6591</v>
      </c>
      <c r="D9" s="53">
        <v>479</v>
      </c>
      <c r="E9" s="53">
        <v>0</v>
      </c>
      <c r="F9" s="53">
        <v>6112</v>
      </c>
      <c r="G9" s="53">
        <v>124</v>
      </c>
      <c r="H9" s="53">
        <v>12</v>
      </c>
      <c r="I9" s="53">
        <v>234</v>
      </c>
      <c r="J9" s="53">
        <v>1897</v>
      </c>
      <c r="K9" s="53">
        <v>486</v>
      </c>
      <c r="L9" s="53">
        <v>248</v>
      </c>
      <c r="M9" s="53">
        <v>2006</v>
      </c>
      <c r="N9" s="53">
        <v>724</v>
      </c>
      <c r="O9" s="53">
        <v>104</v>
      </c>
      <c r="P9" s="53">
        <v>169</v>
      </c>
      <c r="Q9" s="53">
        <f t="shared" si="0"/>
        <v>108</v>
      </c>
      <c r="R9" s="34"/>
      <c r="S9" s="73">
        <f t="shared" si="1"/>
        <v>6112</v>
      </c>
      <c r="T9" s="73">
        <f t="shared" si="2"/>
        <v>0</v>
      </c>
      <c r="U9" s="73">
        <f t="shared" si="3"/>
        <v>6004</v>
      </c>
      <c r="V9" s="73">
        <f t="shared" si="4"/>
        <v>108</v>
      </c>
    </row>
    <row r="10" spans="1:22" ht="12">
      <c r="A10" s="51">
        <v>1995</v>
      </c>
      <c r="B10" s="52" t="s">
        <v>57</v>
      </c>
      <c r="C10" s="53">
        <v>7852</v>
      </c>
      <c r="D10" s="53">
        <v>551</v>
      </c>
      <c r="E10" s="53">
        <v>31</v>
      </c>
      <c r="F10" s="53">
        <v>7270</v>
      </c>
      <c r="G10" s="53">
        <v>155</v>
      </c>
      <c r="H10" s="53">
        <v>12</v>
      </c>
      <c r="I10" s="53">
        <v>238</v>
      </c>
      <c r="J10" s="53">
        <v>2274</v>
      </c>
      <c r="K10" s="53">
        <v>597</v>
      </c>
      <c r="L10" s="53">
        <v>338</v>
      </c>
      <c r="M10" s="53">
        <v>2296</v>
      </c>
      <c r="N10" s="53">
        <v>867</v>
      </c>
      <c r="O10" s="53">
        <v>119</v>
      </c>
      <c r="P10" s="53">
        <v>240</v>
      </c>
      <c r="Q10" s="53">
        <f t="shared" si="0"/>
        <v>134</v>
      </c>
      <c r="R10" s="34"/>
      <c r="S10" s="73">
        <f t="shared" si="1"/>
        <v>7270</v>
      </c>
      <c r="T10" s="73">
        <f t="shared" si="2"/>
        <v>0</v>
      </c>
      <c r="U10" s="73">
        <f t="shared" si="3"/>
        <v>7136</v>
      </c>
      <c r="V10" s="73">
        <f t="shared" si="4"/>
        <v>134</v>
      </c>
    </row>
    <row r="11" spans="1:22" ht="12">
      <c r="A11" s="51">
        <v>1995</v>
      </c>
      <c r="B11" s="52" t="s">
        <v>58</v>
      </c>
      <c r="C11" s="53">
        <v>6842</v>
      </c>
      <c r="D11" s="53">
        <v>492</v>
      </c>
      <c r="E11" s="53">
        <v>-23</v>
      </c>
      <c r="F11" s="53">
        <v>6374</v>
      </c>
      <c r="G11" s="53">
        <v>158</v>
      </c>
      <c r="H11" s="53">
        <v>13</v>
      </c>
      <c r="I11" s="53">
        <v>228</v>
      </c>
      <c r="J11" s="53">
        <v>1984</v>
      </c>
      <c r="K11" s="53">
        <v>615</v>
      </c>
      <c r="L11" s="53">
        <v>214</v>
      </c>
      <c r="M11" s="53">
        <v>1956</v>
      </c>
      <c r="N11" s="53">
        <v>753</v>
      </c>
      <c r="O11" s="53">
        <v>120</v>
      </c>
      <c r="P11" s="53">
        <v>201</v>
      </c>
      <c r="Q11" s="53">
        <f t="shared" si="0"/>
        <v>132</v>
      </c>
      <c r="R11" s="34"/>
      <c r="S11" s="73">
        <f t="shared" si="1"/>
        <v>6373</v>
      </c>
      <c r="T11" s="73">
        <f t="shared" si="2"/>
        <v>1</v>
      </c>
      <c r="U11" s="73">
        <f t="shared" si="3"/>
        <v>6242</v>
      </c>
      <c r="V11" s="73">
        <f t="shared" si="4"/>
        <v>132</v>
      </c>
    </row>
    <row r="12" spans="1:22" ht="12">
      <c r="A12" s="51">
        <v>1995</v>
      </c>
      <c r="B12" s="52" t="s">
        <v>59</v>
      </c>
      <c r="C12" s="53">
        <v>7343</v>
      </c>
      <c r="D12" s="53">
        <v>497</v>
      </c>
      <c r="E12" s="53">
        <v>-1</v>
      </c>
      <c r="F12" s="53">
        <v>6848</v>
      </c>
      <c r="G12" s="53">
        <v>167</v>
      </c>
      <c r="H12" s="53">
        <v>9</v>
      </c>
      <c r="I12" s="53">
        <v>210</v>
      </c>
      <c r="J12" s="53">
        <v>2113</v>
      </c>
      <c r="K12" s="53">
        <v>636</v>
      </c>
      <c r="L12" s="53">
        <v>188</v>
      </c>
      <c r="M12" s="53">
        <v>2109</v>
      </c>
      <c r="N12" s="53">
        <v>970</v>
      </c>
      <c r="O12" s="53">
        <v>93</v>
      </c>
      <c r="P12" s="53">
        <v>219</v>
      </c>
      <c r="Q12" s="53">
        <f t="shared" si="0"/>
        <v>134</v>
      </c>
      <c r="R12" s="34"/>
      <c r="S12" s="73">
        <f t="shared" si="1"/>
        <v>6847</v>
      </c>
      <c r="T12" s="73">
        <f t="shared" si="2"/>
        <v>1</v>
      </c>
      <c r="U12" s="73">
        <f t="shared" si="3"/>
        <v>6714</v>
      </c>
      <c r="V12" s="73">
        <f t="shared" si="4"/>
        <v>134</v>
      </c>
    </row>
    <row r="13" spans="1:22" ht="12">
      <c r="A13" s="51">
        <v>1995</v>
      </c>
      <c r="B13" s="52" t="s">
        <v>60</v>
      </c>
      <c r="C13" s="53">
        <v>7499</v>
      </c>
      <c r="D13" s="53">
        <v>534</v>
      </c>
      <c r="E13" s="53">
        <v>18</v>
      </c>
      <c r="F13" s="53">
        <v>6947</v>
      </c>
      <c r="G13" s="53">
        <v>160</v>
      </c>
      <c r="H13" s="53">
        <v>11</v>
      </c>
      <c r="I13" s="53">
        <v>237</v>
      </c>
      <c r="J13" s="53">
        <v>2165</v>
      </c>
      <c r="K13" s="53">
        <v>679</v>
      </c>
      <c r="L13" s="53">
        <v>149</v>
      </c>
      <c r="M13" s="53">
        <v>2227</v>
      </c>
      <c r="N13" s="53">
        <v>883</v>
      </c>
      <c r="O13" s="53">
        <v>69</v>
      </c>
      <c r="P13" s="53">
        <v>233</v>
      </c>
      <c r="Q13" s="53">
        <f t="shared" si="0"/>
        <v>134</v>
      </c>
      <c r="R13" s="34"/>
      <c r="S13" s="73">
        <f t="shared" si="1"/>
        <v>6947</v>
      </c>
      <c r="T13" s="73">
        <f t="shared" si="2"/>
        <v>0</v>
      </c>
      <c r="U13" s="73">
        <f t="shared" si="3"/>
        <v>6813</v>
      </c>
      <c r="V13" s="73">
        <f t="shared" si="4"/>
        <v>134</v>
      </c>
    </row>
    <row r="14" spans="1:22" ht="12">
      <c r="A14" s="51">
        <v>1995</v>
      </c>
      <c r="B14" s="52" t="s">
        <v>61</v>
      </c>
      <c r="C14" s="53">
        <v>7701</v>
      </c>
      <c r="D14" s="53">
        <v>546</v>
      </c>
      <c r="E14" s="53">
        <v>79</v>
      </c>
      <c r="F14" s="53">
        <v>7075</v>
      </c>
      <c r="G14" s="53">
        <v>171</v>
      </c>
      <c r="H14" s="53">
        <v>10</v>
      </c>
      <c r="I14" s="53">
        <v>127</v>
      </c>
      <c r="J14" s="53">
        <v>2358</v>
      </c>
      <c r="K14" s="53">
        <v>692</v>
      </c>
      <c r="L14" s="53">
        <v>179</v>
      </c>
      <c r="M14" s="53">
        <v>2145</v>
      </c>
      <c r="N14" s="53">
        <v>905</v>
      </c>
      <c r="O14" s="53">
        <v>94</v>
      </c>
      <c r="P14" s="53">
        <v>252</v>
      </c>
      <c r="Q14" s="53">
        <f t="shared" si="0"/>
        <v>142</v>
      </c>
      <c r="R14" s="34"/>
      <c r="S14" s="73">
        <f t="shared" si="1"/>
        <v>7076</v>
      </c>
      <c r="T14" s="73">
        <f t="shared" si="2"/>
        <v>-1</v>
      </c>
      <c r="U14" s="73">
        <f t="shared" si="3"/>
        <v>6933</v>
      </c>
      <c r="V14" s="73">
        <f t="shared" si="4"/>
        <v>142</v>
      </c>
    </row>
    <row r="15" spans="1:22" ht="12">
      <c r="A15" s="51">
        <v>1995</v>
      </c>
      <c r="B15" s="52" t="s">
        <v>62</v>
      </c>
      <c r="C15" s="53">
        <v>8097</v>
      </c>
      <c r="D15" s="53">
        <v>544</v>
      </c>
      <c r="E15" s="53">
        <v>31</v>
      </c>
      <c r="F15" s="53">
        <v>7522</v>
      </c>
      <c r="G15" s="53">
        <v>148</v>
      </c>
      <c r="H15" s="53">
        <v>10</v>
      </c>
      <c r="I15" s="53">
        <v>194</v>
      </c>
      <c r="J15" s="53">
        <v>2417</v>
      </c>
      <c r="K15" s="53">
        <v>780</v>
      </c>
      <c r="L15" s="53">
        <v>148</v>
      </c>
      <c r="M15" s="53">
        <v>2361</v>
      </c>
      <c r="N15" s="53">
        <v>1007</v>
      </c>
      <c r="O15" s="53">
        <v>110</v>
      </c>
      <c r="P15" s="53">
        <v>219</v>
      </c>
      <c r="Q15" s="53">
        <f t="shared" si="0"/>
        <v>128</v>
      </c>
      <c r="R15" s="34"/>
      <c r="S15" s="73">
        <f t="shared" si="1"/>
        <v>7522</v>
      </c>
      <c r="T15" s="73">
        <f t="shared" si="2"/>
        <v>0</v>
      </c>
      <c r="U15" s="73">
        <f t="shared" si="3"/>
        <v>7394</v>
      </c>
      <c r="V15" s="73">
        <f t="shared" si="4"/>
        <v>128</v>
      </c>
    </row>
    <row r="16" spans="1:22" ht="12">
      <c r="A16" s="51">
        <v>1995</v>
      </c>
      <c r="B16" s="52" t="s">
        <v>63</v>
      </c>
      <c r="C16" s="53">
        <v>8111</v>
      </c>
      <c r="D16" s="53">
        <v>556</v>
      </c>
      <c r="E16" s="53">
        <v>-55</v>
      </c>
      <c r="F16" s="53">
        <v>7610</v>
      </c>
      <c r="G16" s="53">
        <v>142</v>
      </c>
      <c r="H16" s="53">
        <v>11</v>
      </c>
      <c r="I16" s="53">
        <v>235</v>
      </c>
      <c r="J16" s="53">
        <v>2444</v>
      </c>
      <c r="K16" s="53">
        <v>679</v>
      </c>
      <c r="L16" s="53">
        <v>233</v>
      </c>
      <c r="M16" s="53">
        <v>2373</v>
      </c>
      <c r="N16" s="53">
        <v>1010</v>
      </c>
      <c r="O16" s="53">
        <v>119</v>
      </c>
      <c r="P16" s="53">
        <v>220</v>
      </c>
      <c r="Q16" s="53">
        <f t="shared" si="0"/>
        <v>144</v>
      </c>
      <c r="R16" s="34"/>
      <c r="S16" s="73">
        <f t="shared" si="1"/>
        <v>7610</v>
      </c>
      <c r="T16" s="73">
        <f t="shared" si="2"/>
        <v>0</v>
      </c>
      <c r="U16" s="73">
        <f t="shared" si="3"/>
        <v>7466</v>
      </c>
      <c r="V16" s="73">
        <f t="shared" si="4"/>
        <v>144</v>
      </c>
    </row>
    <row r="17" spans="1:32" ht="12">
      <c r="A17" s="51">
        <v>1995</v>
      </c>
      <c r="B17" s="52" t="s">
        <v>64</v>
      </c>
      <c r="C17" s="53">
        <v>8380.112</v>
      </c>
      <c r="D17" s="53">
        <v>562.165</v>
      </c>
      <c r="E17" s="53">
        <v>37.415</v>
      </c>
      <c r="F17" s="53">
        <v>7780.532</v>
      </c>
      <c r="G17" s="53">
        <v>146.63</v>
      </c>
      <c r="H17" s="53">
        <v>10.883</v>
      </c>
      <c r="I17" s="53">
        <v>245.373</v>
      </c>
      <c r="J17" s="53">
        <v>2508.699</v>
      </c>
      <c r="K17" s="53">
        <v>697.028</v>
      </c>
      <c r="L17" s="53">
        <v>280.019</v>
      </c>
      <c r="M17" s="53">
        <v>2474.552</v>
      </c>
      <c r="N17" s="53">
        <v>989.461</v>
      </c>
      <c r="O17" s="53">
        <v>103.756</v>
      </c>
      <c r="P17" s="53">
        <v>198.203</v>
      </c>
      <c r="Q17" s="53">
        <f t="shared" si="0"/>
        <v>125.92799999999806</v>
      </c>
      <c r="R17" s="34"/>
      <c r="S17" s="73">
        <f t="shared" si="1"/>
        <v>7780.531999999999</v>
      </c>
      <c r="T17" s="73">
        <f t="shared" si="2"/>
        <v>0</v>
      </c>
      <c r="U17" s="73">
        <f t="shared" si="3"/>
        <v>7654.604000000002</v>
      </c>
      <c r="V17" s="73">
        <f t="shared" si="4"/>
        <v>125.92799999999806</v>
      </c>
      <c r="W17" s="14"/>
      <c r="X17" s="14"/>
      <c r="Y17" s="14"/>
      <c r="Z17" s="14"/>
      <c r="AA17" s="14"/>
      <c r="AB17" s="14"/>
      <c r="AC17" s="14"/>
      <c r="AD17" s="14"/>
      <c r="AE17" s="14"/>
      <c r="AF17" s="14"/>
    </row>
    <row r="18" spans="1:32" ht="12">
      <c r="A18" s="51">
        <v>1995</v>
      </c>
      <c r="B18" s="52" t="s">
        <v>65</v>
      </c>
      <c r="C18" s="53">
        <v>8286.809</v>
      </c>
      <c r="D18" s="53">
        <v>555.871</v>
      </c>
      <c r="E18" s="53">
        <v>-4.268</v>
      </c>
      <c r="F18" s="53">
        <v>7735.206</v>
      </c>
      <c r="G18" s="53">
        <v>132.215</v>
      </c>
      <c r="H18" s="53">
        <v>11.227</v>
      </c>
      <c r="I18" s="53">
        <v>231.822</v>
      </c>
      <c r="J18" s="53">
        <v>2518.68</v>
      </c>
      <c r="K18" s="53">
        <v>681.36</v>
      </c>
      <c r="L18" s="53">
        <v>268.954</v>
      </c>
      <c r="M18" s="53">
        <v>2465.793</v>
      </c>
      <c r="N18" s="53">
        <v>980.979</v>
      </c>
      <c r="O18" s="53">
        <v>98.106</v>
      </c>
      <c r="P18" s="53">
        <v>200.832</v>
      </c>
      <c r="Q18" s="53">
        <f t="shared" si="0"/>
        <v>145.23799999999937</v>
      </c>
      <c r="R18" s="34"/>
      <c r="S18" s="73">
        <f t="shared" si="1"/>
        <v>7735.205999999999</v>
      </c>
      <c r="T18" s="73">
        <f t="shared" si="2"/>
        <v>0</v>
      </c>
      <c r="U18" s="73">
        <f t="shared" si="3"/>
        <v>7589.968000000001</v>
      </c>
      <c r="V18" s="73">
        <f t="shared" si="4"/>
        <v>145.23799999999937</v>
      </c>
      <c r="W18" s="14"/>
      <c r="X18" s="14"/>
      <c r="Y18" s="14"/>
      <c r="Z18" s="14"/>
      <c r="AA18" s="14"/>
      <c r="AB18" s="14"/>
      <c r="AC18" s="14"/>
      <c r="AD18" s="14"/>
      <c r="AE18" s="14"/>
      <c r="AF18" s="14"/>
    </row>
    <row r="19" spans="1:32" ht="12">
      <c r="A19" s="51">
        <v>1995</v>
      </c>
      <c r="B19" s="52" t="s">
        <v>66</v>
      </c>
      <c r="C19" s="53">
        <v>8311.009</v>
      </c>
      <c r="D19" s="53">
        <v>591.165</v>
      </c>
      <c r="E19" s="53">
        <v>12.15</v>
      </c>
      <c r="F19" s="53">
        <v>7707.694</v>
      </c>
      <c r="G19" s="53">
        <v>155.558</v>
      </c>
      <c r="H19" s="53">
        <v>11.041</v>
      </c>
      <c r="I19" s="53">
        <v>253.34</v>
      </c>
      <c r="J19" s="53">
        <v>2373.406</v>
      </c>
      <c r="K19" s="53">
        <v>687.374</v>
      </c>
      <c r="L19" s="53">
        <v>330.076</v>
      </c>
      <c r="M19" s="53">
        <v>2409.547</v>
      </c>
      <c r="N19" s="53">
        <v>1024.879</v>
      </c>
      <c r="O19" s="53">
        <v>122.104</v>
      </c>
      <c r="P19" s="53">
        <v>187.386</v>
      </c>
      <c r="Q19" s="53">
        <f t="shared" si="0"/>
        <v>152.98299999999927</v>
      </c>
      <c r="R19" s="34"/>
      <c r="S19" s="73">
        <f t="shared" si="1"/>
        <v>7707.694</v>
      </c>
      <c r="T19" s="73">
        <f t="shared" si="2"/>
        <v>0</v>
      </c>
      <c r="U19" s="73">
        <f t="shared" si="3"/>
        <v>7554.711000000001</v>
      </c>
      <c r="V19" s="73">
        <f t="shared" si="4"/>
        <v>152.98299999999927</v>
      </c>
      <c r="W19" s="14"/>
      <c r="X19" s="14"/>
      <c r="Y19" s="14"/>
      <c r="Z19" s="14"/>
      <c r="AA19" s="14"/>
      <c r="AB19" s="14"/>
      <c r="AC19" s="14"/>
      <c r="AD19" s="14"/>
      <c r="AE19" s="14"/>
      <c r="AF19" s="14"/>
    </row>
    <row r="20" spans="1:22" ht="12">
      <c r="A20" s="51">
        <v>1996</v>
      </c>
      <c r="B20" s="52" t="s">
        <v>55</v>
      </c>
      <c r="C20" s="53">
        <v>7783</v>
      </c>
      <c r="D20" s="53">
        <v>573</v>
      </c>
      <c r="E20" s="53">
        <v>16</v>
      </c>
      <c r="F20" s="53">
        <v>7194</v>
      </c>
      <c r="G20" s="53">
        <v>145</v>
      </c>
      <c r="H20" s="53">
        <v>11</v>
      </c>
      <c r="I20" s="53">
        <v>234</v>
      </c>
      <c r="J20" s="53">
        <v>2336</v>
      </c>
      <c r="K20" s="53">
        <v>639</v>
      </c>
      <c r="L20" s="53">
        <v>356</v>
      </c>
      <c r="M20" s="53">
        <v>2239</v>
      </c>
      <c r="N20" s="53">
        <v>897</v>
      </c>
      <c r="O20" s="53">
        <v>102</v>
      </c>
      <c r="P20" s="53">
        <v>94</v>
      </c>
      <c r="Q20" s="53">
        <f t="shared" si="0"/>
        <v>141</v>
      </c>
      <c r="R20" s="34"/>
      <c r="S20" s="73">
        <f t="shared" si="1"/>
        <v>7194</v>
      </c>
      <c r="T20" s="73">
        <f t="shared" si="2"/>
        <v>0</v>
      </c>
      <c r="U20" s="73">
        <f t="shared" si="3"/>
        <v>7053</v>
      </c>
      <c r="V20" s="73">
        <f t="shared" si="4"/>
        <v>141</v>
      </c>
    </row>
    <row r="21" spans="1:22" ht="12">
      <c r="A21" s="51">
        <v>1996</v>
      </c>
      <c r="B21" s="52" t="s">
        <v>56</v>
      </c>
      <c r="C21" s="53">
        <v>7073</v>
      </c>
      <c r="D21" s="53">
        <v>510</v>
      </c>
      <c r="E21" s="53">
        <v>85</v>
      </c>
      <c r="F21" s="53">
        <v>6478</v>
      </c>
      <c r="G21" s="53">
        <v>115</v>
      </c>
      <c r="H21" s="53">
        <v>9</v>
      </c>
      <c r="I21" s="53">
        <v>246</v>
      </c>
      <c r="J21" s="53">
        <v>1852</v>
      </c>
      <c r="K21" s="53">
        <v>529</v>
      </c>
      <c r="L21" s="53">
        <v>369</v>
      </c>
      <c r="M21" s="53">
        <v>2156</v>
      </c>
      <c r="N21" s="53">
        <v>846</v>
      </c>
      <c r="O21" s="53">
        <v>83</v>
      </c>
      <c r="P21" s="53">
        <v>138</v>
      </c>
      <c r="Q21" s="53">
        <f t="shared" si="0"/>
        <v>135</v>
      </c>
      <c r="R21" s="34"/>
      <c r="S21" s="73">
        <f t="shared" si="1"/>
        <v>6478</v>
      </c>
      <c r="T21" s="73">
        <f t="shared" si="2"/>
        <v>0</v>
      </c>
      <c r="U21" s="73">
        <f t="shared" si="3"/>
        <v>6343</v>
      </c>
      <c r="V21" s="73">
        <f t="shared" si="4"/>
        <v>135</v>
      </c>
    </row>
    <row r="22" spans="1:22" ht="12">
      <c r="A22" s="51">
        <v>1996</v>
      </c>
      <c r="B22" s="52" t="s">
        <v>57</v>
      </c>
      <c r="C22" s="53">
        <v>7932</v>
      </c>
      <c r="D22" s="53">
        <v>552</v>
      </c>
      <c r="E22" s="53">
        <v>-26</v>
      </c>
      <c r="F22" s="53">
        <v>7406</v>
      </c>
      <c r="G22" s="53">
        <v>146</v>
      </c>
      <c r="H22" s="53">
        <v>12</v>
      </c>
      <c r="I22" s="53">
        <v>211</v>
      </c>
      <c r="J22" s="53">
        <v>2289</v>
      </c>
      <c r="K22" s="53">
        <v>656</v>
      </c>
      <c r="L22" s="53">
        <v>362</v>
      </c>
      <c r="M22" s="53">
        <v>2278</v>
      </c>
      <c r="N22" s="53">
        <v>981</v>
      </c>
      <c r="O22" s="53">
        <v>110</v>
      </c>
      <c r="P22" s="53">
        <v>223</v>
      </c>
      <c r="Q22" s="53">
        <f t="shared" si="0"/>
        <v>138</v>
      </c>
      <c r="R22" s="34"/>
      <c r="S22" s="73">
        <f t="shared" si="1"/>
        <v>7406</v>
      </c>
      <c r="T22" s="73">
        <f t="shared" si="2"/>
        <v>0</v>
      </c>
      <c r="U22" s="73">
        <f t="shared" si="3"/>
        <v>7268</v>
      </c>
      <c r="V22" s="73">
        <f t="shared" si="4"/>
        <v>138</v>
      </c>
    </row>
    <row r="23" spans="1:22" ht="12">
      <c r="A23" s="51">
        <v>1996</v>
      </c>
      <c r="B23" s="52" t="s">
        <v>58</v>
      </c>
      <c r="C23" s="53">
        <v>7874</v>
      </c>
      <c r="D23" s="53">
        <v>536</v>
      </c>
      <c r="E23" s="53">
        <v>26</v>
      </c>
      <c r="F23" s="53">
        <v>7312</v>
      </c>
      <c r="G23" s="53">
        <v>168</v>
      </c>
      <c r="H23" s="53">
        <v>12</v>
      </c>
      <c r="I23" s="53">
        <v>249</v>
      </c>
      <c r="J23" s="53">
        <v>2136</v>
      </c>
      <c r="K23" s="53">
        <v>671</v>
      </c>
      <c r="L23" s="53">
        <v>310</v>
      </c>
      <c r="M23" s="53">
        <v>2344</v>
      </c>
      <c r="N23" s="53">
        <v>1030</v>
      </c>
      <c r="O23" s="53">
        <v>107</v>
      </c>
      <c r="P23" s="53">
        <v>158</v>
      </c>
      <c r="Q23" s="53">
        <f t="shared" si="0"/>
        <v>127</v>
      </c>
      <c r="R23" s="34"/>
      <c r="S23" s="73">
        <f t="shared" si="1"/>
        <v>7312</v>
      </c>
      <c r="T23" s="73">
        <f t="shared" si="2"/>
        <v>0</v>
      </c>
      <c r="U23" s="73">
        <f t="shared" si="3"/>
        <v>7185</v>
      </c>
      <c r="V23" s="73">
        <f t="shared" si="4"/>
        <v>127</v>
      </c>
    </row>
    <row r="24" spans="1:22" ht="12">
      <c r="A24" s="51">
        <v>1996</v>
      </c>
      <c r="B24" s="52" t="s">
        <v>59</v>
      </c>
      <c r="C24" s="53">
        <v>8200</v>
      </c>
      <c r="D24" s="53">
        <v>545</v>
      </c>
      <c r="E24" s="53">
        <v>29</v>
      </c>
      <c r="F24" s="53">
        <v>7626</v>
      </c>
      <c r="G24" s="53">
        <v>170</v>
      </c>
      <c r="H24" s="53">
        <v>10</v>
      </c>
      <c r="I24" s="53">
        <v>241</v>
      </c>
      <c r="J24" s="53">
        <v>2360</v>
      </c>
      <c r="K24" s="53">
        <v>789</v>
      </c>
      <c r="L24" s="53">
        <v>257</v>
      </c>
      <c r="M24" s="53">
        <v>2419</v>
      </c>
      <c r="N24" s="53">
        <v>961</v>
      </c>
      <c r="O24" s="53">
        <v>96</v>
      </c>
      <c r="P24" s="53">
        <v>202</v>
      </c>
      <c r="Q24" s="53">
        <f t="shared" si="0"/>
        <v>121</v>
      </c>
      <c r="R24" s="34"/>
      <c r="S24" s="73">
        <f t="shared" si="1"/>
        <v>7626</v>
      </c>
      <c r="T24" s="73">
        <f t="shared" si="2"/>
        <v>0</v>
      </c>
      <c r="U24" s="73">
        <f t="shared" si="3"/>
        <v>7505</v>
      </c>
      <c r="V24" s="73">
        <f t="shared" si="4"/>
        <v>121</v>
      </c>
    </row>
    <row r="25" spans="1:22" ht="12">
      <c r="A25" s="51">
        <v>1996</v>
      </c>
      <c r="B25" s="52" t="s">
        <v>60</v>
      </c>
      <c r="C25" s="53">
        <v>8104</v>
      </c>
      <c r="D25" s="53">
        <v>539</v>
      </c>
      <c r="E25" s="53">
        <v>-3</v>
      </c>
      <c r="F25" s="53">
        <v>7568</v>
      </c>
      <c r="G25" s="53">
        <v>175</v>
      </c>
      <c r="H25" s="53">
        <v>11</v>
      </c>
      <c r="I25" s="53">
        <v>236</v>
      </c>
      <c r="J25" s="53">
        <v>2388</v>
      </c>
      <c r="K25" s="53">
        <v>734</v>
      </c>
      <c r="L25" s="53">
        <v>232</v>
      </c>
      <c r="M25" s="53">
        <v>2359</v>
      </c>
      <c r="N25" s="53">
        <v>1032</v>
      </c>
      <c r="O25" s="53">
        <v>81</v>
      </c>
      <c r="P25" s="53">
        <v>200</v>
      </c>
      <c r="Q25" s="53">
        <f t="shared" si="0"/>
        <v>120</v>
      </c>
      <c r="R25" s="34"/>
      <c r="S25" s="73">
        <f t="shared" si="1"/>
        <v>7568</v>
      </c>
      <c r="T25" s="73">
        <f t="shared" si="2"/>
        <v>0</v>
      </c>
      <c r="U25" s="73">
        <f t="shared" si="3"/>
        <v>7448</v>
      </c>
      <c r="V25" s="73">
        <f t="shared" si="4"/>
        <v>120</v>
      </c>
    </row>
    <row r="26" spans="1:22" ht="12">
      <c r="A26" s="51">
        <v>1996</v>
      </c>
      <c r="B26" s="52" t="s">
        <v>61</v>
      </c>
      <c r="C26" s="53">
        <v>8525</v>
      </c>
      <c r="D26" s="53">
        <v>556</v>
      </c>
      <c r="E26" s="53">
        <v>33</v>
      </c>
      <c r="F26" s="53">
        <v>7936</v>
      </c>
      <c r="G26" s="53">
        <v>176</v>
      </c>
      <c r="H26" s="53">
        <v>14</v>
      </c>
      <c r="I26" s="53">
        <v>238</v>
      </c>
      <c r="J26" s="53">
        <v>2561</v>
      </c>
      <c r="K26" s="53">
        <v>830</v>
      </c>
      <c r="L26" s="53">
        <v>192</v>
      </c>
      <c r="M26" s="53">
        <v>2458</v>
      </c>
      <c r="N26" s="53">
        <v>1043</v>
      </c>
      <c r="O26" s="53">
        <v>60</v>
      </c>
      <c r="P26" s="53">
        <v>234</v>
      </c>
      <c r="Q26" s="53">
        <f t="shared" si="0"/>
        <v>130</v>
      </c>
      <c r="R26" s="34"/>
      <c r="S26" s="73">
        <f t="shared" si="1"/>
        <v>7936</v>
      </c>
      <c r="T26" s="73">
        <f t="shared" si="2"/>
        <v>0</v>
      </c>
      <c r="U26" s="73">
        <f t="shared" si="3"/>
        <v>7806</v>
      </c>
      <c r="V26" s="73">
        <f t="shared" si="4"/>
        <v>130</v>
      </c>
    </row>
    <row r="27" spans="1:22" ht="12">
      <c r="A27" s="51">
        <v>1996</v>
      </c>
      <c r="B27" s="52" t="s">
        <v>62</v>
      </c>
      <c r="C27" s="53">
        <v>8220</v>
      </c>
      <c r="D27" s="53">
        <v>553</v>
      </c>
      <c r="E27" s="53">
        <v>21</v>
      </c>
      <c r="F27" s="53">
        <v>7646</v>
      </c>
      <c r="G27" s="53">
        <v>161</v>
      </c>
      <c r="H27" s="53">
        <v>13</v>
      </c>
      <c r="I27" s="53">
        <v>221</v>
      </c>
      <c r="J27" s="53">
        <v>2406</v>
      </c>
      <c r="K27" s="53">
        <v>785</v>
      </c>
      <c r="L27" s="53">
        <v>225</v>
      </c>
      <c r="M27" s="53">
        <v>2432</v>
      </c>
      <c r="N27" s="53">
        <v>974</v>
      </c>
      <c r="O27" s="53">
        <v>103</v>
      </c>
      <c r="P27" s="53">
        <v>199</v>
      </c>
      <c r="Q27" s="53">
        <f t="shared" si="0"/>
        <v>127</v>
      </c>
      <c r="R27" s="34"/>
      <c r="S27" s="73">
        <f t="shared" si="1"/>
        <v>7646</v>
      </c>
      <c r="T27" s="73">
        <f t="shared" si="2"/>
        <v>0</v>
      </c>
      <c r="U27" s="73">
        <f t="shared" si="3"/>
        <v>7519</v>
      </c>
      <c r="V27" s="73">
        <f t="shared" si="4"/>
        <v>127</v>
      </c>
    </row>
    <row r="28" spans="1:22" ht="12">
      <c r="A28" s="51">
        <v>1996</v>
      </c>
      <c r="B28" s="52" t="s">
        <v>63</v>
      </c>
      <c r="C28" s="53">
        <v>8027</v>
      </c>
      <c r="D28" s="53">
        <v>536</v>
      </c>
      <c r="E28" s="53">
        <v>8</v>
      </c>
      <c r="F28" s="53">
        <v>7483</v>
      </c>
      <c r="G28" s="53">
        <v>136</v>
      </c>
      <c r="H28" s="53">
        <v>13</v>
      </c>
      <c r="I28" s="53">
        <v>216</v>
      </c>
      <c r="J28" s="53">
        <v>2386</v>
      </c>
      <c r="K28" s="53">
        <v>708</v>
      </c>
      <c r="L28" s="53">
        <v>240</v>
      </c>
      <c r="M28" s="53">
        <v>2488</v>
      </c>
      <c r="N28" s="53">
        <v>886</v>
      </c>
      <c r="O28" s="53">
        <v>79</v>
      </c>
      <c r="P28" s="53">
        <v>200</v>
      </c>
      <c r="Q28" s="53">
        <f t="shared" si="0"/>
        <v>131</v>
      </c>
      <c r="R28" s="34"/>
      <c r="S28" s="73">
        <f t="shared" si="1"/>
        <v>7483</v>
      </c>
      <c r="T28" s="73">
        <f t="shared" si="2"/>
        <v>0</v>
      </c>
      <c r="U28" s="73">
        <f t="shared" si="3"/>
        <v>7352</v>
      </c>
      <c r="V28" s="73">
        <f t="shared" si="4"/>
        <v>131</v>
      </c>
    </row>
    <row r="29" spans="1:22" ht="12">
      <c r="A29" s="51">
        <v>1996</v>
      </c>
      <c r="B29" s="52" t="s">
        <v>64</v>
      </c>
      <c r="C29" s="53">
        <v>8365</v>
      </c>
      <c r="D29" s="53">
        <v>557</v>
      </c>
      <c r="E29" s="53">
        <v>-17</v>
      </c>
      <c r="F29" s="53">
        <v>7824</v>
      </c>
      <c r="G29" s="53">
        <v>125</v>
      </c>
      <c r="H29" s="53">
        <v>14</v>
      </c>
      <c r="I29" s="53">
        <v>239</v>
      </c>
      <c r="J29" s="53">
        <v>2527</v>
      </c>
      <c r="K29" s="53">
        <v>673</v>
      </c>
      <c r="L29" s="53">
        <v>292</v>
      </c>
      <c r="M29" s="53">
        <v>2659</v>
      </c>
      <c r="N29" s="53">
        <v>862</v>
      </c>
      <c r="O29" s="53">
        <v>93</v>
      </c>
      <c r="P29" s="53">
        <v>208</v>
      </c>
      <c r="Q29" s="53">
        <f t="shared" si="0"/>
        <v>132</v>
      </c>
      <c r="R29" s="34"/>
      <c r="S29" s="73">
        <f t="shared" si="1"/>
        <v>7825</v>
      </c>
      <c r="T29" s="73">
        <f t="shared" si="2"/>
        <v>-1</v>
      </c>
      <c r="U29" s="73">
        <f t="shared" si="3"/>
        <v>7692</v>
      </c>
      <c r="V29" s="73">
        <f t="shared" si="4"/>
        <v>132</v>
      </c>
    </row>
    <row r="30" spans="1:22" ht="12">
      <c r="A30" s="51">
        <v>1996</v>
      </c>
      <c r="B30" s="52" t="s">
        <v>65</v>
      </c>
      <c r="C30" s="53">
        <v>8194</v>
      </c>
      <c r="D30" s="53">
        <v>571</v>
      </c>
      <c r="E30" s="53">
        <v>-3</v>
      </c>
      <c r="F30" s="53">
        <v>7626</v>
      </c>
      <c r="G30" s="53">
        <v>142</v>
      </c>
      <c r="H30" s="53">
        <v>12</v>
      </c>
      <c r="I30" s="53">
        <v>240</v>
      </c>
      <c r="J30" s="53">
        <v>2493</v>
      </c>
      <c r="K30" s="53">
        <v>648</v>
      </c>
      <c r="L30" s="53">
        <v>288</v>
      </c>
      <c r="M30" s="53">
        <v>2503</v>
      </c>
      <c r="N30" s="53">
        <v>892</v>
      </c>
      <c r="O30" s="53">
        <v>98</v>
      </c>
      <c r="P30" s="53">
        <v>198</v>
      </c>
      <c r="Q30" s="53">
        <f t="shared" si="0"/>
        <v>112</v>
      </c>
      <c r="R30" s="34"/>
      <c r="S30" s="73">
        <f t="shared" si="1"/>
        <v>7626</v>
      </c>
      <c r="T30" s="73">
        <f t="shared" si="2"/>
        <v>0</v>
      </c>
      <c r="U30" s="73">
        <f t="shared" si="3"/>
        <v>7514</v>
      </c>
      <c r="V30" s="73">
        <f t="shared" si="4"/>
        <v>112</v>
      </c>
    </row>
    <row r="31" spans="1:22" ht="12">
      <c r="A31" s="51">
        <v>1996</v>
      </c>
      <c r="B31" s="52" t="s">
        <v>66</v>
      </c>
      <c r="C31" s="53">
        <v>8364</v>
      </c>
      <c r="D31" s="53">
        <v>595</v>
      </c>
      <c r="E31" s="53">
        <v>-17</v>
      </c>
      <c r="F31" s="53">
        <v>7786</v>
      </c>
      <c r="G31" s="53">
        <v>169</v>
      </c>
      <c r="H31" s="53">
        <v>13</v>
      </c>
      <c r="I31" s="53">
        <v>254</v>
      </c>
      <c r="J31" s="53">
        <v>2314</v>
      </c>
      <c r="K31" s="53">
        <v>643</v>
      </c>
      <c r="L31" s="53">
        <v>387</v>
      </c>
      <c r="M31" s="53">
        <v>2566</v>
      </c>
      <c r="N31" s="53">
        <v>1074</v>
      </c>
      <c r="O31" s="53">
        <v>99</v>
      </c>
      <c r="P31" s="53">
        <v>134</v>
      </c>
      <c r="Q31" s="53">
        <f t="shared" si="0"/>
        <v>133</v>
      </c>
      <c r="R31" s="34"/>
      <c r="S31" s="73">
        <f t="shared" si="1"/>
        <v>7786</v>
      </c>
      <c r="T31" s="73">
        <f t="shared" si="2"/>
        <v>0</v>
      </c>
      <c r="U31" s="73">
        <f t="shared" si="3"/>
        <v>7653</v>
      </c>
      <c r="V31" s="73">
        <f t="shared" si="4"/>
        <v>133</v>
      </c>
    </row>
    <row r="32" spans="1:22" ht="12">
      <c r="A32" s="51">
        <v>1997</v>
      </c>
      <c r="B32" s="52" t="s">
        <v>55</v>
      </c>
      <c r="C32" s="53">
        <v>7972.843</v>
      </c>
      <c r="D32" s="53">
        <v>565.642</v>
      </c>
      <c r="E32" s="53">
        <v>9.049</v>
      </c>
      <c r="F32" s="53">
        <v>7398.152</v>
      </c>
      <c r="G32" s="53">
        <v>173.262</v>
      </c>
      <c r="H32" s="53">
        <v>13.525</v>
      </c>
      <c r="I32" s="53">
        <v>251.277</v>
      </c>
      <c r="J32" s="53">
        <v>2323.142</v>
      </c>
      <c r="K32" s="53">
        <v>650.481</v>
      </c>
      <c r="L32" s="53">
        <v>399.443</v>
      </c>
      <c r="M32" s="53">
        <v>2344.264</v>
      </c>
      <c r="N32" s="53">
        <v>940.683</v>
      </c>
      <c r="O32" s="53">
        <v>78.057</v>
      </c>
      <c r="P32" s="53">
        <v>86.429</v>
      </c>
      <c r="Q32" s="53">
        <f t="shared" si="0"/>
        <v>137.58899999999994</v>
      </c>
      <c r="R32" s="34"/>
      <c r="S32" s="73">
        <f t="shared" si="1"/>
        <v>7398.152</v>
      </c>
      <c r="T32" s="73">
        <f t="shared" si="2"/>
        <v>0</v>
      </c>
      <c r="U32" s="73">
        <f t="shared" si="3"/>
        <v>7260.563</v>
      </c>
      <c r="V32" s="73">
        <f t="shared" si="4"/>
        <v>137.58899999999994</v>
      </c>
    </row>
    <row r="33" spans="1:22" ht="12">
      <c r="A33" s="51">
        <v>1997</v>
      </c>
      <c r="B33" s="52" t="s">
        <v>56</v>
      </c>
      <c r="C33" s="53">
        <v>7369.942</v>
      </c>
      <c r="D33" s="53">
        <v>521.61</v>
      </c>
      <c r="E33" s="53">
        <v>-21.076</v>
      </c>
      <c r="F33" s="53">
        <v>6869.408</v>
      </c>
      <c r="G33" s="53">
        <v>154.601</v>
      </c>
      <c r="H33" s="53">
        <v>10.811</v>
      </c>
      <c r="I33" s="53">
        <v>223.752</v>
      </c>
      <c r="J33" s="53">
        <v>2125.79</v>
      </c>
      <c r="K33" s="53">
        <v>662.13</v>
      </c>
      <c r="L33" s="53">
        <v>302.187</v>
      </c>
      <c r="M33" s="53">
        <v>2168.219</v>
      </c>
      <c r="N33" s="53">
        <v>842.643</v>
      </c>
      <c r="O33" s="53">
        <v>99.325</v>
      </c>
      <c r="P33" s="53">
        <v>165.615</v>
      </c>
      <c r="Q33" s="53">
        <f t="shared" si="0"/>
        <v>114.33500000000095</v>
      </c>
      <c r="R33" s="34"/>
      <c r="S33" s="73">
        <f t="shared" si="1"/>
        <v>6869.408</v>
      </c>
      <c r="T33" s="73">
        <f t="shared" si="2"/>
        <v>0</v>
      </c>
      <c r="U33" s="73">
        <f t="shared" si="3"/>
        <v>6755.072999999999</v>
      </c>
      <c r="V33" s="73">
        <f t="shared" si="4"/>
        <v>114.33500000000095</v>
      </c>
    </row>
    <row r="34" spans="1:22" ht="12">
      <c r="A34" s="51">
        <v>1997</v>
      </c>
      <c r="B34" s="52" t="s">
        <v>57</v>
      </c>
      <c r="C34" s="53">
        <v>8009.326</v>
      </c>
      <c r="D34" s="53">
        <v>563.273</v>
      </c>
      <c r="E34" s="53">
        <v>-22.291</v>
      </c>
      <c r="F34" s="53">
        <v>7468.344</v>
      </c>
      <c r="G34" s="53">
        <v>156.358</v>
      </c>
      <c r="H34" s="53">
        <v>9.829</v>
      </c>
      <c r="I34" s="53">
        <v>257.839</v>
      </c>
      <c r="J34" s="53">
        <v>2305.463</v>
      </c>
      <c r="K34" s="53">
        <v>726.245</v>
      </c>
      <c r="L34" s="53">
        <v>284.851</v>
      </c>
      <c r="M34" s="53">
        <v>2367.747</v>
      </c>
      <c r="N34" s="53">
        <v>929.498</v>
      </c>
      <c r="O34" s="53">
        <v>96.815</v>
      </c>
      <c r="P34" s="53">
        <v>194.474</v>
      </c>
      <c r="Q34" s="53">
        <f t="shared" si="0"/>
        <v>139.22500000000036</v>
      </c>
      <c r="R34" s="34"/>
      <c r="S34" s="73">
        <f t="shared" si="1"/>
        <v>7468.344</v>
      </c>
      <c r="T34" s="73">
        <f t="shared" si="2"/>
        <v>0</v>
      </c>
      <c r="U34" s="73">
        <f t="shared" si="3"/>
        <v>7329.119</v>
      </c>
      <c r="V34" s="73">
        <f t="shared" si="4"/>
        <v>139.22500000000036</v>
      </c>
    </row>
    <row r="35" spans="1:22" ht="12">
      <c r="A35" s="51">
        <v>1997</v>
      </c>
      <c r="B35" s="52" t="s">
        <v>58</v>
      </c>
      <c r="C35" s="53">
        <v>8045.065</v>
      </c>
      <c r="D35" s="53">
        <v>518.409</v>
      </c>
      <c r="E35" s="53">
        <v>23.19</v>
      </c>
      <c r="F35" s="53">
        <v>7503.466</v>
      </c>
      <c r="G35" s="53">
        <v>152.569</v>
      </c>
      <c r="H35" s="53">
        <v>9.187</v>
      </c>
      <c r="I35" s="53">
        <v>249.919</v>
      </c>
      <c r="J35" s="53">
        <v>2317.967</v>
      </c>
      <c r="K35" s="53">
        <v>664.323</v>
      </c>
      <c r="L35" s="53">
        <v>235.587</v>
      </c>
      <c r="M35" s="53">
        <v>2499.557</v>
      </c>
      <c r="N35" s="53">
        <v>953.117</v>
      </c>
      <c r="O35" s="53">
        <v>109.502</v>
      </c>
      <c r="P35" s="53">
        <v>199.95</v>
      </c>
      <c r="Q35" s="53">
        <f t="shared" si="0"/>
        <v>111.78799999999956</v>
      </c>
      <c r="R35" s="34"/>
      <c r="S35" s="73">
        <f t="shared" si="1"/>
        <v>7503.466</v>
      </c>
      <c r="T35" s="73">
        <f t="shared" si="2"/>
        <v>0</v>
      </c>
      <c r="U35" s="73">
        <f t="shared" si="3"/>
        <v>7391.678000000001</v>
      </c>
      <c r="V35" s="73">
        <f t="shared" si="4"/>
        <v>111.78799999999956</v>
      </c>
    </row>
    <row r="36" spans="1:22" ht="12">
      <c r="A36" s="51">
        <v>1997</v>
      </c>
      <c r="B36" s="52" t="s">
        <v>59</v>
      </c>
      <c r="C36" s="53">
        <v>7890.57</v>
      </c>
      <c r="D36" s="53">
        <v>511.759</v>
      </c>
      <c r="E36" s="53">
        <v>14.61</v>
      </c>
      <c r="F36" s="53">
        <v>7364.201</v>
      </c>
      <c r="G36" s="53">
        <v>164.557</v>
      </c>
      <c r="H36" s="53">
        <v>7.539</v>
      </c>
      <c r="I36" s="53">
        <v>279.423</v>
      </c>
      <c r="J36" s="53">
        <v>2242.818</v>
      </c>
      <c r="K36" s="53">
        <v>677.926</v>
      </c>
      <c r="L36" s="53">
        <v>251.882</v>
      </c>
      <c r="M36" s="53">
        <v>2303.986</v>
      </c>
      <c r="N36" s="53">
        <v>1032.911</v>
      </c>
      <c r="O36" s="53">
        <v>111.422</v>
      </c>
      <c r="P36" s="53">
        <v>204.094</v>
      </c>
      <c r="Q36" s="53">
        <f t="shared" si="0"/>
        <v>87.64300000000003</v>
      </c>
      <c r="R36" s="34"/>
      <c r="S36" s="73">
        <f t="shared" si="1"/>
        <v>7364.201</v>
      </c>
      <c r="T36" s="73">
        <f t="shared" si="2"/>
        <v>0</v>
      </c>
      <c r="U36" s="73">
        <f t="shared" si="3"/>
        <v>7276.558</v>
      </c>
      <c r="V36" s="73">
        <f t="shared" si="4"/>
        <v>87.64300000000003</v>
      </c>
    </row>
    <row r="37" spans="1:22" ht="12">
      <c r="A37" s="51">
        <v>1997</v>
      </c>
      <c r="B37" s="52" t="s">
        <v>60</v>
      </c>
      <c r="C37" s="53">
        <v>7730.79</v>
      </c>
      <c r="D37" s="53">
        <v>515.053</v>
      </c>
      <c r="E37" s="53">
        <v>45.152</v>
      </c>
      <c r="F37" s="53">
        <v>7170.585</v>
      </c>
      <c r="G37" s="53">
        <v>166.429</v>
      </c>
      <c r="H37" s="53">
        <v>9.66</v>
      </c>
      <c r="I37" s="53">
        <v>222.765</v>
      </c>
      <c r="J37" s="53">
        <v>2240.844</v>
      </c>
      <c r="K37" s="53">
        <v>739.629</v>
      </c>
      <c r="L37" s="53">
        <v>185.405</v>
      </c>
      <c r="M37" s="53">
        <v>2275.153</v>
      </c>
      <c r="N37" s="53">
        <v>926.246</v>
      </c>
      <c r="O37" s="53">
        <v>91.521</v>
      </c>
      <c r="P37" s="53">
        <v>231.738</v>
      </c>
      <c r="Q37" s="53">
        <f t="shared" si="0"/>
        <v>81.19499999999971</v>
      </c>
      <c r="R37" s="34"/>
      <c r="S37" s="73">
        <f t="shared" si="1"/>
        <v>7170.585</v>
      </c>
      <c r="T37" s="73">
        <f t="shared" si="2"/>
        <v>0</v>
      </c>
      <c r="U37" s="73">
        <f t="shared" si="3"/>
        <v>7089.39</v>
      </c>
      <c r="V37" s="73">
        <f t="shared" si="4"/>
        <v>81.19499999999971</v>
      </c>
    </row>
    <row r="38" spans="1:22" ht="12">
      <c r="A38" s="51">
        <v>1997</v>
      </c>
      <c r="B38" s="52" t="s">
        <v>61</v>
      </c>
      <c r="C38" s="53">
        <v>8664.179</v>
      </c>
      <c r="D38" s="53">
        <v>561.452</v>
      </c>
      <c r="E38" s="53">
        <v>-10.852</v>
      </c>
      <c r="F38" s="53">
        <v>8113.579</v>
      </c>
      <c r="G38" s="53">
        <v>190.718</v>
      </c>
      <c r="H38" s="53">
        <v>9.854</v>
      </c>
      <c r="I38" s="53">
        <v>245.726</v>
      </c>
      <c r="J38" s="53">
        <v>2359.318</v>
      </c>
      <c r="K38" s="53">
        <v>781.662</v>
      </c>
      <c r="L38" s="53">
        <v>243.39</v>
      </c>
      <c r="M38" s="53">
        <v>2681.197</v>
      </c>
      <c r="N38" s="53">
        <v>1128.752</v>
      </c>
      <c r="O38" s="53">
        <v>109.802</v>
      </c>
      <c r="P38" s="53">
        <v>229.2</v>
      </c>
      <c r="Q38" s="53">
        <f t="shared" si="0"/>
        <v>133.96000000000004</v>
      </c>
      <c r="R38" s="34"/>
      <c r="S38" s="73">
        <f t="shared" si="1"/>
        <v>8113.579</v>
      </c>
      <c r="T38" s="73">
        <f t="shared" si="2"/>
        <v>0</v>
      </c>
      <c r="U38" s="73">
        <f t="shared" si="3"/>
        <v>7979.619</v>
      </c>
      <c r="V38" s="73">
        <f t="shared" si="4"/>
        <v>133.96000000000004</v>
      </c>
    </row>
    <row r="39" spans="1:22" ht="12">
      <c r="A39" s="51">
        <v>1997</v>
      </c>
      <c r="B39" s="52" t="s">
        <v>62</v>
      </c>
      <c r="C39" s="53">
        <v>8429.969</v>
      </c>
      <c r="D39" s="53">
        <v>550.472</v>
      </c>
      <c r="E39" s="53">
        <v>1.846</v>
      </c>
      <c r="F39" s="53">
        <v>7877.651</v>
      </c>
      <c r="G39" s="53">
        <v>178.094</v>
      </c>
      <c r="H39" s="53">
        <v>10.298</v>
      </c>
      <c r="I39" s="53">
        <v>225.733</v>
      </c>
      <c r="J39" s="53">
        <v>2428.472</v>
      </c>
      <c r="K39" s="53">
        <v>792.645</v>
      </c>
      <c r="L39" s="53">
        <v>217.147</v>
      </c>
      <c r="M39" s="53">
        <v>2558.193</v>
      </c>
      <c r="N39" s="53">
        <v>1018.958</v>
      </c>
      <c r="O39" s="53">
        <v>94.594</v>
      </c>
      <c r="P39" s="53">
        <v>217.69</v>
      </c>
      <c r="Q39" s="53">
        <f t="shared" si="0"/>
        <v>135.82700000000023</v>
      </c>
      <c r="R39" s="34"/>
      <c r="S39" s="73">
        <f t="shared" si="1"/>
        <v>7877.651</v>
      </c>
      <c r="T39" s="73">
        <f t="shared" si="2"/>
        <v>0</v>
      </c>
      <c r="U39" s="73">
        <f t="shared" si="3"/>
        <v>7741.824</v>
      </c>
      <c r="V39" s="73">
        <f t="shared" si="4"/>
        <v>135.82700000000023</v>
      </c>
    </row>
    <row r="40" spans="1:22" ht="12">
      <c r="A40" s="51">
        <v>1997</v>
      </c>
      <c r="B40" s="52" t="s">
        <v>63</v>
      </c>
      <c r="C40" s="53">
        <v>8313.173</v>
      </c>
      <c r="D40" s="53">
        <v>549.84</v>
      </c>
      <c r="E40" s="53">
        <v>25.053</v>
      </c>
      <c r="F40" s="53">
        <v>7738.28</v>
      </c>
      <c r="G40" s="53">
        <v>133.67</v>
      </c>
      <c r="H40" s="53">
        <v>11.324</v>
      </c>
      <c r="I40" s="53">
        <v>225.513</v>
      </c>
      <c r="J40" s="53">
        <v>2460.127</v>
      </c>
      <c r="K40" s="53">
        <v>693.018</v>
      </c>
      <c r="L40" s="53">
        <v>274.925</v>
      </c>
      <c r="M40" s="53">
        <v>2409.869</v>
      </c>
      <c r="N40" s="53">
        <v>1064.664</v>
      </c>
      <c r="O40" s="53">
        <v>133.306</v>
      </c>
      <c r="P40" s="53">
        <v>206.08</v>
      </c>
      <c r="Q40" s="53">
        <f aca="true" t="shared" si="5" ref="Q40:Q71">+F40-SUM(G40:P40)</f>
        <v>125.78400000000056</v>
      </c>
      <c r="R40" s="34"/>
      <c r="S40" s="73">
        <f aca="true" t="shared" si="6" ref="S40:S71">+C40-D40-E40</f>
        <v>7738.280000000001</v>
      </c>
      <c r="T40" s="73">
        <f aca="true" t="shared" si="7" ref="T40:T71">+F40-S40</f>
        <v>0</v>
      </c>
      <c r="U40" s="73">
        <f aca="true" t="shared" si="8" ref="U40:U71">SUM(G40:P40)</f>
        <v>7612.495999999999</v>
      </c>
      <c r="V40" s="73">
        <f aca="true" t="shared" si="9" ref="V40:V71">+F40-U40</f>
        <v>125.78400000000056</v>
      </c>
    </row>
    <row r="41" spans="1:22" ht="12">
      <c r="A41" s="51">
        <v>1997</v>
      </c>
      <c r="B41" s="52" t="s">
        <v>64</v>
      </c>
      <c r="C41" s="53">
        <v>8108.155</v>
      </c>
      <c r="D41" s="53">
        <v>565.938</v>
      </c>
      <c r="E41" s="53">
        <v>17.477</v>
      </c>
      <c r="F41" s="53">
        <v>7524.74</v>
      </c>
      <c r="G41" s="53">
        <v>146.207</v>
      </c>
      <c r="H41" s="53">
        <v>12.902</v>
      </c>
      <c r="I41" s="53">
        <v>180.511</v>
      </c>
      <c r="J41" s="53">
        <v>2511.28</v>
      </c>
      <c r="K41" s="53">
        <v>689.311</v>
      </c>
      <c r="L41" s="53">
        <v>242.852</v>
      </c>
      <c r="M41" s="53">
        <v>2344.85</v>
      </c>
      <c r="N41" s="53">
        <v>988.862</v>
      </c>
      <c r="O41" s="53">
        <v>80.407</v>
      </c>
      <c r="P41" s="53">
        <v>186.059</v>
      </c>
      <c r="Q41" s="53">
        <f t="shared" si="5"/>
        <v>141.4989999999989</v>
      </c>
      <c r="R41" s="34"/>
      <c r="S41" s="73">
        <f t="shared" si="6"/>
        <v>7524.74</v>
      </c>
      <c r="T41" s="73">
        <f t="shared" si="7"/>
        <v>0</v>
      </c>
      <c r="U41" s="73">
        <f t="shared" si="8"/>
        <v>7383.241000000001</v>
      </c>
      <c r="V41" s="73">
        <f t="shared" si="9"/>
        <v>141.4989999999989</v>
      </c>
    </row>
    <row r="42" spans="1:22" ht="12">
      <c r="A42" s="51">
        <v>1997</v>
      </c>
      <c r="B42" s="52" t="s">
        <v>65</v>
      </c>
      <c r="C42" s="53">
        <v>8257.2</v>
      </c>
      <c r="D42" s="53">
        <v>571.132</v>
      </c>
      <c r="E42" s="53">
        <v>-28.374</v>
      </c>
      <c r="F42" s="53">
        <v>7714.442</v>
      </c>
      <c r="G42" s="53">
        <v>164.508</v>
      </c>
      <c r="H42" s="53">
        <v>14.078</v>
      </c>
      <c r="I42" s="53">
        <v>242.235</v>
      </c>
      <c r="J42" s="53">
        <v>2465.607</v>
      </c>
      <c r="K42" s="53">
        <v>665.338</v>
      </c>
      <c r="L42" s="53">
        <v>349.174</v>
      </c>
      <c r="M42" s="53">
        <v>2337.97</v>
      </c>
      <c r="N42" s="53">
        <v>1028.801</v>
      </c>
      <c r="O42" s="53">
        <v>121.673</v>
      </c>
      <c r="P42" s="53">
        <v>195.119</v>
      </c>
      <c r="Q42" s="53">
        <f t="shared" si="5"/>
        <v>129.93900000000122</v>
      </c>
      <c r="R42" s="34"/>
      <c r="S42" s="73">
        <f t="shared" si="6"/>
        <v>7714.442000000001</v>
      </c>
      <c r="T42" s="73">
        <f t="shared" si="7"/>
        <v>0</v>
      </c>
      <c r="U42" s="73">
        <f t="shared" si="8"/>
        <v>7584.502999999999</v>
      </c>
      <c r="V42" s="73">
        <f t="shared" si="9"/>
        <v>129.93900000000122</v>
      </c>
    </row>
    <row r="43" spans="1:22" ht="12">
      <c r="A43" s="51">
        <v>1997</v>
      </c>
      <c r="B43" s="52" t="s">
        <v>66</v>
      </c>
      <c r="C43" s="53">
        <v>8232.487</v>
      </c>
      <c r="D43" s="53">
        <v>576.951</v>
      </c>
      <c r="E43" s="53">
        <v>32.715</v>
      </c>
      <c r="F43" s="53">
        <v>7622.821</v>
      </c>
      <c r="G43" s="53">
        <v>169.108</v>
      </c>
      <c r="H43" s="53">
        <v>19.512</v>
      </c>
      <c r="I43" s="53">
        <v>249.068</v>
      </c>
      <c r="J43" s="53">
        <v>2479.41</v>
      </c>
      <c r="K43" s="53">
        <v>599.606</v>
      </c>
      <c r="L43" s="53">
        <v>349.078</v>
      </c>
      <c r="M43" s="53">
        <v>2486.623</v>
      </c>
      <c r="N43" s="53">
        <v>891.862</v>
      </c>
      <c r="O43" s="53">
        <v>105.027</v>
      </c>
      <c r="P43" s="53">
        <v>141.999</v>
      </c>
      <c r="Q43" s="53">
        <f t="shared" si="5"/>
        <v>131.52800000000025</v>
      </c>
      <c r="R43" s="34"/>
      <c r="S43" s="73">
        <f t="shared" si="6"/>
        <v>7622.820999999999</v>
      </c>
      <c r="T43" s="73">
        <f t="shared" si="7"/>
        <v>0</v>
      </c>
      <c r="U43" s="73">
        <f t="shared" si="8"/>
        <v>7491.293</v>
      </c>
      <c r="V43" s="73">
        <f t="shared" si="9"/>
        <v>131.52800000000025</v>
      </c>
    </row>
    <row r="44" spans="1:22" ht="12">
      <c r="A44" s="51">
        <v>1998</v>
      </c>
      <c r="B44" s="52" t="s">
        <v>55</v>
      </c>
      <c r="C44" s="54">
        <v>7611.819</v>
      </c>
      <c r="D44" s="54">
        <v>544.6342264956262</v>
      </c>
      <c r="E44" s="54">
        <v>-11.918</v>
      </c>
      <c r="F44" s="54">
        <v>7014.482806210013</v>
      </c>
      <c r="G44" s="54">
        <v>160.59229335461967</v>
      </c>
      <c r="H44" s="53">
        <v>193.9023585518751</v>
      </c>
      <c r="I44" s="53">
        <v>188.82300999425198</v>
      </c>
      <c r="J44" s="53">
        <v>2368.701887654856</v>
      </c>
      <c r="K44" s="53">
        <v>574.6941356762073</v>
      </c>
      <c r="L44" s="53">
        <v>339.0339794804779</v>
      </c>
      <c r="M44" s="53">
        <v>2221.195282416507</v>
      </c>
      <c r="N44" s="53">
        <v>990.1490419275416</v>
      </c>
      <c r="O44" s="53">
        <v>79.03945016188051</v>
      </c>
      <c r="P44" s="53">
        <v>106.80076170644162</v>
      </c>
      <c r="Q44" s="53">
        <f t="shared" si="5"/>
        <v>-208.44939471464477</v>
      </c>
      <c r="R44" s="34"/>
      <c r="S44" s="73">
        <f t="shared" si="6"/>
        <v>7079.1027735043735</v>
      </c>
      <c r="T44" s="73">
        <f t="shared" si="7"/>
        <v>-64.61996729436032</v>
      </c>
      <c r="U44" s="73">
        <f t="shared" si="8"/>
        <v>7222.932200924658</v>
      </c>
      <c r="V44" s="73">
        <f t="shared" si="9"/>
        <v>-208.44939471464477</v>
      </c>
    </row>
    <row r="45" spans="1:22" ht="12">
      <c r="A45" s="51">
        <v>1998</v>
      </c>
      <c r="B45" s="52" t="s">
        <v>56</v>
      </c>
      <c r="C45" s="54">
        <v>6798.998</v>
      </c>
      <c r="D45" s="54">
        <v>438.55908528448157</v>
      </c>
      <c r="E45" s="54">
        <v>94.626</v>
      </c>
      <c r="F45" s="54">
        <v>6210.657359932198</v>
      </c>
      <c r="G45" s="54">
        <v>123.02279599072045</v>
      </c>
      <c r="H45" s="53">
        <v>59.203551325248206</v>
      </c>
      <c r="I45" s="53">
        <v>187.48700755800851</v>
      </c>
      <c r="J45" s="53">
        <v>1944.834827097007</v>
      </c>
      <c r="K45" s="53">
        <v>466.66794543115566</v>
      </c>
      <c r="L45" s="53">
        <v>301.10593263797904</v>
      </c>
      <c r="M45" s="53">
        <v>1963.5009103725615</v>
      </c>
      <c r="N45" s="53">
        <v>1046.110081055227</v>
      </c>
      <c r="O45" s="53">
        <v>98.31463027655064</v>
      </c>
      <c r="P45" s="53">
        <v>128.21903718113816</v>
      </c>
      <c r="Q45" s="53">
        <f t="shared" si="5"/>
        <v>-107.80935899339875</v>
      </c>
      <c r="R45" s="34"/>
      <c r="S45" s="73">
        <f t="shared" si="6"/>
        <v>6265.812914715518</v>
      </c>
      <c r="T45" s="73">
        <f t="shared" si="7"/>
        <v>-55.15555478331953</v>
      </c>
      <c r="U45" s="73">
        <f t="shared" si="8"/>
        <v>6318.466718925597</v>
      </c>
      <c r="V45" s="73">
        <f t="shared" si="9"/>
        <v>-107.80935899339875</v>
      </c>
    </row>
    <row r="46" spans="1:22" ht="12">
      <c r="A46" s="51">
        <v>1998</v>
      </c>
      <c r="B46" s="52" t="s">
        <v>57</v>
      </c>
      <c r="C46" s="54">
        <v>8148.264</v>
      </c>
      <c r="D46" s="54">
        <v>516.7340903244238</v>
      </c>
      <c r="E46" s="54">
        <v>-12.59</v>
      </c>
      <c r="F46" s="54">
        <v>7577.689781537901</v>
      </c>
      <c r="G46" s="54">
        <v>161.81921843617474</v>
      </c>
      <c r="H46" s="53">
        <v>210.2384546936082</v>
      </c>
      <c r="I46" s="53">
        <v>217.12987387899813</v>
      </c>
      <c r="J46" s="53">
        <v>2351.0316689824567</v>
      </c>
      <c r="K46" s="53">
        <v>651.9344682305217</v>
      </c>
      <c r="L46" s="53">
        <v>322.36063238756384</v>
      </c>
      <c r="M46" s="53">
        <v>2491.867369249437</v>
      </c>
      <c r="N46" s="53">
        <v>1140.709792593393</v>
      </c>
      <c r="O46" s="53">
        <v>106.52496205443171</v>
      </c>
      <c r="P46" s="53">
        <v>190.902753650985</v>
      </c>
      <c r="Q46" s="53">
        <f t="shared" si="5"/>
        <v>-266.8294126196697</v>
      </c>
      <c r="R46" s="34"/>
      <c r="S46" s="73">
        <f t="shared" si="6"/>
        <v>7644.119909675576</v>
      </c>
      <c r="T46" s="73">
        <f t="shared" si="7"/>
        <v>-66.43012813767564</v>
      </c>
      <c r="U46" s="73">
        <f t="shared" si="8"/>
        <v>7844.51919415757</v>
      </c>
      <c r="V46" s="73">
        <f t="shared" si="9"/>
        <v>-266.8294126196697</v>
      </c>
    </row>
    <row r="47" spans="1:22" ht="12">
      <c r="A47" s="51">
        <v>1998</v>
      </c>
      <c r="B47" s="52" t="s">
        <v>58</v>
      </c>
      <c r="C47" s="54">
        <v>8196.561</v>
      </c>
      <c r="D47" s="54">
        <v>527.6015447886997</v>
      </c>
      <c r="E47" s="54">
        <v>4.838</v>
      </c>
      <c r="F47" s="54">
        <v>7597.071206851569</v>
      </c>
      <c r="G47" s="54">
        <v>167.9260718938422</v>
      </c>
      <c r="H47" s="53">
        <v>259.08397404493144</v>
      </c>
      <c r="I47" s="53">
        <v>240.01078920069105</v>
      </c>
      <c r="J47" s="53">
        <v>2284.3852809942878</v>
      </c>
      <c r="K47" s="53">
        <v>693.425561514981</v>
      </c>
      <c r="L47" s="53">
        <v>355.37612055881885</v>
      </c>
      <c r="M47" s="53">
        <v>2403.147714750218</v>
      </c>
      <c r="N47" s="53">
        <v>1223.411020069794</v>
      </c>
      <c r="O47" s="53">
        <v>104.11593660951387</v>
      </c>
      <c r="P47" s="53">
        <v>189.48538236019397</v>
      </c>
      <c r="Q47" s="53">
        <f t="shared" si="5"/>
        <v>-323.2966451457032</v>
      </c>
      <c r="R47" s="34"/>
      <c r="S47" s="73">
        <f t="shared" si="6"/>
        <v>7664.121455211301</v>
      </c>
      <c r="T47" s="73">
        <f t="shared" si="7"/>
        <v>-67.050248359732</v>
      </c>
      <c r="U47" s="73">
        <f t="shared" si="8"/>
        <v>7920.367851997272</v>
      </c>
      <c r="V47" s="73">
        <f t="shared" si="9"/>
        <v>-323.2966451457032</v>
      </c>
    </row>
    <row r="48" spans="1:22" ht="12">
      <c r="A48" s="51">
        <v>1998</v>
      </c>
      <c r="B48" s="52" t="s">
        <v>59</v>
      </c>
      <c r="C48" s="54">
        <v>8249.572</v>
      </c>
      <c r="D48" s="54">
        <v>534.670164994725</v>
      </c>
      <c r="E48" s="54">
        <v>-16.657</v>
      </c>
      <c r="F48" s="54">
        <v>7663.804808588359</v>
      </c>
      <c r="G48" s="54">
        <v>181.90329764103228</v>
      </c>
      <c r="H48" s="53">
        <v>299.42110998910204</v>
      </c>
      <c r="I48" s="53">
        <v>211.59900365864831</v>
      </c>
      <c r="J48" s="53">
        <v>2382.5944859128654</v>
      </c>
      <c r="K48" s="53">
        <v>766.664446582434</v>
      </c>
      <c r="L48" s="53">
        <v>228.60553102877645</v>
      </c>
      <c r="M48" s="53">
        <v>2488.527260349323</v>
      </c>
      <c r="N48" s="53">
        <v>1126.2968298657127</v>
      </c>
      <c r="O48" s="53">
        <v>97.79075653894084</v>
      </c>
      <c r="P48" s="53">
        <v>225.44435981039538</v>
      </c>
      <c r="Q48" s="53">
        <f t="shared" si="5"/>
        <v>-345.04227278887083</v>
      </c>
      <c r="R48" s="34"/>
      <c r="S48" s="73">
        <f t="shared" si="6"/>
        <v>7731.558835005275</v>
      </c>
      <c r="T48" s="73">
        <f t="shared" si="7"/>
        <v>-67.75402641691562</v>
      </c>
      <c r="U48" s="73">
        <f t="shared" si="8"/>
        <v>8008.84708137723</v>
      </c>
      <c r="V48" s="73">
        <f t="shared" si="9"/>
        <v>-345.04227278887083</v>
      </c>
    </row>
    <row r="49" spans="1:22" ht="12">
      <c r="A49" s="51">
        <v>1998</v>
      </c>
      <c r="B49" s="52" t="s">
        <v>60</v>
      </c>
      <c r="C49" s="54">
        <v>8188.373</v>
      </c>
      <c r="D49" s="54">
        <v>529.9765324207431</v>
      </c>
      <c r="E49" s="54">
        <v>25.999</v>
      </c>
      <c r="F49" s="54">
        <v>7565.410934067643</v>
      </c>
      <c r="G49" s="54">
        <v>176.73672306559138</v>
      </c>
      <c r="H49" s="53">
        <v>138.25013247482977</v>
      </c>
      <c r="I49" s="53">
        <v>215.7788826345694</v>
      </c>
      <c r="J49" s="53">
        <v>2327.0280599277303</v>
      </c>
      <c r="K49" s="53">
        <v>750.0894296566842</v>
      </c>
      <c r="L49" s="53">
        <v>215.94632150170727</v>
      </c>
      <c r="M49" s="53">
        <v>2481.7893859073665</v>
      </c>
      <c r="N49" s="53">
        <v>1142.4150970488552</v>
      </c>
      <c r="O49" s="53">
        <v>93.2306737774736</v>
      </c>
      <c r="P49" s="53">
        <v>213.2146970983916</v>
      </c>
      <c r="Q49" s="53">
        <f t="shared" si="5"/>
        <v>-189.06846902555571</v>
      </c>
      <c r="R49" s="34"/>
      <c r="S49" s="73">
        <f t="shared" si="6"/>
        <v>7632.397467579257</v>
      </c>
      <c r="T49" s="73">
        <f t="shared" si="7"/>
        <v>-66.98653351161374</v>
      </c>
      <c r="U49" s="73">
        <f t="shared" si="8"/>
        <v>7754.479403093199</v>
      </c>
      <c r="V49" s="73">
        <f t="shared" si="9"/>
        <v>-189.06846902555571</v>
      </c>
    </row>
    <row r="50" spans="1:22" ht="12">
      <c r="A50" s="51">
        <v>1998</v>
      </c>
      <c r="B50" s="52" t="s">
        <v>61</v>
      </c>
      <c r="C50" s="54">
        <v>8165.782</v>
      </c>
      <c r="D50" s="54">
        <v>532.7029456453043</v>
      </c>
      <c r="E50" s="54">
        <v>-47.268</v>
      </c>
      <c r="F50" s="54">
        <v>7612.967973419323</v>
      </c>
      <c r="G50" s="54">
        <v>186.15835713971566</v>
      </c>
      <c r="H50" s="53">
        <v>467.81311550805344</v>
      </c>
      <c r="I50" s="53">
        <v>170.42075055830577</v>
      </c>
      <c r="J50" s="53">
        <v>2327.653861576845</v>
      </c>
      <c r="K50" s="53">
        <v>819.5142956325711</v>
      </c>
      <c r="L50" s="53">
        <v>166.05717601315573</v>
      </c>
      <c r="M50" s="53">
        <v>2464.101719937209</v>
      </c>
      <c r="N50" s="53">
        <v>1158.422253743398</v>
      </c>
      <c r="O50" s="53">
        <v>112.90471230600575</v>
      </c>
      <c r="P50" s="53">
        <v>232.37846946324353</v>
      </c>
      <c r="Q50" s="53">
        <f t="shared" si="5"/>
        <v>-492.4567384591792</v>
      </c>
      <c r="R50" s="34"/>
      <c r="S50" s="73">
        <f t="shared" si="6"/>
        <v>7680.3470543546955</v>
      </c>
      <c r="T50" s="73">
        <f t="shared" si="7"/>
        <v>-67.37908093537226</v>
      </c>
      <c r="U50" s="73">
        <f t="shared" si="8"/>
        <v>8105.424711878502</v>
      </c>
      <c r="V50" s="73">
        <f t="shared" si="9"/>
        <v>-492.4567384591792</v>
      </c>
    </row>
    <row r="51" spans="1:22" ht="12">
      <c r="A51" s="51">
        <v>1998</v>
      </c>
      <c r="B51" s="52" t="s">
        <v>62</v>
      </c>
      <c r="C51" s="54">
        <v>7445.631</v>
      </c>
      <c r="D51" s="54">
        <v>526.493790203589</v>
      </c>
      <c r="E51" s="54">
        <v>43.563</v>
      </c>
      <c r="F51" s="54">
        <v>6812.9285133988415</v>
      </c>
      <c r="G51" s="54">
        <v>175.5197165376463</v>
      </c>
      <c r="H51" s="53">
        <v>259.03958247932894</v>
      </c>
      <c r="I51" s="53">
        <v>92.5668823364637</v>
      </c>
      <c r="J51" s="53">
        <v>2225.8931579174096</v>
      </c>
      <c r="K51" s="53">
        <v>730.0117826135627</v>
      </c>
      <c r="L51" s="53">
        <v>190.992824044464</v>
      </c>
      <c r="M51" s="53">
        <v>2124.178041908582</v>
      </c>
      <c r="N51" s="53">
        <v>1018.1935707945993</v>
      </c>
      <c r="O51" s="53">
        <v>68.89832616167237</v>
      </c>
      <c r="P51" s="53">
        <v>210.27184152122092</v>
      </c>
      <c r="Q51" s="53">
        <f t="shared" si="5"/>
        <v>-282.6372129161091</v>
      </c>
      <c r="R51" s="34"/>
      <c r="S51" s="73">
        <f t="shared" si="6"/>
        <v>6875.574209796411</v>
      </c>
      <c r="T51" s="73">
        <f t="shared" si="7"/>
        <v>-62.645696397569736</v>
      </c>
      <c r="U51" s="73">
        <f t="shared" si="8"/>
        <v>7095.565726314951</v>
      </c>
      <c r="V51" s="73">
        <f t="shared" si="9"/>
        <v>-282.6372129161091</v>
      </c>
    </row>
    <row r="52" spans="1:22" ht="12">
      <c r="A52" s="51">
        <v>1998</v>
      </c>
      <c r="B52" s="52" t="s">
        <v>63</v>
      </c>
      <c r="C52" s="53">
        <v>7157.558</v>
      </c>
      <c r="D52" s="53">
        <v>482.6209788681094</v>
      </c>
      <c r="E52" s="53">
        <v>9.071</v>
      </c>
      <c r="F52" s="53">
        <v>6606.435631737155</v>
      </c>
      <c r="G52" s="53">
        <v>125.5460760291005</v>
      </c>
      <c r="H52" s="53">
        <v>239.01898639258536</v>
      </c>
      <c r="I52" s="53">
        <v>186.90344329266358</v>
      </c>
      <c r="J52" s="53">
        <v>2118.470486564159</v>
      </c>
      <c r="K52" s="53">
        <v>572.1940987209712</v>
      </c>
      <c r="L52" s="53">
        <v>237.20796269471134</v>
      </c>
      <c r="M52" s="53">
        <v>2077.000991854531</v>
      </c>
      <c r="N52" s="53">
        <v>1036.564240817286</v>
      </c>
      <c r="O52" s="53">
        <v>101.28622467833358</v>
      </c>
      <c r="P52" s="53">
        <v>198.4924843137792</v>
      </c>
      <c r="Q52" s="53">
        <f t="shared" si="5"/>
        <v>-286.2493636209656</v>
      </c>
      <c r="R52" s="34"/>
      <c r="S52" s="73">
        <f t="shared" si="6"/>
        <v>6665.866021131891</v>
      </c>
      <c r="T52" s="73">
        <f t="shared" si="7"/>
        <v>-59.43038939473627</v>
      </c>
      <c r="U52" s="73">
        <f t="shared" si="8"/>
        <v>6892.68499535812</v>
      </c>
      <c r="V52" s="73">
        <f t="shared" si="9"/>
        <v>-286.2493636209656</v>
      </c>
    </row>
    <row r="53" spans="1:22" ht="12">
      <c r="A53" s="51">
        <v>1998</v>
      </c>
      <c r="B53" s="52" t="s">
        <v>64</v>
      </c>
      <c r="C53" s="53">
        <v>8092.442</v>
      </c>
      <c r="D53" s="53">
        <v>541.7578844177352</v>
      </c>
      <c r="E53" s="53">
        <v>39.82</v>
      </c>
      <c r="F53" s="53">
        <v>7443.995836570576</v>
      </c>
      <c r="G53" s="53">
        <v>155.86015142729607</v>
      </c>
      <c r="H53" s="53">
        <v>232.00511902738478</v>
      </c>
      <c r="I53" s="53">
        <v>206.95946789838015</v>
      </c>
      <c r="J53" s="53">
        <v>2381.95876664649</v>
      </c>
      <c r="K53" s="53">
        <v>684.978391826484</v>
      </c>
      <c r="L53" s="53">
        <v>323.1430322243849</v>
      </c>
      <c r="M53" s="53">
        <v>2333.6436272269525</v>
      </c>
      <c r="N53" s="53">
        <v>1135.938080197125</v>
      </c>
      <c r="O53" s="53">
        <v>86.7933767895712</v>
      </c>
      <c r="P53" s="53">
        <v>186.4879743540565</v>
      </c>
      <c r="Q53" s="53">
        <f t="shared" si="5"/>
        <v>-283.7721510475485</v>
      </c>
      <c r="R53" s="34"/>
      <c r="S53" s="73">
        <f t="shared" si="6"/>
        <v>7510.864115582265</v>
      </c>
      <c r="T53" s="73">
        <f t="shared" si="7"/>
        <v>-66.86827901168908</v>
      </c>
      <c r="U53" s="73">
        <f t="shared" si="8"/>
        <v>7727.767987618125</v>
      </c>
      <c r="V53" s="73">
        <f t="shared" si="9"/>
        <v>-283.7721510475485</v>
      </c>
    </row>
    <row r="54" spans="1:22" ht="12">
      <c r="A54" s="51">
        <v>1998</v>
      </c>
      <c r="B54" s="52" t="s">
        <v>65</v>
      </c>
      <c r="C54" s="53">
        <v>7688.187</v>
      </c>
      <c r="D54" s="53">
        <v>476.60854536133604</v>
      </c>
      <c r="E54" s="53">
        <v>-0.32</v>
      </c>
      <c r="F54" s="53">
        <v>7149.7360961869235</v>
      </c>
      <c r="G54" s="53">
        <v>163.3923010387183</v>
      </c>
      <c r="H54" s="53">
        <v>365.15022145792295</v>
      </c>
      <c r="I54" s="53">
        <v>208.13359120622314</v>
      </c>
      <c r="J54" s="53">
        <v>2174.647837772519</v>
      </c>
      <c r="K54" s="53">
        <v>638.2997962362573</v>
      </c>
      <c r="L54" s="53">
        <v>317.2616463787757</v>
      </c>
      <c r="M54" s="53">
        <v>2252.7016548808565</v>
      </c>
      <c r="N54" s="53">
        <v>1178.0525785444468</v>
      </c>
      <c r="O54" s="53">
        <v>92.34862121547525</v>
      </c>
      <c r="P54" s="53">
        <v>173.7018768665918</v>
      </c>
      <c r="Q54" s="53">
        <f t="shared" si="5"/>
        <v>-413.95402941086286</v>
      </c>
      <c r="R54" s="34"/>
      <c r="S54" s="73">
        <f t="shared" si="6"/>
        <v>7211.898454638664</v>
      </c>
      <c r="T54" s="73">
        <f t="shared" si="7"/>
        <v>-62.16235845174015</v>
      </c>
      <c r="U54" s="73">
        <f t="shared" si="8"/>
        <v>7563.690125597786</v>
      </c>
      <c r="V54" s="73">
        <f t="shared" si="9"/>
        <v>-413.95402941086286</v>
      </c>
    </row>
    <row r="55" spans="1:22" ht="12">
      <c r="A55" s="51">
        <v>1998</v>
      </c>
      <c r="B55" s="52" t="s">
        <v>66</v>
      </c>
      <c r="C55" s="53">
        <v>8053.608</v>
      </c>
      <c r="D55" s="53">
        <v>524.640211195227</v>
      </c>
      <c r="E55" s="53">
        <v>103.555</v>
      </c>
      <c r="F55" s="53">
        <v>7359.819051499507</v>
      </c>
      <c r="G55" s="53">
        <v>183.52299744554279</v>
      </c>
      <c r="H55" s="53">
        <v>236.8733940551295</v>
      </c>
      <c r="I55" s="53">
        <v>207.18729778279567</v>
      </c>
      <c r="J55" s="53">
        <v>2278.7996789533745</v>
      </c>
      <c r="K55" s="53">
        <v>527.5256478781714</v>
      </c>
      <c r="L55" s="53">
        <v>444.9088410491853</v>
      </c>
      <c r="M55" s="53">
        <v>2392.346041146456</v>
      </c>
      <c r="N55" s="53">
        <v>1168.7374133426204</v>
      </c>
      <c r="O55" s="53">
        <v>83.75232943015061</v>
      </c>
      <c r="P55" s="53">
        <v>116.6003616735622</v>
      </c>
      <c r="Q55" s="53">
        <f t="shared" si="5"/>
        <v>-280.43495125748177</v>
      </c>
      <c r="R55" s="34"/>
      <c r="S55" s="73">
        <f t="shared" si="6"/>
        <v>7425.412788804773</v>
      </c>
      <c r="T55" s="73">
        <f t="shared" si="7"/>
        <v>-65.59373730526659</v>
      </c>
      <c r="U55" s="73">
        <f t="shared" si="8"/>
        <v>7640.2540027569885</v>
      </c>
      <c r="V55" s="73">
        <f t="shared" si="9"/>
        <v>-280.43495125748177</v>
      </c>
    </row>
    <row r="56" spans="1:22" ht="12">
      <c r="A56" s="51">
        <v>1999</v>
      </c>
      <c r="B56" s="52" t="s">
        <v>55</v>
      </c>
      <c r="C56" s="54">
        <v>7888.445916612475</v>
      </c>
      <c r="D56" s="54">
        <v>501.24225388502197</v>
      </c>
      <c r="E56" s="54">
        <v>5.315</v>
      </c>
      <c r="F56" s="54">
        <v>7271.29483807032</v>
      </c>
      <c r="G56" s="54">
        <v>188.88122097146342</v>
      </c>
      <c r="H56" s="54">
        <v>279.56087362151044</v>
      </c>
      <c r="I56" s="54">
        <v>207.2467381100552</v>
      </c>
      <c r="J56" s="54">
        <v>2274.597986447109</v>
      </c>
      <c r="K56" s="54">
        <v>559.8755366639858</v>
      </c>
      <c r="L56" s="54">
        <v>434.33791818703355</v>
      </c>
      <c r="M56" s="54">
        <v>2332.073567598734</v>
      </c>
      <c r="N56" s="54">
        <v>1100.8248508729523</v>
      </c>
      <c r="O56" s="54">
        <v>77.30248675402001</v>
      </c>
      <c r="P56" s="54">
        <v>96.13622247944393</v>
      </c>
      <c r="Q56" s="53">
        <f t="shared" si="5"/>
        <v>-279.5425636359869</v>
      </c>
      <c r="R56" s="35"/>
      <c r="S56" s="73">
        <f t="shared" si="6"/>
        <v>7381.888662727453</v>
      </c>
      <c r="T56" s="73">
        <f t="shared" si="7"/>
        <v>-110.59382465713315</v>
      </c>
      <c r="U56" s="73">
        <f t="shared" si="8"/>
        <v>7550.837401706307</v>
      </c>
      <c r="V56" s="73">
        <f t="shared" si="9"/>
        <v>-279.5425636359869</v>
      </c>
    </row>
    <row r="57" spans="1:22" ht="12">
      <c r="A57" s="51">
        <v>1999</v>
      </c>
      <c r="B57" s="52" t="s">
        <v>56</v>
      </c>
      <c r="C57" s="54">
        <v>6917.554911452309</v>
      </c>
      <c r="D57" s="54">
        <v>449.6749673863643</v>
      </c>
      <c r="E57" s="54">
        <v>-21.446</v>
      </c>
      <c r="F57" s="54">
        <v>6391.396368616644</v>
      </c>
      <c r="G57" s="54">
        <v>139.96921601725984</v>
      </c>
      <c r="H57" s="54">
        <v>239.24208310408343</v>
      </c>
      <c r="I57" s="54">
        <v>161.5355028961672</v>
      </c>
      <c r="J57" s="54">
        <v>1902.2551316357647</v>
      </c>
      <c r="K57" s="54">
        <v>502.2464375984494</v>
      </c>
      <c r="L57" s="54">
        <v>389.8877362148397</v>
      </c>
      <c r="M57" s="54">
        <v>2227.149350684262</v>
      </c>
      <c r="N57" s="54">
        <v>849.8317309234301</v>
      </c>
      <c r="O57" s="54">
        <v>76.38139724022604</v>
      </c>
      <c r="P57" s="54">
        <v>143.09314317586168</v>
      </c>
      <c r="Q57" s="53">
        <f t="shared" si="5"/>
        <v>-240.19536087369943</v>
      </c>
      <c r="R57" s="35"/>
      <c r="S57" s="73">
        <f t="shared" si="6"/>
        <v>6489.325944065945</v>
      </c>
      <c r="T57" s="73">
        <f t="shared" si="7"/>
        <v>-97.9295754493005</v>
      </c>
      <c r="U57" s="73">
        <f t="shared" si="8"/>
        <v>6631.591729490344</v>
      </c>
      <c r="V57" s="73">
        <f t="shared" si="9"/>
        <v>-240.19536087369943</v>
      </c>
    </row>
    <row r="58" spans="1:22" ht="12">
      <c r="A58" s="51">
        <v>1999</v>
      </c>
      <c r="B58" s="52" t="s">
        <v>57</v>
      </c>
      <c r="C58" s="54">
        <v>7860.661716144271</v>
      </c>
      <c r="D58" s="54">
        <v>473.9480855846057</v>
      </c>
      <c r="E58" s="54">
        <v>40.554</v>
      </c>
      <c r="F58" s="54">
        <v>7238.048967192897</v>
      </c>
      <c r="G58" s="54">
        <v>168.05878322362838</v>
      </c>
      <c r="H58" s="54">
        <v>254.6256297394924</v>
      </c>
      <c r="I58" s="54">
        <v>219.7822280243832</v>
      </c>
      <c r="J58" s="54">
        <v>2287.942007500671</v>
      </c>
      <c r="K58" s="54">
        <v>563.0474097789037</v>
      </c>
      <c r="L58" s="54">
        <v>394.05703627204167</v>
      </c>
      <c r="M58" s="54">
        <v>2283.0307569950387</v>
      </c>
      <c r="N58" s="54">
        <v>1022.9366467364079</v>
      </c>
      <c r="O58" s="54">
        <v>118.58090621748305</v>
      </c>
      <c r="P58" s="54">
        <v>179.56425071518962</v>
      </c>
      <c r="Q58" s="53">
        <f t="shared" si="5"/>
        <v>-253.57668801034288</v>
      </c>
      <c r="R58" s="35"/>
      <c r="S58" s="73">
        <f t="shared" si="6"/>
        <v>7346.159630559665</v>
      </c>
      <c r="T58" s="73">
        <f t="shared" si="7"/>
        <v>-108.11066336676777</v>
      </c>
      <c r="U58" s="73">
        <f t="shared" si="8"/>
        <v>7491.62565520324</v>
      </c>
      <c r="V58" s="73">
        <f t="shared" si="9"/>
        <v>-253.57668801034288</v>
      </c>
    </row>
    <row r="59" spans="1:22" ht="12">
      <c r="A59" s="51">
        <v>1999</v>
      </c>
      <c r="B59" s="52" t="s">
        <v>58</v>
      </c>
      <c r="C59" s="53">
        <v>7302.227686938321</v>
      </c>
      <c r="D59" s="53">
        <v>475.65321815761234</v>
      </c>
      <c r="E59" s="53">
        <v>17.572</v>
      </c>
      <c r="F59" s="53">
        <v>6705.948655248046</v>
      </c>
      <c r="G59" s="53">
        <v>161.36303724642173</v>
      </c>
      <c r="H59" s="53">
        <v>200.3812549338564</v>
      </c>
      <c r="I59" s="53">
        <v>296.1505763530931</v>
      </c>
      <c r="J59" s="53">
        <v>2201.2487632052275</v>
      </c>
      <c r="K59" s="53">
        <v>562.0870726903336</v>
      </c>
      <c r="L59" s="53">
        <v>327.984280422301</v>
      </c>
      <c r="M59" s="53">
        <v>2027.2155985171723</v>
      </c>
      <c r="N59" s="53">
        <v>969.3557635730542</v>
      </c>
      <c r="O59" s="53">
        <v>43.767530740567985</v>
      </c>
      <c r="P59" s="53">
        <v>102.35474843917741</v>
      </c>
      <c r="Q59" s="53">
        <f t="shared" si="5"/>
        <v>-185.95997087315936</v>
      </c>
      <c r="R59" s="34"/>
      <c r="S59" s="73">
        <f t="shared" si="6"/>
        <v>6809.002468780709</v>
      </c>
      <c r="T59" s="73">
        <f t="shared" si="7"/>
        <v>-103.0538135326633</v>
      </c>
      <c r="U59" s="73">
        <f t="shared" si="8"/>
        <v>6891.908626121205</v>
      </c>
      <c r="V59" s="73">
        <f t="shared" si="9"/>
        <v>-185.95997087315936</v>
      </c>
    </row>
    <row r="60" spans="1:22" ht="12">
      <c r="A60" s="51">
        <v>1999</v>
      </c>
      <c r="B60" s="52" t="s">
        <v>59</v>
      </c>
      <c r="C60" s="53">
        <v>7457.652808359638</v>
      </c>
      <c r="D60" s="53">
        <v>478.1794091326211</v>
      </c>
      <c r="E60" s="53">
        <v>33.873</v>
      </c>
      <c r="F60" s="53">
        <v>6841.028698443393</v>
      </c>
      <c r="G60" s="53">
        <v>168.0686516775373</v>
      </c>
      <c r="H60" s="53">
        <v>212.57636054828603</v>
      </c>
      <c r="I60" s="53">
        <v>200.35704114675082</v>
      </c>
      <c r="J60" s="53">
        <v>2230.4324616551116</v>
      </c>
      <c r="K60" s="53">
        <v>625.5886231927525</v>
      </c>
      <c r="L60" s="53">
        <v>246.75392968626628</v>
      </c>
      <c r="M60" s="53">
        <v>2054.8037204834513</v>
      </c>
      <c r="N60" s="53">
        <v>1062.024165317151</v>
      </c>
      <c r="O60" s="53">
        <v>72.06785812530649</v>
      </c>
      <c r="P60" s="53">
        <v>151.70265144927103</v>
      </c>
      <c r="Q60" s="53">
        <f t="shared" si="5"/>
        <v>-183.34676483849125</v>
      </c>
      <c r="R60" s="34"/>
      <c r="S60" s="73">
        <f t="shared" si="6"/>
        <v>6945.600399227017</v>
      </c>
      <c r="T60" s="73">
        <f t="shared" si="7"/>
        <v>-104.57170078362378</v>
      </c>
      <c r="U60" s="73">
        <f t="shared" si="8"/>
        <v>7024.375463281885</v>
      </c>
      <c r="V60" s="73">
        <f t="shared" si="9"/>
        <v>-183.34676483849125</v>
      </c>
    </row>
    <row r="61" spans="1:22" ht="12">
      <c r="A61" s="51">
        <v>1999</v>
      </c>
      <c r="B61" s="52" t="s">
        <v>60</v>
      </c>
      <c r="C61" s="53">
        <v>7260.403385168162</v>
      </c>
      <c r="D61" s="53">
        <v>450.5571881523982</v>
      </c>
      <c r="E61" s="53">
        <v>17.235</v>
      </c>
      <c r="F61" s="53">
        <v>6691.681749800915</v>
      </c>
      <c r="G61" s="53">
        <v>161.4745507755926</v>
      </c>
      <c r="H61" s="53">
        <v>209.3742937109777</v>
      </c>
      <c r="I61" s="53">
        <v>191.23010675128666</v>
      </c>
      <c r="J61" s="53">
        <v>1984.3445752736245</v>
      </c>
      <c r="K61" s="53">
        <v>720.4766321555936</v>
      </c>
      <c r="L61" s="53">
        <v>185.66599214048873</v>
      </c>
      <c r="M61" s="53">
        <v>2112.5501086924237</v>
      </c>
      <c r="N61" s="53">
        <v>1071.6200337879407</v>
      </c>
      <c r="O61" s="53">
        <v>91.12967741023559</v>
      </c>
      <c r="P61" s="53">
        <v>160.32596333191395</v>
      </c>
      <c r="Q61" s="53">
        <f t="shared" si="5"/>
        <v>-196.51018422916331</v>
      </c>
      <c r="R61" s="34"/>
      <c r="S61" s="73">
        <f t="shared" si="6"/>
        <v>6792.6111970157635</v>
      </c>
      <c r="T61" s="73">
        <f t="shared" si="7"/>
        <v>-100.92944721484855</v>
      </c>
      <c r="U61" s="73">
        <f t="shared" si="8"/>
        <v>6888.191934030078</v>
      </c>
      <c r="V61" s="73">
        <f t="shared" si="9"/>
        <v>-196.51018422916331</v>
      </c>
    </row>
    <row r="62" spans="1:22" ht="12">
      <c r="A62" s="51">
        <v>1999</v>
      </c>
      <c r="B62" s="52" t="s">
        <v>61</v>
      </c>
      <c r="C62" s="53">
        <v>7391.989334585393</v>
      </c>
      <c r="D62" s="53">
        <v>453.37065689785925</v>
      </c>
      <c r="E62" s="53">
        <v>47.012</v>
      </c>
      <c r="F62" s="53">
        <v>6789.500074445085</v>
      </c>
      <c r="G62" s="53">
        <v>182.44304164127973</v>
      </c>
      <c r="H62" s="53">
        <v>277.39436882520397</v>
      </c>
      <c r="I62" s="53">
        <v>216.53674225613008</v>
      </c>
      <c r="J62" s="53">
        <v>2149.8674292009364</v>
      </c>
      <c r="K62" s="53">
        <v>689.6206268303364</v>
      </c>
      <c r="L62" s="53">
        <v>158.66020894121414</v>
      </c>
      <c r="M62" s="53">
        <v>2169.7264495522913</v>
      </c>
      <c r="N62" s="53">
        <v>921.1215902258731</v>
      </c>
      <c r="O62" s="53">
        <v>88.21848228740922</v>
      </c>
      <c r="P62" s="53">
        <v>182.54287239338126</v>
      </c>
      <c r="Q62" s="53">
        <f t="shared" si="5"/>
        <v>-246.63173770896992</v>
      </c>
      <c r="R62" s="34"/>
      <c r="S62" s="73">
        <f t="shared" si="6"/>
        <v>6891.606677687534</v>
      </c>
      <c r="T62" s="73">
        <f t="shared" si="7"/>
        <v>-102.10660324244873</v>
      </c>
      <c r="U62" s="73">
        <f t="shared" si="8"/>
        <v>7036.131812154055</v>
      </c>
      <c r="V62" s="73">
        <f t="shared" si="9"/>
        <v>-246.63173770896992</v>
      </c>
    </row>
    <row r="63" spans="1:22" ht="12">
      <c r="A63" s="51">
        <v>1999</v>
      </c>
      <c r="B63" s="52" t="s">
        <v>62</v>
      </c>
      <c r="C63" s="53">
        <v>7310.593747301012</v>
      </c>
      <c r="D63" s="53">
        <v>480.99658468802363</v>
      </c>
      <c r="E63" s="53">
        <v>7.604</v>
      </c>
      <c r="F63" s="53">
        <v>6718.395307174987</v>
      </c>
      <c r="G63" s="53">
        <v>182.57034469670486</v>
      </c>
      <c r="H63" s="53">
        <v>248.56214147310004</v>
      </c>
      <c r="I63" s="53">
        <v>164.49462227310386</v>
      </c>
      <c r="J63" s="53">
        <v>2181.558616421914</v>
      </c>
      <c r="K63" s="53">
        <v>671.9421422327371</v>
      </c>
      <c r="L63" s="53">
        <v>206.87242490541976</v>
      </c>
      <c r="M63" s="53">
        <v>2125.9304415389724</v>
      </c>
      <c r="N63" s="53">
        <v>916.4931482324894</v>
      </c>
      <c r="O63" s="53">
        <v>76.373507822549</v>
      </c>
      <c r="P63" s="53">
        <v>147.2795806619927</v>
      </c>
      <c r="Q63" s="53">
        <f t="shared" si="5"/>
        <v>-203.68166308399668</v>
      </c>
      <c r="R63" s="34"/>
      <c r="S63" s="73">
        <f t="shared" si="6"/>
        <v>6821.993162612988</v>
      </c>
      <c r="T63" s="73">
        <f t="shared" si="7"/>
        <v>-103.59785543800172</v>
      </c>
      <c r="U63" s="73">
        <f t="shared" si="8"/>
        <v>6922.076970258983</v>
      </c>
      <c r="V63" s="73">
        <f t="shared" si="9"/>
        <v>-203.68166308399668</v>
      </c>
    </row>
    <row r="64" spans="1:22" ht="12">
      <c r="A64" s="51">
        <v>1999</v>
      </c>
      <c r="B64" s="52" t="s">
        <v>63</v>
      </c>
      <c r="C64" s="53">
        <v>6772.030861469075</v>
      </c>
      <c r="D64" s="53">
        <v>423.0081766685163</v>
      </c>
      <c r="E64" s="53">
        <v>3.63</v>
      </c>
      <c r="F64" s="53">
        <v>6250.942715192496</v>
      </c>
      <c r="G64" s="53">
        <v>118.32078867724763</v>
      </c>
      <c r="H64" s="53">
        <v>256.7921345357989</v>
      </c>
      <c r="I64" s="53">
        <v>207.60370177145316</v>
      </c>
      <c r="J64" s="53">
        <v>1791.8812541013983</v>
      </c>
      <c r="K64" s="53">
        <v>583.8524127623916</v>
      </c>
      <c r="L64" s="53">
        <v>252.90532366848623</v>
      </c>
      <c r="M64" s="53">
        <v>1935.8166918892473</v>
      </c>
      <c r="N64" s="53">
        <v>1073.8803254349016</v>
      </c>
      <c r="O64" s="53">
        <v>106.57715722187247</v>
      </c>
      <c r="P64" s="53">
        <v>141.40811687727526</v>
      </c>
      <c r="Q64" s="53">
        <f t="shared" si="5"/>
        <v>-218.0951917475768</v>
      </c>
      <c r="R64" s="34"/>
      <c r="S64" s="73">
        <f t="shared" si="6"/>
        <v>6345.3926848005585</v>
      </c>
      <c r="T64" s="73">
        <f t="shared" si="7"/>
        <v>-94.44996960806293</v>
      </c>
      <c r="U64" s="73">
        <f t="shared" si="8"/>
        <v>6469.037906940072</v>
      </c>
      <c r="V64" s="73">
        <f t="shared" si="9"/>
        <v>-218.0951917475768</v>
      </c>
    </row>
    <row r="65" spans="1:22" ht="12">
      <c r="A65" s="51">
        <v>1999</v>
      </c>
      <c r="B65" s="52" t="s">
        <v>64</v>
      </c>
      <c r="C65" s="53">
        <v>7082.231099621803</v>
      </c>
      <c r="D65" s="53">
        <v>447.95130076365103</v>
      </c>
      <c r="E65" s="53">
        <v>56.54</v>
      </c>
      <c r="F65" s="53">
        <v>6479.090399606364</v>
      </c>
      <c r="G65" s="53">
        <v>121.29908806696167</v>
      </c>
      <c r="H65" s="53">
        <v>221.228753917183</v>
      </c>
      <c r="I65" s="53">
        <v>225.02233525437512</v>
      </c>
      <c r="J65" s="53">
        <v>1907.8203170954785</v>
      </c>
      <c r="K65" s="53">
        <v>668.5858922845929</v>
      </c>
      <c r="L65" s="53">
        <v>240.97923216143784</v>
      </c>
      <c r="M65" s="53">
        <v>2193.654630839456</v>
      </c>
      <c r="N65" s="53">
        <v>949.349752713561</v>
      </c>
      <c r="O65" s="53">
        <v>61.65875767766685</v>
      </c>
      <c r="P65" s="53">
        <v>112.43138317970002</v>
      </c>
      <c r="Q65" s="53">
        <f t="shared" si="5"/>
        <v>-222.9397435840474</v>
      </c>
      <c r="R65" s="34"/>
      <c r="S65" s="73">
        <f t="shared" si="6"/>
        <v>6577.7397988581515</v>
      </c>
      <c r="T65" s="73">
        <f t="shared" si="7"/>
        <v>-98.64939925178714</v>
      </c>
      <c r="U65" s="73">
        <f t="shared" si="8"/>
        <v>6702.030143190412</v>
      </c>
      <c r="V65" s="73">
        <f t="shared" si="9"/>
        <v>-222.9397435840474</v>
      </c>
    </row>
    <row r="66" spans="1:22" ht="12">
      <c r="A66" s="51">
        <v>1999</v>
      </c>
      <c r="B66" s="52" t="s">
        <v>65</v>
      </c>
      <c r="C66" s="53">
        <v>7663.554293977361</v>
      </c>
      <c r="D66" s="53">
        <v>465.91264833431165</v>
      </c>
      <c r="E66" s="53">
        <v>7.526</v>
      </c>
      <c r="F66" s="53">
        <v>7084.142471647839</v>
      </c>
      <c r="G66" s="53">
        <v>240.27316839298024</v>
      </c>
      <c r="H66" s="53">
        <v>240.8499294309021</v>
      </c>
      <c r="I66" s="53">
        <v>122.89990393438981</v>
      </c>
      <c r="J66" s="53">
        <v>2308.0305127045594</v>
      </c>
      <c r="K66" s="53">
        <v>596.0370593132634</v>
      </c>
      <c r="L66" s="53">
        <v>361.3633337894319</v>
      </c>
      <c r="M66" s="53">
        <v>2153.8479680287833</v>
      </c>
      <c r="N66" s="53">
        <v>1164.8976593949312</v>
      </c>
      <c r="O66" s="53">
        <v>60.55029449404325</v>
      </c>
      <c r="P66" s="53">
        <v>130.09112924990555</v>
      </c>
      <c r="Q66" s="53">
        <f t="shared" si="5"/>
        <v>-294.6984870853521</v>
      </c>
      <c r="R66" s="34"/>
      <c r="S66" s="73">
        <f t="shared" si="6"/>
        <v>7190.11564564305</v>
      </c>
      <c r="T66" s="73">
        <f t="shared" si="7"/>
        <v>-105.97317399521125</v>
      </c>
      <c r="U66" s="73">
        <f t="shared" si="8"/>
        <v>7378.840958733191</v>
      </c>
      <c r="V66" s="73">
        <f t="shared" si="9"/>
        <v>-294.6984870853521</v>
      </c>
    </row>
    <row r="67" spans="1:22" ht="12">
      <c r="A67" s="51">
        <v>1999</v>
      </c>
      <c r="B67" s="52" t="s">
        <v>66</v>
      </c>
      <c r="C67" s="53">
        <v>7378.654238370181</v>
      </c>
      <c r="D67" s="53">
        <v>437.50551034901446</v>
      </c>
      <c r="E67" s="53">
        <v>107.313</v>
      </c>
      <c r="F67" s="53">
        <v>6733.52975456101</v>
      </c>
      <c r="G67" s="53">
        <v>143.2781086129229</v>
      </c>
      <c r="H67" s="53">
        <v>207.4121761596058</v>
      </c>
      <c r="I67" s="53">
        <v>238.14050122881227</v>
      </c>
      <c r="J67" s="53">
        <v>2010.0209447582</v>
      </c>
      <c r="K67" s="53">
        <v>505.64015449666107</v>
      </c>
      <c r="L67" s="53">
        <v>353.53258361104</v>
      </c>
      <c r="M67" s="53">
        <v>2249.200715180171</v>
      </c>
      <c r="N67" s="53">
        <v>1092.6643327873066</v>
      </c>
      <c r="O67" s="53">
        <v>34.39194400862009</v>
      </c>
      <c r="P67" s="53">
        <v>97.06993804688766</v>
      </c>
      <c r="Q67" s="53">
        <f t="shared" si="5"/>
        <v>-197.82164432921672</v>
      </c>
      <c r="R67" s="34"/>
      <c r="S67" s="73">
        <f t="shared" si="6"/>
        <v>6833.835728021166</v>
      </c>
      <c r="T67" s="73">
        <f t="shared" si="7"/>
        <v>-100.30597346015566</v>
      </c>
      <c r="U67" s="73">
        <f t="shared" si="8"/>
        <v>6931.351398890227</v>
      </c>
      <c r="V67" s="73">
        <f t="shared" si="9"/>
        <v>-197.82164432921672</v>
      </c>
    </row>
    <row r="68" spans="1:22" ht="12">
      <c r="A68" s="51">
        <v>2000</v>
      </c>
      <c r="B68" s="52" t="s">
        <v>55</v>
      </c>
      <c r="C68" s="54">
        <v>7507.286078799712</v>
      </c>
      <c r="D68" s="54">
        <v>423.63938982180974</v>
      </c>
      <c r="E68" s="54">
        <v>377.20472334541046</v>
      </c>
      <c r="F68" s="54">
        <v>6706.441965632493</v>
      </c>
      <c r="G68" s="54">
        <v>151.169</v>
      </c>
      <c r="H68" s="54">
        <v>255</v>
      </c>
      <c r="I68" s="54">
        <v>260.152</v>
      </c>
      <c r="J68" s="54">
        <v>1970.377491762192</v>
      </c>
      <c r="K68" s="54">
        <v>480</v>
      </c>
      <c r="L68" s="54">
        <v>270.61</v>
      </c>
      <c r="M68" s="54">
        <v>2435.943</v>
      </c>
      <c r="N68" s="54">
        <v>1059</v>
      </c>
      <c r="O68" s="54">
        <v>17.091</v>
      </c>
      <c r="P68" s="54">
        <v>57.83314738908391</v>
      </c>
      <c r="Q68" s="53">
        <f t="shared" si="5"/>
        <v>-250.7336735187837</v>
      </c>
      <c r="R68" s="35"/>
      <c r="S68" s="73">
        <f t="shared" si="6"/>
        <v>6706.441965632493</v>
      </c>
      <c r="T68" s="73">
        <f t="shared" si="7"/>
        <v>0</v>
      </c>
      <c r="U68" s="73">
        <f t="shared" si="8"/>
        <v>6957.175639151276</v>
      </c>
      <c r="V68" s="73">
        <f t="shared" si="9"/>
        <v>-250.7336735187837</v>
      </c>
    </row>
    <row r="69" spans="1:22" ht="12">
      <c r="A69" s="51">
        <v>2000</v>
      </c>
      <c r="B69" s="52" t="s">
        <v>56</v>
      </c>
      <c r="C69" s="54">
        <v>7095.174282162036</v>
      </c>
      <c r="D69" s="54">
        <v>419.9559988408352</v>
      </c>
      <c r="E69" s="54">
        <v>48.68412866741892</v>
      </c>
      <c r="F69" s="54">
        <v>6626.534154653782</v>
      </c>
      <c r="G69" s="54">
        <v>149.616</v>
      </c>
      <c r="H69" s="54">
        <v>238</v>
      </c>
      <c r="I69" s="54">
        <v>283.669</v>
      </c>
      <c r="J69" s="54">
        <v>1979.0945369256776</v>
      </c>
      <c r="K69" s="54">
        <v>497</v>
      </c>
      <c r="L69" s="54">
        <v>360.916</v>
      </c>
      <c r="M69" s="54">
        <v>2259.609</v>
      </c>
      <c r="N69" s="54">
        <v>908</v>
      </c>
      <c r="O69" s="54">
        <v>63.051</v>
      </c>
      <c r="P69" s="54">
        <v>125.47639189146851</v>
      </c>
      <c r="Q69" s="53">
        <f t="shared" si="5"/>
        <v>-237.89777416336528</v>
      </c>
      <c r="R69" s="35"/>
      <c r="S69" s="73">
        <f t="shared" si="6"/>
        <v>6626.534154653782</v>
      </c>
      <c r="T69" s="73">
        <f t="shared" si="7"/>
        <v>0</v>
      </c>
      <c r="U69" s="73">
        <f t="shared" si="8"/>
        <v>6864.431928817147</v>
      </c>
      <c r="V69" s="73">
        <f t="shared" si="9"/>
        <v>-237.89777416336528</v>
      </c>
    </row>
    <row r="70" spans="1:22" ht="12">
      <c r="A70" s="51">
        <v>2000</v>
      </c>
      <c r="B70" s="52" t="s">
        <v>57</v>
      </c>
      <c r="C70" s="53">
        <v>7622.645741950648</v>
      </c>
      <c r="D70" s="53">
        <v>429.5396468157772</v>
      </c>
      <c r="E70" s="53">
        <v>223.54849174171522</v>
      </c>
      <c r="F70" s="53">
        <v>6969.557603393156</v>
      </c>
      <c r="G70" s="53">
        <v>159.541</v>
      </c>
      <c r="H70" s="53">
        <v>255</v>
      </c>
      <c r="I70" s="53">
        <v>268</v>
      </c>
      <c r="J70" s="53">
        <v>2125.780352324809</v>
      </c>
      <c r="K70" s="53">
        <v>515</v>
      </c>
      <c r="L70" s="53">
        <v>312.754</v>
      </c>
      <c r="M70" s="53">
        <v>2386.274</v>
      </c>
      <c r="N70" s="53">
        <v>937</v>
      </c>
      <c r="O70" s="53">
        <v>34.122</v>
      </c>
      <c r="P70" s="53">
        <v>138.19151576575658</v>
      </c>
      <c r="Q70" s="53">
        <f t="shared" si="5"/>
        <v>-162.10526469741035</v>
      </c>
      <c r="R70" s="34"/>
      <c r="S70" s="73">
        <f t="shared" si="6"/>
        <v>6969.557603393156</v>
      </c>
      <c r="T70" s="73">
        <f t="shared" si="7"/>
        <v>0</v>
      </c>
      <c r="U70" s="73">
        <f t="shared" si="8"/>
        <v>7131.662868090566</v>
      </c>
      <c r="V70" s="73">
        <f t="shared" si="9"/>
        <v>-162.10526469741035</v>
      </c>
    </row>
    <row r="71" spans="1:22" ht="12">
      <c r="A71" s="51">
        <v>2000</v>
      </c>
      <c r="B71" s="52" t="s">
        <v>58</v>
      </c>
      <c r="C71" s="53">
        <v>7330.5055949969565</v>
      </c>
      <c r="D71" s="53">
        <v>430.4394148362107</v>
      </c>
      <c r="E71" s="53">
        <v>42.199723247283146</v>
      </c>
      <c r="F71" s="53">
        <v>6857.866456913463</v>
      </c>
      <c r="G71" s="53">
        <v>191.061</v>
      </c>
      <c r="H71" s="53">
        <v>272</v>
      </c>
      <c r="I71" s="53">
        <v>281.547</v>
      </c>
      <c r="J71" s="53">
        <v>2051.8936703119093</v>
      </c>
      <c r="K71" s="53">
        <v>561</v>
      </c>
      <c r="L71" s="53">
        <v>309.789</v>
      </c>
      <c r="M71" s="53">
        <v>2250.935</v>
      </c>
      <c r="N71" s="53">
        <v>1027</v>
      </c>
      <c r="O71" s="53">
        <v>49.371</v>
      </c>
      <c r="P71" s="53">
        <v>96.3673577254046</v>
      </c>
      <c r="Q71" s="53">
        <f t="shared" si="5"/>
        <v>-233.0975711238516</v>
      </c>
      <c r="R71" s="34"/>
      <c r="S71" s="73">
        <f t="shared" si="6"/>
        <v>6857.866456913463</v>
      </c>
      <c r="T71" s="73">
        <f t="shared" si="7"/>
        <v>0</v>
      </c>
      <c r="U71" s="73">
        <f t="shared" si="8"/>
        <v>7090.964028037314</v>
      </c>
      <c r="V71" s="73">
        <f t="shared" si="9"/>
        <v>-233.0975711238516</v>
      </c>
    </row>
    <row r="72" spans="1:22" ht="12">
      <c r="A72" s="51">
        <v>2000</v>
      </c>
      <c r="B72" s="52" t="s">
        <v>59</v>
      </c>
      <c r="C72" s="53">
        <v>7521.317037829451</v>
      </c>
      <c r="D72" s="53">
        <v>437.25178466264504</v>
      </c>
      <c r="E72" s="53">
        <v>278.88774815336456</v>
      </c>
      <c r="F72" s="53">
        <v>6805.177505013441</v>
      </c>
      <c r="G72" s="53">
        <v>173</v>
      </c>
      <c r="H72" s="53">
        <v>221</v>
      </c>
      <c r="I72" s="53">
        <v>306.375</v>
      </c>
      <c r="J72" s="53">
        <v>1976.8381184687248</v>
      </c>
      <c r="K72" s="53">
        <v>596</v>
      </c>
      <c r="L72" s="53">
        <v>175.729</v>
      </c>
      <c r="M72" s="53">
        <v>2337.415</v>
      </c>
      <c r="N72" s="53">
        <v>960</v>
      </c>
      <c r="O72" s="53">
        <v>68</v>
      </c>
      <c r="P72" s="53">
        <v>135.7977580436213</v>
      </c>
      <c r="Q72" s="53">
        <f aca="true" t="shared" si="10" ref="Q72:Q103">+F72-SUM(G72:P72)</f>
        <v>-144.97737149890418</v>
      </c>
      <c r="R72" s="34"/>
      <c r="S72" s="73">
        <f aca="true" t="shared" si="11" ref="S72:S103">+C72-D72-E72</f>
        <v>6805.177505013441</v>
      </c>
      <c r="T72" s="73">
        <f aca="true" t="shared" si="12" ref="T72:T103">+F72-S72</f>
        <v>0</v>
      </c>
      <c r="U72" s="73">
        <f aca="true" t="shared" si="13" ref="U72:U103">SUM(G72:P72)</f>
        <v>6950.154876512345</v>
      </c>
      <c r="V72" s="73">
        <f aca="true" t="shared" si="14" ref="V72:V103">+F72-U72</f>
        <v>-144.97737149890418</v>
      </c>
    </row>
    <row r="73" spans="1:22" ht="12">
      <c r="A73" s="51">
        <v>2000</v>
      </c>
      <c r="B73" s="52" t="s">
        <v>60</v>
      </c>
      <c r="C73" s="53">
        <v>6670.960520861978</v>
      </c>
      <c r="D73" s="53">
        <v>426.7372630403712</v>
      </c>
      <c r="E73" s="53">
        <v>101.5049373246211</v>
      </c>
      <c r="F73" s="53">
        <v>6142.718320496985</v>
      </c>
      <c r="G73" s="53">
        <v>166.293</v>
      </c>
      <c r="H73" s="53">
        <v>238</v>
      </c>
      <c r="I73" s="53">
        <v>213.966</v>
      </c>
      <c r="J73" s="53">
        <v>1889.705878001834</v>
      </c>
      <c r="K73" s="53">
        <v>519</v>
      </c>
      <c r="L73" s="53">
        <v>123.699</v>
      </c>
      <c r="M73" s="53">
        <v>2187.01</v>
      </c>
      <c r="N73" s="53">
        <v>826</v>
      </c>
      <c r="O73" s="53">
        <v>66</v>
      </c>
      <c r="P73" s="53">
        <v>131.67038691388396</v>
      </c>
      <c r="Q73" s="53">
        <f t="shared" si="10"/>
        <v>-218.62594441873352</v>
      </c>
      <c r="R73" s="34"/>
      <c r="S73" s="73">
        <f t="shared" si="11"/>
        <v>6142.718320496985</v>
      </c>
      <c r="T73" s="73">
        <f t="shared" si="12"/>
        <v>0</v>
      </c>
      <c r="U73" s="73">
        <f t="shared" si="13"/>
        <v>6361.344264915719</v>
      </c>
      <c r="V73" s="73">
        <f t="shared" si="14"/>
        <v>-218.62594441873352</v>
      </c>
    </row>
    <row r="74" spans="1:22" ht="12">
      <c r="A74" s="51">
        <v>2000</v>
      </c>
      <c r="B74" s="52" t="s">
        <v>61</v>
      </c>
      <c r="C74" s="53">
        <v>7012.127524657738</v>
      </c>
      <c r="D74" s="53">
        <v>440.81011374106725</v>
      </c>
      <c r="E74" s="53">
        <v>111.40629473560602</v>
      </c>
      <c r="F74" s="53">
        <v>6459.911116181064</v>
      </c>
      <c r="G74" s="53">
        <v>168.195</v>
      </c>
      <c r="H74" s="53">
        <v>229</v>
      </c>
      <c r="I74" s="53">
        <v>199.276</v>
      </c>
      <c r="J74" s="53">
        <v>1849.7076031053368</v>
      </c>
      <c r="K74" s="53">
        <v>589</v>
      </c>
      <c r="L74" s="53">
        <v>184.786</v>
      </c>
      <c r="M74" s="53">
        <v>2346.534</v>
      </c>
      <c r="N74" s="53">
        <v>902</v>
      </c>
      <c r="O74" s="53">
        <v>58.332</v>
      </c>
      <c r="P74" s="53">
        <v>157.74804622315216</v>
      </c>
      <c r="Q74" s="53">
        <f t="shared" si="10"/>
        <v>-224.66753314742618</v>
      </c>
      <c r="R74" s="34"/>
      <c r="S74" s="73">
        <f t="shared" si="11"/>
        <v>6459.911116181064</v>
      </c>
      <c r="T74" s="73">
        <f t="shared" si="12"/>
        <v>0</v>
      </c>
      <c r="U74" s="73">
        <f t="shared" si="13"/>
        <v>6684.57864932849</v>
      </c>
      <c r="V74" s="73">
        <f t="shared" si="14"/>
        <v>-224.66753314742618</v>
      </c>
    </row>
    <row r="75" spans="1:32" ht="12">
      <c r="A75" s="55">
        <v>2000</v>
      </c>
      <c r="B75" s="56" t="s">
        <v>62</v>
      </c>
      <c r="C75" s="53">
        <v>7732.580420942485</v>
      </c>
      <c r="D75" s="53">
        <v>451.3798155767982</v>
      </c>
      <c r="E75" s="53">
        <v>216.211451874442</v>
      </c>
      <c r="F75" s="53">
        <v>7064.989153491245</v>
      </c>
      <c r="G75" s="53">
        <v>185.156</v>
      </c>
      <c r="H75" s="53">
        <v>170</v>
      </c>
      <c r="I75" s="53">
        <v>267.269</v>
      </c>
      <c r="J75" s="53">
        <v>2007.1787656056988</v>
      </c>
      <c r="K75" s="53">
        <v>651</v>
      </c>
      <c r="L75" s="53">
        <v>184.156</v>
      </c>
      <c r="M75" s="53">
        <v>2467.409</v>
      </c>
      <c r="N75" s="53">
        <v>1021</v>
      </c>
      <c r="O75" s="53">
        <v>76.171</v>
      </c>
      <c r="P75" s="53">
        <v>139.87615704320038</v>
      </c>
      <c r="Q75" s="53">
        <f t="shared" si="10"/>
        <v>-104.22676915765442</v>
      </c>
      <c r="R75" s="34"/>
      <c r="S75" s="73">
        <f t="shared" si="11"/>
        <v>7064.989153491245</v>
      </c>
      <c r="T75" s="73">
        <f t="shared" si="12"/>
        <v>0</v>
      </c>
      <c r="U75" s="73">
        <f t="shared" si="13"/>
        <v>7169.215922648899</v>
      </c>
      <c r="V75" s="73">
        <f t="shared" si="14"/>
        <v>-104.22676915765442</v>
      </c>
      <c r="W75" s="14"/>
      <c r="X75" s="14"/>
      <c r="Y75" s="14"/>
      <c r="Z75" s="14"/>
      <c r="AA75" s="14"/>
      <c r="AB75" s="14"/>
      <c r="AC75" s="14"/>
      <c r="AD75" s="14"/>
      <c r="AE75" s="14"/>
      <c r="AF75" s="14"/>
    </row>
    <row r="76" spans="1:22" ht="12">
      <c r="A76" s="51">
        <v>2000</v>
      </c>
      <c r="B76" s="52" t="s">
        <v>63</v>
      </c>
      <c r="C76" s="53">
        <v>7100.434266802934</v>
      </c>
      <c r="D76" s="53">
        <v>417.81963511855497</v>
      </c>
      <c r="E76" s="53">
        <v>21.419536828606397</v>
      </c>
      <c r="F76" s="53">
        <v>6661.195094855772</v>
      </c>
      <c r="G76" s="53">
        <v>135.196</v>
      </c>
      <c r="H76" s="53">
        <v>187</v>
      </c>
      <c r="I76" s="53">
        <v>215.526</v>
      </c>
      <c r="J76" s="53">
        <v>1899.8122420415498</v>
      </c>
      <c r="K76" s="53">
        <v>558</v>
      </c>
      <c r="L76" s="53">
        <v>238.442</v>
      </c>
      <c r="M76" s="53">
        <v>2437.809</v>
      </c>
      <c r="N76" s="53">
        <v>890</v>
      </c>
      <c r="O76" s="53">
        <v>74.318</v>
      </c>
      <c r="P76" s="53">
        <v>122.6742066038134</v>
      </c>
      <c r="Q76" s="53">
        <f t="shared" si="10"/>
        <v>-97.58235378959125</v>
      </c>
      <c r="R76" s="34"/>
      <c r="S76" s="73">
        <f t="shared" si="11"/>
        <v>6661.195094855772</v>
      </c>
      <c r="T76" s="73">
        <f t="shared" si="12"/>
        <v>0</v>
      </c>
      <c r="U76" s="73">
        <f t="shared" si="13"/>
        <v>6758.777448645364</v>
      </c>
      <c r="V76" s="73">
        <f t="shared" si="14"/>
        <v>-97.58235378959125</v>
      </c>
    </row>
    <row r="77" spans="1:22" ht="12">
      <c r="A77" s="51">
        <v>2000</v>
      </c>
      <c r="B77" s="52" t="s">
        <v>64</v>
      </c>
      <c r="C77" s="53">
        <v>7524.780027717556</v>
      </c>
      <c r="D77" s="53">
        <v>443.8848409466357</v>
      </c>
      <c r="E77" s="53">
        <v>149.34181098075805</v>
      </c>
      <c r="F77" s="53">
        <v>6931.553375790162</v>
      </c>
      <c r="G77" s="53">
        <v>131.473</v>
      </c>
      <c r="H77" s="53">
        <v>255</v>
      </c>
      <c r="I77" s="53">
        <v>249.858</v>
      </c>
      <c r="J77" s="53">
        <v>1981.6497863115796</v>
      </c>
      <c r="K77" s="53">
        <v>513</v>
      </c>
      <c r="L77" s="53">
        <v>308</v>
      </c>
      <c r="M77" s="53">
        <v>2413</v>
      </c>
      <c r="N77" s="53">
        <v>872</v>
      </c>
      <c r="O77" s="53">
        <v>50.489</v>
      </c>
      <c r="P77" s="53">
        <v>136.4579023581545</v>
      </c>
      <c r="Q77" s="53">
        <f t="shared" si="10"/>
        <v>20.625687120427756</v>
      </c>
      <c r="R77" s="34"/>
      <c r="S77" s="73">
        <f t="shared" si="11"/>
        <v>6931.553375790162</v>
      </c>
      <c r="T77" s="73">
        <f t="shared" si="12"/>
        <v>0</v>
      </c>
      <c r="U77" s="73">
        <f t="shared" si="13"/>
        <v>6910.927688669734</v>
      </c>
      <c r="V77" s="73">
        <f t="shared" si="14"/>
        <v>20.625687120427756</v>
      </c>
    </row>
    <row r="78" spans="1:32" ht="12">
      <c r="A78" s="51">
        <v>2000</v>
      </c>
      <c r="B78" s="52" t="s">
        <v>65</v>
      </c>
      <c r="C78" s="53">
        <v>7208.611950925178</v>
      </c>
      <c r="D78" s="53">
        <v>479.3018585475638</v>
      </c>
      <c r="E78" s="53">
        <v>-105.83026281384264</v>
      </c>
      <c r="F78" s="53">
        <v>6835.140355191456</v>
      </c>
      <c r="G78" s="53">
        <v>139.805</v>
      </c>
      <c r="H78" s="53">
        <v>272</v>
      </c>
      <c r="I78" s="53">
        <v>256.572</v>
      </c>
      <c r="J78" s="53">
        <v>1850.8196460704437</v>
      </c>
      <c r="K78" s="53">
        <v>489</v>
      </c>
      <c r="L78" s="53">
        <v>326</v>
      </c>
      <c r="M78" s="53">
        <v>2497</v>
      </c>
      <c r="N78" s="53">
        <v>1028</v>
      </c>
      <c r="O78" s="53">
        <v>74.835</v>
      </c>
      <c r="P78" s="53">
        <v>110.57025491390033</v>
      </c>
      <c r="Q78" s="53">
        <f t="shared" si="10"/>
        <v>-209.4615457928876</v>
      </c>
      <c r="R78" s="34"/>
      <c r="S78" s="73">
        <f t="shared" si="11"/>
        <v>6835.140355191456</v>
      </c>
      <c r="T78" s="73">
        <f t="shared" si="12"/>
        <v>0</v>
      </c>
      <c r="U78" s="73">
        <f t="shared" si="13"/>
        <v>7044.601900984344</v>
      </c>
      <c r="V78" s="73">
        <f t="shared" si="14"/>
        <v>-209.4615457928876</v>
      </c>
      <c r="W78" s="23"/>
      <c r="X78" s="23"/>
      <c r="Y78" s="23"/>
      <c r="Z78" s="23"/>
      <c r="AA78" s="23"/>
      <c r="AB78" s="23"/>
      <c r="AC78" s="23"/>
      <c r="AD78" s="23"/>
      <c r="AE78" s="23"/>
      <c r="AF78" s="23"/>
    </row>
    <row r="79" spans="1:32" ht="12">
      <c r="A79" s="51">
        <v>2000</v>
      </c>
      <c r="B79" s="52" t="s">
        <v>66</v>
      </c>
      <c r="C79" s="53">
        <v>7687.576552353332</v>
      </c>
      <c r="D79" s="53">
        <v>451.62154733642694</v>
      </c>
      <c r="E79" s="53">
        <v>167.95168586410364</v>
      </c>
      <c r="F79" s="53">
        <v>7068.003319152801</v>
      </c>
      <c r="G79" s="53">
        <v>168.221</v>
      </c>
      <c r="H79" s="53">
        <v>281</v>
      </c>
      <c r="I79" s="53">
        <v>298.147</v>
      </c>
      <c r="J79" s="53">
        <v>1862.1419090702457</v>
      </c>
      <c r="K79" s="53">
        <v>516</v>
      </c>
      <c r="L79" s="53">
        <v>283</v>
      </c>
      <c r="M79" s="53">
        <v>2373</v>
      </c>
      <c r="N79" s="53">
        <v>1093</v>
      </c>
      <c r="O79" s="53">
        <v>70.279</v>
      </c>
      <c r="P79" s="53">
        <v>85.33687512856035</v>
      </c>
      <c r="Q79" s="53">
        <f t="shared" si="10"/>
        <v>37.877534953993745</v>
      </c>
      <c r="R79" s="34"/>
      <c r="S79" s="73">
        <f t="shared" si="11"/>
        <v>7068.003319152801</v>
      </c>
      <c r="T79" s="73">
        <f t="shared" si="12"/>
        <v>0</v>
      </c>
      <c r="U79" s="73">
        <f t="shared" si="13"/>
        <v>7030.125784198807</v>
      </c>
      <c r="V79" s="73">
        <f t="shared" si="14"/>
        <v>37.877534953993745</v>
      </c>
      <c r="W79" s="23"/>
      <c r="X79" s="23"/>
      <c r="Y79" s="23"/>
      <c r="Z79" s="23"/>
      <c r="AA79" s="23"/>
      <c r="AB79" s="23"/>
      <c r="AC79" s="23"/>
      <c r="AD79" s="23"/>
      <c r="AE79" s="23"/>
      <c r="AF79" s="23"/>
    </row>
    <row r="80" spans="1:22" ht="12">
      <c r="A80" s="51">
        <v>2001</v>
      </c>
      <c r="B80" s="52" t="s">
        <v>55</v>
      </c>
      <c r="C80" s="53">
        <v>7726.051</v>
      </c>
      <c r="D80" s="53">
        <v>458.9742323534489</v>
      </c>
      <c r="E80" s="53">
        <v>133.72126744440993</v>
      </c>
      <c r="F80" s="53">
        <v>7133.355500202141</v>
      </c>
      <c r="G80" s="53">
        <v>161.73</v>
      </c>
      <c r="H80" s="53">
        <v>479</v>
      </c>
      <c r="I80" s="53">
        <v>253.363</v>
      </c>
      <c r="J80" s="53">
        <v>1820.473</v>
      </c>
      <c r="K80" s="53">
        <v>472.042</v>
      </c>
      <c r="L80" s="53">
        <v>430.323</v>
      </c>
      <c r="M80" s="53">
        <v>2489.292</v>
      </c>
      <c r="N80" s="53">
        <v>1243</v>
      </c>
      <c r="O80" s="53">
        <v>72.929</v>
      </c>
      <c r="P80" s="53">
        <v>49.166</v>
      </c>
      <c r="Q80" s="53">
        <f t="shared" si="10"/>
        <v>-337.962499797859</v>
      </c>
      <c r="R80" s="34"/>
      <c r="S80" s="73">
        <f t="shared" si="11"/>
        <v>7133.355500202141</v>
      </c>
      <c r="T80" s="73">
        <f t="shared" si="12"/>
        <v>0</v>
      </c>
      <c r="U80" s="73">
        <f t="shared" si="13"/>
        <v>7471.318</v>
      </c>
      <c r="V80" s="73">
        <f t="shared" si="14"/>
        <v>-337.962499797859</v>
      </c>
    </row>
    <row r="81" spans="1:22" ht="12">
      <c r="A81" s="51">
        <v>2001</v>
      </c>
      <c r="B81" s="52" t="s">
        <v>56</v>
      </c>
      <c r="C81" s="53">
        <v>6168.463</v>
      </c>
      <c r="D81" s="53">
        <v>346.7180516877731</v>
      </c>
      <c r="E81" s="53">
        <v>292.5988046483808</v>
      </c>
      <c r="F81" s="53">
        <v>5529.146143663846</v>
      </c>
      <c r="G81" s="53">
        <v>127.381</v>
      </c>
      <c r="H81" s="53">
        <v>448</v>
      </c>
      <c r="I81" s="53">
        <v>321.95</v>
      </c>
      <c r="J81" s="53">
        <v>1289.624</v>
      </c>
      <c r="K81" s="53">
        <v>307.409</v>
      </c>
      <c r="L81" s="53">
        <v>409.072</v>
      </c>
      <c r="M81" s="53">
        <v>1979.779</v>
      </c>
      <c r="N81" s="53">
        <v>865</v>
      </c>
      <c r="O81" s="53">
        <v>69.23</v>
      </c>
      <c r="P81" s="53">
        <v>120.854</v>
      </c>
      <c r="Q81" s="53">
        <f t="shared" si="10"/>
        <v>-409.1528563361544</v>
      </c>
      <c r="R81" s="34"/>
      <c r="S81" s="73">
        <f t="shared" si="11"/>
        <v>5529.146143663846</v>
      </c>
      <c r="T81" s="73">
        <f t="shared" si="12"/>
        <v>0</v>
      </c>
      <c r="U81" s="73">
        <f t="shared" si="13"/>
        <v>5938.299</v>
      </c>
      <c r="V81" s="73">
        <f t="shared" si="14"/>
        <v>-409.1528563361544</v>
      </c>
    </row>
    <row r="82" spans="1:22" ht="12">
      <c r="A82" s="51">
        <v>2001</v>
      </c>
      <c r="B82" s="52" t="s">
        <v>57</v>
      </c>
      <c r="C82" s="53">
        <v>6782.404</v>
      </c>
      <c r="D82" s="53">
        <v>409.5276031036833</v>
      </c>
      <c r="E82" s="53">
        <v>211.16943801578964</v>
      </c>
      <c r="F82" s="53">
        <v>6161.706958880528</v>
      </c>
      <c r="G82" s="53">
        <v>143.715</v>
      </c>
      <c r="H82" s="53">
        <v>451</v>
      </c>
      <c r="I82" s="53">
        <v>275.704</v>
      </c>
      <c r="J82" s="53">
        <v>1610.48</v>
      </c>
      <c r="K82" s="53">
        <v>433.309</v>
      </c>
      <c r="L82" s="53">
        <v>326.253</v>
      </c>
      <c r="M82" s="53">
        <v>2145.545</v>
      </c>
      <c r="N82" s="53">
        <v>1053</v>
      </c>
      <c r="O82" s="53">
        <v>48.836</v>
      </c>
      <c r="P82" s="53">
        <v>130.627</v>
      </c>
      <c r="Q82" s="53">
        <f t="shared" si="10"/>
        <v>-456.7620411194739</v>
      </c>
      <c r="R82" s="34"/>
      <c r="S82" s="73">
        <f t="shared" si="11"/>
        <v>6161.706958880528</v>
      </c>
      <c r="T82" s="73">
        <f t="shared" si="12"/>
        <v>0</v>
      </c>
      <c r="U82" s="73">
        <f t="shared" si="13"/>
        <v>6618.469000000002</v>
      </c>
      <c r="V82" s="73">
        <f t="shared" si="14"/>
        <v>-456.7620411194739</v>
      </c>
    </row>
    <row r="83" spans="1:22" ht="12">
      <c r="A83" s="51">
        <v>2001</v>
      </c>
      <c r="B83" s="52" t="s">
        <v>58</v>
      </c>
      <c r="C83" s="53">
        <v>6008.163</v>
      </c>
      <c r="D83" s="53">
        <v>391.30169631902385</v>
      </c>
      <c r="E83" s="53">
        <v>-117.91697003151421</v>
      </c>
      <c r="F83" s="53">
        <v>5734.77827371249</v>
      </c>
      <c r="G83" s="53">
        <v>170.311</v>
      </c>
      <c r="H83" s="53">
        <v>338</v>
      </c>
      <c r="I83" s="53">
        <v>273</v>
      </c>
      <c r="J83" s="53">
        <v>1566.451</v>
      </c>
      <c r="K83" s="53">
        <v>460.597</v>
      </c>
      <c r="L83" s="53">
        <v>218.352</v>
      </c>
      <c r="M83" s="53">
        <v>1973.78</v>
      </c>
      <c r="N83" s="53">
        <v>932</v>
      </c>
      <c r="O83" s="53">
        <v>67.078</v>
      </c>
      <c r="P83" s="53">
        <v>107.599</v>
      </c>
      <c r="Q83" s="53">
        <f t="shared" si="10"/>
        <v>-372.3897262875107</v>
      </c>
      <c r="R83" s="34"/>
      <c r="S83" s="73">
        <f t="shared" si="11"/>
        <v>5734.77827371249</v>
      </c>
      <c r="T83" s="73">
        <f t="shared" si="12"/>
        <v>0</v>
      </c>
      <c r="U83" s="73">
        <f t="shared" si="13"/>
        <v>6107.168000000001</v>
      </c>
      <c r="V83" s="73">
        <f t="shared" si="14"/>
        <v>-372.3897262875107</v>
      </c>
    </row>
    <row r="84" spans="1:22" ht="12">
      <c r="A84" s="51">
        <v>2001</v>
      </c>
      <c r="B84" s="57" t="s">
        <v>59</v>
      </c>
      <c r="C84" s="53">
        <v>6334.709</v>
      </c>
      <c r="D84" s="53">
        <v>380.86093901342537</v>
      </c>
      <c r="E84" s="53">
        <v>10.457306673137282</v>
      </c>
      <c r="F84" s="53">
        <v>5943.390754313437</v>
      </c>
      <c r="G84" s="53">
        <v>166.28</v>
      </c>
      <c r="H84" s="53">
        <v>169</v>
      </c>
      <c r="I84" s="53">
        <v>237.19</v>
      </c>
      <c r="J84" s="53">
        <v>1600.503</v>
      </c>
      <c r="K84" s="53">
        <v>493.398</v>
      </c>
      <c r="L84" s="53">
        <v>190.018</v>
      </c>
      <c r="M84" s="53">
        <v>1874.44</v>
      </c>
      <c r="N84" s="53">
        <v>1150</v>
      </c>
      <c r="O84" s="53">
        <v>54.147</v>
      </c>
      <c r="P84" s="53">
        <v>124.076</v>
      </c>
      <c r="Q84" s="53">
        <f t="shared" si="10"/>
        <v>-115.66124568656232</v>
      </c>
      <c r="R84" s="34"/>
      <c r="S84" s="73">
        <f t="shared" si="11"/>
        <v>5943.390754313437</v>
      </c>
      <c r="T84" s="73">
        <f t="shared" si="12"/>
        <v>0</v>
      </c>
      <c r="U84" s="73">
        <f t="shared" si="13"/>
        <v>6059.052</v>
      </c>
      <c r="V84" s="73">
        <f t="shared" si="14"/>
        <v>-115.66124568656232</v>
      </c>
    </row>
    <row r="85" spans="1:22" ht="12">
      <c r="A85" s="51">
        <v>2001</v>
      </c>
      <c r="B85" s="57" t="s">
        <v>60</v>
      </c>
      <c r="C85" s="53">
        <v>5719.355</v>
      </c>
      <c r="D85" s="53">
        <v>360.10148763745855</v>
      </c>
      <c r="E85" s="53">
        <v>112.70107297235609</v>
      </c>
      <c r="F85" s="53">
        <v>5246.552439390185</v>
      </c>
      <c r="G85" s="53">
        <v>134.803</v>
      </c>
      <c r="H85" s="53">
        <v>254</v>
      </c>
      <c r="I85" s="53">
        <v>279.997</v>
      </c>
      <c r="J85" s="53">
        <v>1394.314</v>
      </c>
      <c r="K85" s="53">
        <v>467.194</v>
      </c>
      <c r="L85" s="53">
        <v>133.024</v>
      </c>
      <c r="M85" s="53">
        <v>1796.763</v>
      </c>
      <c r="N85" s="53">
        <v>859</v>
      </c>
      <c r="O85" s="53">
        <v>52.595</v>
      </c>
      <c r="P85" s="53">
        <v>166.929</v>
      </c>
      <c r="Q85" s="53">
        <f t="shared" si="10"/>
        <v>-292.0665606098146</v>
      </c>
      <c r="R85" s="34"/>
      <c r="S85" s="73">
        <f t="shared" si="11"/>
        <v>5246.552439390185</v>
      </c>
      <c r="T85" s="73">
        <f t="shared" si="12"/>
        <v>0</v>
      </c>
      <c r="U85" s="73">
        <f t="shared" si="13"/>
        <v>5538.619</v>
      </c>
      <c r="V85" s="73">
        <f t="shared" si="14"/>
        <v>-292.0665606098146</v>
      </c>
    </row>
    <row r="86" spans="1:22" ht="12">
      <c r="A86" s="51">
        <v>2001</v>
      </c>
      <c r="B86" s="58" t="s">
        <v>61</v>
      </c>
      <c r="C86" s="53">
        <v>7198.758</v>
      </c>
      <c r="D86" s="53">
        <v>424.4925741503989</v>
      </c>
      <c r="E86" s="53">
        <v>189.28538372594176</v>
      </c>
      <c r="F86" s="53">
        <v>6584.980042123659</v>
      </c>
      <c r="G86" s="53">
        <v>175.344</v>
      </c>
      <c r="H86" s="53">
        <v>315</v>
      </c>
      <c r="I86" s="53">
        <v>366.683</v>
      </c>
      <c r="J86" s="53">
        <v>1796.196</v>
      </c>
      <c r="K86" s="53">
        <v>642.742</v>
      </c>
      <c r="L86" s="53">
        <v>146.6</v>
      </c>
      <c r="M86" s="53">
        <v>2219.727</v>
      </c>
      <c r="N86" s="53">
        <v>955</v>
      </c>
      <c r="O86" s="53">
        <v>43.488</v>
      </c>
      <c r="P86" s="53">
        <v>178.76</v>
      </c>
      <c r="Q86" s="53">
        <f t="shared" si="10"/>
        <v>-254.5599578763413</v>
      </c>
      <c r="R86" s="34"/>
      <c r="S86" s="73">
        <f t="shared" si="11"/>
        <v>6584.980042123659</v>
      </c>
      <c r="T86" s="73">
        <f t="shared" si="12"/>
        <v>0</v>
      </c>
      <c r="U86" s="73">
        <f t="shared" si="13"/>
        <v>6839.54</v>
      </c>
      <c r="V86" s="73">
        <f t="shared" si="14"/>
        <v>-254.5599578763413</v>
      </c>
    </row>
    <row r="87" spans="1:22" ht="12">
      <c r="A87" s="51">
        <v>2001</v>
      </c>
      <c r="B87" s="58" t="s">
        <v>62</v>
      </c>
      <c r="C87" s="53">
        <v>7437.523</v>
      </c>
      <c r="D87" s="53">
        <v>484.66428822428907</v>
      </c>
      <c r="E87" s="53">
        <v>39.27341723613608</v>
      </c>
      <c r="F87" s="53">
        <v>6913.5852945395745</v>
      </c>
      <c r="G87" s="53">
        <v>200.533</v>
      </c>
      <c r="H87" s="53">
        <v>56</v>
      </c>
      <c r="I87" s="53">
        <v>315.659</v>
      </c>
      <c r="J87" s="53">
        <v>2014.182</v>
      </c>
      <c r="K87" s="53">
        <v>620.465</v>
      </c>
      <c r="L87" s="53">
        <v>199.29</v>
      </c>
      <c r="M87" s="53">
        <v>2425.854</v>
      </c>
      <c r="N87" s="53">
        <v>939</v>
      </c>
      <c r="O87" s="53">
        <v>34.945</v>
      </c>
      <c r="P87" s="53">
        <v>163.511</v>
      </c>
      <c r="Q87" s="53">
        <f t="shared" si="10"/>
        <v>-55.85370546042577</v>
      </c>
      <c r="R87" s="34"/>
      <c r="S87" s="73">
        <f t="shared" si="11"/>
        <v>6913.5852945395745</v>
      </c>
      <c r="T87" s="73">
        <f t="shared" si="12"/>
        <v>0</v>
      </c>
      <c r="U87" s="73">
        <f t="shared" si="13"/>
        <v>6969.439</v>
      </c>
      <c r="V87" s="73">
        <f t="shared" si="14"/>
        <v>-55.85370546042577</v>
      </c>
    </row>
    <row r="88" spans="1:22" ht="12">
      <c r="A88" s="51">
        <v>2001</v>
      </c>
      <c r="B88" s="58" t="s">
        <v>63</v>
      </c>
      <c r="C88" s="53">
        <v>7437.331</v>
      </c>
      <c r="D88" s="53">
        <v>455.88979562045483</v>
      </c>
      <c r="E88" s="53">
        <v>-42.776792725267114</v>
      </c>
      <c r="F88" s="53">
        <v>7024.217997104813</v>
      </c>
      <c r="G88" s="53">
        <v>140.003</v>
      </c>
      <c r="H88" s="53">
        <v>0.496</v>
      </c>
      <c r="I88" s="53">
        <v>278.223</v>
      </c>
      <c r="J88" s="53">
        <v>2139.015</v>
      </c>
      <c r="K88" s="53">
        <v>586.373</v>
      </c>
      <c r="L88" s="53">
        <v>238.114</v>
      </c>
      <c r="M88" s="53">
        <v>2420.648</v>
      </c>
      <c r="N88" s="53">
        <v>959</v>
      </c>
      <c r="O88" s="53">
        <v>51.644</v>
      </c>
      <c r="P88" s="53">
        <v>170.937</v>
      </c>
      <c r="Q88" s="53">
        <f t="shared" si="10"/>
        <v>39.76499710481221</v>
      </c>
      <c r="R88" s="34"/>
      <c r="S88" s="73">
        <f t="shared" si="11"/>
        <v>7024.217997104813</v>
      </c>
      <c r="T88" s="73">
        <f t="shared" si="12"/>
        <v>0</v>
      </c>
      <c r="U88" s="73">
        <f t="shared" si="13"/>
        <v>6984.453</v>
      </c>
      <c r="V88" s="73">
        <f t="shared" si="14"/>
        <v>39.76499710481221</v>
      </c>
    </row>
    <row r="89" spans="1:22" ht="12">
      <c r="A89" s="51">
        <v>2001</v>
      </c>
      <c r="B89" s="58" t="s">
        <v>64</v>
      </c>
      <c r="C89" s="53">
        <v>7532.541</v>
      </c>
      <c r="D89" s="53">
        <v>446.0121095987016</v>
      </c>
      <c r="E89" s="53">
        <v>102.17082104723886</v>
      </c>
      <c r="F89" s="53">
        <v>6984.35806935406</v>
      </c>
      <c r="G89" s="53">
        <v>101</v>
      </c>
      <c r="H89" s="53">
        <v>28</v>
      </c>
      <c r="I89" s="53">
        <v>320.286</v>
      </c>
      <c r="J89" s="53">
        <v>2039.65</v>
      </c>
      <c r="K89" s="53">
        <v>490.866</v>
      </c>
      <c r="L89" s="53">
        <v>231.339</v>
      </c>
      <c r="M89" s="53">
        <v>2549.717</v>
      </c>
      <c r="N89" s="53">
        <v>1005</v>
      </c>
      <c r="O89" s="53">
        <v>49.289</v>
      </c>
      <c r="P89" s="53">
        <v>168.666</v>
      </c>
      <c r="Q89" s="53">
        <f t="shared" si="10"/>
        <v>0.5450693540597058</v>
      </c>
      <c r="R89" s="34"/>
      <c r="S89" s="73">
        <f t="shared" si="11"/>
        <v>6984.35806935406</v>
      </c>
      <c r="T89" s="73">
        <f t="shared" si="12"/>
        <v>0</v>
      </c>
      <c r="U89" s="73">
        <f t="shared" si="13"/>
        <v>6983.813</v>
      </c>
      <c r="V89" s="73">
        <f t="shared" si="14"/>
        <v>0.5450693540597058</v>
      </c>
    </row>
    <row r="90" spans="1:22" ht="12">
      <c r="A90" s="51">
        <v>2001</v>
      </c>
      <c r="B90" s="59" t="s">
        <v>65</v>
      </c>
      <c r="C90" s="53">
        <v>7505.197</v>
      </c>
      <c r="D90" s="53">
        <v>443.25444567075505</v>
      </c>
      <c r="E90" s="53">
        <v>217.36151910447734</v>
      </c>
      <c r="F90" s="53">
        <v>6844.581035224768</v>
      </c>
      <c r="G90" s="53">
        <v>123.024</v>
      </c>
      <c r="H90" s="53">
        <v>56</v>
      </c>
      <c r="I90" s="53">
        <v>251.452</v>
      </c>
      <c r="J90" s="53">
        <v>2113.675</v>
      </c>
      <c r="K90" s="53">
        <v>484.156</v>
      </c>
      <c r="L90" s="53">
        <v>243.042</v>
      </c>
      <c r="M90" s="53">
        <v>2388.58</v>
      </c>
      <c r="N90" s="53">
        <v>971</v>
      </c>
      <c r="O90" s="53">
        <v>55.629</v>
      </c>
      <c r="P90" s="53">
        <v>174.325</v>
      </c>
      <c r="Q90" s="53">
        <f t="shared" si="10"/>
        <v>-16.30196477523168</v>
      </c>
      <c r="R90" s="34"/>
      <c r="S90" s="73">
        <f t="shared" si="11"/>
        <v>6844.581035224768</v>
      </c>
      <c r="T90" s="73">
        <f t="shared" si="12"/>
        <v>0</v>
      </c>
      <c r="U90" s="73">
        <f t="shared" si="13"/>
        <v>6860.883</v>
      </c>
      <c r="V90" s="73">
        <f t="shared" si="14"/>
        <v>-16.30196477523168</v>
      </c>
    </row>
    <row r="91" spans="1:22" ht="12">
      <c r="A91" s="51">
        <v>2001</v>
      </c>
      <c r="B91" s="58" t="s">
        <v>66</v>
      </c>
      <c r="C91" s="53">
        <v>7492.333</v>
      </c>
      <c r="D91" s="53">
        <v>457.52605675128916</v>
      </c>
      <c r="E91" s="53">
        <v>85.3499243778324</v>
      </c>
      <c r="F91" s="53">
        <v>6949.457018870878</v>
      </c>
      <c r="G91" s="53">
        <v>126.324</v>
      </c>
      <c r="H91" s="60">
        <v>0</v>
      </c>
      <c r="I91" s="53">
        <v>288.998</v>
      </c>
      <c r="J91" s="53">
        <v>2070.866</v>
      </c>
      <c r="K91" s="53">
        <v>451.32</v>
      </c>
      <c r="L91" s="53">
        <v>322.279</v>
      </c>
      <c r="M91" s="53">
        <v>2532</v>
      </c>
      <c r="N91" s="53">
        <v>932</v>
      </c>
      <c r="O91" s="53">
        <v>56.485</v>
      </c>
      <c r="P91" s="53">
        <v>151.079</v>
      </c>
      <c r="Q91" s="53">
        <f t="shared" si="10"/>
        <v>18.10601887087796</v>
      </c>
      <c r="R91" s="34"/>
      <c r="S91" s="73">
        <f t="shared" si="11"/>
        <v>6949.457018870878</v>
      </c>
      <c r="T91" s="73">
        <f t="shared" si="12"/>
        <v>0</v>
      </c>
      <c r="U91" s="73">
        <f t="shared" si="13"/>
        <v>6931.351</v>
      </c>
      <c r="V91" s="73">
        <f t="shared" si="14"/>
        <v>18.10601887087796</v>
      </c>
    </row>
    <row r="92" spans="1:22" ht="12">
      <c r="A92" s="51">
        <v>2002</v>
      </c>
      <c r="B92" s="58" t="s">
        <v>55</v>
      </c>
      <c r="C92" s="53">
        <v>7263.155999999999</v>
      </c>
      <c r="D92" s="53">
        <v>481.04484921766687</v>
      </c>
      <c r="E92" s="53">
        <v>72.2529859493061</v>
      </c>
      <c r="F92" s="53">
        <v>6709.858164833026</v>
      </c>
      <c r="G92" s="53">
        <v>169.642544001</v>
      </c>
      <c r="H92" s="53">
        <v>275</v>
      </c>
      <c r="I92" s="53">
        <v>261.63868099999996</v>
      </c>
      <c r="J92" s="53">
        <v>1982.6437959159998</v>
      </c>
      <c r="K92" s="53">
        <v>363.15140118399995</v>
      </c>
      <c r="L92" s="53">
        <v>420.80349172499996</v>
      </c>
      <c r="M92" s="53">
        <v>2420.8702233159997</v>
      </c>
      <c r="N92" s="53">
        <v>984</v>
      </c>
      <c r="O92" s="53">
        <v>40.65869332</v>
      </c>
      <c r="P92" s="53">
        <v>46.855433999</v>
      </c>
      <c r="Q92" s="53">
        <f t="shared" si="10"/>
        <v>-255.40609962797134</v>
      </c>
      <c r="R92" s="34"/>
      <c r="S92" s="73">
        <f t="shared" si="11"/>
        <v>6709.858164833026</v>
      </c>
      <c r="T92" s="73">
        <f t="shared" si="12"/>
        <v>0</v>
      </c>
      <c r="U92" s="73">
        <f t="shared" si="13"/>
        <v>6965.264264460998</v>
      </c>
      <c r="V92" s="73">
        <f t="shared" si="14"/>
        <v>-255.40609962797134</v>
      </c>
    </row>
    <row r="93" spans="1:22" ht="12">
      <c r="A93" s="51">
        <v>2002</v>
      </c>
      <c r="B93" s="58" t="s">
        <v>56</v>
      </c>
      <c r="C93" s="53">
        <v>6657.028</v>
      </c>
      <c r="D93" s="53">
        <v>458.8512726334794</v>
      </c>
      <c r="E93" s="53">
        <v>102.86268470743016</v>
      </c>
      <c r="F93" s="53">
        <v>6095.314042659091</v>
      </c>
      <c r="G93" s="53">
        <v>145.928258</v>
      </c>
      <c r="H93" s="53">
        <v>149</v>
      </c>
      <c r="I93" s="53">
        <v>264.86032</v>
      </c>
      <c r="J93" s="53">
        <v>1778.8202180619999</v>
      </c>
      <c r="K93" s="53">
        <v>383.6373188</v>
      </c>
      <c r="L93" s="53">
        <v>357.181400564</v>
      </c>
      <c r="M93" s="53">
        <v>2153.7574616899997</v>
      </c>
      <c r="N93" s="53">
        <v>869</v>
      </c>
      <c r="O93" s="53">
        <v>35.353567625000004</v>
      </c>
      <c r="P93" s="53">
        <v>172.618621</v>
      </c>
      <c r="Q93" s="53">
        <f t="shared" si="10"/>
        <v>-214.84312308190874</v>
      </c>
      <c r="R93" s="34"/>
      <c r="S93" s="73">
        <f t="shared" si="11"/>
        <v>6095.314042659091</v>
      </c>
      <c r="T93" s="73">
        <f t="shared" si="12"/>
        <v>0</v>
      </c>
      <c r="U93" s="73">
        <f t="shared" si="13"/>
        <v>6310.1571657409995</v>
      </c>
      <c r="V93" s="73">
        <f t="shared" si="14"/>
        <v>-214.84312308190874</v>
      </c>
    </row>
    <row r="94" spans="1:22" ht="12">
      <c r="A94" s="51">
        <v>2002</v>
      </c>
      <c r="B94" s="61" t="s">
        <v>57</v>
      </c>
      <c r="C94" s="53">
        <v>7215.424</v>
      </c>
      <c r="D94" s="53">
        <v>517.4920902592083</v>
      </c>
      <c r="E94" s="53">
        <v>-23.361969329802378</v>
      </c>
      <c r="F94" s="53">
        <v>6721.293879070594</v>
      </c>
      <c r="G94" s="53">
        <v>178.80272799899998</v>
      </c>
      <c r="H94" s="53">
        <v>253</v>
      </c>
      <c r="I94" s="53">
        <v>242.47344500200003</v>
      </c>
      <c r="J94" s="53">
        <v>2015.1698492029998</v>
      </c>
      <c r="K94" s="53">
        <v>411.828027609</v>
      </c>
      <c r="L94" s="53">
        <v>407.471501347</v>
      </c>
      <c r="M94" s="53">
        <v>2399.6206542249997</v>
      </c>
      <c r="N94" s="53">
        <v>881</v>
      </c>
      <c r="O94" s="53">
        <v>52.82733437500001</v>
      </c>
      <c r="P94" s="53">
        <v>157.445108998</v>
      </c>
      <c r="Q94" s="53">
        <f t="shared" si="10"/>
        <v>-278.34476968740546</v>
      </c>
      <c r="R94" s="34"/>
      <c r="S94" s="73">
        <f t="shared" si="11"/>
        <v>6721.293879070594</v>
      </c>
      <c r="T94" s="73">
        <f t="shared" si="12"/>
        <v>0</v>
      </c>
      <c r="U94" s="73">
        <f t="shared" si="13"/>
        <v>6999.638648757999</v>
      </c>
      <c r="V94" s="73">
        <f t="shared" si="14"/>
        <v>-278.34476968740546</v>
      </c>
    </row>
    <row r="95" spans="1:22" ht="12">
      <c r="A95" s="51">
        <v>2002</v>
      </c>
      <c r="B95" s="61" t="s">
        <v>58</v>
      </c>
      <c r="C95" s="53">
        <v>7149.4890000000005</v>
      </c>
      <c r="D95" s="53">
        <v>441.45535760235873</v>
      </c>
      <c r="E95" s="53">
        <v>192.0883751694173</v>
      </c>
      <c r="F95" s="53">
        <v>6515.945267228224</v>
      </c>
      <c r="G95" s="53">
        <v>187.437717001</v>
      </c>
      <c r="H95" s="53">
        <v>182</v>
      </c>
      <c r="I95" s="53">
        <v>244.123532997</v>
      </c>
      <c r="J95" s="53">
        <v>1899.3863338499998</v>
      </c>
      <c r="K95" s="53">
        <v>390.406720845</v>
      </c>
      <c r="L95" s="53">
        <v>256.848583933</v>
      </c>
      <c r="M95" s="53">
        <v>2428.5787580779997</v>
      </c>
      <c r="N95" s="53">
        <v>837</v>
      </c>
      <c r="O95" s="53">
        <v>45.348381918</v>
      </c>
      <c r="P95" s="53">
        <v>169.48981500200003</v>
      </c>
      <c r="Q95" s="53">
        <f t="shared" si="10"/>
        <v>-124.67457639577515</v>
      </c>
      <c r="R95" s="34"/>
      <c r="S95" s="73">
        <f t="shared" si="11"/>
        <v>6515.945267228224</v>
      </c>
      <c r="T95" s="73">
        <f t="shared" si="12"/>
        <v>0</v>
      </c>
      <c r="U95" s="73">
        <f t="shared" si="13"/>
        <v>6640.619843623999</v>
      </c>
      <c r="V95" s="73">
        <f t="shared" si="14"/>
        <v>-124.67457639577515</v>
      </c>
    </row>
    <row r="96" spans="1:22" ht="12">
      <c r="A96" s="51">
        <v>2002</v>
      </c>
      <c r="B96" s="62" t="s">
        <v>59</v>
      </c>
      <c r="C96" s="53">
        <v>7027.407999999999</v>
      </c>
      <c r="D96" s="53">
        <v>481.40513988055926</v>
      </c>
      <c r="E96" s="53">
        <v>-28.17709830113472</v>
      </c>
      <c r="F96" s="53">
        <v>6574.179958420575</v>
      </c>
      <c r="G96" s="53">
        <v>199.169151</v>
      </c>
      <c r="H96" s="53">
        <v>308</v>
      </c>
      <c r="I96" s="53">
        <v>227.62543700100002</v>
      </c>
      <c r="J96" s="53">
        <v>1971.9161434230002</v>
      </c>
      <c r="K96" s="53">
        <v>476.81103780999996</v>
      </c>
      <c r="L96" s="53">
        <v>240.510339078</v>
      </c>
      <c r="M96" s="53">
        <v>2345.9692276179994</v>
      </c>
      <c r="N96" s="53">
        <v>980</v>
      </c>
      <c r="O96" s="53">
        <v>33.816775556999985</v>
      </c>
      <c r="P96" s="53">
        <v>157.18681099999998</v>
      </c>
      <c r="Q96" s="53">
        <f t="shared" si="10"/>
        <v>-366.8249640664244</v>
      </c>
      <c r="R96" s="34"/>
      <c r="S96" s="73">
        <f t="shared" si="11"/>
        <v>6574.179958420575</v>
      </c>
      <c r="T96" s="73">
        <f t="shared" si="12"/>
        <v>0</v>
      </c>
      <c r="U96" s="73">
        <f t="shared" si="13"/>
        <v>6941.004922486999</v>
      </c>
      <c r="V96" s="73">
        <f t="shared" si="14"/>
        <v>-366.8249640664244</v>
      </c>
    </row>
    <row r="97" spans="1:22" ht="12">
      <c r="A97" s="51">
        <v>2002</v>
      </c>
      <c r="B97" s="58" t="s">
        <v>60</v>
      </c>
      <c r="C97" s="53">
        <v>6732.965</v>
      </c>
      <c r="D97" s="53">
        <v>437.9109106145382</v>
      </c>
      <c r="E97" s="53">
        <v>84.31308664843436</v>
      </c>
      <c r="F97" s="53">
        <v>6210.741002737028</v>
      </c>
      <c r="G97" s="53">
        <v>196.263661</v>
      </c>
      <c r="H97" s="53">
        <v>303</v>
      </c>
      <c r="I97" s="53">
        <v>206.02197299899998</v>
      </c>
      <c r="J97" s="53">
        <v>1852.700513871</v>
      </c>
      <c r="K97" s="53">
        <v>538.5246348999999</v>
      </c>
      <c r="L97" s="53">
        <v>200.19719144500002</v>
      </c>
      <c r="M97" s="53">
        <v>2310.039383068</v>
      </c>
      <c r="N97" s="53">
        <v>666</v>
      </c>
      <c r="O97" s="53">
        <v>56.746837411000016</v>
      </c>
      <c r="P97" s="53">
        <v>172.016107</v>
      </c>
      <c r="Q97" s="53">
        <f t="shared" si="10"/>
        <v>-290.7692989569732</v>
      </c>
      <c r="R97" s="34"/>
      <c r="S97" s="73">
        <f t="shared" si="11"/>
        <v>6210.741002737028</v>
      </c>
      <c r="T97" s="73">
        <f t="shared" si="12"/>
        <v>0</v>
      </c>
      <c r="U97" s="73">
        <f t="shared" si="13"/>
        <v>6501.510301694001</v>
      </c>
      <c r="V97" s="73">
        <f t="shared" si="14"/>
        <v>-290.7692989569732</v>
      </c>
    </row>
    <row r="98" spans="1:22" ht="12">
      <c r="A98" s="51">
        <v>2002</v>
      </c>
      <c r="B98" s="59" t="s">
        <v>61</v>
      </c>
      <c r="C98" s="53">
        <v>7403.209000000001</v>
      </c>
      <c r="D98" s="53">
        <v>411.44710504453457</v>
      </c>
      <c r="E98" s="53">
        <v>-5.376307702861595</v>
      </c>
      <c r="F98" s="53">
        <v>6997.138202658328</v>
      </c>
      <c r="G98" s="53">
        <v>212.950131998</v>
      </c>
      <c r="H98" s="53">
        <v>314</v>
      </c>
      <c r="I98" s="53">
        <v>261.506424003</v>
      </c>
      <c r="J98" s="53">
        <v>1976.252865895</v>
      </c>
      <c r="K98" s="53">
        <v>555.014640756</v>
      </c>
      <c r="L98" s="53">
        <v>162.93483418499997</v>
      </c>
      <c r="M98" s="53">
        <v>2566.9383076380004</v>
      </c>
      <c r="N98" s="53">
        <v>918</v>
      </c>
      <c r="O98" s="53">
        <v>49.827413472</v>
      </c>
      <c r="P98" s="53">
        <v>204.54023600099998</v>
      </c>
      <c r="Q98" s="53">
        <f t="shared" si="10"/>
        <v>-224.82665128967346</v>
      </c>
      <c r="R98" s="34"/>
      <c r="S98" s="73">
        <f t="shared" si="11"/>
        <v>6997.138202658328</v>
      </c>
      <c r="T98" s="73">
        <f t="shared" si="12"/>
        <v>0</v>
      </c>
      <c r="U98" s="73">
        <f t="shared" si="13"/>
        <v>7221.964853948001</v>
      </c>
      <c r="V98" s="73">
        <f t="shared" si="14"/>
        <v>-224.82665128967346</v>
      </c>
    </row>
    <row r="99" spans="1:22" ht="12">
      <c r="A99" s="51">
        <v>2002</v>
      </c>
      <c r="B99" s="58" t="s">
        <v>62</v>
      </c>
      <c r="C99" s="53">
        <v>7222.035999999999</v>
      </c>
      <c r="D99" s="53">
        <v>516.9538046280085</v>
      </c>
      <c r="E99" s="53">
        <v>128.5379518768441</v>
      </c>
      <c r="F99" s="53">
        <v>6576.5442434951465</v>
      </c>
      <c r="G99" s="53">
        <v>200.63217600200002</v>
      </c>
      <c r="H99" s="53">
        <v>242</v>
      </c>
      <c r="I99" s="53">
        <v>312.306500999</v>
      </c>
      <c r="J99" s="53">
        <v>1940.686319431</v>
      </c>
      <c r="K99" s="53">
        <v>459.34370924</v>
      </c>
      <c r="L99" s="53">
        <v>204.385728161</v>
      </c>
      <c r="M99" s="53">
        <v>2423.0349556740002</v>
      </c>
      <c r="N99" s="53">
        <v>809</v>
      </c>
      <c r="O99" s="53">
        <v>64.08891881699998</v>
      </c>
      <c r="P99" s="53">
        <v>194.583711999</v>
      </c>
      <c r="Q99" s="53">
        <f t="shared" si="10"/>
        <v>-273.5177768278536</v>
      </c>
      <c r="R99" s="34"/>
      <c r="S99" s="73">
        <f t="shared" si="11"/>
        <v>6576.5442434951465</v>
      </c>
      <c r="T99" s="73">
        <f t="shared" si="12"/>
        <v>0</v>
      </c>
      <c r="U99" s="73">
        <f t="shared" si="13"/>
        <v>6850.062020323</v>
      </c>
      <c r="V99" s="73">
        <f t="shared" si="14"/>
        <v>-273.5177768278536</v>
      </c>
    </row>
    <row r="100" spans="1:22" ht="12">
      <c r="A100" s="51">
        <v>2002</v>
      </c>
      <c r="B100" s="63" t="s">
        <v>63</v>
      </c>
      <c r="C100" s="53">
        <v>7186.955</v>
      </c>
      <c r="D100" s="53">
        <v>520.8511505209361</v>
      </c>
      <c r="E100" s="53">
        <v>107.44250281024324</v>
      </c>
      <c r="F100" s="53">
        <v>6558.66134666882</v>
      </c>
      <c r="G100" s="53">
        <v>153.143268995</v>
      </c>
      <c r="H100" s="53">
        <v>242</v>
      </c>
      <c r="I100" s="53">
        <v>237.761466</v>
      </c>
      <c r="J100" s="53">
        <v>2011.253470863</v>
      </c>
      <c r="K100" s="53">
        <v>432.530593481</v>
      </c>
      <c r="L100" s="53">
        <v>325.178193478</v>
      </c>
      <c r="M100" s="53">
        <v>2404.016520595</v>
      </c>
      <c r="N100" s="53">
        <v>853</v>
      </c>
      <c r="O100" s="53">
        <v>17.171053113999996</v>
      </c>
      <c r="P100" s="53">
        <v>177.84983366199998</v>
      </c>
      <c r="Q100" s="53">
        <f t="shared" si="10"/>
        <v>-295.24305351917883</v>
      </c>
      <c r="R100" s="34"/>
      <c r="S100" s="73">
        <f t="shared" si="11"/>
        <v>6558.66134666882</v>
      </c>
      <c r="T100" s="73">
        <f t="shared" si="12"/>
        <v>0</v>
      </c>
      <c r="U100" s="73">
        <f t="shared" si="13"/>
        <v>6853.904400187999</v>
      </c>
      <c r="V100" s="73">
        <f t="shared" si="14"/>
        <v>-295.24305351917883</v>
      </c>
    </row>
    <row r="101" spans="1:22" ht="12">
      <c r="A101" s="51">
        <v>2002</v>
      </c>
      <c r="B101" s="59" t="s">
        <v>64</v>
      </c>
      <c r="C101" s="53">
        <v>6464.858</v>
      </c>
      <c r="D101" s="53">
        <v>507.0257611501491</v>
      </c>
      <c r="E101" s="53">
        <v>1.1576604730362305</v>
      </c>
      <c r="F101" s="53">
        <v>5956.674578376815</v>
      </c>
      <c r="G101" s="53">
        <v>139.40769400399998</v>
      </c>
      <c r="H101" s="53">
        <v>198</v>
      </c>
      <c r="I101" s="53">
        <v>290.85324599899997</v>
      </c>
      <c r="J101" s="53">
        <v>1815.973085921</v>
      </c>
      <c r="K101" s="53">
        <v>500.019192958</v>
      </c>
      <c r="L101" s="53">
        <v>247.035794472</v>
      </c>
      <c r="M101" s="53">
        <v>2080.767804319</v>
      </c>
      <c r="N101" s="53">
        <v>796</v>
      </c>
      <c r="O101" s="53">
        <v>18.528075684999987</v>
      </c>
      <c r="P101" s="53">
        <v>191.17931643499998</v>
      </c>
      <c r="Q101" s="53">
        <f t="shared" si="10"/>
        <v>-321.0896314161846</v>
      </c>
      <c r="R101" s="34"/>
      <c r="S101" s="73">
        <f t="shared" si="11"/>
        <v>5956.674578376815</v>
      </c>
      <c r="T101" s="73">
        <f t="shared" si="12"/>
        <v>0</v>
      </c>
      <c r="U101" s="73">
        <f t="shared" si="13"/>
        <v>6277.764209792999</v>
      </c>
      <c r="V101" s="73">
        <f t="shared" si="14"/>
        <v>-321.0896314161846</v>
      </c>
    </row>
    <row r="102" spans="1:22" ht="12">
      <c r="A102" s="51">
        <v>2002</v>
      </c>
      <c r="B102" s="58" t="s">
        <v>65</v>
      </c>
      <c r="C102" s="53">
        <v>6954.143</v>
      </c>
      <c r="D102" s="53">
        <v>421.5098035565546</v>
      </c>
      <c r="E102" s="53">
        <v>90.87765340094575</v>
      </c>
      <c r="F102" s="53">
        <v>6441.7555430425</v>
      </c>
      <c r="G102" s="53">
        <v>157.150806002</v>
      </c>
      <c r="H102" s="53">
        <v>264</v>
      </c>
      <c r="I102" s="53">
        <v>294.499299</v>
      </c>
      <c r="J102" s="53">
        <v>1727.9846703090002</v>
      </c>
      <c r="K102" s="53">
        <v>438.65418923100003</v>
      </c>
      <c r="L102" s="53">
        <v>298.09191723799995</v>
      </c>
      <c r="M102" s="53">
        <v>2289.2953057310006</v>
      </c>
      <c r="N102" s="53">
        <v>1029</v>
      </c>
      <c r="O102" s="53">
        <v>43.390560054</v>
      </c>
      <c r="P102" s="53">
        <v>152.10869978999997</v>
      </c>
      <c r="Q102" s="53">
        <f t="shared" si="10"/>
        <v>-252.41990431250088</v>
      </c>
      <c r="R102" s="34"/>
      <c r="S102" s="73">
        <f t="shared" si="11"/>
        <v>6441.7555430425</v>
      </c>
      <c r="T102" s="73">
        <f t="shared" si="12"/>
        <v>0</v>
      </c>
      <c r="U102" s="73">
        <f t="shared" si="13"/>
        <v>6694.175447355001</v>
      </c>
      <c r="V102" s="73">
        <f t="shared" si="14"/>
        <v>-252.41990431250088</v>
      </c>
    </row>
    <row r="103" spans="1:22" ht="12">
      <c r="A103" s="51">
        <v>2002</v>
      </c>
      <c r="B103" s="58" t="s">
        <v>66</v>
      </c>
      <c r="C103" s="53">
        <v>7507.238</v>
      </c>
      <c r="D103" s="53">
        <v>481.0527548920065</v>
      </c>
      <c r="E103" s="53">
        <v>65.65099566580466</v>
      </c>
      <c r="F103" s="53">
        <v>6960.534249442189</v>
      </c>
      <c r="G103" s="53">
        <v>208.01580999799998</v>
      </c>
      <c r="H103" s="53">
        <v>248</v>
      </c>
      <c r="I103" s="53">
        <v>330.01163899999995</v>
      </c>
      <c r="J103" s="53">
        <v>1971.2613271690002</v>
      </c>
      <c r="K103" s="53">
        <v>414.683466417</v>
      </c>
      <c r="L103" s="53">
        <v>385.26059711</v>
      </c>
      <c r="M103" s="53">
        <v>2569.7945244340003</v>
      </c>
      <c r="N103" s="53">
        <v>929</v>
      </c>
      <c r="O103" s="53">
        <v>51.274184152</v>
      </c>
      <c r="P103" s="53">
        <v>122.140256813</v>
      </c>
      <c r="Q103" s="53">
        <f t="shared" si="10"/>
        <v>-268.90755565081054</v>
      </c>
      <c r="R103" s="34"/>
      <c r="S103" s="73">
        <f t="shared" si="11"/>
        <v>6960.534249442189</v>
      </c>
      <c r="T103" s="73">
        <f t="shared" si="12"/>
        <v>0</v>
      </c>
      <c r="U103" s="73">
        <f t="shared" si="13"/>
        <v>7229.441805093</v>
      </c>
      <c r="V103" s="73">
        <f t="shared" si="14"/>
        <v>-268.90755565081054</v>
      </c>
    </row>
    <row r="104" spans="1:22" ht="12">
      <c r="A104" s="51">
        <v>2003</v>
      </c>
      <c r="B104" s="58" t="s">
        <v>55</v>
      </c>
      <c r="C104" s="53">
        <v>6854.121963062692</v>
      </c>
      <c r="D104" s="53">
        <v>520.0270123641214</v>
      </c>
      <c r="E104" s="53">
        <v>-353.332107749864</v>
      </c>
      <c r="F104" s="53">
        <v>6687.427058448435</v>
      </c>
      <c r="G104" s="53">
        <v>207.64706167539197</v>
      </c>
      <c r="H104" s="53">
        <v>211</v>
      </c>
      <c r="I104" s="53">
        <v>339.9990392706223</v>
      </c>
      <c r="J104" s="53">
        <v>2005.9630365184257</v>
      </c>
      <c r="K104" s="53">
        <v>327.8617173975668</v>
      </c>
      <c r="L104" s="53">
        <v>469.5319013052741</v>
      </c>
      <c r="M104" s="53">
        <v>2230.295677215895</v>
      </c>
      <c r="N104" s="53">
        <v>959.3931062480693</v>
      </c>
      <c r="O104" s="53">
        <v>45.25085532</v>
      </c>
      <c r="P104" s="53">
        <v>51.01843746350514</v>
      </c>
      <c r="Q104" s="53">
        <f aca="true" t="shared" si="15" ref="Q104:Q135">+F104-SUM(G104:P104)</f>
        <v>-160.5337739663155</v>
      </c>
      <c r="R104" s="34"/>
      <c r="S104" s="73">
        <f aca="true" t="shared" si="16" ref="S104:S138">+C104-D104-E104</f>
        <v>6687.427058448435</v>
      </c>
      <c r="T104" s="73">
        <f aca="true" t="shared" si="17" ref="T104:T135">+F104-S104</f>
        <v>0</v>
      </c>
      <c r="U104" s="73">
        <f aca="true" t="shared" si="18" ref="U104:U138">SUM(G104:P104)</f>
        <v>6847.96083241475</v>
      </c>
      <c r="V104" s="73">
        <f aca="true" t="shared" si="19" ref="V104:V135">+F104-U104</f>
        <v>-160.5337739663155</v>
      </c>
    </row>
    <row r="105" spans="1:22" ht="12">
      <c r="A105" s="51">
        <v>2003</v>
      </c>
      <c r="B105" s="58" t="s">
        <v>56</v>
      </c>
      <c r="C105" s="53">
        <v>7024.414872989754</v>
      </c>
      <c r="D105" s="53">
        <v>489.4378586240868</v>
      </c>
      <c r="E105" s="53">
        <v>224.79617288788177</v>
      </c>
      <c r="F105" s="53">
        <v>6310.180841477786</v>
      </c>
      <c r="G105" s="53">
        <v>168.18558643443924</v>
      </c>
      <c r="H105" s="53">
        <v>198</v>
      </c>
      <c r="I105" s="53">
        <v>285.23420316642546</v>
      </c>
      <c r="J105" s="53">
        <v>1848.277297957005</v>
      </c>
      <c r="K105" s="53">
        <v>331.12555179935976</v>
      </c>
      <c r="L105" s="53">
        <v>405.90167233132036</v>
      </c>
      <c r="M105" s="53">
        <v>2111.8638475813223</v>
      </c>
      <c r="N105" s="53">
        <v>983.1400758326633</v>
      </c>
      <c r="O105" s="53">
        <v>58.68949758700001</v>
      </c>
      <c r="P105" s="53">
        <v>144.3901324801971</v>
      </c>
      <c r="Q105" s="53">
        <f t="shared" si="15"/>
        <v>-224.6270236919463</v>
      </c>
      <c r="R105" s="34"/>
      <c r="S105" s="73">
        <f t="shared" si="16"/>
        <v>6310.180841477786</v>
      </c>
      <c r="T105" s="73">
        <f t="shared" si="17"/>
        <v>0</v>
      </c>
      <c r="U105" s="73">
        <f t="shared" si="18"/>
        <v>6534.807865169732</v>
      </c>
      <c r="V105" s="73">
        <f t="shared" si="19"/>
        <v>-224.6270236919463</v>
      </c>
    </row>
    <row r="106" spans="1:22" ht="12">
      <c r="A106" s="51">
        <v>2003</v>
      </c>
      <c r="B106" s="58" t="s">
        <v>57</v>
      </c>
      <c r="C106" s="53">
        <v>7240.712628031566</v>
      </c>
      <c r="D106" s="53">
        <v>478.31989966623496</v>
      </c>
      <c r="E106" s="53">
        <v>-227.3959864737135</v>
      </c>
      <c r="F106" s="53">
        <v>6989.788714839045</v>
      </c>
      <c r="G106" s="53">
        <v>194.59004033814836</v>
      </c>
      <c r="H106" s="53">
        <v>211</v>
      </c>
      <c r="I106" s="53">
        <v>392.44145469898695</v>
      </c>
      <c r="J106" s="53">
        <v>1963.3874462075344</v>
      </c>
      <c r="K106" s="53">
        <v>453.49650886484494</v>
      </c>
      <c r="L106" s="53">
        <v>349.931639124224</v>
      </c>
      <c r="M106" s="53">
        <v>2459.6359300529834</v>
      </c>
      <c r="N106" s="53">
        <v>971.0607736077104</v>
      </c>
      <c r="O106" s="53">
        <v>29.765974492999998</v>
      </c>
      <c r="P106" s="53">
        <v>157.48921648959345</v>
      </c>
      <c r="Q106" s="53">
        <f t="shared" si="15"/>
        <v>-193.01026903798083</v>
      </c>
      <c r="R106" s="34"/>
      <c r="S106" s="73">
        <f t="shared" si="16"/>
        <v>6989.788714839045</v>
      </c>
      <c r="T106" s="73">
        <f t="shared" si="17"/>
        <v>0</v>
      </c>
      <c r="U106" s="73">
        <f t="shared" si="18"/>
        <v>7182.798983877025</v>
      </c>
      <c r="V106" s="73">
        <f t="shared" si="19"/>
        <v>-193.01026903798083</v>
      </c>
    </row>
    <row r="107" spans="1:22" ht="12">
      <c r="A107" s="51">
        <v>2003</v>
      </c>
      <c r="B107" s="58" t="s">
        <v>58</v>
      </c>
      <c r="C107" s="53">
        <v>7117.028359023923</v>
      </c>
      <c r="D107" s="53">
        <v>438.5792671132324</v>
      </c>
      <c r="E107" s="53">
        <v>38.76591470594758</v>
      </c>
      <c r="F107" s="53">
        <v>6639.6831772047435</v>
      </c>
      <c r="G107" s="53">
        <v>205.68328121046966</v>
      </c>
      <c r="H107" s="53">
        <v>413</v>
      </c>
      <c r="I107" s="53">
        <v>348.5115254124458</v>
      </c>
      <c r="J107" s="53">
        <v>1896.6459386575204</v>
      </c>
      <c r="K107" s="53">
        <v>519.1950563759392</v>
      </c>
      <c r="L107" s="53">
        <v>234.53769925068232</v>
      </c>
      <c r="M107" s="53">
        <v>2384.011922487586</v>
      </c>
      <c r="N107" s="53">
        <v>887.292805325403</v>
      </c>
      <c r="O107" s="53">
        <v>45.435994601</v>
      </c>
      <c r="P107" s="53">
        <v>87.85549592636345</v>
      </c>
      <c r="Q107" s="53">
        <f t="shared" si="15"/>
        <v>-382.48654204266586</v>
      </c>
      <c r="R107" s="34"/>
      <c r="S107" s="73">
        <f t="shared" si="16"/>
        <v>6639.6831772047435</v>
      </c>
      <c r="T107" s="73">
        <f t="shared" si="17"/>
        <v>0</v>
      </c>
      <c r="U107" s="73">
        <f t="shared" si="18"/>
        <v>7022.169719247409</v>
      </c>
      <c r="V107" s="73">
        <f t="shared" si="19"/>
        <v>-382.48654204266586</v>
      </c>
    </row>
    <row r="108" spans="1:22" ht="12">
      <c r="A108" s="51">
        <v>2003</v>
      </c>
      <c r="B108" s="58" t="s">
        <v>59</v>
      </c>
      <c r="C108" s="53">
        <v>7889.552181533408</v>
      </c>
      <c r="D108" s="53">
        <v>460.0053149903563</v>
      </c>
      <c r="E108" s="53">
        <v>202.19781117593993</v>
      </c>
      <c r="F108" s="53">
        <v>7227.349055367112</v>
      </c>
      <c r="G108" s="53">
        <v>240.46053075764843</v>
      </c>
      <c r="H108" s="53">
        <v>206</v>
      </c>
      <c r="I108" s="53">
        <v>281.0908983314037</v>
      </c>
      <c r="J108" s="53">
        <v>2007.0790838100602</v>
      </c>
      <c r="K108" s="53">
        <v>548.8276169258912</v>
      </c>
      <c r="L108" s="53">
        <v>229.29045883617752</v>
      </c>
      <c r="M108" s="53">
        <v>2517.557647867278</v>
      </c>
      <c r="N108" s="53">
        <v>925.2717229780553</v>
      </c>
      <c r="O108" s="53">
        <v>48.900728732999994</v>
      </c>
      <c r="P108" s="53">
        <v>340.4164650533573</v>
      </c>
      <c r="Q108" s="53">
        <f t="shared" si="15"/>
        <v>-117.54609792575957</v>
      </c>
      <c r="R108" s="34"/>
      <c r="S108" s="73">
        <f t="shared" si="16"/>
        <v>7227.349055367112</v>
      </c>
      <c r="T108" s="73">
        <f t="shared" si="17"/>
        <v>0</v>
      </c>
      <c r="U108" s="73">
        <f t="shared" si="18"/>
        <v>7344.895153292871</v>
      </c>
      <c r="V108" s="73">
        <f t="shared" si="19"/>
        <v>-117.54609792575957</v>
      </c>
    </row>
    <row r="109" spans="1:22" ht="12">
      <c r="A109" s="51">
        <v>2003</v>
      </c>
      <c r="B109" s="58" t="s">
        <v>60</v>
      </c>
      <c r="C109" s="53">
        <v>6839.427824966361</v>
      </c>
      <c r="D109" s="53">
        <v>431.9285692040406</v>
      </c>
      <c r="E109" s="53">
        <v>-85.4824572558864</v>
      </c>
      <c r="F109" s="53">
        <v>6492.981713018207</v>
      </c>
      <c r="G109" s="53">
        <v>234.2565159337565</v>
      </c>
      <c r="H109" s="53">
        <v>198</v>
      </c>
      <c r="I109" s="53">
        <v>258.0659386555716</v>
      </c>
      <c r="J109" s="53">
        <v>1886.3726148565327</v>
      </c>
      <c r="K109" s="53">
        <v>465.5560198722566</v>
      </c>
      <c r="L109" s="53">
        <v>173.35128421018138</v>
      </c>
      <c r="M109" s="53">
        <v>2372.7677969439887</v>
      </c>
      <c r="N109" s="53">
        <v>934.9165372627045</v>
      </c>
      <c r="O109" s="53">
        <v>42.47030963700001</v>
      </c>
      <c r="P109" s="53">
        <v>133.54456108925461</v>
      </c>
      <c r="Q109" s="53">
        <f t="shared" si="15"/>
        <v>-206.31986544304073</v>
      </c>
      <c r="R109" s="34"/>
      <c r="S109" s="73">
        <f t="shared" si="16"/>
        <v>6492.981713018207</v>
      </c>
      <c r="T109" s="73">
        <f t="shared" si="17"/>
        <v>0</v>
      </c>
      <c r="U109" s="73">
        <f t="shared" si="18"/>
        <v>6699.301578461248</v>
      </c>
      <c r="V109" s="73">
        <f t="shared" si="19"/>
        <v>-206.31986544304073</v>
      </c>
    </row>
    <row r="110" spans="1:22" ht="12">
      <c r="A110" s="51">
        <v>2003</v>
      </c>
      <c r="B110" s="58" t="s">
        <v>61</v>
      </c>
      <c r="C110" s="53">
        <v>6699.676830710391</v>
      </c>
      <c r="D110" s="53">
        <v>475.25746841433994</v>
      </c>
      <c r="E110" s="53">
        <v>65.64551062298688</v>
      </c>
      <c r="F110" s="53">
        <v>6158.773851673064</v>
      </c>
      <c r="G110" s="53">
        <v>227.59879428726788</v>
      </c>
      <c r="H110" s="53">
        <v>168</v>
      </c>
      <c r="I110" s="53">
        <v>312.7393431490593</v>
      </c>
      <c r="J110" s="53">
        <v>1766.6940986246768</v>
      </c>
      <c r="K110" s="53">
        <v>476.32492536082816</v>
      </c>
      <c r="L110" s="53">
        <v>177.35110681909197</v>
      </c>
      <c r="M110" s="53">
        <v>2193.9237193485833</v>
      </c>
      <c r="N110" s="53">
        <v>812.0692578164679</v>
      </c>
      <c r="O110" s="53">
        <v>53.13065087899998</v>
      </c>
      <c r="P110" s="53">
        <v>169.57822925880083</v>
      </c>
      <c r="Q110" s="53">
        <f t="shared" si="15"/>
        <v>-198.636273870713</v>
      </c>
      <c r="R110" s="34"/>
      <c r="S110" s="73">
        <f t="shared" si="16"/>
        <v>6158.773851673064</v>
      </c>
      <c r="T110" s="73">
        <f t="shared" si="17"/>
        <v>0</v>
      </c>
      <c r="U110" s="73">
        <f t="shared" si="18"/>
        <v>6357.410125543777</v>
      </c>
      <c r="V110" s="73">
        <f t="shared" si="19"/>
        <v>-198.636273870713</v>
      </c>
    </row>
    <row r="111" spans="1:22" ht="12">
      <c r="A111" s="51">
        <v>2003</v>
      </c>
      <c r="B111" s="58" t="s">
        <v>62</v>
      </c>
      <c r="C111" s="53">
        <v>7478.402073295469</v>
      </c>
      <c r="D111" s="53">
        <v>473.99233659870106</v>
      </c>
      <c r="E111" s="53">
        <v>95.77193427381462</v>
      </c>
      <c r="F111" s="53">
        <v>6908.6378024229525</v>
      </c>
      <c r="G111" s="53">
        <v>193.35505398232277</v>
      </c>
      <c r="H111" s="53">
        <v>235</v>
      </c>
      <c r="I111" s="53">
        <v>212.37271190216086</v>
      </c>
      <c r="J111" s="53">
        <v>2005.5609332910874</v>
      </c>
      <c r="K111" s="53">
        <v>549.212735534713</v>
      </c>
      <c r="L111" s="53">
        <v>201.6374697877672</v>
      </c>
      <c r="M111" s="53">
        <v>2478.8596280921156</v>
      </c>
      <c r="N111" s="53">
        <v>997.5394676088936</v>
      </c>
      <c r="O111" s="53">
        <v>48.19697903864225</v>
      </c>
      <c r="P111" s="53">
        <v>165.66024911487125</v>
      </c>
      <c r="Q111" s="53">
        <f t="shared" si="15"/>
        <v>-178.7574259296216</v>
      </c>
      <c r="R111" s="34"/>
      <c r="S111" s="73">
        <f t="shared" si="16"/>
        <v>6908.6378024229525</v>
      </c>
      <c r="T111" s="73">
        <f t="shared" si="17"/>
        <v>0</v>
      </c>
      <c r="U111" s="73">
        <f t="shared" si="18"/>
        <v>7087.395228352574</v>
      </c>
      <c r="V111" s="73">
        <f t="shared" si="19"/>
        <v>-178.7574259296216</v>
      </c>
    </row>
    <row r="112" spans="1:22" ht="12">
      <c r="A112" s="51">
        <v>2003</v>
      </c>
      <c r="B112" s="58" t="s">
        <v>63</v>
      </c>
      <c r="C112" s="53">
        <v>6496.3388572104905</v>
      </c>
      <c r="D112" s="53">
        <v>415.5438496384179</v>
      </c>
      <c r="E112" s="53">
        <v>43.823386256655795</v>
      </c>
      <c r="F112" s="53">
        <v>6036.971621315417</v>
      </c>
      <c r="G112" s="53">
        <v>148.96904920183047</v>
      </c>
      <c r="H112" s="53">
        <v>194</v>
      </c>
      <c r="I112" s="53">
        <v>263.17776302994355</v>
      </c>
      <c r="J112" s="53">
        <v>1698.830673685841</v>
      </c>
      <c r="K112" s="53">
        <v>442.95140562829016</v>
      </c>
      <c r="L112" s="53">
        <v>277.43799430855967</v>
      </c>
      <c r="M112" s="53">
        <v>2000.7965570154572</v>
      </c>
      <c r="N112" s="53">
        <v>920.744845655904</v>
      </c>
      <c r="O112" s="53">
        <v>47.356572157</v>
      </c>
      <c r="P112" s="53">
        <v>224.54442472048663</v>
      </c>
      <c r="Q112" s="53">
        <f t="shared" si="15"/>
        <v>-181.83766408789597</v>
      </c>
      <c r="R112" s="34"/>
      <c r="S112" s="73">
        <f t="shared" si="16"/>
        <v>6036.971621315417</v>
      </c>
      <c r="T112" s="73">
        <f t="shared" si="17"/>
        <v>0</v>
      </c>
      <c r="U112" s="73">
        <f t="shared" si="18"/>
        <v>6218.809285403313</v>
      </c>
      <c r="V112" s="73">
        <f t="shared" si="19"/>
        <v>-181.83766408789597</v>
      </c>
    </row>
    <row r="113" spans="1:22" ht="12">
      <c r="A113" s="51">
        <v>2003</v>
      </c>
      <c r="B113" s="58" t="s">
        <v>64</v>
      </c>
      <c r="C113" s="53">
        <v>6644.6563983254655</v>
      </c>
      <c r="D113" s="53">
        <v>426.9376295828687</v>
      </c>
      <c r="E113" s="53">
        <v>-26.58623425224232</v>
      </c>
      <c r="F113" s="53">
        <v>6244.305002994839</v>
      </c>
      <c r="G113" s="53">
        <v>170.24028586773085</v>
      </c>
      <c r="H113" s="53">
        <v>305</v>
      </c>
      <c r="I113" s="53">
        <v>295.86059736613595</v>
      </c>
      <c r="J113" s="53">
        <v>1808.7444153105077</v>
      </c>
      <c r="K113" s="53">
        <v>409.19119616750123</v>
      </c>
      <c r="L113" s="53">
        <v>267.4570212899604</v>
      </c>
      <c r="M113" s="53">
        <v>2204.424841879558</v>
      </c>
      <c r="N113" s="53">
        <v>874.3871170521231</v>
      </c>
      <c r="O113" s="53">
        <v>51.18219380152227</v>
      </c>
      <c r="P113" s="53">
        <v>139.45582330796523</v>
      </c>
      <c r="Q113" s="53">
        <f t="shared" si="15"/>
        <v>-281.63848904816496</v>
      </c>
      <c r="R113" s="34"/>
      <c r="S113" s="73">
        <f t="shared" si="16"/>
        <v>6244.305002994839</v>
      </c>
      <c r="T113" s="73">
        <f t="shared" si="17"/>
        <v>0</v>
      </c>
      <c r="U113" s="73">
        <f t="shared" si="18"/>
        <v>6525.943492043004</v>
      </c>
      <c r="V113" s="73">
        <f t="shared" si="19"/>
        <v>-281.63848904816496</v>
      </c>
    </row>
    <row r="114" spans="1:22" ht="12">
      <c r="A114" s="51">
        <v>2003</v>
      </c>
      <c r="B114" s="58" t="s">
        <v>65</v>
      </c>
      <c r="C114" s="53">
        <v>6940.069171038436</v>
      </c>
      <c r="D114" s="53">
        <v>447.49347050622913</v>
      </c>
      <c r="E114" s="53">
        <v>59.7521745480899</v>
      </c>
      <c r="F114" s="53">
        <v>6432.823525984118</v>
      </c>
      <c r="G114" s="53">
        <v>157.66146814566545</v>
      </c>
      <c r="H114" s="53">
        <v>262</v>
      </c>
      <c r="I114" s="53">
        <v>255.4069502676223</v>
      </c>
      <c r="J114" s="53">
        <v>1810.2667646117236</v>
      </c>
      <c r="K114" s="53">
        <v>362.4897338461543</v>
      </c>
      <c r="L114" s="53">
        <v>317.15980325111866</v>
      </c>
      <c r="M114" s="53">
        <v>2200.1110622343986</v>
      </c>
      <c r="N114" s="53">
        <v>1164.219931022224</v>
      </c>
      <c r="O114" s="53">
        <v>60.34708687151092</v>
      </c>
      <c r="P114" s="53">
        <v>147.35893213172454</v>
      </c>
      <c r="Q114" s="53">
        <f t="shared" si="15"/>
        <v>-304.1982063980249</v>
      </c>
      <c r="R114" s="34"/>
      <c r="S114" s="73">
        <f t="shared" si="16"/>
        <v>6432.823525984118</v>
      </c>
      <c r="T114" s="73">
        <f t="shared" si="17"/>
        <v>0</v>
      </c>
      <c r="U114" s="73">
        <f t="shared" si="18"/>
        <v>6737.0217323821425</v>
      </c>
      <c r="V114" s="73">
        <f t="shared" si="19"/>
        <v>-304.1982063980249</v>
      </c>
    </row>
    <row r="115" spans="1:22" ht="12">
      <c r="A115" s="51">
        <v>2003</v>
      </c>
      <c r="B115" s="58" t="s">
        <v>66</v>
      </c>
      <c r="C115" s="53">
        <v>7360.598839812048</v>
      </c>
      <c r="D115" s="53">
        <v>470.50338206121785</v>
      </c>
      <c r="E115" s="53">
        <v>18.12901326102292</v>
      </c>
      <c r="F115" s="53">
        <v>6871.966444489807</v>
      </c>
      <c r="G115" s="53">
        <v>151.04781590204857</v>
      </c>
      <c r="H115" s="53">
        <v>301</v>
      </c>
      <c r="I115" s="53">
        <v>271.05641397077426</v>
      </c>
      <c r="J115" s="53">
        <v>1929.3213534121037</v>
      </c>
      <c r="K115" s="53">
        <v>390.6803332550568</v>
      </c>
      <c r="L115" s="53">
        <v>417.4063762032747</v>
      </c>
      <c r="M115" s="53">
        <v>2424.9646204327637</v>
      </c>
      <c r="N115" s="53">
        <v>1086.8185739516648</v>
      </c>
      <c r="O115" s="53">
        <v>45.709819418440176</v>
      </c>
      <c r="P115" s="53">
        <v>163.32151994115225</v>
      </c>
      <c r="Q115" s="53">
        <f t="shared" si="15"/>
        <v>-309.36038199747236</v>
      </c>
      <c r="R115" s="34"/>
      <c r="S115" s="73">
        <f t="shared" si="16"/>
        <v>6871.966444489807</v>
      </c>
      <c r="T115" s="73">
        <f t="shared" si="17"/>
        <v>0</v>
      </c>
      <c r="U115" s="73">
        <f t="shared" si="18"/>
        <v>7181.3268264872795</v>
      </c>
      <c r="V115" s="73">
        <f t="shared" si="19"/>
        <v>-309.36038199747236</v>
      </c>
    </row>
    <row r="116" spans="1:22" ht="12">
      <c r="A116" s="51">
        <v>2004</v>
      </c>
      <c r="B116" s="58" t="s">
        <v>55</v>
      </c>
      <c r="C116" s="34">
        <v>7216.955765606621</v>
      </c>
      <c r="D116" s="34">
        <v>444.91998377554086</v>
      </c>
      <c r="E116" s="35">
        <f aca="true" t="shared" si="20" ref="E116:E127">C116-D116-F116</f>
        <v>34.792249966482814</v>
      </c>
      <c r="F116" s="34">
        <v>6737.243531864598</v>
      </c>
      <c r="G116" s="34">
        <v>154.733860269993</v>
      </c>
      <c r="H116" s="34">
        <v>240</v>
      </c>
      <c r="I116" s="34">
        <v>302.77679673452036</v>
      </c>
      <c r="J116" s="34">
        <v>1964.2565440400685</v>
      </c>
      <c r="K116" s="34">
        <v>373.91956763229416</v>
      </c>
      <c r="L116" s="34">
        <v>447.0229095816575</v>
      </c>
      <c r="M116" s="34">
        <v>2334.662658197238</v>
      </c>
      <c r="N116" s="34">
        <v>1024.1196493802797</v>
      </c>
      <c r="O116" s="34">
        <v>99.34265245818301</v>
      </c>
      <c r="P116" s="34">
        <v>69.96228057289528</v>
      </c>
      <c r="Q116" s="53">
        <f t="shared" si="15"/>
        <v>-273.55338700253196</v>
      </c>
      <c r="R116" s="34"/>
      <c r="S116" s="73">
        <f t="shared" si="16"/>
        <v>6737.243531864598</v>
      </c>
      <c r="T116" s="73">
        <f t="shared" si="17"/>
        <v>0</v>
      </c>
      <c r="U116" s="73">
        <f t="shared" si="18"/>
        <v>7010.7969188671295</v>
      </c>
      <c r="V116" s="73">
        <f t="shared" si="19"/>
        <v>-273.55338700253196</v>
      </c>
    </row>
    <row r="117" spans="1:22" ht="12">
      <c r="A117" s="51">
        <v>2004</v>
      </c>
      <c r="B117" s="58" t="s">
        <v>56</v>
      </c>
      <c r="C117" s="34">
        <v>6740.99418108232</v>
      </c>
      <c r="D117" s="34">
        <v>372.91720010508476</v>
      </c>
      <c r="E117" s="35">
        <f t="shared" si="20"/>
        <v>-6.267936541566996</v>
      </c>
      <c r="F117" s="34">
        <v>6374.3449175188025</v>
      </c>
      <c r="G117" s="34">
        <v>119.51353273022845</v>
      </c>
      <c r="H117" s="34">
        <v>214</v>
      </c>
      <c r="I117" s="34">
        <v>183.4673916161135</v>
      </c>
      <c r="J117" s="34">
        <v>1769.6418596907156</v>
      </c>
      <c r="K117" s="34">
        <v>343.01234594895743</v>
      </c>
      <c r="L117" s="34">
        <v>392.46425650707704</v>
      </c>
      <c r="M117" s="34">
        <v>2152.7435533498933</v>
      </c>
      <c r="N117" s="34">
        <v>1167.5800462861278</v>
      </c>
      <c r="O117" s="34">
        <v>70.32365215119482</v>
      </c>
      <c r="P117" s="34">
        <v>192.4881194236243</v>
      </c>
      <c r="Q117" s="53">
        <f t="shared" si="15"/>
        <v>-230.8898401851293</v>
      </c>
      <c r="R117" s="34"/>
      <c r="S117" s="73">
        <f t="shared" si="16"/>
        <v>6374.3449175188025</v>
      </c>
      <c r="T117" s="73">
        <f t="shared" si="17"/>
        <v>0</v>
      </c>
      <c r="U117" s="73">
        <f t="shared" si="18"/>
        <v>6605.234757703932</v>
      </c>
      <c r="V117" s="73">
        <f t="shared" si="19"/>
        <v>-230.8898401851293</v>
      </c>
    </row>
    <row r="118" spans="1:22" ht="12">
      <c r="A118" s="51">
        <v>2004</v>
      </c>
      <c r="B118" s="58" t="s">
        <v>57</v>
      </c>
      <c r="C118" s="34">
        <v>7456.281068772174</v>
      </c>
      <c r="D118" s="34">
        <v>443.5591924317735</v>
      </c>
      <c r="E118" s="35">
        <f t="shared" si="20"/>
        <v>50.66543044495029</v>
      </c>
      <c r="F118" s="34">
        <v>6962.05644589545</v>
      </c>
      <c r="G118" s="34">
        <v>150.98840974856998</v>
      </c>
      <c r="H118" s="34">
        <v>258</v>
      </c>
      <c r="I118" s="34">
        <v>269.82322646164977</v>
      </c>
      <c r="J118" s="34">
        <v>2049.872042652553</v>
      </c>
      <c r="K118" s="34">
        <v>426.9425884956035</v>
      </c>
      <c r="L118" s="34">
        <v>387.5538406906578</v>
      </c>
      <c r="M118" s="34">
        <v>2444.691034681119</v>
      </c>
      <c r="N118" s="34">
        <v>1000.8653333571607</v>
      </c>
      <c r="O118" s="34">
        <v>87.416811</v>
      </c>
      <c r="P118" s="34">
        <v>137.9967949486653</v>
      </c>
      <c r="Q118" s="53">
        <f t="shared" si="15"/>
        <v>-252.09363614052927</v>
      </c>
      <c r="R118" s="34"/>
      <c r="S118" s="73">
        <f t="shared" si="16"/>
        <v>6962.05644589545</v>
      </c>
      <c r="T118" s="73">
        <f t="shared" si="17"/>
        <v>0</v>
      </c>
      <c r="U118" s="73">
        <f t="shared" si="18"/>
        <v>7214.15008203598</v>
      </c>
      <c r="V118" s="73">
        <f t="shared" si="19"/>
        <v>-252.09363614052927</v>
      </c>
    </row>
    <row r="119" spans="1:22" ht="12">
      <c r="A119" s="51">
        <v>2004</v>
      </c>
      <c r="B119" s="58" t="s">
        <v>58</v>
      </c>
      <c r="C119" s="34">
        <v>7519.017107552335</v>
      </c>
      <c r="D119" s="34">
        <v>474.55587531721636</v>
      </c>
      <c r="E119" s="35">
        <f t="shared" si="20"/>
        <v>-10.941268170317016</v>
      </c>
      <c r="F119" s="34">
        <v>7055.402500405436</v>
      </c>
      <c r="G119" s="34">
        <v>228.3021888574381</v>
      </c>
      <c r="H119" s="34">
        <v>260</v>
      </c>
      <c r="I119" s="34">
        <v>283.2764435195369</v>
      </c>
      <c r="J119" s="34">
        <v>2031.3840082253032</v>
      </c>
      <c r="K119" s="34">
        <v>494.321738872256</v>
      </c>
      <c r="L119" s="34">
        <v>338.27227614821777</v>
      </c>
      <c r="M119" s="34">
        <v>2358.8005542526366</v>
      </c>
      <c r="N119" s="34">
        <v>1031.0870142949555</v>
      </c>
      <c r="O119" s="34">
        <v>91.92771400000001</v>
      </c>
      <c r="P119" s="34">
        <v>182.15332546940567</v>
      </c>
      <c r="Q119" s="53">
        <f t="shared" si="15"/>
        <v>-244.12276323431433</v>
      </c>
      <c r="R119" s="34"/>
      <c r="S119" s="73">
        <f t="shared" si="16"/>
        <v>7055.402500405436</v>
      </c>
      <c r="T119" s="73">
        <f t="shared" si="17"/>
        <v>0</v>
      </c>
      <c r="U119" s="73">
        <f t="shared" si="18"/>
        <v>7299.52526363975</v>
      </c>
      <c r="V119" s="73">
        <f t="shared" si="19"/>
        <v>-244.12276323431433</v>
      </c>
    </row>
    <row r="120" spans="1:22" ht="12">
      <c r="A120" s="51">
        <v>2004</v>
      </c>
      <c r="B120" s="58" t="s">
        <v>59</v>
      </c>
      <c r="C120" s="34">
        <v>7611.282166361017</v>
      </c>
      <c r="D120" s="34">
        <v>479.66326947041637</v>
      </c>
      <c r="E120" s="35">
        <f t="shared" si="20"/>
        <v>-105.50376614226843</v>
      </c>
      <c r="F120" s="34">
        <v>7237.122663032868</v>
      </c>
      <c r="G120" s="34">
        <v>238.0295857666162</v>
      </c>
      <c r="H120" s="34">
        <v>267</v>
      </c>
      <c r="I120" s="34">
        <v>266.6514875542691</v>
      </c>
      <c r="J120" s="34">
        <v>2186.2860921638503</v>
      </c>
      <c r="K120" s="34">
        <v>557.1242717314149</v>
      </c>
      <c r="L120" s="34">
        <v>273.287940455498</v>
      </c>
      <c r="M120" s="34">
        <v>2323.975571301937</v>
      </c>
      <c r="N120" s="34">
        <v>1085.8325131620104</v>
      </c>
      <c r="O120" s="34">
        <v>92.888</v>
      </c>
      <c r="P120" s="34">
        <v>196.487113963039</v>
      </c>
      <c r="Q120" s="53">
        <f t="shared" si="15"/>
        <v>-250.43991306576572</v>
      </c>
      <c r="R120" s="34"/>
      <c r="S120" s="73">
        <f t="shared" si="16"/>
        <v>7237.122663032868</v>
      </c>
      <c r="T120" s="73">
        <f t="shared" si="17"/>
        <v>0</v>
      </c>
      <c r="U120" s="73">
        <f t="shared" si="18"/>
        <v>7487.562576098634</v>
      </c>
      <c r="V120" s="73">
        <f t="shared" si="19"/>
        <v>-250.43991306576572</v>
      </c>
    </row>
    <row r="121" spans="1:22" ht="12">
      <c r="A121" s="51">
        <v>2004</v>
      </c>
      <c r="B121" s="58" t="s">
        <v>60</v>
      </c>
      <c r="C121" s="34">
        <v>7086.2784788797935</v>
      </c>
      <c r="D121" s="34">
        <v>467.8535744704164</v>
      </c>
      <c r="E121" s="35">
        <f t="shared" si="20"/>
        <v>3.5688284480320362</v>
      </c>
      <c r="F121" s="34">
        <v>6614.856075961345</v>
      </c>
      <c r="G121" s="34">
        <v>208.15997511278</v>
      </c>
      <c r="H121" s="34">
        <v>231</v>
      </c>
      <c r="I121" s="34">
        <v>156.637872105644</v>
      </c>
      <c r="J121" s="34">
        <v>2129.532184248102</v>
      </c>
      <c r="K121" s="34">
        <v>582.0836895803358</v>
      </c>
      <c r="L121" s="34">
        <v>186.7859554182092</v>
      </c>
      <c r="M121" s="34">
        <v>2109.0403174497997</v>
      </c>
      <c r="N121" s="34">
        <v>978.778348548726</v>
      </c>
      <c r="O121" s="34">
        <v>81.248</v>
      </c>
      <c r="P121" s="34">
        <v>206.60578439425052</v>
      </c>
      <c r="Q121" s="53">
        <f t="shared" si="15"/>
        <v>-255.01605089650275</v>
      </c>
      <c r="R121" s="34"/>
      <c r="S121" s="73">
        <f t="shared" si="16"/>
        <v>6614.856075961345</v>
      </c>
      <c r="T121" s="73">
        <f t="shared" si="17"/>
        <v>0</v>
      </c>
      <c r="U121" s="73">
        <f t="shared" si="18"/>
        <v>6869.872126857847</v>
      </c>
      <c r="V121" s="73">
        <f t="shared" si="19"/>
        <v>-255.01605089650275</v>
      </c>
    </row>
    <row r="122" spans="1:22" ht="12">
      <c r="A122" s="51">
        <v>2004</v>
      </c>
      <c r="B122" s="58" t="s">
        <v>61</v>
      </c>
      <c r="C122" s="34">
        <v>7932.832706294167</v>
      </c>
      <c r="D122" s="34">
        <v>460.90432823573605</v>
      </c>
      <c r="E122" s="35">
        <f t="shared" si="20"/>
        <v>41.34761482447357</v>
      </c>
      <c r="F122" s="34">
        <v>7430.580763233957</v>
      </c>
      <c r="G122" s="34">
        <v>233.60712109480752</v>
      </c>
      <c r="H122" s="34">
        <v>240</v>
      </c>
      <c r="I122" s="34">
        <v>262.98300219102754</v>
      </c>
      <c r="J122" s="34">
        <v>2116.075723864071</v>
      </c>
      <c r="K122" s="34">
        <v>639.9452083876898</v>
      </c>
      <c r="L122" s="34">
        <v>141.68985306796625</v>
      </c>
      <c r="M122" s="34">
        <v>2423.755157944826</v>
      </c>
      <c r="N122" s="34">
        <v>1236.5854055138539</v>
      </c>
      <c r="O122" s="34">
        <v>102.307</v>
      </c>
      <c r="P122" s="34">
        <v>271.6569158110883</v>
      </c>
      <c r="Q122" s="53">
        <f t="shared" si="15"/>
        <v>-238.0246246413726</v>
      </c>
      <c r="R122" s="34"/>
      <c r="S122" s="73">
        <f t="shared" si="16"/>
        <v>7430.580763233957</v>
      </c>
      <c r="T122" s="73">
        <f t="shared" si="17"/>
        <v>0</v>
      </c>
      <c r="U122" s="73">
        <f t="shared" si="18"/>
        <v>7668.60538787533</v>
      </c>
      <c r="V122" s="73">
        <f t="shared" si="19"/>
        <v>-238.0246246413726</v>
      </c>
    </row>
    <row r="123" spans="1:22" ht="12">
      <c r="A123" s="51">
        <v>2004</v>
      </c>
      <c r="B123" s="58" t="s">
        <v>62</v>
      </c>
      <c r="C123" s="34">
        <v>7777.870265117234</v>
      </c>
      <c r="D123" s="34">
        <v>455.251940235736</v>
      </c>
      <c r="E123" s="35">
        <f t="shared" si="20"/>
        <v>-42.70957103185174</v>
      </c>
      <c r="F123" s="34">
        <v>7365.32789591335</v>
      </c>
      <c r="G123" s="34">
        <v>190.72048874059857</v>
      </c>
      <c r="H123" s="34">
        <v>250</v>
      </c>
      <c r="I123" s="34">
        <v>256.8121058552822</v>
      </c>
      <c r="J123" s="34">
        <v>2101.9514675522805</v>
      </c>
      <c r="K123" s="34">
        <v>559.3022164140687</v>
      </c>
      <c r="L123" s="34">
        <v>176.0870277848909</v>
      </c>
      <c r="M123" s="34">
        <v>2563.878286315985</v>
      </c>
      <c r="N123" s="34">
        <v>1165.1130302006889</v>
      </c>
      <c r="O123" s="34">
        <v>116.899</v>
      </c>
      <c r="P123" s="34">
        <v>232.35163552361394</v>
      </c>
      <c r="Q123" s="53">
        <f t="shared" si="15"/>
        <v>-247.78736247405868</v>
      </c>
      <c r="R123" s="34"/>
      <c r="S123" s="73">
        <f t="shared" si="16"/>
        <v>7365.32789591335</v>
      </c>
      <c r="T123" s="73">
        <f t="shared" si="17"/>
        <v>0</v>
      </c>
      <c r="U123" s="73">
        <f t="shared" si="18"/>
        <v>7613.115258387409</v>
      </c>
      <c r="V123" s="73">
        <f t="shared" si="19"/>
        <v>-247.78736247405868</v>
      </c>
    </row>
    <row r="124" spans="1:22" ht="12">
      <c r="A124" s="51">
        <v>2004</v>
      </c>
      <c r="B124" s="58" t="s">
        <v>63</v>
      </c>
      <c r="C124" s="34">
        <v>7295.015457234285</v>
      </c>
      <c r="D124" s="34">
        <v>408.546994235736</v>
      </c>
      <c r="E124" s="35">
        <f t="shared" si="20"/>
        <v>-55.69197170279949</v>
      </c>
      <c r="F124" s="34">
        <v>6942.160434701349</v>
      </c>
      <c r="G124" s="34">
        <v>147.4150529304351</v>
      </c>
      <c r="H124" s="34">
        <v>242</v>
      </c>
      <c r="I124" s="34">
        <v>242.75795062373373</v>
      </c>
      <c r="J124" s="34">
        <v>1926.9960612113218</v>
      </c>
      <c r="K124" s="34">
        <v>445.6009791702638</v>
      </c>
      <c r="L124" s="34">
        <v>235.09080762390465</v>
      </c>
      <c r="M124" s="34">
        <v>2366.0984182488487</v>
      </c>
      <c r="N124" s="34">
        <v>1259.110243950803</v>
      </c>
      <c r="O124" s="34">
        <v>94.297</v>
      </c>
      <c r="P124" s="34">
        <v>198.78192813141683</v>
      </c>
      <c r="Q124" s="53">
        <f t="shared" si="15"/>
        <v>-215.98800718937764</v>
      </c>
      <c r="R124" s="34"/>
      <c r="S124" s="73">
        <f t="shared" si="16"/>
        <v>6942.160434701349</v>
      </c>
      <c r="T124" s="73">
        <f t="shared" si="17"/>
        <v>0</v>
      </c>
      <c r="U124" s="73">
        <f t="shared" si="18"/>
        <v>7158.148441890727</v>
      </c>
      <c r="V124" s="73">
        <f t="shared" si="19"/>
        <v>-215.98800718937764</v>
      </c>
    </row>
    <row r="125" spans="1:22" ht="12">
      <c r="A125" s="51">
        <v>2004</v>
      </c>
      <c r="B125" s="58" t="s">
        <v>64</v>
      </c>
      <c r="C125" s="34">
        <v>7760.444087521108</v>
      </c>
      <c r="D125" s="34">
        <v>456.45260246278724</v>
      </c>
      <c r="E125" s="35">
        <f t="shared" si="20"/>
        <v>-56.45457805010756</v>
      </c>
      <c r="F125" s="34">
        <v>7360.446063108428</v>
      </c>
      <c r="G125" s="34">
        <v>169.32120095261465</v>
      </c>
      <c r="H125" s="34">
        <v>223</v>
      </c>
      <c r="I125" s="34">
        <v>282.1792312431259</v>
      </c>
      <c r="J125" s="34">
        <v>2089.2898637281255</v>
      </c>
      <c r="K125" s="34">
        <v>451.71545454356516</v>
      </c>
      <c r="L125" s="34">
        <v>299.409415759998</v>
      </c>
      <c r="M125" s="34">
        <v>2577.8711270088543</v>
      </c>
      <c r="N125" s="34">
        <v>1166.396886113513</v>
      </c>
      <c r="O125" s="34">
        <v>116.379</v>
      </c>
      <c r="P125" s="34">
        <v>173.3241570841889</v>
      </c>
      <c r="Q125" s="53">
        <f t="shared" si="15"/>
        <v>-188.44027332555834</v>
      </c>
      <c r="R125" s="34"/>
      <c r="S125" s="73">
        <f t="shared" si="16"/>
        <v>7360.446063108428</v>
      </c>
      <c r="T125" s="73">
        <f t="shared" si="17"/>
        <v>0</v>
      </c>
      <c r="U125" s="73">
        <f t="shared" si="18"/>
        <v>7548.886336433986</v>
      </c>
      <c r="V125" s="73">
        <f t="shared" si="19"/>
        <v>-188.44027332555834</v>
      </c>
    </row>
    <row r="126" spans="1:25" ht="12">
      <c r="A126" s="51">
        <v>2004</v>
      </c>
      <c r="B126" s="57" t="s">
        <v>65</v>
      </c>
      <c r="C126" s="34">
        <v>7619.100985697984</v>
      </c>
      <c r="D126" s="34">
        <v>497.86811446278716</v>
      </c>
      <c r="E126" s="35">
        <f t="shared" si="20"/>
        <v>168.53858184364253</v>
      </c>
      <c r="F126" s="34">
        <v>6952.694289391554</v>
      </c>
      <c r="G126" s="34">
        <v>156.30850806598517</v>
      </c>
      <c r="H126" s="34">
        <v>246</v>
      </c>
      <c r="I126" s="34">
        <v>304.9068425166426</v>
      </c>
      <c r="J126" s="34">
        <v>2056.390712474212</v>
      </c>
      <c r="K126" s="34">
        <v>396.5500180135891</v>
      </c>
      <c r="L126" s="34">
        <v>337.8936673995077</v>
      </c>
      <c r="M126" s="34">
        <v>2555.173498693619</v>
      </c>
      <c r="N126" s="34">
        <v>817.5880866858107</v>
      </c>
      <c r="O126" s="34">
        <v>93.054</v>
      </c>
      <c r="P126" s="34">
        <v>199.97977002053386</v>
      </c>
      <c r="Q126" s="53">
        <f t="shared" si="15"/>
        <v>-211.15081447834564</v>
      </c>
      <c r="R126" s="34"/>
      <c r="S126" s="73">
        <f t="shared" si="16"/>
        <v>6952.694289391554</v>
      </c>
      <c r="T126" s="73">
        <f t="shared" si="17"/>
        <v>0</v>
      </c>
      <c r="U126" s="73">
        <f t="shared" si="18"/>
        <v>7163.8451038698995</v>
      </c>
      <c r="V126" s="73">
        <f t="shared" si="19"/>
        <v>-211.15081447834564</v>
      </c>
      <c r="Y126" t="s">
        <v>110</v>
      </c>
    </row>
    <row r="127" spans="1:22" ht="12">
      <c r="A127" s="51">
        <v>2004</v>
      </c>
      <c r="B127" s="57" t="s">
        <v>114</v>
      </c>
      <c r="C127" s="34">
        <v>7804.519315405421</v>
      </c>
      <c r="D127" s="34">
        <v>490.9306494627872</v>
      </c>
      <c r="E127" s="35">
        <f t="shared" si="20"/>
        <v>-29.606801287289272</v>
      </c>
      <c r="F127" s="34">
        <v>7343.195467229923</v>
      </c>
      <c r="G127" s="34">
        <v>173.32261760578666</v>
      </c>
      <c r="H127" s="34">
        <v>356</v>
      </c>
      <c r="I127" s="34">
        <v>363.6172351881331</v>
      </c>
      <c r="J127" s="34">
        <v>2168</v>
      </c>
      <c r="K127" s="34">
        <v>344</v>
      </c>
      <c r="L127" s="34">
        <v>397.7230500758801</v>
      </c>
      <c r="M127" s="34">
        <v>2562.3081058824832</v>
      </c>
      <c r="N127" s="34">
        <v>1055.2298097095122</v>
      </c>
      <c r="O127" s="34">
        <v>90.315</v>
      </c>
      <c r="P127" s="34">
        <v>134</v>
      </c>
      <c r="Q127" s="53">
        <f t="shared" si="15"/>
        <v>-301.3203512318714</v>
      </c>
      <c r="R127" s="34"/>
      <c r="S127" s="73">
        <f t="shared" si="16"/>
        <v>7343.195467229923</v>
      </c>
      <c r="T127" s="73">
        <f t="shared" si="17"/>
        <v>0</v>
      </c>
      <c r="U127" s="73">
        <f t="shared" si="18"/>
        <v>7644.515818461795</v>
      </c>
      <c r="V127" s="73">
        <f t="shared" si="19"/>
        <v>-301.3203512318714</v>
      </c>
    </row>
    <row r="128" spans="1:35" ht="12">
      <c r="A128" s="30">
        <v>2005</v>
      </c>
      <c r="B128" s="36" t="s">
        <v>55</v>
      </c>
      <c r="C128" s="13">
        <v>7195.222528</v>
      </c>
      <c r="D128" s="50">
        <v>429.25759999999997</v>
      </c>
      <c r="E128" s="50">
        <v>-6.022837000000001</v>
      </c>
      <c r="F128" s="50">
        <f aca="true" t="shared" si="21" ref="F128:F139">C128-(D128+E128)</f>
        <v>6771.987765</v>
      </c>
      <c r="G128" s="50">
        <v>108.688492</v>
      </c>
      <c r="H128" s="71">
        <v>277.98321799999997</v>
      </c>
      <c r="I128" s="50">
        <v>281.08948399999997</v>
      </c>
      <c r="J128" s="50">
        <v>1982.1810830000002</v>
      </c>
      <c r="K128" s="50">
        <v>362.74036</v>
      </c>
      <c r="L128" s="50">
        <v>314.558787</v>
      </c>
      <c r="M128" s="50">
        <v>2306.728732</v>
      </c>
      <c r="N128" s="50">
        <v>1102.7779269999999</v>
      </c>
      <c r="O128" s="50">
        <v>75.404</v>
      </c>
      <c r="P128" s="50">
        <v>69.857</v>
      </c>
      <c r="Q128" s="53">
        <f t="shared" si="15"/>
        <v>-110.02131799999916</v>
      </c>
      <c r="R128" s="50"/>
      <c r="S128" s="73">
        <f t="shared" si="16"/>
        <v>6771.987765000001</v>
      </c>
      <c r="T128" s="73">
        <f t="shared" si="17"/>
        <v>0</v>
      </c>
      <c r="U128" s="73">
        <f t="shared" si="18"/>
        <v>6882.009082999999</v>
      </c>
      <c r="V128" s="73">
        <f t="shared" si="19"/>
        <v>-110.02131799999916</v>
      </c>
      <c r="W128" s="13">
        <v>65.28640367140548</v>
      </c>
      <c r="X128" s="13">
        <v>99.03423352167057</v>
      </c>
      <c r="Y128" s="13">
        <v>77.99439432859435</v>
      </c>
      <c r="Z128" s="13">
        <v>-20</v>
      </c>
      <c r="AA128" s="13">
        <v>-234.64414693115103</v>
      </c>
      <c r="AB128" s="13">
        <v>0</v>
      </c>
      <c r="AC128" s="13">
        <v>16.333333333333258</v>
      </c>
      <c r="AD128" s="13">
        <v>0</v>
      </c>
      <c r="AE128" s="13">
        <v>0</v>
      </c>
      <c r="AF128" s="13">
        <v>135.55141300187324</v>
      </c>
      <c r="AG128" s="13">
        <v>-112.40519774212748</v>
      </c>
      <c r="AH128" s="13">
        <v>9.75</v>
      </c>
      <c r="AI128" s="13">
        <v>0</v>
      </c>
    </row>
    <row r="129" spans="1:35" ht="12">
      <c r="A129" s="30">
        <v>2005</v>
      </c>
      <c r="B129" s="36" t="s">
        <v>56</v>
      </c>
      <c r="C129" s="34">
        <v>6211.6487130000005</v>
      </c>
      <c r="D129" s="34">
        <v>363.416</v>
      </c>
      <c r="E129" s="34">
        <v>18.7547409999999</v>
      </c>
      <c r="F129" s="34">
        <f t="shared" si="21"/>
        <v>5829.477972000001</v>
      </c>
      <c r="G129" s="34">
        <v>162.88792500000002</v>
      </c>
      <c r="H129" s="72">
        <v>229.040355</v>
      </c>
      <c r="I129" s="34">
        <v>222.322211</v>
      </c>
      <c r="J129" s="34">
        <v>1676.9589850000002</v>
      </c>
      <c r="K129" s="34">
        <v>249.08194899999998</v>
      </c>
      <c r="L129" s="34">
        <v>343.844489</v>
      </c>
      <c r="M129" s="34">
        <v>2054.918511</v>
      </c>
      <c r="N129" s="34">
        <v>818.3600379999999</v>
      </c>
      <c r="O129" s="34">
        <v>71.952</v>
      </c>
      <c r="P129" s="34">
        <v>130.781</v>
      </c>
      <c r="Q129" s="53">
        <f t="shared" si="15"/>
        <v>-130.66949099999965</v>
      </c>
      <c r="R129" s="34"/>
      <c r="S129" s="73">
        <f t="shared" si="16"/>
        <v>5829.477972000001</v>
      </c>
      <c r="T129" s="73">
        <f t="shared" si="17"/>
        <v>0</v>
      </c>
      <c r="U129" s="73">
        <f t="shared" si="18"/>
        <v>5960.147463</v>
      </c>
      <c r="V129" s="73">
        <f t="shared" si="19"/>
        <v>-130.66949099999965</v>
      </c>
      <c r="W129" s="13">
        <v>60.8761839372969</v>
      </c>
      <c r="X129" s="13">
        <v>-72.76042078689731</v>
      </c>
      <c r="Y129" s="13">
        <v>38.997585062702456</v>
      </c>
      <c r="Z129" s="13">
        <v>-20</v>
      </c>
      <c r="AA129" s="13">
        <v>-205.49414693115102</v>
      </c>
      <c r="AB129" s="13">
        <v>0</v>
      </c>
      <c r="AC129" s="13">
        <v>16.333333333333258</v>
      </c>
      <c r="AD129" s="13">
        <v>0</v>
      </c>
      <c r="AE129" s="13">
        <v>0</v>
      </c>
      <c r="AF129" s="13">
        <v>41.42622800187337</v>
      </c>
      <c r="AG129" s="13">
        <v>-81.61097800801917</v>
      </c>
      <c r="AH129" s="13">
        <v>9.75</v>
      </c>
      <c r="AI129" s="13">
        <v>0</v>
      </c>
    </row>
    <row r="130" spans="1:35" ht="12">
      <c r="A130" s="30">
        <v>2005</v>
      </c>
      <c r="B130" s="36" t="s">
        <v>57</v>
      </c>
      <c r="C130" s="34">
        <v>7170.333533</v>
      </c>
      <c r="D130" s="34">
        <v>412.2548</v>
      </c>
      <c r="E130" s="34">
        <v>-36.1014390000001</v>
      </c>
      <c r="F130" s="34">
        <f t="shared" si="21"/>
        <v>6794.180172</v>
      </c>
      <c r="G130" s="34">
        <v>214.185219</v>
      </c>
      <c r="H130" s="72">
        <v>247.812251</v>
      </c>
      <c r="I130" s="34">
        <v>353.68859100000003</v>
      </c>
      <c r="J130" s="34">
        <v>1754.470535</v>
      </c>
      <c r="K130" s="34">
        <v>347.772042</v>
      </c>
      <c r="L130" s="34">
        <v>382.868549</v>
      </c>
      <c r="M130" s="34">
        <v>2428.359551</v>
      </c>
      <c r="N130" s="34">
        <v>827.2045449999999</v>
      </c>
      <c r="O130" s="34">
        <v>83.787</v>
      </c>
      <c r="P130" s="34">
        <v>166.959</v>
      </c>
      <c r="Q130" s="53">
        <f t="shared" si="15"/>
        <v>-12.927110999999059</v>
      </c>
      <c r="R130" s="34"/>
      <c r="S130" s="73">
        <f t="shared" si="16"/>
        <v>6794.180172</v>
      </c>
      <c r="T130" s="73">
        <f t="shared" si="17"/>
        <v>0</v>
      </c>
      <c r="U130" s="73">
        <f t="shared" si="18"/>
        <v>6807.107282999999</v>
      </c>
      <c r="V130" s="73">
        <f t="shared" si="19"/>
        <v>-12.927110999999059</v>
      </c>
      <c r="W130" s="13">
        <v>47.98935787528143</v>
      </c>
      <c r="X130" s="13">
        <v>135.29147085499704</v>
      </c>
      <c r="Y130" s="13">
        <v>-51.626768875281414</v>
      </c>
      <c r="Z130" s="13">
        <v>-20</v>
      </c>
      <c r="AA130" s="13">
        <v>-208.95114693115102</v>
      </c>
      <c r="AB130" s="13">
        <v>0</v>
      </c>
      <c r="AC130" s="13">
        <v>16.333333333333258</v>
      </c>
      <c r="AD130" s="13">
        <v>0</v>
      </c>
      <c r="AE130" s="13">
        <v>0</v>
      </c>
      <c r="AF130" s="13">
        <v>47.456408001873115</v>
      </c>
      <c r="AG130" s="13">
        <v>-81.00115194600369</v>
      </c>
      <c r="AH130" s="13">
        <v>9.75</v>
      </c>
      <c r="AI130" s="13">
        <v>0</v>
      </c>
    </row>
    <row r="131" spans="1:35" ht="12">
      <c r="A131" s="30">
        <v>2005</v>
      </c>
      <c r="B131" s="36" t="s">
        <v>58</v>
      </c>
      <c r="C131" s="34">
        <v>6727.48708</v>
      </c>
      <c r="D131" s="34">
        <v>380.975</v>
      </c>
      <c r="E131" s="34">
        <v>-61.9774510000001</v>
      </c>
      <c r="F131" s="34">
        <f t="shared" si="21"/>
        <v>6408.489531</v>
      </c>
      <c r="G131" s="34">
        <v>235.83818599999998</v>
      </c>
      <c r="H131" s="72">
        <v>236.685923</v>
      </c>
      <c r="I131" s="34">
        <v>213.23576500000001</v>
      </c>
      <c r="J131" s="34">
        <v>1743.2597819999999</v>
      </c>
      <c r="K131" s="34">
        <v>423.891661</v>
      </c>
      <c r="L131" s="34">
        <v>255.398323</v>
      </c>
      <c r="M131" s="34">
        <v>2173.8697850000003</v>
      </c>
      <c r="N131" s="34">
        <v>877.574208</v>
      </c>
      <c r="O131" s="34">
        <v>88.938</v>
      </c>
      <c r="P131" s="34">
        <v>119.073</v>
      </c>
      <c r="Q131" s="53">
        <f t="shared" si="15"/>
        <v>40.724897999999484</v>
      </c>
      <c r="R131" s="34"/>
      <c r="S131" s="73">
        <f t="shared" si="16"/>
        <v>6408.489530999999</v>
      </c>
      <c r="T131" s="73">
        <f t="shared" si="17"/>
        <v>0</v>
      </c>
      <c r="U131" s="73">
        <f t="shared" si="18"/>
        <v>6367.764633000001</v>
      </c>
      <c r="V131" s="73">
        <f t="shared" si="19"/>
        <v>40.724897999999484</v>
      </c>
      <c r="W131" s="13">
        <v>63.542577182451964</v>
      </c>
      <c r="X131" s="13">
        <v>115.29725291200101</v>
      </c>
      <c r="Y131" s="13">
        <v>-76.91120618245168</v>
      </c>
      <c r="Z131" s="13">
        <v>-19.99999999999997</v>
      </c>
      <c r="AA131" s="13">
        <v>-203.27314693115102</v>
      </c>
      <c r="AB131" s="13">
        <v>0</v>
      </c>
      <c r="AC131" s="13">
        <v>16.333333333333258</v>
      </c>
      <c r="AD131" s="13">
        <v>0</v>
      </c>
      <c r="AE131" s="13">
        <v>0</v>
      </c>
      <c r="AF131" s="13">
        <v>89.5962140018728</v>
      </c>
      <c r="AG131" s="13">
        <v>-83.66137125317425</v>
      </c>
      <c r="AH131" s="13">
        <v>9.749999999999986</v>
      </c>
      <c r="AI131" s="13">
        <v>0</v>
      </c>
    </row>
    <row r="132" spans="1:35" ht="12">
      <c r="A132" s="30">
        <v>2005</v>
      </c>
      <c r="B132" s="36" t="s">
        <v>59</v>
      </c>
      <c r="C132" s="34">
        <v>7107.834687</v>
      </c>
      <c r="D132" s="34">
        <v>428.3974</v>
      </c>
      <c r="E132" s="34">
        <v>-59.1516810000002</v>
      </c>
      <c r="F132" s="34">
        <f t="shared" si="21"/>
        <v>6738.588968</v>
      </c>
      <c r="G132" s="34">
        <v>233.582286</v>
      </c>
      <c r="H132" s="72">
        <v>251.64907</v>
      </c>
      <c r="I132" s="34">
        <v>288.442738</v>
      </c>
      <c r="J132" s="34">
        <v>1790.469384</v>
      </c>
      <c r="K132" s="34">
        <v>508.446102</v>
      </c>
      <c r="L132" s="34">
        <v>210.123332</v>
      </c>
      <c r="M132" s="34">
        <v>2157.1826969999997</v>
      </c>
      <c r="N132" s="34">
        <v>950.222982</v>
      </c>
      <c r="O132" s="34">
        <v>86.536</v>
      </c>
      <c r="P132" s="34">
        <v>223.109</v>
      </c>
      <c r="Q132" s="53">
        <f t="shared" si="15"/>
        <v>38.82537700000012</v>
      </c>
      <c r="R132" s="34"/>
      <c r="S132" s="73">
        <f t="shared" si="16"/>
        <v>6738.588968</v>
      </c>
      <c r="T132" s="73">
        <f t="shared" si="17"/>
        <v>0</v>
      </c>
      <c r="U132" s="73">
        <f t="shared" si="18"/>
        <v>6699.763591</v>
      </c>
      <c r="V132" s="73">
        <f t="shared" si="19"/>
        <v>38.82537700000012</v>
      </c>
      <c r="W132" s="13">
        <v>35.5250515952427</v>
      </c>
      <c r="X132" s="13">
        <v>127.61186516059925</v>
      </c>
      <c r="Y132" s="13">
        <v>-75.30588259524211</v>
      </c>
      <c r="Z132" s="13">
        <v>-20</v>
      </c>
      <c r="AA132" s="13">
        <v>-217.89014693115104</v>
      </c>
      <c r="AB132" s="13">
        <v>0</v>
      </c>
      <c r="AC132" s="13">
        <v>16.333333333333258</v>
      </c>
      <c r="AD132" s="13">
        <v>0</v>
      </c>
      <c r="AE132" s="13">
        <v>0</v>
      </c>
      <c r="AF132" s="13">
        <v>57.527472001873775</v>
      </c>
      <c r="AG132" s="13">
        <v>-58.11084566596503</v>
      </c>
      <c r="AH132" s="13">
        <v>9.75</v>
      </c>
      <c r="AI132" s="13">
        <v>0</v>
      </c>
    </row>
    <row r="133" spans="1:35" ht="12">
      <c r="A133" s="30">
        <v>2005</v>
      </c>
      <c r="B133" s="36" t="s">
        <v>60</v>
      </c>
      <c r="C133" s="34">
        <v>6961.983206</v>
      </c>
      <c r="D133" s="34">
        <v>416.537</v>
      </c>
      <c r="E133" s="34">
        <v>-26.1198720000001</v>
      </c>
      <c r="F133" s="34">
        <f t="shared" si="21"/>
        <v>6571.566078</v>
      </c>
      <c r="G133" s="34">
        <v>227.551448</v>
      </c>
      <c r="H133" s="72">
        <v>226.39415100000002</v>
      </c>
      <c r="I133" s="34">
        <v>229.703017</v>
      </c>
      <c r="J133" s="34">
        <v>1751.351732</v>
      </c>
      <c r="K133" s="34">
        <v>506.056982</v>
      </c>
      <c r="L133" s="34">
        <v>199.104943</v>
      </c>
      <c r="M133" s="34">
        <v>2176.1129280000005</v>
      </c>
      <c r="N133" s="34">
        <v>1033.2581229999998</v>
      </c>
      <c r="O133" s="34">
        <v>76.123</v>
      </c>
      <c r="P133" s="34">
        <v>184.357</v>
      </c>
      <c r="Q133" s="53">
        <f t="shared" si="15"/>
        <v>-38.44724599999972</v>
      </c>
      <c r="R133" s="34"/>
      <c r="S133" s="73">
        <f t="shared" si="16"/>
        <v>6571.566078</v>
      </c>
      <c r="T133" s="73">
        <f t="shared" si="17"/>
        <v>0</v>
      </c>
      <c r="U133" s="73">
        <f t="shared" si="18"/>
        <v>6610.013324</v>
      </c>
      <c r="V133" s="73">
        <f t="shared" si="19"/>
        <v>-38.44724599999972</v>
      </c>
      <c r="W133" s="13">
        <v>88.64975566016523</v>
      </c>
      <c r="X133" s="13">
        <v>32.61182477599948</v>
      </c>
      <c r="Y133" s="13">
        <v>-110.12580766016526</v>
      </c>
      <c r="Z133" s="13">
        <v>-20</v>
      </c>
      <c r="AA133" s="13">
        <v>-192.343146931151</v>
      </c>
      <c r="AB133" s="13">
        <v>0</v>
      </c>
      <c r="AC133" s="13">
        <v>16.333333333333258</v>
      </c>
      <c r="AD133" s="13">
        <v>0</v>
      </c>
      <c r="AE133" s="13">
        <v>0</v>
      </c>
      <c r="AF133" s="13">
        <v>9.729633001873026</v>
      </c>
      <c r="AG133" s="13">
        <v>-122.61954973088723</v>
      </c>
      <c r="AH133" s="13">
        <v>9.75</v>
      </c>
      <c r="AI133" s="13">
        <v>0</v>
      </c>
    </row>
    <row r="134" spans="1:35" ht="12">
      <c r="A134" s="30">
        <v>2005</v>
      </c>
      <c r="B134" s="36" t="s">
        <v>61</v>
      </c>
      <c r="C134" s="34">
        <v>7638.246507999999</v>
      </c>
      <c r="D134" s="34">
        <v>435.585416</v>
      </c>
      <c r="E134" s="34">
        <v>20.858416000000098</v>
      </c>
      <c r="F134" s="34">
        <f t="shared" si="21"/>
        <v>7181.802675999999</v>
      </c>
      <c r="G134" s="34">
        <v>239.04867299999998</v>
      </c>
      <c r="H134" s="72">
        <v>263.205151</v>
      </c>
      <c r="I134" s="34">
        <v>257.917705</v>
      </c>
      <c r="J134" s="34">
        <v>1925.570505</v>
      </c>
      <c r="K134" s="34">
        <v>568.334968</v>
      </c>
      <c r="L134" s="34">
        <v>148.07768900000002</v>
      </c>
      <c r="M134" s="34">
        <v>2621.347615</v>
      </c>
      <c r="N134" s="34">
        <v>1023.588349</v>
      </c>
      <c r="O134" s="34">
        <v>93.498</v>
      </c>
      <c r="P134" s="34">
        <v>180.13</v>
      </c>
      <c r="Q134" s="53">
        <f t="shared" si="15"/>
        <v>-138.91597900000033</v>
      </c>
      <c r="R134" s="34"/>
      <c r="S134" s="73">
        <f t="shared" si="16"/>
        <v>7181.802675999999</v>
      </c>
      <c r="T134" s="73">
        <f t="shared" si="17"/>
        <v>0</v>
      </c>
      <c r="U134" s="73">
        <f t="shared" si="18"/>
        <v>7320.718655</v>
      </c>
      <c r="V134" s="73">
        <f t="shared" si="19"/>
        <v>-138.91597900000033</v>
      </c>
      <c r="W134" s="13">
        <v>40.09066786752953</v>
      </c>
      <c r="X134" s="13">
        <v>-1.4127403519997372</v>
      </c>
      <c r="Y134" s="13">
        <v>74.3952211324713</v>
      </c>
      <c r="Z134" s="13">
        <v>-19.99999999999997</v>
      </c>
      <c r="AA134" s="13">
        <v>-223.99529793115107</v>
      </c>
      <c r="AB134" s="13">
        <v>0</v>
      </c>
      <c r="AC134" s="13">
        <v>16.333333333333258</v>
      </c>
      <c r="AD134" s="13">
        <v>0</v>
      </c>
      <c r="AE134" s="13">
        <v>0</v>
      </c>
      <c r="AF134" s="13">
        <v>51.53505200187328</v>
      </c>
      <c r="AG134" s="13">
        <v>-58.79951593825183</v>
      </c>
      <c r="AH134" s="13">
        <v>9.75</v>
      </c>
      <c r="AI134" s="13">
        <v>0</v>
      </c>
    </row>
    <row r="135" spans="1:35" ht="12">
      <c r="A135" s="30">
        <v>2005</v>
      </c>
      <c r="B135" s="36" t="s">
        <v>62</v>
      </c>
      <c r="C135" s="47">
        <v>7560.819644</v>
      </c>
      <c r="D135" s="34">
        <v>438.22373</v>
      </c>
      <c r="E135" s="34">
        <v>-1.31056100000014</v>
      </c>
      <c r="F135" s="34">
        <f t="shared" si="21"/>
        <v>7123.906475000001</v>
      </c>
      <c r="G135" s="34">
        <v>308.284212</v>
      </c>
      <c r="H135" s="72">
        <v>281.912799</v>
      </c>
      <c r="I135" s="34">
        <v>266.281339</v>
      </c>
      <c r="J135" s="34">
        <v>1949.5601270000002</v>
      </c>
      <c r="K135" s="34">
        <v>565.019909</v>
      </c>
      <c r="L135" s="34">
        <v>191.227812</v>
      </c>
      <c r="M135" s="66">
        <v>2495.762725</v>
      </c>
      <c r="N135" s="34">
        <v>1002.193906</v>
      </c>
      <c r="O135" s="34">
        <v>75.217</v>
      </c>
      <c r="P135" s="34">
        <v>185.539</v>
      </c>
      <c r="Q135" s="53">
        <f t="shared" si="15"/>
        <v>-197.09235399999943</v>
      </c>
      <c r="R135" s="34"/>
      <c r="S135" s="73">
        <f t="shared" si="16"/>
        <v>7123.906475000001</v>
      </c>
      <c r="T135" s="73">
        <f t="shared" si="17"/>
        <v>0</v>
      </c>
      <c r="U135" s="73">
        <f t="shared" si="18"/>
        <v>7320.998829</v>
      </c>
      <c r="V135" s="73">
        <f t="shared" si="19"/>
        <v>-197.09235399999943</v>
      </c>
      <c r="W135" s="13">
        <v>49.063985239622525</v>
      </c>
      <c r="X135" s="13">
        <v>-111.56408317439956</v>
      </c>
      <c r="Y135" s="13">
        <v>51.89743276037734</v>
      </c>
      <c r="Z135" s="13">
        <v>-20</v>
      </c>
      <c r="AA135" s="13">
        <v>-244.15994593115104</v>
      </c>
      <c r="AB135" s="13">
        <v>0</v>
      </c>
      <c r="AC135" s="13">
        <v>16.333333333333258</v>
      </c>
      <c r="AD135" s="13">
        <v>0</v>
      </c>
      <c r="AE135" s="13">
        <v>0</v>
      </c>
      <c r="AF135" s="13">
        <v>-11.019058998126638</v>
      </c>
      <c r="AG135" s="13">
        <v>-63.1197793103446</v>
      </c>
      <c r="AH135" s="13">
        <v>9.75</v>
      </c>
      <c r="AI135" s="13">
        <v>0</v>
      </c>
    </row>
    <row r="136" spans="1:35" ht="12">
      <c r="A136" s="30">
        <v>2005</v>
      </c>
      <c r="B136" s="36" t="s">
        <v>63</v>
      </c>
      <c r="C136" s="47">
        <v>7155.811063</v>
      </c>
      <c r="D136" s="34">
        <v>403.715929</v>
      </c>
      <c r="E136" s="34">
        <v>-23.5585060000001</v>
      </c>
      <c r="F136" s="34">
        <f t="shared" si="21"/>
        <v>6775.65364</v>
      </c>
      <c r="G136" s="34">
        <v>152.840009</v>
      </c>
      <c r="H136" s="72">
        <v>253.859556</v>
      </c>
      <c r="I136" s="34">
        <v>208.433104</v>
      </c>
      <c r="J136" s="34">
        <v>2068.653674</v>
      </c>
      <c r="K136" s="34">
        <v>457.42503600000003</v>
      </c>
      <c r="L136" s="34">
        <v>258.04310300000003</v>
      </c>
      <c r="M136" s="66">
        <v>2429.108299</v>
      </c>
      <c r="N136" s="34">
        <v>823.0356999999999</v>
      </c>
      <c r="O136" s="34">
        <v>76.734</v>
      </c>
      <c r="P136" s="34">
        <v>177.163</v>
      </c>
      <c r="Q136" s="53">
        <f>+F136-SUM(G136:P136)</f>
        <v>-129.64184100000057</v>
      </c>
      <c r="R136" s="34"/>
      <c r="S136" s="73">
        <f t="shared" si="16"/>
        <v>6775.65364</v>
      </c>
      <c r="T136" s="73">
        <f>+F136-S136</f>
        <v>0</v>
      </c>
      <c r="U136" s="73">
        <f t="shared" si="18"/>
        <v>6905.295481000001</v>
      </c>
      <c r="V136" s="73">
        <f>+F136-U136</f>
        <v>-129.64184100000057</v>
      </c>
      <c r="W136" s="13">
        <v>45.48645223962251</v>
      </c>
      <c r="X136" s="13">
        <v>120.82299404530639</v>
      </c>
      <c r="Y136" s="13">
        <v>-12.740453239622184</v>
      </c>
      <c r="Z136" s="13">
        <v>-20</v>
      </c>
      <c r="AA136" s="13">
        <v>-217.38970293115105</v>
      </c>
      <c r="AB136" s="13">
        <v>0</v>
      </c>
      <c r="AC136" s="13">
        <v>16.333333333333485</v>
      </c>
      <c r="AD136" s="13">
        <v>0</v>
      </c>
      <c r="AE136" s="13">
        <v>0</v>
      </c>
      <c r="AF136" s="13">
        <v>-11.017525998126985</v>
      </c>
      <c r="AG136" s="13">
        <v>-63.11977931034471</v>
      </c>
      <c r="AH136" s="13">
        <v>9.75</v>
      </c>
      <c r="AI136" s="13">
        <v>0</v>
      </c>
    </row>
    <row r="137" spans="1:35" ht="12">
      <c r="A137" s="30">
        <v>2005</v>
      </c>
      <c r="B137" s="36" t="s">
        <v>64</v>
      </c>
      <c r="C137" s="47">
        <v>7206.55641</v>
      </c>
      <c r="D137" s="34">
        <v>422.52468</v>
      </c>
      <c r="E137" s="34">
        <v>-5.38675600000004</v>
      </c>
      <c r="F137" s="34">
        <f t="shared" si="21"/>
        <v>6789.4184860000005</v>
      </c>
      <c r="G137" s="34">
        <v>163.02416399999998</v>
      </c>
      <c r="H137" s="72">
        <v>243.60057999999998</v>
      </c>
      <c r="I137" s="34">
        <v>204.769008</v>
      </c>
      <c r="J137" s="34">
        <v>2028.654871</v>
      </c>
      <c r="K137" s="34">
        <v>499.22216</v>
      </c>
      <c r="L137" s="34">
        <v>225.47022</v>
      </c>
      <c r="M137" s="66">
        <v>2430.270147</v>
      </c>
      <c r="N137" s="34">
        <v>901.368658</v>
      </c>
      <c r="O137" s="34">
        <v>38.52</v>
      </c>
      <c r="P137" s="34">
        <v>181.637</v>
      </c>
      <c r="Q137" s="53">
        <f>+F137-SUM(G137:P137)</f>
        <v>-127.11832200000026</v>
      </c>
      <c r="R137" s="34"/>
      <c r="S137" s="73">
        <f t="shared" si="16"/>
        <v>6789.4184860000005</v>
      </c>
      <c r="T137" s="73">
        <f>+F137-S137</f>
        <v>0</v>
      </c>
      <c r="U137" s="73">
        <f t="shared" si="18"/>
        <v>6916.536808000001</v>
      </c>
      <c r="V137" s="73">
        <f>+F137-U137</f>
        <v>-127.11832200000026</v>
      </c>
      <c r="W137" s="13">
        <v>39.59016479517811</v>
      </c>
      <c r="X137" s="13">
        <v>40.5939214639622</v>
      </c>
      <c r="Y137" s="13">
        <v>22.68356220482292</v>
      </c>
      <c r="Z137" s="13">
        <v>-20</v>
      </c>
      <c r="AA137" s="13">
        <v>-206.725726931151</v>
      </c>
      <c r="AB137" s="13">
        <v>0</v>
      </c>
      <c r="AC137" s="13">
        <v>16.333333333333258</v>
      </c>
      <c r="AD137" s="13">
        <v>0</v>
      </c>
      <c r="AE137" s="13">
        <v>0</v>
      </c>
      <c r="AF137" s="13">
        <v>-26.574238553682335</v>
      </c>
      <c r="AG137" s="13">
        <v>-48.119779310344825</v>
      </c>
      <c r="AH137" s="13">
        <v>9.75</v>
      </c>
      <c r="AI137" s="13">
        <v>0</v>
      </c>
    </row>
    <row r="138" spans="1:35" ht="12">
      <c r="A138" s="30">
        <v>2005</v>
      </c>
      <c r="B138" s="36" t="s">
        <v>65</v>
      </c>
      <c r="C138" s="47">
        <v>6747.388961999999</v>
      </c>
      <c r="D138" s="34">
        <v>404.881151</v>
      </c>
      <c r="E138" s="34">
        <v>-24.728955999999997</v>
      </c>
      <c r="F138" s="34">
        <f t="shared" si="21"/>
        <v>6367.236766999999</v>
      </c>
      <c r="G138" s="34">
        <v>193.498204</v>
      </c>
      <c r="H138" s="72">
        <v>231.241766</v>
      </c>
      <c r="I138" s="34">
        <v>226.224329</v>
      </c>
      <c r="J138" s="34">
        <v>1790.7519320000001</v>
      </c>
      <c r="K138" s="34">
        <v>399.832858</v>
      </c>
      <c r="L138" s="34">
        <v>321.04923599999995</v>
      </c>
      <c r="M138" s="66">
        <v>2361.9349580000003</v>
      </c>
      <c r="N138" s="34">
        <v>794.792148</v>
      </c>
      <c r="O138" s="34">
        <v>26.418</v>
      </c>
      <c r="P138" s="34">
        <v>152.118</v>
      </c>
      <c r="Q138" s="53">
        <f>+F138-SUM(G138:P138)</f>
        <v>-130.62466400000176</v>
      </c>
      <c r="R138" s="34"/>
      <c r="S138" s="73">
        <f t="shared" si="16"/>
        <v>6367.236766999999</v>
      </c>
      <c r="T138" s="73">
        <f>+F138-S138</f>
        <v>0</v>
      </c>
      <c r="U138" s="73">
        <f t="shared" si="18"/>
        <v>6497.861431000001</v>
      </c>
      <c r="V138" s="73">
        <f>+F138-U138</f>
        <v>-130.62466400000176</v>
      </c>
      <c r="W138" s="13">
        <v>40.96717579517809</v>
      </c>
      <c r="X138" s="13">
        <v>83.45193269050021</v>
      </c>
      <c r="Y138" s="13">
        <v>20.68294320482255</v>
      </c>
      <c r="Z138" s="13">
        <v>-19.99999999999997</v>
      </c>
      <c r="AA138" s="13">
        <v>-196.40431293115103</v>
      </c>
      <c r="AB138" s="13">
        <v>0</v>
      </c>
      <c r="AC138" s="13">
        <v>16.333333333333258</v>
      </c>
      <c r="AD138" s="13">
        <v>0</v>
      </c>
      <c r="AE138" s="13">
        <v>0</v>
      </c>
      <c r="AF138" s="13">
        <v>-26.6532495536826</v>
      </c>
      <c r="AG138" s="13">
        <v>-48.119779310344825</v>
      </c>
      <c r="AH138" s="13">
        <v>9.75</v>
      </c>
      <c r="AI138" s="13">
        <v>0</v>
      </c>
    </row>
    <row r="139" spans="1:27" ht="12">
      <c r="A139" s="30">
        <v>2005</v>
      </c>
      <c r="B139" s="36" t="s">
        <v>66</v>
      </c>
      <c r="C139" s="47">
        <v>7330.643745</v>
      </c>
      <c r="D139" s="34">
        <v>448.72772100000003</v>
      </c>
      <c r="E139" s="34">
        <v>-35.206135999999894</v>
      </c>
      <c r="F139" s="34">
        <f t="shared" si="21"/>
        <v>6917.12216</v>
      </c>
      <c r="G139" s="34">
        <v>184.762253</v>
      </c>
      <c r="H139" s="72">
        <v>253.032499</v>
      </c>
      <c r="I139" s="34">
        <v>267.311556</v>
      </c>
      <c r="J139" s="34">
        <v>1962.223424</v>
      </c>
      <c r="K139" s="34">
        <v>279.279702</v>
      </c>
      <c r="L139" s="34">
        <v>474.81971799999997</v>
      </c>
      <c r="M139" s="66">
        <v>2519.1843479999998</v>
      </c>
      <c r="N139" s="34">
        <v>869.219552</v>
      </c>
      <c r="O139" s="34">
        <v>26.166</v>
      </c>
      <c r="P139" s="34">
        <v>140.8364</v>
      </c>
      <c r="Q139" s="34"/>
      <c r="R139" s="34"/>
      <c r="V139" s="13"/>
      <c r="W139" s="13"/>
      <c r="X139" s="13"/>
      <c r="Y139" s="13"/>
      <c r="Z139" s="13"/>
      <c r="AA139" s="13"/>
    </row>
    <row r="140" spans="2:18" ht="12">
      <c r="B140" s="36"/>
      <c r="C140" s="34"/>
      <c r="D140" s="34"/>
      <c r="E140" s="34"/>
      <c r="F140" s="34"/>
      <c r="G140" s="34"/>
      <c r="H140" s="34"/>
      <c r="I140" s="34"/>
      <c r="J140" s="34"/>
      <c r="K140" s="34"/>
      <c r="L140" s="34"/>
      <c r="M140" s="34"/>
      <c r="N140" s="34"/>
      <c r="O140" s="34"/>
      <c r="P140" s="34"/>
      <c r="Q140" s="34"/>
      <c r="R140" s="34"/>
    </row>
    <row r="141" spans="3:18" ht="12">
      <c r="C141" s="66" t="s">
        <v>96</v>
      </c>
      <c r="D141" s="34"/>
      <c r="E141" s="34"/>
      <c r="F141" s="34"/>
      <c r="G141" s="34"/>
      <c r="H141" s="34"/>
      <c r="I141" s="34"/>
      <c r="J141" s="34"/>
      <c r="K141" s="34"/>
      <c r="L141" s="34"/>
      <c r="M141" s="34"/>
      <c r="N141" s="34"/>
      <c r="O141" s="34"/>
      <c r="P141" s="34"/>
      <c r="Q141" s="34"/>
      <c r="R141" s="34"/>
    </row>
    <row r="142" spans="3:18" ht="12">
      <c r="C142" s="34"/>
      <c r="D142" s="34" t="s">
        <v>103</v>
      </c>
      <c r="E142" s="34"/>
      <c r="F142" s="34"/>
      <c r="G142" s="34"/>
      <c r="H142" s="34"/>
      <c r="I142" s="34"/>
      <c r="J142" s="34"/>
      <c r="K142" s="34"/>
      <c r="L142" s="34"/>
      <c r="M142" s="34"/>
      <c r="N142" s="34"/>
      <c r="O142" s="34"/>
      <c r="P142" s="34"/>
      <c r="Q142" s="34"/>
      <c r="R142" s="34"/>
    </row>
    <row r="143" spans="3:18" ht="12">
      <c r="C143" s="34"/>
      <c r="D143" s="34"/>
      <c r="E143" s="34"/>
      <c r="F143" s="34"/>
      <c r="G143" s="34"/>
      <c r="H143" s="34"/>
      <c r="I143" s="34"/>
      <c r="J143" s="34"/>
      <c r="K143" s="34"/>
      <c r="L143" s="34"/>
      <c r="M143" s="34"/>
      <c r="N143" s="34"/>
      <c r="O143" s="34"/>
      <c r="P143" s="34"/>
      <c r="Q143" s="34"/>
      <c r="R143" s="34"/>
    </row>
    <row r="144" spans="3:18" ht="12">
      <c r="C144" s="34"/>
      <c r="D144" s="34"/>
      <c r="E144" s="34"/>
      <c r="F144" s="34"/>
      <c r="G144" s="34"/>
      <c r="H144" s="34"/>
      <c r="I144" s="34"/>
      <c r="J144" s="34"/>
      <c r="K144" s="34"/>
      <c r="L144" s="34"/>
      <c r="M144" s="34"/>
      <c r="N144" s="34"/>
      <c r="O144" s="34"/>
      <c r="P144" s="34"/>
      <c r="Q144" s="34"/>
      <c r="R144" s="34"/>
    </row>
    <row r="145" spans="3:18" ht="12">
      <c r="C145" s="34"/>
      <c r="D145" s="34" t="s">
        <v>100</v>
      </c>
      <c r="E145" s="34"/>
      <c r="F145" s="34"/>
      <c r="G145" s="34"/>
      <c r="H145" s="34"/>
      <c r="I145" s="34"/>
      <c r="J145" s="34"/>
      <c r="K145" s="34"/>
      <c r="L145" s="34"/>
      <c r="M145" s="34"/>
      <c r="N145" s="34"/>
      <c r="O145" s="34"/>
      <c r="P145" s="34"/>
      <c r="Q145" s="34"/>
      <c r="R145" s="34"/>
    </row>
    <row r="146" spans="3:18" ht="12">
      <c r="C146" s="47" t="s">
        <v>101</v>
      </c>
      <c r="D146" s="34" t="s">
        <v>102</v>
      </c>
      <c r="E146" s="34"/>
      <c r="F146" s="34"/>
      <c r="G146" s="34"/>
      <c r="H146" s="34"/>
      <c r="I146" s="34"/>
      <c r="J146" s="34"/>
      <c r="K146" s="34"/>
      <c r="L146" s="34"/>
      <c r="M146" s="34"/>
      <c r="N146" s="34"/>
      <c r="O146" s="34"/>
      <c r="P146" s="34"/>
      <c r="Q146" s="34"/>
      <c r="R146" s="34"/>
    </row>
    <row r="147" spans="3:18" ht="12">
      <c r="C147" s="34"/>
      <c r="D147" s="34"/>
      <c r="E147" s="34"/>
      <c r="F147" s="34"/>
      <c r="G147" s="34"/>
      <c r="H147" s="34"/>
      <c r="I147" s="34"/>
      <c r="J147" s="34"/>
      <c r="K147" s="34"/>
      <c r="L147" s="34"/>
      <c r="M147" s="34"/>
      <c r="N147" s="34"/>
      <c r="O147" s="34"/>
      <c r="P147" s="34"/>
      <c r="Q147" s="34"/>
      <c r="R147" s="34"/>
    </row>
    <row r="148" spans="3:18" ht="12">
      <c r="C148" s="34"/>
      <c r="D148" s="34"/>
      <c r="E148" s="34"/>
      <c r="F148" s="34"/>
      <c r="G148" s="34"/>
      <c r="H148" s="34"/>
      <c r="I148" s="34"/>
      <c r="J148" s="34"/>
      <c r="K148" s="34"/>
      <c r="L148" s="34"/>
      <c r="M148" s="34"/>
      <c r="N148" s="34"/>
      <c r="O148" s="34"/>
      <c r="P148" s="34"/>
      <c r="Q148" s="34"/>
      <c r="R148" s="34"/>
    </row>
    <row r="149" spans="3:18" ht="12">
      <c r="C149" s="34"/>
      <c r="D149" s="34"/>
      <c r="E149" s="34"/>
      <c r="F149" s="34"/>
      <c r="G149" s="34"/>
      <c r="H149" s="34"/>
      <c r="I149" s="34"/>
      <c r="J149" s="34"/>
      <c r="K149" s="34"/>
      <c r="L149" s="34"/>
      <c r="M149" s="34"/>
      <c r="N149" s="34"/>
      <c r="O149" s="34"/>
      <c r="P149" s="34"/>
      <c r="Q149" s="34"/>
      <c r="R149" s="34"/>
    </row>
    <row r="150" spans="1:18" ht="12">
      <c r="A150" s="68" t="s">
        <v>98</v>
      </c>
      <c r="B150" s="65"/>
      <c r="C150" s="69"/>
      <c r="D150" s="69"/>
      <c r="E150" s="69"/>
      <c r="F150" s="69"/>
      <c r="G150" s="69"/>
      <c r="H150" s="32">
        <f>+H135-H152</f>
        <v>259.349799</v>
      </c>
      <c r="I150" s="32"/>
      <c r="J150" s="32"/>
      <c r="K150" s="32"/>
      <c r="L150" s="32"/>
      <c r="M150" s="32"/>
      <c r="N150" s="32"/>
      <c r="O150" s="32"/>
      <c r="P150" s="32"/>
      <c r="Q150" s="32"/>
      <c r="R150" s="32"/>
    </row>
    <row r="151" spans="3:25" ht="129" customHeight="1">
      <c r="C151" s="32"/>
      <c r="D151" s="32"/>
      <c r="E151" s="32"/>
      <c r="F151" s="32"/>
      <c r="G151" s="32"/>
      <c r="H151" s="32"/>
      <c r="I151" s="32"/>
      <c r="J151" s="32"/>
      <c r="K151" s="32"/>
      <c r="L151" s="32"/>
      <c r="M151" s="76" t="s">
        <v>111</v>
      </c>
      <c r="N151" s="77" t="s">
        <v>113</v>
      </c>
      <c r="O151" s="32"/>
      <c r="P151" s="32"/>
      <c r="Q151" s="32"/>
      <c r="R151" s="32"/>
      <c r="S151" t="s">
        <v>104</v>
      </c>
      <c r="T151" t="s">
        <v>105</v>
      </c>
      <c r="U151" t="s">
        <v>106</v>
      </c>
      <c r="V151" t="s">
        <v>107</v>
      </c>
      <c r="W151" t="s">
        <v>108</v>
      </c>
      <c r="X151" t="s">
        <v>109</v>
      </c>
      <c r="Y151" t="s">
        <v>112</v>
      </c>
    </row>
    <row r="152" spans="1:26" ht="12">
      <c r="A152" s="30">
        <v>2005</v>
      </c>
      <c r="B152" s="36" t="s">
        <v>62</v>
      </c>
      <c r="C152" s="47">
        <v>7560.819644</v>
      </c>
      <c r="D152" s="34">
        <v>438.22373</v>
      </c>
      <c r="E152" s="34">
        <v>-1.31056100000014</v>
      </c>
      <c r="F152" s="70">
        <f>+C152-D152-E152</f>
        <v>7123.906475000001</v>
      </c>
      <c r="G152" s="64">
        <v>308.284212</v>
      </c>
      <c r="H152" s="64">
        <v>22.562999999999988</v>
      </c>
      <c r="I152" s="64">
        <v>258.881339</v>
      </c>
      <c r="J152" s="64">
        <v>1949.560127</v>
      </c>
      <c r="K152" s="64">
        <v>565.019909</v>
      </c>
      <c r="L152" s="64">
        <v>187.827812</v>
      </c>
      <c r="M152" s="75">
        <v>2497.126725</v>
      </c>
      <c r="N152" s="64">
        <v>1000.311906</v>
      </c>
      <c r="O152" s="64">
        <v>73.345</v>
      </c>
      <c r="P152" s="64">
        <v>185.539</v>
      </c>
      <c r="Q152" s="64"/>
      <c r="R152" s="34"/>
      <c r="S152" s="74">
        <v>0</v>
      </c>
      <c r="T152" s="74">
        <v>10.329</v>
      </c>
      <c r="U152" s="74">
        <v>0</v>
      </c>
      <c r="V152" s="74">
        <v>8.443</v>
      </c>
      <c r="W152" s="74">
        <v>59.45099999999999</v>
      </c>
      <c r="X152" s="74">
        <v>77.858863</v>
      </c>
      <c r="Y152" s="73">
        <f>SUM(G152:X152)</f>
        <v>7204.540893</v>
      </c>
      <c r="Z152" s="14">
        <f>+Y152-F152</f>
        <v>80.63441799999964</v>
      </c>
    </row>
    <row r="153" spans="2:26" ht="12">
      <c r="B153" s="36" t="s">
        <v>63</v>
      </c>
      <c r="C153" s="47">
        <v>7155.811063</v>
      </c>
      <c r="D153" s="34">
        <v>403.715929</v>
      </c>
      <c r="E153" s="34">
        <v>-23.5585060000001</v>
      </c>
      <c r="F153" s="70">
        <f>+C153-D153-E153</f>
        <v>6775.65364</v>
      </c>
      <c r="G153" s="64">
        <v>152.840009</v>
      </c>
      <c r="H153" s="64">
        <v>21.28</v>
      </c>
      <c r="I153" s="64">
        <v>197.733104</v>
      </c>
      <c r="J153" s="64">
        <v>2068.653674</v>
      </c>
      <c r="K153" s="64">
        <v>457.42503600000003</v>
      </c>
      <c r="L153" s="64">
        <v>253.643103</v>
      </c>
      <c r="M153" s="75">
        <v>2430.487832</v>
      </c>
      <c r="N153" s="64">
        <v>823.0356999999999</v>
      </c>
      <c r="O153" s="64">
        <v>75.342</v>
      </c>
      <c r="P153" s="64">
        <v>177.163</v>
      </c>
      <c r="Q153" s="64"/>
      <c r="R153" s="34"/>
      <c r="S153" s="74">
        <v>0</v>
      </c>
      <c r="T153" s="74">
        <v>3.67</v>
      </c>
      <c r="U153" s="74">
        <v>0</v>
      </c>
      <c r="V153" s="74">
        <v>-1.36</v>
      </c>
      <c r="W153" s="74">
        <v>51.212</v>
      </c>
      <c r="X153" s="74">
        <v>80.80571400000001</v>
      </c>
      <c r="Y153" s="73">
        <f>SUM(G153:X153)</f>
        <v>6791.9311720000005</v>
      </c>
      <c r="Z153" s="14">
        <f>+Y153-F153</f>
        <v>16.277532000000065</v>
      </c>
    </row>
    <row r="154" spans="2:26" ht="12">
      <c r="B154" s="36" t="s">
        <v>64</v>
      </c>
      <c r="C154" s="47">
        <v>7206.55641</v>
      </c>
      <c r="D154" s="34">
        <v>422.52468</v>
      </c>
      <c r="E154" s="34">
        <v>-5.38675600000004</v>
      </c>
      <c r="F154" s="70">
        <f>+C154-D154-E154</f>
        <v>6789.4184860000005</v>
      </c>
      <c r="G154" s="64">
        <v>163.02416399999998</v>
      </c>
      <c r="H154" s="64">
        <v>21.685000000000002</v>
      </c>
      <c r="I154" s="64">
        <v>193.669008</v>
      </c>
      <c r="J154" s="64">
        <v>2028.654871</v>
      </c>
      <c r="K154" s="64">
        <v>499.22216</v>
      </c>
      <c r="L154" s="64">
        <v>220.47022</v>
      </c>
      <c r="M154" s="75">
        <v>2431.9165230000003</v>
      </c>
      <c r="N154" s="64">
        <v>901.968658</v>
      </c>
      <c r="O154" s="64">
        <v>37.272</v>
      </c>
      <c r="P154" s="64">
        <v>181.637</v>
      </c>
      <c r="Q154" s="64"/>
      <c r="R154" s="34"/>
      <c r="S154" s="74">
        <v>0</v>
      </c>
      <c r="T154" s="74">
        <v>7.934</v>
      </c>
      <c r="U154" s="74">
        <v>0</v>
      </c>
      <c r="V154" s="74">
        <v>6.479</v>
      </c>
      <c r="W154" s="74">
        <v>51.158</v>
      </c>
      <c r="X154" s="74">
        <v>95.905985</v>
      </c>
      <c r="Y154" s="73">
        <f>SUM(G154:X154)</f>
        <v>6840.996589</v>
      </c>
      <c r="Z154" s="14">
        <f>+Y154-F154</f>
        <v>51.57810299999983</v>
      </c>
    </row>
    <row r="155" spans="2:26" ht="12">
      <c r="B155" s="36" t="s">
        <v>65</v>
      </c>
      <c r="C155" s="47">
        <v>6747.388961999999</v>
      </c>
      <c r="D155" s="34">
        <v>404.881151</v>
      </c>
      <c r="E155" s="34">
        <v>-24.728955999999997</v>
      </c>
      <c r="F155" s="70">
        <f>+C155-D155-E155</f>
        <v>6367.236766999999</v>
      </c>
      <c r="G155" s="64">
        <v>193.49820400000002</v>
      </c>
      <c r="H155" s="64">
        <v>19.64760000000001</v>
      </c>
      <c r="I155" s="64">
        <v>215.424329</v>
      </c>
      <c r="J155" s="64">
        <v>1790.7519320000001</v>
      </c>
      <c r="K155" s="64">
        <v>399.832858</v>
      </c>
      <c r="L155" s="64">
        <v>314.850236</v>
      </c>
      <c r="M155" s="75">
        <v>2363.714323</v>
      </c>
      <c r="N155" s="64">
        <v>794.8921480000001</v>
      </c>
      <c r="O155" s="64">
        <v>25.434</v>
      </c>
      <c r="P155" s="64">
        <v>152.118</v>
      </c>
      <c r="Q155" s="64"/>
      <c r="R155" s="34"/>
      <c r="S155" s="74">
        <v>0</v>
      </c>
      <c r="T155" s="74">
        <v>5.327</v>
      </c>
      <c r="U155" s="74">
        <v>-0.079</v>
      </c>
      <c r="V155" s="74">
        <v>1.443</v>
      </c>
      <c r="W155" s="74">
        <v>41.866000000000014</v>
      </c>
      <c r="X155" s="74">
        <v>99.216021</v>
      </c>
      <c r="Y155" s="73">
        <f>SUM(G155:X155)</f>
        <v>6417.936651000002</v>
      </c>
      <c r="Z155" s="14">
        <f>+Y155-F155</f>
        <v>50.699884000002385</v>
      </c>
    </row>
    <row r="156" spans="2:26" ht="12">
      <c r="B156" s="36" t="s">
        <v>66</v>
      </c>
      <c r="C156" s="47">
        <v>7330.643745</v>
      </c>
      <c r="D156" s="34">
        <v>448.72772100000003</v>
      </c>
      <c r="E156" s="34">
        <v>-35.206135999999894</v>
      </c>
      <c r="F156" s="70">
        <f>+C156-D156-E156</f>
        <v>6917.12216</v>
      </c>
      <c r="G156" s="64">
        <v>308.284212</v>
      </c>
      <c r="H156" s="64">
        <v>74.37979900000002</v>
      </c>
      <c r="I156" s="64">
        <v>258.881339</v>
      </c>
      <c r="J156" s="64">
        <v>1949.560127</v>
      </c>
      <c r="K156" s="64">
        <v>565.019909</v>
      </c>
      <c r="L156" s="64">
        <v>187.827812</v>
      </c>
      <c r="M156" s="75">
        <v>2501.4406200000003</v>
      </c>
      <c r="N156" s="64">
        <v>973.216322</v>
      </c>
      <c r="O156" s="64">
        <v>73.345</v>
      </c>
      <c r="P156" s="64">
        <v>185.539</v>
      </c>
      <c r="Q156" s="64"/>
      <c r="R156" s="34"/>
      <c r="S156" s="74">
        <v>0</v>
      </c>
      <c r="T156" s="74">
        <v>10.329</v>
      </c>
      <c r="U156" s="74">
        <v>0</v>
      </c>
      <c r="V156" s="74">
        <v>8.443</v>
      </c>
      <c r="W156" s="74">
        <v>59.45099999999999</v>
      </c>
      <c r="X156" s="74">
        <v>77.858863</v>
      </c>
      <c r="Y156" s="73">
        <f>SUM(G156:X156)</f>
        <v>7233.576003000001</v>
      </c>
      <c r="Z156" s="14">
        <f>+Y156-F156</f>
        <v>316.45384300000114</v>
      </c>
    </row>
    <row r="157" spans="3:18" ht="12">
      <c r="C157" s="32"/>
      <c r="D157" s="32"/>
      <c r="E157" s="32"/>
      <c r="F157" s="32"/>
      <c r="G157" s="32"/>
      <c r="H157" s="32"/>
      <c r="I157" s="32"/>
      <c r="J157" s="32"/>
      <c r="K157" s="32"/>
      <c r="L157" s="32"/>
      <c r="M157" s="32"/>
      <c r="N157" s="32"/>
      <c r="O157" s="32"/>
      <c r="P157" s="32"/>
      <c r="Q157" s="32"/>
      <c r="R157" s="32"/>
    </row>
    <row r="158" spans="3:18" ht="12">
      <c r="C158" s="32"/>
      <c r="D158" s="32"/>
      <c r="E158" s="32"/>
      <c r="F158" s="32"/>
      <c r="G158" s="32"/>
      <c r="H158" s="32"/>
      <c r="I158" s="32"/>
      <c r="J158" s="32"/>
      <c r="K158" s="32"/>
      <c r="L158" s="32"/>
      <c r="M158" s="32"/>
      <c r="N158" s="32"/>
      <c r="O158" s="32"/>
      <c r="P158" s="32"/>
      <c r="Q158" s="32"/>
      <c r="R158" s="32"/>
    </row>
    <row r="159" spans="3:18" ht="12">
      <c r="C159" s="32"/>
      <c r="D159" s="32"/>
      <c r="E159" s="32"/>
      <c r="F159" s="32"/>
      <c r="G159" s="32"/>
      <c r="H159" s="32"/>
      <c r="I159" s="32"/>
      <c r="J159" s="32"/>
      <c r="K159" s="32"/>
      <c r="L159" s="32"/>
      <c r="M159" s="32"/>
      <c r="N159" s="32"/>
      <c r="O159" s="32"/>
      <c r="P159" s="32"/>
      <c r="Q159" s="32"/>
      <c r="R159" s="32"/>
    </row>
    <row r="160" spans="1:18" ht="12">
      <c r="A160" s="30" t="s">
        <v>97</v>
      </c>
      <c r="B160" s="36" t="s">
        <v>62</v>
      </c>
      <c r="C160" s="32">
        <f aca="true" t="shared" si="22" ref="C160:P160">+C135-C152</f>
        <v>0</v>
      </c>
      <c r="D160" s="32">
        <f t="shared" si="22"/>
        <v>0</v>
      </c>
      <c r="E160" s="32">
        <f t="shared" si="22"/>
        <v>0</v>
      </c>
      <c r="F160" s="32">
        <f t="shared" si="22"/>
        <v>0</v>
      </c>
      <c r="G160" s="32">
        <f t="shared" si="22"/>
        <v>0</v>
      </c>
      <c r="H160" s="32">
        <f t="shared" si="22"/>
        <v>259.349799</v>
      </c>
      <c r="I160" s="32">
        <f t="shared" si="22"/>
        <v>7.399999999999977</v>
      </c>
      <c r="J160" s="32">
        <f t="shared" si="22"/>
        <v>0</v>
      </c>
      <c r="K160" s="32">
        <f t="shared" si="22"/>
        <v>0</v>
      </c>
      <c r="L160" s="32">
        <f t="shared" si="22"/>
        <v>3.4000000000000057</v>
      </c>
      <c r="M160" s="32">
        <f t="shared" si="22"/>
        <v>-1.3640000000000327</v>
      </c>
      <c r="N160" s="32">
        <f t="shared" si="22"/>
        <v>1.8819999999999482</v>
      </c>
      <c r="O160" s="32">
        <f t="shared" si="22"/>
        <v>1.8719999999999999</v>
      </c>
      <c r="P160" s="32">
        <f t="shared" si="22"/>
        <v>0</v>
      </c>
      <c r="Q160" s="32"/>
      <c r="R160" s="32"/>
    </row>
    <row r="161" spans="2:18" ht="12">
      <c r="B161" s="36" t="s">
        <v>63</v>
      </c>
      <c r="C161" s="32">
        <f aca="true" t="shared" si="23" ref="C161:P161">+C136-C153</f>
        <v>0</v>
      </c>
      <c r="D161" s="32">
        <f t="shared" si="23"/>
        <v>0</v>
      </c>
      <c r="E161" s="32">
        <f t="shared" si="23"/>
        <v>0</v>
      </c>
      <c r="F161" s="32">
        <f t="shared" si="23"/>
        <v>0</v>
      </c>
      <c r="G161" s="32">
        <f t="shared" si="23"/>
        <v>0</v>
      </c>
      <c r="H161" s="32">
        <f t="shared" si="23"/>
        <v>232.579556</v>
      </c>
      <c r="I161" s="32">
        <f t="shared" si="23"/>
        <v>10.699999999999989</v>
      </c>
      <c r="J161" s="32">
        <f t="shared" si="23"/>
        <v>0</v>
      </c>
      <c r="K161" s="32">
        <f t="shared" si="23"/>
        <v>0</v>
      </c>
      <c r="L161" s="32">
        <f t="shared" si="23"/>
        <v>4.400000000000034</v>
      </c>
      <c r="M161" s="32">
        <f t="shared" si="23"/>
        <v>-1.3795329999998103</v>
      </c>
      <c r="N161" s="32">
        <f t="shared" si="23"/>
        <v>0</v>
      </c>
      <c r="O161" s="32">
        <f t="shared" si="23"/>
        <v>1.391999999999996</v>
      </c>
      <c r="P161" s="32">
        <f t="shared" si="23"/>
        <v>0</v>
      </c>
      <c r="Q161" s="32"/>
      <c r="R161" s="32"/>
    </row>
    <row r="162" spans="2:18" ht="12">
      <c r="B162" s="36" t="s">
        <v>64</v>
      </c>
      <c r="C162" s="32">
        <f aca="true" t="shared" si="24" ref="C162:P162">+C137-C154</f>
        <v>0</v>
      </c>
      <c r="D162" s="32">
        <f t="shared" si="24"/>
        <v>0</v>
      </c>
      <c r="E162" s="32">
        <f t="shared" si="24"/>
        <v>0</v>
      </c>
      <c r="F162" s="32">
        <f t="shared" si="24"/>
        <v>0</v>
      </c>
      <c r="G162" s="32">
        <f t="shared" si="24"/>
        <v>0</v>
      </c>
      <c r="H162" s="32">
        <f t="shared" si="24"/>
        <v>221.91557999999998</v>
      </c>
      <c r="I162" s="32">
        <f t="shared" si="24"/>
        <v>11.100000000000023</v>
      </c>
      <c r="J162" s="32">
        <f t="shared" si="24"/>
        <v>0</v>
      </c>
      <c r="K162" s="32">
        <f t="shared" si="24"/>
        <v>0</v>
      </c>
      <c r="L162" s="32">
        <f t="shared" si="24"/>
        <v>5</v>
      </c>
      <c r="M162" s="32">
        <f t="shared" si="24"/>
        <v>-1.6463760000001457</v>
      </c>
      <c r="N162" s="32">
        <f t="shared" si="24"/>
        <v>-0.6000000000000227</v>
      </c>
      <c r="O162" s="32">
        <f t="shared" si="24"/>
        <v>1.2480000000000047</v>
      </c>
      <c r="P162" s="32">
        <f t="shared" si="24"/>
        <v>0</v>
      </c>
      <c r="Q162" s="32"/>
      <c r="R162" s="32"/>
    </row>
    <row r="163" spans="2:18" ht="12">
      <c r="B163" s="36" t="s">
        <v>65</v>
      </c>
      <c r="C163" s="32">
        <f aca="true" t="shared" si="25" ref="C163:P163">+C138-C155</f>
        <v>0</v>
      </c>
      <c r="D163" s="32">
        <f t="shared" si="25"/>
        <v>0</v>
      </c>
      <c r="E163" s="32">
        <f t="shared" si="25"/>
        <v>0</v>
      </c>
      <c r="F163" s="32">
        <f t="shared" si="25"/>
        <v>0</v>
      </c>
      <c r="G163" s="32">
        <f t="shared" si="25"/>
        <v>0</v>
      </c>
      <c r="H163" s="32">
        <f t="shared" si="25"/>
        <v>211.594166</v>
      </c>
      <c r="I163" s="32">
        <f t="shared" si="25"/>
        <v>10.800000000000011</v>
      </c>
      <c r="J163" s="32">
        <f t="shared" si="25"/>
        <v>0</v>
      </c>
      <c r="K163" s="32">
        <f t="shared" si="25"/>
        <v>0</v>
      </c>
      <c r="L163" s="32">
        <f t="shared" si="25"/>
        <v>6.198999999999955</v>
      </c>
      <c r="M163" s="32">
        <f t="shared" si="25"/>
        <v>-1.7793649999998706</v>
      </c>
      <c r="N163" s="32">
        <f t="shared" si="25"/>
        <v>-0.10000000000013642</v>
      </c>
      <c r="O163" s="32">
        <f t="shared" si="25"/>
        <v>0.9839999999999982</v>
      </c>
      <c r="P163" s="32">
        <f t="shared" si="25"/>
        <v>0</v>
      </c>
      <c r="Q163" s="32"/>
      <c r="R163" s="32"/>
    </row>
    <row r="164" spans="2:18" ht="12">
      <c r="B164" s="36" t="s">
        <v>66</v>
      </c>
      <c r="C164" s="32">
        <f aca="true" t="shared" si="26" ref="C164:P164">+C139-C156</f>
        <v>0</v>
      </c>
      <c r="D164" s="32">
        <f t="shared" si="26"/>
        <v>0</v>
      </c>
      <c r="E164" s="32">
        <f t="shared" si="26"/>
        <v>0</v>
      </c>
      <c r="F164" s="32">
        <f t="shared" si="26"/>
        <v>0</v>
      </c>
      <c r="G164" s="32">
        <f t="shared" si="26"/>
        <v>-123.52195900000004</v>
      </c>
      <c r="H164" s="32">
        <f t="shared" si="26"/>
        <v>178.65269999999998</v>
      </c>
      <c r="I164" s="32">
        <f t="shared" si="26"/>
        <v>8.43021699999997</v>
      </c>
      <c r="J164" s="32">
        <f t="shared" si="26"/>
        <v>12.663297000000057</v>
      </c>
      <c r="K164" s="32">
        <f t="shared" si="26"/>
        <v>-285.740207</v>
      </c>
      <c r="L164" s="32">
        <f t="shared" si="26"/>
        <v>286.991906</v>
      </c>
      <c r="M164" s="32">
        <f t="shared" si="26"/>
        <v>17.743727999999464</v>
      </c>
      <c r="N164" s="32">
        <f t="shared" si="26"/>
        <v>-103.99676999999997</v>
      </c>
      <c r="O164" s="32">
        <f t="shared" si="26"/>
        <v>-47.179</v>
      </c>
      <c r="P164" s="32">
        <f t="shared" si="26"/>
        <v>-44.70259999999999</v>
      </c>
      <c r="Q164" s="32"/>
      <c r="R164" s="32"/>
    </row>
    <row r="165" spans="3:18" ht="12">
      <c r="C165" s="32"/>
      <c r="D165" s="32"/>
      <c r="E165" s="32"/>
      <c r="F165" s="32"/>
      <c r="G165" s="32"/>
      <c r="H165" s="32"/>
      <c r="I165" s="32"/>
      <c r="J165" s="32"/>
      <c r="K165" s="32"/>
      <c r="L165" s="32"/>
      <c r="M165" s="32"/>
      <c r="N165" s="32"/>
      <c r="O165" s="32"/>
      <c r="P165" s="32"/>
      <c r="Q165" s="32"/>
      <c r="R165" s="32"/>
    </row>
    <row r="166" spans="3:18" ht="12">
      <c r="C166" s="32"/>
      <c r="D166" s="32"/>
      <c r="E166" s="32"/>
      <c r="F166" s="32"/>
      <c r="G166" s="32"/>
      <c r="H166" s="32"/>
      <c r="I166" s="32"/>
      <c r="J166" s="32"/>
      <c r="K166" s="32"/>
      <c r="L166" s="32"/>
      <c r="M166" s="32"/>
      <c r="N166" s="32"/>
      <c r="O166" s="32"/>
      <c r="P166" s="32"/>
      <c r="Q166" s="32"/>
      <c r="R166" s="32"/>
    </row>
    <row r="167" spans="3:18" ht="12">
      <c r="C167" s="32"/>
      <c r="D167" s="32"/>
      <c r="E167" s="32"/>
      <c r="F167" s="32"/>
      <c r="G167" s="32"/>
      <c r="H167" s="32"/>
      <c r="I167" s="32"/>
      <c r="J167" s="32"/>
      <c r="K167" s="32"/>
      <c r="L167" s="32"/>
      <c r="M167" s="32"/>
      <c r="N167" s="32"/>
      <c r="O167" s="32"/>
      <c r="P167" s="32"/>
      <c r="Q167" s="32"/>
      <c r="R167" s="32"/>
    </row>
    <row r="168" spans="3:18" ht="12">
      <c r="C168" s="32"/>
      <c r="D168" s="32"/>
      <c r="E168" s="32"/>
      <c r="F168" s="32"/>
      <c r="G168" s="32"/>
      <c r="H168" s="32"/>
      <c r="I168" s="32"/>
      <c r="J168" s="32"/>
      <c r="K168" s="32"/>
      <c r="L168" s="32"/>
      <c r="M168" s="32"/>
      <c r="N168" s="32"/>
      <c r="O168" s="32"/>
      <c r="P168" s="32"/>
      <c r="Q168" s="32"/>
      <c r="R168" s="32"/>
    </row>
    <row r="169" spans="3:18" ht="12">
      <c r="C169" s="32"/>
      <c r="D169" s="32"/>
      <c r="E169" s="32"/>
      <c r="F169" s="32"/>
      <c r="G169" s="32"/>
      <c r="H169" s="32"/>
      <c r="I169" s="32"/>
      <c r="J169" s="32"/>
      <c r="K169" s="32"/>
      <c r="L169" s="32"/>
      <c r="M169" s="32"/>
      <c r="N169" s="32"/>
      <c r="O169" s="32"/>
      <c r="P169" s="32"/>
      <c r="Q169" s="32"/>
      <c r="R169" s="32"/>
    </row>
    <row r="170" spans="3:18" ht="12">
      <c r="C170" s="32"/>
      <c r="D170" s="32"/>
      <c r="E170" s="32"/>
      <c r="F170" s="32"/>
      <c r="G170" s="32"/>
      <c r="H170" s="32"/>
      <c r="I170" s="32"/>
      <c r="J170" s="32"/>
      <c r="K170" s="32"/>
      <c r="L170" s="32"/>
      <c r="M170" s="32"/>
      <c r="N170" s="32"/>
      <c r="O170" s="32"/>
      <c r="P170" s="32"/>
      <c r="Q170" s="32"/>
      <c r="R170" s="32"/>
    </row>
    <row r="171" spans="3:18" ht="12">
      <c r="C171" s="32"/>
      <c r="D171" s="32"/>
      <c r="E171" s="32"/>
      <c r="F171" s="32"/>
      <c r="G171" s="32"/>
      <c r="H171" s="32"/>
      <c r="I171" s="32"/>
      <c r="J171" s="32"/>
      <c r="K171" s="32"/>
      <c r="L171" s="32"/>
      <c r="M171" s="32"/>
      <c r="N171" s="32"/>
      <c r="O171" s="32"/>
      <c r="P171" s="32"/>
      <c r="Q171" s="32"/>
      <c r="R171" s="32"/>
    </row>
    <row r="172" spans="3:18" ht="12">
      <c r="C172" s="32"/>
      <c r="D172" s="32"/>
      <c r="E172" s="32"/>
      <c r="F172" s="32"/>
      <c r="G172" s="32"/>
      <c r="H172" s="32"/>
      <c r="I172" s="32"/>
      <c r="J172" s="32"/>
      <c r="K172" s="32"/>
      <c r="L172" s="32"/>
      <c r="M172" s="32"/>
      <c r="N172" s="32"/>
      <c r="O172" s="32"/>
      <c r="P172" s="32"/>
      <c r="Q172" s="32"/>
      <c r="R172" s="32"/>
    </row>
    <row r="173" spans="3:18" ht="12">
      <c r="C173" s="32"/>
      <c r="D173" s="32"/>
      <c r="E173" s="32"/>
      <c r="F173" s="32"/>
      <c r="G173" s="32"/>
      <c r="H173" s="32"/>
      <c r="I173" s="32"/>
      <c r="J173" s="32"/>
      <c r="K173" s="32"/>
      <c r="L173" s="32"/>
      <c r="M173" s="32"/>
      <c r="N173" s="32"/>
      <c r="O173" s="32"/>
      <c r="P173" s="32"/>
      <c r="Q173" s="32"/>
      <c r="R173" s="32"/>
    </row>
    <row r="174" spans="3:18" ht="12">
      <c r="C174" s="32"/>
      <c r="D174" s="32"/>
      <c r="E174" s="32"/>
      <c r="F174" s="32"/>
      <c r="G174" s="32"/>
      <c r="H174" s="32"/>
      <c r="I174" s="32"/>
      <c r="J174" s="32"/>
      <c r="K174" s="32"/>
      <c r="L174" s="32"/>
      <c r="M174" s="32"/>
      <c r="N174" s="32"/>
      <c r="O174" s="32"/>
      <c r="P174" s="32"/>
      <c r="Q174" s="32"/>
      <c r="R174" s="32"/>
    </row>
    <row r="175" spans="3:18" ht="12">
      <c r="C175" s="32"/>
      <c r="D175" s="32"/>
      <c r="E175" s="32"/>
      <c r="F175" s="32"/>
      <c r="G175" s="32"/>
      <c r="H175" s="32"/>
      <c r="I175" s="32"/>
      <c r="J175" s="32"/>
      <c r="K175" s="32"/>
      <c r="L175" s="32"/>
      <c r="M175" s="32"/>
      <c r="N175" s="32"/>
      <c r="O175" s="32"/>
      <c r="P175" s="32"/>
      <c r="Q175" s="32"/>
      <c r="R175" s="32"/>
    </row>
    <row r="176" spans="3:18" ht="12">
      <c r="C176" s="32"/>
      <c r="D176" s="32"/>
      <c r="E176" s="32"/>
      <c r="F176" s="32"/>
      <c r="G176" s="32"/>
      <c r="H176" s="32"/>
      <c r="I176" s="32"/>
      <c r="J176" s="32"/>
      <c r="K176" s="32"/>
      <c r="L176" s="32"/>
      <c r="M176" s="32"/>
      <c r="N176" s="32"/>
      <c r="O176" s="32"/>
      <c r="P176" s="32"/>
      <c r="Q176" s="32"/>
      <c r="R176" s="32"/>
    </row>
    <row r="177" spans="3:18" ht="12">
      <c r="C177" s="32"/>
      <c r="D177" s="32"/>
      <c r="E177" s="32"/>
      <c r="F177" s="32"/>
      <c r="G177" s="32"/>
      <c r="H177" s="32"/>
      <c r="I177" s="32"/>
      <c r="J177" s="32"/>
      <c r="K177" s="32"/>
      <c r="L177" s="32"/>
      <c r="M177" s="32"/>
      <c r="N177" s="32"/>
      <c r="O177" s="32"/>
      <c r="P177" s="32"/>
      <c r="Q177" s="32"/>
      <c r="R177" s="32"/>
    </row>
    <row r="178" spans="3:18" ht="12">
      <c r="C178" s="32"/>
      <c r="D178" s="32"/>
      <c r="E178" s="32"/>
      <c r="F178" s="32"/>
      <c r="G178" s="32"/>
      <c r="H178" s="32"/>
      <c r="I178" s="32"/>
      <c r="J178" s="32"/>
      <c r="K178" s="32"/>
      <c r="L178" s="32"/>
      <c r="M178" s="32"/>
      <c r="N178" s="32"/>
      <c r="O178" s="32"/>
      <c r="P178" s="32"/>
      <c r="Q178" s="32"/>
      <c r="R178" s="32"/>
    </row>
    <row r="179" spans="3:18" ht="12">
      <c r="C179" s="32"/>
      <c r="D179" s="32"/>
      <c r="E179" s="32"/>
      <c r="F179" s="32"/>
      <c r="G179" s="32"/>
      <c r="H179" s="32"/>
      <c r="I179" s="32"/>
      <c r="J179" s="32"/>
      <c r="K179" s="32"/>
      <c r="L179" s="32"/>
      <c r="M179" s="32"/>
      <c r="N179" s="32"/>
      <c r="O179" s="32"/>
      <c r="P179" s="32"/>
      <c r="Q179" s="32"/>
      <c r="R179" s="32"/>
    </row>
    <row r="180" spans="3:18" ht="12">
      <c r="C180" s="32"/>
      <c r="D180" s="32"/>
      <c r="E180" s="32"/>
      <c r="F180" s="32"/>
      <c r="G180" s="32"/>
      <c r="H180" s="32"/>
      <c r="I180" s="32"/>
      <c r="J180" s="32"/>
      <c r="K180" s="32"/>
      <c r="L180" s="32"/>
      <c r="M180" s="32"/>
      <c r="N180" s="32"/>
      <c r="O180" s="32"/>
      <c r="P180" s="32"/>
      <c r="Q180" s="32"/>
      <c r="R180" s="32"/>
    </row>
    <row r="181" spans="3:18" ht="12">
      <c r="C181" s="32"/>
      <c r="D181" s="32"/>
      <c r="E181" s="32"/>
      <c r="F181" s="32"/>
      <c r="G181" s="32"/>
      <c r="H181" s="32"/>
      <c r="I181" s="32"/>
      <c r="J181" s="32"/>
      <c r="K181" s="32"/>
      <c r="L181" s="32"/>
      <c r="M181" s="32"/>
      <c r="N181" s="32"/>
      <c r="O181" s="32"/>
      <c r="P181" s="32"/>
      <c r="Q181" s="32"/>
      <c r="R181" s="32"/>
    </row>
    <row r="182" spans="3:18" ht="12">
      <c r="C182" s="32"/>
      <c r="D182" s="32"/>
      <c r="E182" s="32"/>
      <c r="F182" s="32"/>
      <c r="G182" s="32"/>
      <c r="H182" s="32"/>
      <c r="I182" s="32"/>
      <c r="J182" s="32"/>
      <c r="K182" s="32"/>
      <c r="L182" s="32"/>
      <c r="M182" s="32"/>
      <c r="N182" s="32"/>
      <c r="O182" s="32"/>
      <c r="P182" s="32"/>
      <c r="Q182" s="32"/>
      <c r="R182" s="32"/>
    </row>
    <row r="183" spans="3:18" ht="12">
      <c r="C183" s="32"/>
      <c r="D183" s="32"/>
      <c r="E183" s="32"/>
      <c r="F183" s="32"/>
      <c r="G183" s="32"/>
      <c r="H183" s="32"/>
      <c r="I183" s="32"/>
      <c r="J183" s="32"/>
      <c r="K183" s="32"/>
      <c r="L183" s="32"/>
      <c r="M183" s="32"/>
      <c r="N183" s="32"/>
      <c r="O183" s="32"/>
      <c r="P183" s="32"/>
      <c r="Q183" s="32"/>
      <c r="R183" s="32"/>
    </row>
    <row r="184" spans="3:18" ht="12">
      <c r="C184" s="32"/>
      <c r="D184" s="32"/>
      <c r="E184" s="32"/>
      <c r="F184" s="32"/>
      <c r="G184" s="32"/>
      <c r="H184" s="32"/>
      <c r="I184" s="32"/>
      <c r="J184" s="32"/>
      <c r="K184" s="32"/>
      <c r="L184" s="32"/>
      <c r="M184" s="32"/>
      <c r="N184" s="32"/>
      <c r="O184" s="32"/>
      <c r="P184" s="32"/>
      <c r="Q184" s="32"/>
      <c r="R184" s="32"/>
    </row>
    <row r="185" spans="3:18" ht="12">
      <c r="C185" s="32"/>
      <c r="D185" s="32"/>
      <c r="E185" s="32"/>
      <c r="F185" s="32"/>
      <c r="G185" s="32"/>
      <c r="H185" s="32"/>
      <c r="I185" s="32"/>
      <c r="J185" s="32"/>
      <c r="K185" s="32"/>
      <c r="L185" s="32"/>
      <c r="M185" s="32"/>
      <c r="N185" s="32"/>
      <c r="O185" s="32"/>
      <c r="P185" s="32"/>
      <c r="Q185" s="32"/>
      <c r="R185" s="32"/>
    </row>
    <row r="186" spans="3:18" ht="12">
      <c r="C186" s="32"/>
      <c r="D186" s="32"/>
      <c r="E186" s="32"/>
      <c r="F186" s="32"/>
      <c r="G186" s="32"/>
      <c r="H186" s="32"/>
      <c r="I186" s="32"/>
      <c r="J186" s="32"/>
      <c r="K186" s="32"/>
      <c r="L186" s="32"/>
      <c r="M186" s="32"/>
      <c r="N186" s="32"/>
      <c r="O186" s="32"/>
      <c r="P186" s="32"/>
      <c r="Q186" s="32"/>
      <c r="R186" s="32"/>
    </row>
    <row r="187" spans="3:18" ht="12">
      <c r="C187" s="32"/>
      <c r="D187" s="32"/>
      <c r="E187" s="32"/>
      <c r="F187" s="32"/>
      <c r="G187" s="32"/>
      <c r="H187" s="32"/>
      <c r="I187" s="32"/>
      <c r="J187" s="32"/>
      <c r="K187" s="32"/>
      <c r="L187" s="32"/>
      <c r="M187" s="32"/>
      <c r="N187" s="32"/>
      <c r="O187" s="32"/>
      <c r="P187" s="32"/>
      <c r="Q187" s="32"/>
      <c r="R187" s="32"/>
    </row>
    <row r="188" spans="3:18" ht="12">
      <c r="C188" s="32"/>
      <c r="D188" s="32"/>
      <c r="E188" s="32"/>
      <c r="F188" s="32"/>
      <c r="G188" s="32"/>
      <c r="H188" s="32"/>
      <c r="I188" s="32"/>
      <c r="J188" s="32"/>
      <c r="K188" s="32"/>
      <c r="L188" s="32"/>
      <c r="M188" s="32"/>
      <c r="N188" s="32"/>
      <c r="O188" s="32"/>
      <c r="P188" s="32"/>
      <c r="Q188" s="32"/>
      <c r="R188" s="32"/>
    </row>
    <row r="189" spans="3:18" ht="12">
      <c r="C189" s="32"/>
      <c r="D189" s="32"/>
      <c r="E189" s="32"/>
      <c r="F189" s="32"/>
      <c r="G189" s="32"/>
      <c r="H189" s="32"/>
      <c r="I189" s="32"/>
      <c r="J189" s="32"/>
      <c r="K189" s="32"/>
      <c r="L189" s="32"/>
      <c r="M189" s="32"/>
      <c r="N189" s="32"/>
      <c r="O189" s="32"/>
      <c r="P189" s="32"/>
      <c r="Q189" s="32"/>
      <c r="R189" s="32"/>
    </row>
    <row r="190" spans="3:18" ht="12">
      <c r="C190" s="32"/>
      <c r="D190" s="32"/>
      <c r="E190" s="32"/>
      <c r="F190" s="32"/>
      <c r="G190" s="32"/>
      <c r="H190" s="32"/>
      <c r="I190" s="32"/>
      <c r="J190" s="32"/>
      <c r="K190" s="32"/>
      <c r="L190" s="32"/>
      <c r="M190" s="32"/>
      <c r="N190" s="32"/>
      <c r="O190" s="32"/>
      <c r="P190" s="32"/>
      <c r="Q190" s="32"/>
      <c r="R190" s="32"/>
    </row>
    <row r="191" spans="3:18" ht="12">
      <c r="C191" s="32"/>
      <c r="D191" s="32"/>
      <c r="E191" s="32"/>
      <c r="F191" s="32"/>
      <c r="G191" s="32"/>
      <c r="H191" s="32"/>
      <c r="I191" s="32"/>
      <c r="J191" s="32"/>
      <c r="K191" s="32"/>
      <c r="L191" s="32"/>
      <c r="M191" s="32"/>
      <c r="N191" s="32"/>
      <c r="O191" s="32"/>
      <c r="P191" s="32"/>
      <c r="Q191" s="32"/>
      <c r="R191" s="32"/>
    </row>
    <row r="192" spans="3:18" ht="12">
      <c r="C192" s="32"/>
      <c r="D192" s="32"/>
      <c r="E192" s="32"/>
      <c r="F192" s="32"/>
      <c r="G192" s="32"/>
      <c r="H192" s="32"/>
      <c r="I192" s="32"/>
      <c r="J192" s="32"/>
      <c r="K192" s="32"/>
      <c r="L192" s="32"/>
      <c r="M192" s="32"/>
      <c r="N192" s="32"/>
      <c r="O192" s="32"/>
      <c r="P192" s="32"/>
      <c r="Q192" s="32"/>
      <c r="R192" s="32"/>
    </row>
    <row r="193" spans="3:18" ht="12">
      <c r="C193" s="32"/>
      <c r="D193" s="32"/>
      <c r="E193" s="32"/>
      <c r="F193" s="32"/>
      <c r="G193" s="32"/>
      <c r="H193" s="32"/>
      <c r="I193" s="32"/>
      <c r="J193" s="32"/>
      <c r="K193" s="32"/>
      <c r="L193" s="32"/>
      <c r="M193" s="32"/>
      <c r="N193" s="32"/>
      <c r="O193" s="32"/>
      <c r="P193" s="32"/>
      <c r="Q193" s="32"/>
      <c r="R193" s="32"/>
    </row>
    <row r="194" spans="3:18" ht="12">
      <c r="C194" s="32"/>
      <c r="D194" s="32"/>
      <c r="E194" s="32"/>
      <c r="F194" s="32"/>
      <c r="G194" s="32"/>
      <c r="H194" s="32"/>
      <c r="I194" s="32"/>
      <c r="J194" s="32"/>
      <c r="K194" s="32"/>
      <c r="L194" s="32"/>
      <c r="M194" s="32"/>
      <c r="N194" s="32"/>
      <c r="O194" s="32"/>
      <c r="P194" s="32"/>
      <c r="Q194" s="32"/>
      <c r="R194" s="32"/>
    </row>
    <row r="195" spans="3:18" ht="12">
      <c r="C195" s="32"/>
      <c r="D195" s="32"/>
      <c r="E195" s="32"/>
      <c r="F195" s="32"/>
      <c r="G195" s="32"/>
      <c r="H195" s="32"/>
      <c r="I195" s="32"/>
      <c r="J195" s="32"/>
      <c r="K195" s="32"/>
      <c r="L195" s="32"/>
      <c r="M195" s="32"/>
      <c r="N195" s="32"/>
      <c r="O195" s="32"/>
      <c r="P195" s="32"/>
      <c r="Q195" s="32"/>
      <c r="R195" s="32"/>
    </row>
    <row r="196" spans="3:18" ht="12">
      <c r="C196" s="32"/>
      <c r="D196" s="32"/>
      <c r="E196" s="32"/>
      <c r="F196" s="32"/>
      <c r="G196" s="32"/>
      <c r="H196" s="32"/>
      <c r="I196" s="32"/>
      <c r="J196" s="32"/>
      <c r="K196" s="32"/>
      <c r="L196" s="32"/>
      <c r="M196" s="32"/>
      <c r="N196" s="32"/>
      <c r="O196" s="32"/>
      <c r="P196" s="32"/>
      <c r="Q196" s="32"/>
      <c r="R196" s="32"/>
    </row>
    <row r="197" spans="3:18" ht="12">
      <c r="C197" s="32"/>
      <c r="D197" s="32"/>
      <c r="E197" s="32"/>
      <c r="F197" s="32"/>
      <c r="G197" s="32"/>
      <c r="H197" s="32"/>
      <c r="I197" s="32"/>
      <c r="J197" s="32"/>
      <c r="K197" s="32"/>
      <c r="L197" s="32"/>
      <c r="M197" s="32"/>
      <c r="N197" s="32"/>
      <c r="O197" s="32"/>
      <c r="P197" s="32"/>
      <c r="Q197" s="32"/>
      <c r="R197" s="32"/>
    </row>
    <row r="198" spans="3:18" ht="12">
      <c r="C198" s="32"/>
      <c r="D198" s="32"/>
      <c r="E198" s="32"/>
      <c r="F198" s="32"/>
      <c r="G198" s="32"/>
      <c r="H198" s="32"/>
      <c r="I198" s="32"/>
      <c r="J198" s="32"/>
      <c r="K198" s="32"/>
      <c r="L198" s="32"/>
      <c r="M198" s="32"/>
      <c r="N198" s="32"/>
      <c r="O198" s="32"/>
      <c r="P198" s="32"/>
      <c r="Q198" s="32"/>
      <c r="R198" s="32"/>
    </row>
    <row r="199" spans="3:18" ht="12">
      <c r="C199" s="32"/>
      <c r="D199" s="32"/>
      <c r="E199" s="32"/>
      <c r="F199" s="32"/>
      <c r="G199" s="32"/>
      <c r="H199" s="32"/>
      <c r="I199" s="32"/>
      <c r="J199" s="32"/>
      <c r="K199" s="32"/>
      <c r="L199" s="32"/>
      <c r="M199" s="32"/>
      <c r="N199" s="32"/>
      <c r="O199" s="32"/>
      <c r="P199" s="32"/>
      <c r="Q199" s="32"/>
      <c r="R199" s="32"/>
    </row>
    <row r="200" spans="3:18" ht="12">
      <c r="C200" s="32"/>
      <c r="D200" s="32"/>
      <c r="E200" s="32"/>
      <c r="F200" s="32"/>
      <c r="G200" s="32"/>
      <c r="H200" s="32"/>
      <c r="I200" s="32"/>
      <c r="J200" s="32"/>
      <c r="K200" s="32"/>
      <c r="L200" s="32"/>
      <c r="M200" s="32"/>
      <c r="N200" s="32"/>
      <c r="O200" s="32"/>
      <c r="P200" s="32"/>
      <c r="Q200" s="32"/>
      <c r="R200" s="32"/>
    </row>
    <row r="201" spans="3:18" ht="12">
      <c r="C201" s="32"/>
      <c r="D201" s="32"/>
      <c r="E201" s="32"/>
      <c r="F201" s="32"/>
      <c r="G201" s="32"/>
      <c r="H201" s="32"/>
      <c r="I201" s="32"/>
      <c r="J201" s="32"/>
      <c r="K201" s="32"/>
      <c r="L201" s="32"/>
      <c r="M201" s="32"/>
      <c r="N201" s="32"/>
      <c r="O201" s="32"/>
      <c r="P201" s="32"/>
      <c r="Q201" s="32"/>
      <c r="R201" s="32"/>
    </row>
    <row r="202" spans="3:18" ht="12">
      <c r="C202" s="32"/>
      <c r="D202" s="32"/>
      <c r="E202" s="32"/>
      <c r="F202" s="32"/>
      <c r="G202" s="32"/>
      <c r="H202" s="32"/>
      <c r="I202" s="32"/>
      <c r="J202" s="32"/>
      <c r="K202" s="32"/>
      <c r="L202" s="32"/>
      <c r="M202" s="32"/>
      <c r="N202" s="32"/>
      <c r="O202" s="32"/>
      <c r="P202" s="32"/>
      <c r="Q202" s="32"/>
      <c r="R202" s="32"/>
    </row>
    <row r="203" spans="3:18" ht="12">
      <c r="C203" s="32"/>
      <c r="D203" s="32"/>
      <c r="E203" s="32"/>
      <c r="F203" s="32"/>
      <c r="G203" s="32"/>
      <c r="H203" s="32"/>
      <c r="I203" s="32"/>
      <c r="J203" s="32"/>
      <c r="K203" s="32"/>
      <c r="L203" s="32"/>
      <c r="M203" s="32"/>
      <c r="N203" s="32"/>
      <c r="O203" s="32"/>
      <c r="P203" s="32"/>
      <c r="Q203" s="32"/>
      <c r="R203" s="32"/>
    </row>
    <row r="204" spans="3:18" ht="12">
      <c r="C204" s="32"/>
      <c r="D204" s="32"/>
      <c r="E204" s="32"/>
      <c r="F204" s="32"/>
      <c r="G204" s="32"/>
      <c r="H204" s="32"/>
      <c r="I204" s="32"/>
      <c r="J204" s="32"/>
      <c r="K204" s="32"/>
      <c r="L204" s="32"/>
      <c r="M204" s="32"/>
      <c r="N204" s="32"/>
      <c r="O204" s="32"/>
      <c r="P204" s="32"/>
      <c r="Q204" s="32"/>
      <c r="R204" s="32"/>
    </row>
    <row r="205" spans="3:18" ht="12">
      <c r="C205" s="32"/>
      <c r="D205" s="32"/>
      <c r="E205" s="32"/>
      <c r="F205" s="32"/>
      <c r="G205" s="32"/>
      <c r="H205" s="32"/>
      <c r="I205" s="32"/>
      <c r="J205" s="32"/>
      <c r="K205" s="32"/>
      <c r="L205" s="32"/>
      <c r="M205" s="32"/>
      <c r="N205" s="32"/>
      <c r="O205" s="32"/>
      <c r="P205" s="32"/>
      <c r="Q205" s="32"/>
      <c r="R205" s="32"/>
    </row>
    <row r="206" spans="3:18" ht="12">
      <c r="C206" s="32"/>
      <c r="D206" s="32"/>
      <c r="E206" s="32"/>
      <c r="F206" s="32"/>
      <c r="G206" s="32"/>
      <c r="H206" s="32"/>
      <c r="I206" s="32"/>
      <c r="J206" s="32"/>
      <c r="K206" s="32"/>
      <c r="L206" s="32"/>
      <c r="M206" s="32"/>
      <c r="N206" s="32"/>
      <c r="O206" s="32"/>
      <c r="P206" s="32"/>
      <c r="Q206" s="32"/>
      <c r="R206" s="32"/>
    </row>
    <row r="207" spans="3:18" ht="12">
      <c r="C207" s="32"/>
      <c r="D207" s="32"/>
      <c r="E207" s="32"/>
      <c r="F207" s="32"/>
      <c r="G207" s="32"/>
      <c r="H207" s="32"/>
      <c r="I207" s="32"/>
      <c r="J207" s="32"/>
      <c r="K207" s="32"/>
      <c r="L207" s="32"/>
      <c r="M207" s="32"/>
      <c r="N207" s="32"/>
      <c r="O207" s="32"/>
      <c r="P207" s="32"/>
      <c r="Q207" s="32"/>
      <c r="R207" s="32"/>
    </row>
    <row r="208" spans="3:18" ht="12">
      <c r="C208" s="32"/>
      <c r="D208" s="32"/>
      <c r="E208" s="32"/>
      <c r="F208" s="32"/>
      <c r="G208" s="32"/>
      <c r="H208" s="32"/>
      <c r="I208" s="32"/>
      <c r="J208" s="32"/>
      <c r="K208" s="32"/>
      <c r="L208" s="32"/>
      <c r="M208" s="32"/>
      <c r="N208" s="32"/>
      <c r="O208" s="32"/>
      <c r="P208" s="32"/>
      <c r="Q208" s="32"/>
      <c r="R208" s="32"/>
    </row>
    <row r="209" spans="3:18" ht="12">
      <c r="C209" s="32"/>
      <c r="D209" s="32"/>
      <c r="E209" s="32"/>
      <c r="F209" s="32"/>
      <c r="G209" s="32"/>
      <c r="H209" s="32"/>
      <c r="I209" s="32"/>
      <c r="J209" s="32"/>
      <c r="K209" s="32"/>
      <c r="L209" s="32"/>
      <c r="M209" s="32"/>
      <c r="N209" s="32"/>
      <c r="O209" s="32"/>
      <c r="P209" s="32"/>
      <c r="Q209" s="32"/>
      <c r="R209" s="32"/>
    </row>
    <row r="210" spans="3:18" ht="12">
      <c r="C210" s="32"/>
      <c r="D210" s="32"/>
      <c r="E210" s="32"/>
      <c r="F210" s="32"/>
      <c r="G210" s="32"/>
      <c r="H210" s="32"/>
      <c r="I210" s="32"/>
      <c r="J210" s="32"/>
      <c r="K210" s="32"/>
      <c r="L210" s="32"/>
      <c r="M210" s="32"/>
      <c r="N210" s="32"/>
      <c r="O210" s="32"/>
      <c r="P210" s="32"/>
      <c r="Q210" s="32"/>
      <c r="R210" s="32"/>
    </row>
    <row r="211" spans="3:18" ht="12">
      <c r="C211" s="32"/>
      <c r="D211" s="32"/>
      <c r="E211" s="32"/>
      <c r="F211" s="32"/>
      <c r="G211" s="32"/>
      <c r="H211" s="32"/>
      <c r="I211" s="32"/>
      <c r="J211" s="32"/>
      <c r="K211" s="32"/>
      <c r="L211" s="32"/>
      <c r="M211" s="32"/>
      <c r="N211" s="32"/>
      <c r="O211" s="32"/>
      <c r="P211" s="32"/>
      <c r="Q211" s="32"/>
      <c r="R211" s="32"/>
    </row>
    <row r="212" spans="3:18" ht="12">
      <c r="C212" s="32"/>
      <c r="D212" s="32"/>
      <c r="E212" s="32"/>
      <c r="F212" s="32"/>
      <c r="G212" s="32"/>
      <c r="H212" s="32"/>
      <c r="I212" s="32"/>
      <c r="J212" s="32"/>
      <c r="K212" s="32"/>
      <c r="L212" s="32"/>
      <c r="M212" s="32"/>
      <c r="N212" s="32"/>
      <c r="O212" s="32"/>
      <c r="P212" s="32"/>
      <c r="Q212" s="32"/>
      <c r="R212" s="32"/>
    </row>
    <row r="213" spans="3:18" ht="12">
      <c r="C213" s="32"/>
      <c r="D213" s="32"/>
      <c r="E213" s="32"/>
      <c r="F213" s="32"/>
      <c r="G213" s="32"/>
      <c r="H213" s="32"/>
      <c r="I213" s="32"/>
      <c r="J213" s="32"/>
      <c r="K213" s="32"/>
      <c r="L213" s="32"/>
      <c r="M213" s="32"/>
      <c r="N213" s="32"/>
      <c r="O213" s="32"/>
      <c r="P213" s="32"/>
      <c r="Q213" s="32"/>
      <c r="R213" s="32"/>
    </row>
    <row r="214" spans="3:18" ht="12">
      <c r="C214" s="32"/>
      <c r="D214" s="32"/>
      <c r="E214" s="32"/>
      <c r="F214" s="32"/>
      <c r="G214" s="32"/>
      <c r="H214" s="32"/>
      <c r="I214" s="32"/>
      <c r="J214" s="32"/>
      <c r="K214" s="32"/>
      <c r="L214" s="32"/>
      <c r="M214" s="32"/>
      <c r="N214" s="32"/>
      <c r="O214" s="32"/>
      <c r="P214" s="32"/>
      <c r="Q214" s="32"/>
      <c r="R214" s="32"/>
    </row>
    <row r="215" spans="3:18" ht="12">
      <c r="C215" s="32"/>
      <c r="D215" s="32"/>
      <c r="E215" s="32"/>
      <c r="F215" s="32"/>
      <c r="G215" s="32"/>
      <c r="H215" s="32"/>
      <c r="I215" s="32"/>
      <c r="J215" s="32"/>
      <c r="K215" s="32"/>
      <c r="L215" s="32"/>
      <c r="M215" s="32"/>
      <c r="N215" s="32"/>
      <c r="O215" s="32"/>
      <c r="P215" s="32"/>
      <c r="Q215" s="32"/>
      <c r="R215" s="32"/>
    </row>
    <row r="216" spans="3:18" ht="12">
      <c r="C216" s="32"/>
      <c r="D216" s="32"/>
      <c r="E216" s="32"/>
      <c r="F216" s="32"/>
      <c r="G216" s="32"/>
      <c r="H216" s="32"/>
      <c r="I216" s="32"/>
      <c r="J216" s="32"/>
      <c r="K216" s="32"/>
      <c r="L216" s="32"/>
      <c r="M216" s="32"/>
      <c r="N216" s="32"/>
      <c r="O216" s="32"/>
      <c r="P216" s="32"/>
      <c r="Q216" s="32"/>
      <c r="R216" s="32"/>
    </row>
    <row r="217" spans="3:18" ht="12">
      <c r="C217" s="32"/>
      <c r="D217" s="32"/>
      <c r="E217" s="32"/>
      <c r="F217" s="32"/>
      <c r="G217" s="32"/>
      <c r="H217" s="32"/>
      <c r="I217" s="32"/>
      <c r="J217" s="32"/>
      <c r="K217" s="32"/>
      <c r="L217" s="32"/>
      <c r="M217" s="32"/>
      <c r="N217" s="32"/>
      <c r="O217" s="32"/>
      <c r="P217" s="32"/>
      <c r="Q217" s="32"/>
      <c r="R217" s="32"/>
    </row>
    <row r="218" spans="3:18" ht="12">
      <c r="C218" s="32"/>
      <c r="D218" s="32"/>
      <c r="E218" s="32"/>
      <c r="F218" s="32"/>
      <c r="G218" s="32"/>
      <c r="H218" s="32"/>
      <c r="I218" s="32"/>
      <c r="J218" s="32"/>
      <c r="K218" s="32"/>
      <c r="L218" s="32"/>
      <c r="M218" s="32"/>
      <c r="N218" s="32"/>
      <c r="O218" s="32"/>
      <c r="P218" s="32"/>
      <c r="Q218" s="32"/>
      <c r="R218" s="32"/>
    </row>
    <row r="219" spans="3:18" ht="12">
      <c r="C219" s="32"/>
      <c r="D219" s="32"/>
      <c r="E219" s="32"/>
      <c r="F219" s="32"/>
      <c r="G219" s="32"/>
      <c r="H219" s="32"/>
      <c r="I219" s="32"/>
      <c r="J219" s="32"/>
      <c r="K219" s="32"/>
      <c r="L219" s="32"/>
      <c r="M219" s="32"/>
      <c r="N219" s="32"/>
      <c r="O219" s="32"/>
      <c r="P219" s="32"/>
      <c r="Q219" s="32"/>
      <c r="R219" s="32"/>
    </row>
    <row r="220" spans="3:18" ht="12">
      <c r="C220" s="32"/>
      <c r="D220" s="32"/>
      <c r="E220" s="32"/>
      <c r="F220" s="32"/>
      <c r="G220" s="32"/>
      <c r="H220" s="32"/>
      <c r="I220" s="32"/>
      <c r="J220" s="32"/>
      <c r="K220" s="32"/>
      <c r="L220" s="32"/>
      <c r="M220" s="32"/>
      <c r="N220" s="32"/>
      <c r="O220" s="32"/>
      <c r="P220" s="32"/>
      <c r="Q220" s="32"/>
      <c r="R220" s="32"/>
    </row>
    <row r="221" spans="3:18" ht="12">
      <c r="C221" s="32"/>
      <c r="D221" s="32"/>
      <c r="E221" s="32"/>
      <c r="F221" s="32"/>
      <c r="G221" s="32"/>
      <c r="H221" s="32"/>
      <c r="I221" s="32"/>
      <c r="J221" s="32"/>
      <c r="K221" s="32"/>
      <c r="L221" s="32"/>
      <c r="M221" s="32"/>
      <c r="N221" s="32"/>
      <c r="O221" s="32"/>
      <c r="P221" s="32"/>
      <c r="Q221" s="32"/>
      <c r="R221" s="32"/>
    </row>
    <row r="222" spans="3:18" ht="12">
      <c r="C222" s="32"/>
      <c r="D222" s="32"/>
      <c r="E222" s="32"/>
      <c r="F222" s="32"/>
      <c r="G222" s="32"/>
      <c r="H222" s="32"/>
      <c r="I222" s="32"/>
      <c r="J222" s="32"/>
      <c r="K222" s="32"/>
      <c r="L222" s="32"/>
      <c r="M222" s="32"/>
      <c r="N222" s="32"/>
      <c r="O222" s="32"/>
      <c r="P222" s="32"/>
      <c r="Q222" s="32"/>
      <c r="R222" s="32"/>
    </row>
    <row r="223" spans="3:18" ht="12">
      <c r="C223" s="32"/>
      <c r="D223" s="32"/>
      <c r="E223" s="32"/>
      <c r="F223" s="32"/>
      <c r="G223" s="32"/>
      <c r="H223" s="32"/>
      <c r="I223" s="32"/>
      <c r="J223" s="32"/>
      <c r="K223" s="32"/>
      <c r="L223" s="32"/>
      <c r="M223" s="32"/>
      <c r="N223" s="32"/>
      <c r="O223" s="32"/>
      <c r="P223" s="32"/>
      <c r="Q223" s="32"/>
      <c r="R223" s="32"/>
    </row>
    <row r="224" spans="3:18" ht="12">
      <c r="C224" s="32"/>
      <c r="D224" s="32"/>
      <c r="E224" s="32"/>
      <c r="F224" s="32"/>
      <c r="G224" s="32"/>
      <c r="H224" s="32"/>
      <c r="I224" s="32"/>
      <c r="J224" s="32"/>
      <c r="K224" s="32"/>
      <c r="L224" s="32"/>
      <c r="M224" s="32"/>
      <c r="N224" s="32"/>
      <c r="O224" s="32"/>
      <c r="P224" s="32"/>
      <c r="Q224" s="32"/>
      <c r="R224" s="32"/>
    </row>
    <row r="225" spans="3:18" ht="12">
      <c r="C225" s="32"/>
      <c r="D225" s="32"/>
      <c r="E225" s="32"/>
      <c r="F225" s="32"/>
      <c r="G225" s="32"/>
      <c r="H225" s="32"/>
      <c r="I225" s="32"/>
      <c r="J225" s="32"/>
      <c r="K225" s="32"/>
      <c r="L225" s="32"/>
      <c r="M225" s="32"/>
      <c r="N225" s="32"/>
      <c r="O225" s="32"/>
      <c r="P225" s="32"/>
      <c r="Q225" s="32"/>
      <c r="R225" s="32"/>
    </row>
    <row r="226" spans="3:18" ht="12">
      <c r="C226" s="32"/>
      <c r="D226" s="32"/>
      <c r="E226" s="32"/>
      <c r="F226" s="32"/>
      <c r="G226" s="32"/>
      <c r="H226" s="32"/>
      <c r="I226" s="32"/>
      <c r="J226" s="32"/>
      <c r="K226" s="32"/>
      <c r="L226" s="32"/>
      <c r="M226" s="32"/>
      <c r="N226" s="32"/>
      <c r="O226" s="32"/>
      <c r="P226" s="32"/>
      <c r="Q226" s="32"/>
      <c r="R226" s="32"/>
    </row>
    <row r="227" spans="3:18" ht="12">
      <c r="C227" s="32"/>
      <c r="D227" s="32"/>
      <c r="E227" s="32"/>
      <c r="F227" s="32"/>
      <c r="G227" s="32"/>
      <c r="H227" s="32"/>
      <c r="I227" s="32"/>
      <c r="J227" s="32"/>
      <c r="K227" s="32"/>
      <c r="L227" s="32"/>
      <c r="M227" s="32"/>
      <c r="N227" s="32"/>
      <c r="O227" s="32"/>
      <c r="P227" s="32"/>
      <c r="Q227" s="32"/>
      <c r="R227" s="32"/>
    </row>
    <row r="228" spans="3:18" ht="12">
      <c r="C228" s="32"/>
      <c r="D228" s="32"/>
      <c r="E228" s="32"/>
      <c r="F228" s="32"/>
      <c r="G228" s="32"/>
      <c r="H228" s="32"/>
      <c r="I228" s="32"/>
      <c r="J228" s="32"/>
      <c r="K228" s="32"/>
      <c r="L228" s="32"/>
      <c r="M228" s="32"/>
      <c r="N228" s="32"/>
      <c r="O228" s="32"/>
      <c r="P228" s="32"/>
      <c r="Q228" s="32"/>
      <c r="R228" s="32"/>
    </row>
    <row r="229" spans="3:18" ht="12">
      <c r="C229" s="32"/>
      <c r="D229" s="32"/>
      <c r="E229" s="32"/>
      <c r="F229" s="32"/>
      <c r="G229" s="32"/>
      <c r="H229" s="32"/>
      <c r="I229" s="32"/>
      <c r="J229" s="32"/>
      <c r="K229" s="32"/>
      <c r="L229" s="32"/>
      <c r="M229" s="32"/>
      <c r="N229" s="32"/>
      <c r="O229" s="32"/>
      <c r="P229" s="32"/>
      <c r="Q229" s="32"/>
      <c r="R229" s="32"/>
    </row>
    <row r="230" spans="3:18" ht="12">
      <c r="C230" s="32"/>
      <c r="D230" s="32"/>
      <c r="E230" s="32"/>
      <c r="F230" s="32"/>
      <c r="G230" s="32"/>
      <c r="H230" s="32"/>
      <c r="I230" s="32"/>
      <c r="J230" s="32"/>
      <c r="K230" s="32"/>
      <c r="L230" s="32"/>
      <c r="M230" s="32"/>
      <c r="N230" s="32"/>
      <c r="O230" s="32"/>
      <c r="P230" s="32"/>
      <c r="Q230" s="32"/>
      <c r="R230" s="32"/>
    </row>
    <row r="231" spans="3:18" ht="12">
      <c r="C231" s="32"/>
      <c r="D231" s="32"/>
      <c r="E231" s="32"/>
      <c r="F231" s="32"/>
      <c r="G231" s="32"/>
      <c r="H231" s="32"/>
      <c r="I231" s="32"/>
      <c r="J231" s="32"/>
      <c r="K231" s="32"/>
      <c r="L231" s="32"/>
      <c r="M231" s="32"/>
      <c r="N231" s="32"/>
      <c r="O231" s="32"/>
      <c r="P231" s="32"/>
      <c r="Q231" s="32"/>
      <c r="R231" s="32"/>
    </row>
    <row r="232" spans="3:18" ht="12">
      <c r="C232" s="32"/>
      <c r="D232" s="32"/>
      <c r="E232" s="32"/>
      <c r="F232" s="32"/>
      <c r="G232" s="32"/>
      <c r="H232" s="32"/>
      <c r="I232" s="32"/>
      <c r="J232" s="32"/>
      <c r="K232" s="32"/>
      <c r="L232" s="32"/>
      <c r="M232" s="32"/>
      <c r="N232" s="32"/>
      <c r="O232" s="32"/>
      <c r="P232" s="32"/>
      <c r="Q232" s="32"/>
      <c r="R232" s="32"/>
    </row>
    <row r="233" spans="3:18" ht="12">
      <c r="C233" s="32"/>
      <c r="D233" s="32"/>
      <c r="E233" s="32"/>
      <c r="F233" s="32"/>
      <c r="G233" s="32"/>
      <c r="H233" s="32"/>
      <c r="I233" s="32"/>
      <c r="J233" s="32"/>
      <c r="K233" s="32"/>
      <c r="L233" s="32"/>
      <c r="M233" s="32"/>
      <c r="N233" s="32"/>
      <c r="O233" s="32"/>
      <c r="P233" s="32"/>
      <c r="Q233" s="32"/>
      <c r="R233" s="32"/>
    </row>
    <row r="234" spans="3:18" ht="12">
      <c r="C234" s="32"/>
      <c r="D234" s="32"/>
      <c r="E234" s="32"/>
      <c r="F234" s="32"/>
      <c r="G234" s="32"/>
      <c r="H234" s="32"/>
      <c r="I234" s="32"/>
      <c r="J234" s="32"/>
      <c r="K234" s="32"/>
      <c r="L234" s="32"/>
      <c r="M234" s="32"/>
      <c r="N234" s="32"/>
      <c r="O234" s="32"/>
      <c r="P234" s="32"/>
      <c r="Q234" s="32"/>
      <c r="R234" s="32"/>
    </row>
    <row r="235" spans="3:18" ht="12">
      <c r="C235" s="32"/>
      <c r="D235" s="32"/>
      <c r="E235" s="32"/>
      <c r="F235" s="32"/>
      <c r="G235" s="32"/>
      <c r="H235" s="32"/>
      <c r="I235" s="32"/>
      <c r="J235" s="32"/>
      <c r="K235" s="32"/>
      <c r="L235" s="32"/>
      <c r="M235" s="32"/>
      <c r="N235" s="32"/>
      <c r="O235" s="32"/>
      <c r="P235" s="32"/>
      <c r="Q235" s="32"/>
      <c r="R235" s="32"/>
    </row>
    <row r="236" spans="3:18" ht="12">
      <c r="C236" s="32"/>
      <c r="D236" s="32"/>
      <c r="E236" s="32"/>
      <c r="F236" s="32"/>
      <c r="G236" s="32"/>
      <c r="H236" s="32"/>
      <c r="I236" s="32"/>
      <c r="J236" s="32"/>
      <c r="K236" s="32"/>
      <c r="L236" s="32"/>
      <c r="M236" s="32"/>
      <c r="N236" s="32"/>
      <c r="O236" s="32"/>
      <c r="P236" s="32"/>
      <c r="Q236" s="32"/>
      <c r="R236" s="32"/>
    </row>
    <row r="237" spans="3:18" ht="12">
      <c r="C237" s="32"/>
      <c r="D237" s="32"/>
      <c r="E237" s="32"/>
      <c r="F237" s="32"/>
      <c r="G237" s="32"/>
      <c r="H237" s="32"/>
      <c r="I237" s="32"/>
      <c r="J237" s="32"/>
      <c r="K237" s="32"/>
      <c r="L237" s="32"/>
      <c r="M237" s="32"/>
      <c r="N237" s="32"/>
      <c r="O237" s="32"/>
      <c r="P237" s="32"/>
      <c r="Q237" s="32"/>
      <c r="R237" s="32"/>
    </row>
    <row r="238" spans="3:18" ht="12">
      <c r="C238" s="32"/>
      <c r="D238" s="32"/>
      <c r="E238" s="32"/>
      <c r="F238" s="32"/>
      <c r="G238" s="32"/>
      <c r="H238" s="32"/>
      <c r="I238" s="32"/>
      <c r="J238" s="32"/>
      <c r="K238" s="32"/>
      <c r="L238" s="32"/>
      <c r="M238" s="32"/>
      <c r="N238" s="32"/>
      <c r="O238" s="32"/>
      <c r="P238" s="32"/>
      <c r="Q238" s="32"/>
      <c r="R238" s="32"/>
    </row>
    <row r="239" spans="3:18" ht="12">
      <c r="C239" s="32"/>
      <c r="D239" s="32"/>
      <c r="E239" s="32"/>
      <c r="F239" s="32"/>
      <c r="G239" s="32"/>
      <c r="H239" s="32"/>
      <c r="I239" s="32"/>
      <c r="J239" s="32"/>
      <c r="K239" s="32"/>
      <c r="L239" s="32"/>
      <c r="M239" s="32"/>
      <c r="N239" s="32"/>
      <c r="O239" s="32"/>
      <c r="P239" s="32"/>
      <c r="Q239" s="32"/>
      <c r="R239" s="32"/>
    </row>
    <row r="240" spans="3:18" ht="12">
      <c r="C240" s="32"/>
      <c r="D240" s="32"/>
      <c r="E240" s="32"/>
      <c r="F240" s="32"/>
      <c r="G240" s="32"/>
      <c r="H240" s="32"/>
      <c r="I240" s="32"/>
      <c r="J240" s="32"/>
      <c r="K240" s="32"/>
      <c r="L240" s="32"/>
      <c r="M240" s="32"/>
      <c r="N240" s="32"/>
      <c r="O240" s="32"/>
      <c r="P240" s="32"/>
      <c r="Q240" s="32"/>
      <c r="R240" s="32"/>
    </row>
    <row r="241" spans="3:18" ht="12">
      <c r="C241" s="32"/>
      <c r="D241" s="32"/>
      <c r="E241" s="32"/>
      <c r="F241" s="32"/>
      <c r="G241" s="32"/>
      <c r="H241" s="32"/>
      <c r="I241" s="32"/>
      <c r="J241" s="32"/>
      <c r="K241" s="32"/>
      <c r="L241" s="32"/>
      <c r="M241" s="32"/>
      <c r="N241" s="32"/>
      <c r="O241" s="32"/>
      <c r="P241" s="32"/>
      <c r="Q241" s="32"/>
      <c r="R241" s="32"/>
    </row>
    <row r="242" spans="3:18" ht="12">
      <c r="C242" s="32"/>
      <c r="D242" s="32"/>
      <c r="E242" s="32"/>
      <c r="F242" s="32"/>
      <c r="G242" s="32"/>
      <c r="H242" s="32"/>
      <c r="I242" s="32"/>
      <c r="J242" s="32"/>
      <c r="K242" s="32"/>
      <c r="L242" s="32"/>
      <c r="M242" s="32"/>
      <c r="N242" s="32"/>
      <c r="O242" s="32"/>
      <c r="P242" s="32"/>
      <c r="Q242" s="32"/>
      <c r="R242" s="32"/>
    </row>
    <row r="243" spans="3:18" ht="12">
      <c r="C243" s="32"/>
      <c r="D243" s="32"/>
      <c r="E243" s="32"/>
      <c r="F243" s="32"/>
      <c r="G243" s="32"/>
      <c r="H243" s="32"/>
      <c r="I243" s="32"/>
      <c r="J243" s="32"/>
      <c r="K243" s="32"/>
      <c r="L243" s="32"/>
      <c r="M243" s="32"/>
      <c r="N243" s="32"/>
      <c r="O243" s="32"/>
      <c r="P243" s="32"/>
      <c r="Q243" s="32"/>
      <c r="R243" s="32"/>
    </row>
    <row r="244" spans="3:18" ht="12">
      <c r="C244" s="32"/>
      <c r="D244" s="32"/>
      <c r="E244" s="32"/>
      <c r="F244" s="32"/>
      <c r="G244" s="32"/>
      <c r="H244" s="32"/>
      <c r="I244" s="32"/>
      <c r="J244" s="32"/>
      <c r="K244" s="32"/>
      <c r="L244" s="32"/>
      <c r="M244" s="32"/>
      <c r="N244" s="32"/>
      <c r="O244" s="32"/>
      <c r="P244" s="32"/>
      <c r="Q244" s="32"/>
      <c r="R244" s="32"/>
    </row>
    <row r="245" spans="3:18" ht="12">
      <c r="C245" s="32"/>
      <c r="D245" s="32"/>
      <c r="E245" s="32"/>
      <c r="F245" s="32"/>
      <c r="G245" s="32"/>
      <c r="H245" s="32"/>
      <c r="I245" s="32"/>
      <c r="J245" s="32"/>
      <c r="K245" s="32"/>
      <c r="L245" s="32"/>
      <c r="M245" s="32"/>
      <c r="N245" s="32"/>
      <c r="O245" s="32"/>
      <c r="P245" s="32"/>
      <c r="Q245" s="32"/>
      <c r="R245" s="32"/>
    </row>
    <row r="246" spans="3:18" ht="12">
      <c r="C246" s="32"/>
      <c r="D246" s="32"/>
      <c r="E246" s="32"/>
      <c r="F246" s="32"/>
      <c r="G246" s="32"/>
      <c r="H246" s="32"/>
      <c r="I246" s="32"/>
      <c r="J246" s="32"/>
      <c r="K246" s="32"/>
      <c r="L246" s="32"/>
      <c r="M246" s="32"/>
      <c r="N246" s="32"/>
      <c r="O246" s="32"/>
      <c r="P246" s="32"/>
      <c r="Q246" s="32"/>
      <c r="R246" s="32"/>
    </row>
    <row r="247" spans="3:18" ht="12">
      <c r="C247" s="32"/>
      <c r="D247" s="32"/>
      <c r="E247" s="32"/>
      <c r="F247" s="32"/>
      <c r="G247" s="32"/>
      <c r="H247" s="32"/>
      <c r="I247" s="32"/>
      <c r="J247" s="32"/>
      <c r="K247" s="32"/>
      <c r="L247" s="32"/>
      <c r="M247" s="32"/>
      <c r="N247" s="32"/>
      <c r="O247" s="32"/>
      <c r="P247" s="32"/>
      <c r="Q247" s="32"/>
      <c r="R247" s="32"/>
    </row>
    <row r="248" spans="3:18" ht="12">
      <c r="C248" s="32"/>
      <c r="D248" s="32"/>
      <c r="E248" s="32"/>
      <c r="F248" s="32"/>
      <c r="G248" s="32"/>
      <c r="H248" s="32"/>
      <c r="I248" s="32"/>
      <c r="J248" s="32"/>
      <c r="K248" s="32"/>
      <c r="L248" s="32"/>
      <c r="M248" s="32"/>
      <c r="N248" s="32"/>
      <c r="O248" s="32"/>
      <c r="P248" s="32"/>
      <c r="Q248" s="32"/>
      <c r="R248" s="32"/>
    </row>
    <row r="249" spans="3:18" ht="12">
      <c r="C249" s="32"/>
      <c r="D249" s="32"/>
      <c r="E249" s="32"/>
      <c r="F249" s="32"/>
      <c r="G249" s="32"/>
      <c r="H249" s="32"/>
      <c r="I249" s="32"/>
      <c r="J249" s="32"/>
      <c r="K249" s="32"/>
      <c r="L249" s="32"/>
      <c r="M249" s="32"/>
      <c r="N249" s="32"/>
      <c r="O249" s="32"/>
      <c r="P249" s="32"/>
      <c r="Q249" s="32"/>
      <c r="R249" s="32"/>
    </row>
    <row r="250" spans="3:18" ht="12">
      <c r="C250" s="32"/>
      <c r="D250" s="32"/>
      <c r="E250" s="32"/>
      <c r="F250" s="32"/>
      <c r="G250" s="32"/>
      <c r="H250" s="32"/>
      <c r="I250" s="32"/>
      <c r="J250" s="32"/>
      <c r="K250" s="32"/>
      <c r="L250" s="32"/>
      <c r="M250" s="32"/>
      <c r="N250" s="32"/>
      <c r="O250" s="32"/>
      <c r="P250" s="32"/>
      <c r="Q250" s="32"/>
      <c r="R250" s="32"/>
    </row>
    <row r="251" spans="3:18" ht="12">
      <c r="C251" s="32"/>
      <c r="D251" s="32"/>
      <c r="E251" s="32"/>
      <c r="F251" s="32"/>
      <c r="G251" s="32"/>
      <c r="H251" s="32"/>
      <c r="I251" s="32"/>
      <c r="J251" s="32"/>
      <c r="K251" s="32"/>
      <c r="L251" s="32"/>
      <c r="M251" s="32"/>
      <c r="N251" s="32"/>
      <c r="O251" s="32"/>
      <c r="P251" s="32"/>
      <c r="Q251" s="32"/>
      <c r="R251" s="32"/>
    </row>
    <row r="252" spans="3:18" ht="12">
      <c r="C252" s="32"/>
      <c r="D252" s="32"/>
      <c r="E252" s="32"/>
      <c r="F252" s="32"/>
      <c r="G252" s="32"/>
      <c r="H252" s="32"/>
      <c r="I252" s="32"/>
      <c r="J252" s="32"/>
      <c r="K252" s="32"/>
      <c r="L252" s="32"/>
      <c r="M252" s="32"/>
      <c r="N252" s="32"/>
      <c r="O252" s="32"/>
      <c r="P252" s="32"/>
      <c r="Q252" s="32"/>
      <c r="R252" s="32"/>
    </row>
    <row r="253" spans="3:18" ht="12">
      <c r="C253" s="32"/>
      <c r="D253" s="32"/>
      <c r="E253" s="32"/>
      <c r="F253" s="32"/>
      <c r="G253" s="32"/>
      <c r="H253" s="32"/>
      <c r="I253" s="32"/>
      <c r="J253" s="32"/>
      <c r="K253" s="32"/>
      <c r="L253" s="32"/>
      <c r="M253" s="32"/>
      <c r="N253" s="32"/>
      <c r="O253" s="32"/>
      <c r="P253" s="32"/>
      <c r="Q253" s="32"/>
      <c r="R253" s="32"/>
    </row>
    <row r="254" spans="3:18" ht="12">
      <c r="C254" s="32"/>
      <c r="D254" s="32"/>
      <c r="E254" s="32"/>
      <c r="F254" s="32"/>
      <c r="G254" s="32"/>
      <c r="H254" s="32"/>
      <c r="I254" s="32"/>
      <c r="J254" s="32"/>
      <c r="K254" s="32"/>
      <c r="L254" s="32"/>
      <c r="M254" s="32"/>
      <c r="N254" s="32"/>
      <c r="O254" s="32"/>
      <c r="P254" s="32"/>
      <c r="Q254" s="32"/>
      <c r="R254" s="32"/>
    </row>
    <row r="255" spans="3:18" ht="12">
      <c r="C255" s="32"/>
      <c r="D255" s="32"/>
      <c r="E255" s="32"/>
      <c r="F255" s="32"/>
      <c r="G255" s="32"/>
      <c r="H255" s="32"/>
      <c r="I255" s="32"/>
      <c r="J255" s="32"/>
      <c r="K255" s="32"/>
      <c r="L255" s="32"/>
      <c r="M255" s="32"/>
      <c r="N255" s="32"/>
      <c r="O255" s="32"/>
      <c r="P255" s="32"/>
      <c r="Q255" s="32"/>
      <c r="R255" s="32"/>
    </row>
    <row r="256" spans="3:18" ht="12">
      <c r="C256" s="32"/>
      <c r="D256" s="32"/>
      <c r="E256" s="32"/>
      <c r="F256" s="32"/>
      <c r="G256" s="32"/>
      <c r="H256" s="32"/>
      <c r="I256" s="32"/>
      <c r="J256" s="32"/>
      <c r="K256" s="32"/>
      <c r="L256" s="32"/>
      <c r="M256" s="32"/>
      <c r="N256" s="32"/>
      <c r="O256" s="32"/>
      <c r="P256" s="32"/>
      <c r="Q256" s="32"/>
      <c r="R256" s="32"/>
    </row>
    <row r="257" spans="3:18" ht="12">
      <c r="C257" s="32"/>
      <c r="D257" s="32"/>
      <c r="E257" s="32"/>
      <c r="F257" s="32"/>
      <c r="G257" s="32"/>
      <c r="H257" s="32"/>
      <c r="I257" s="32"/>
      <c r="J257" s="32"/>
      <c r="K257" s="32"/>
      <c r="L257" s="32"/>
      <c r="M257" s="32"/>
      <c r="N257" s="32"/>
      <c r="O257" s="32"/>
      <c r="P257" s="32"/>
      <c r="Q257" s="32"/>
      <c r="R257" s="32"/>
    </row>
    <row r="258" spans="3:18" ht="12">
      <c r="C258" s="32"/>
      <c r="D258" s="32"/>
      <c r="E258" s="32"/>
      <c r="F258" s="32"/>
      <c r="G258" s="32"/>
      <c r="H258" s="32"/>
      <c r="I258" s="32"/>
      <c r="J258" s="32"/>
      <c r="K258" s="32"/>
      <c r="L258" s="32"/>
      <c r="M258" s="32"/>
      <c r="N258" s="32"/>
      <c r="O258" s="32"/>
      <c r="P258" s="32"/>
      <c r="Q258" s="32"/>
      <c r="R258" s="32"/>
    </row>
    <row r="259" spans="3:18" ht="12">
      <c r="C259" s="32"/>
      <c r="D259" s="32"/>
      <c r="E259" s="32"/>
      <c r="F259" s="32"/>
      <c r="G259" s="32"/>
      <c r="H259" s="32"/>
      <c r="I259" s="32"/>
      <c r="J259" s="32"/>
      <c r="K259" s="32"/>
      <c r="L259" s="32"/>
      <c r="M259" s="32"/>
      <c r="N259" s="32"/>
      <c r="O259" s="32"/>
      <c r="P259" s="32"/>
      <c r="Q259" s="32"/>
      <c r="R259" s="32"/>
    </row>
    <row r="260" spans="3:18" ht="12">
      <c r="C260" s="32"/>
      <c r="D260" s="32"/>
      <c r="E260" s="32"/>
      <c r="F260" s="32"/>
      <c r="G260" s="32"/>
      <c r="H260" s="32"/>
      <c r="I260" s="32"/>
      <c r="J260" s="32"/>
      <c r="K260" s="32"/>
      <c r="L260" s="32"/>
      <c r="M260" s="32"/>
      <c r="N260" s="32"/>
      <c r="O260" s="32"/>
      <c r="P260" s="32"/>
      <c r="Q260" s="32"/>
      <c r="R260" s="32"/>
    </row>
    <row r="261" spans="3:18" ht="12">
      <c r="C261" s="32"/>
      <c r="D261" s="32"/>
      <c r="E261" s="32"/>
      <c r="F261" s="32"/>
      <c r="G261" s="32"/>
      <c r="H261" s="32"/>
      <c r="I261" s="32"/>
      <c r="J261" s="32"/>
      <c r="K261" s="32"/>
      <c r="L261" s="32"/>
      <c r="M261" s="32"/>
      <c r="N261" s="32"/>
      <c r="O261" s="32"/>
      <c r="P261" s="32"/>
      <c r="Q261" s="32"/>
      <c r="R261" s="32"/>
    </row>
    <row r="262" spans="3:18" ht="12">
      <c r="C262" s="32"/>
      <c r="D262" s="32"/>
      <c r="E262" s="32"/>
      <c r="F262" s="32"/>
      <c r="G262" s="32"/>
      <c r="H262" s="32"/>
      <c r="I262" s="32"/>
      <c r="J262" s="32"/>
      <c r="K262" s="32"/>
      <c r="L262" s="32"/>
      <c r="M262" s="32"/>
      <c r="N262" s="32"/>
      <c r="O262" s="32"/>
      <c r="P262" s="32"/>
      <c r="Q262" s="32"/>
      <c r="R262" s="32"/>
    </row>
    <row r="263" spans="3:18" ht="12">
      <c r="C263" s="32"/>
      <c r="D263" s="32"/>
      <c r="E263" s="32"/>
      <c r="F263" s="32"/>
      <c r="G263" s="32"/>
      <c r="H263" s="32"/>
      <c r="I263" s="32"/>
      <c r="J263" s="32"/>
      <c r="K263" s="32"/>
      <c r="L263" s="32"/>
      <c r="M263" s="32"/>
      <c r="N263" s="32"/>
      <c r="O263" s="32"/>
      <c r="P263" s="32"/>
      <c r="Q263" s="32"/>
      <c r="R263" s="32"/>
    </row>
    <row r="264" spans="3:18" ht="12">
      <c r="C264" s="32"/>
      <c r="D264" s="32"/>
      <c r="E264" s="32"/>
      <c r="F264" s="32"/>
      <c r="G264" s="32"/>
      <c r="H264" s="32"/>
      <c r="I264" s="32"/>
      <c r="J264" s="32"/>
      <c r="K264" s="32"/>
      <c r="L264" s="32"/>
      <c r="M264" s="32"/>
      <c r="N264" s="32"/>
      <c r="O264" s="32"/>
      <c r="P264" s="32"/>
      <c r="Q264" s="32"/>
      <c r="R264" s="32"/>
    </row>
    <row r="265" spans="3:18" ht="12">
      <c r="C265" s="32"/>
      <c r="D265" s="32"/>
      <c r="E265" s="32"/>
      <c r="F265" s="32"/>
      <c r="G265" s="32"/>
      <c r="H265" s="32"/>
      <c r="I265" s="32"/>
      <c r="J265" s="32"/>
      <c r="K265" s="32"/>
      <c r="L265" s="32"/>
      <c r="M265" s="32"/>
      <c r="N265" s="32"/>
      <c r="O265" s="32"/>
      <c r="P265" s="32"/>
      <c r="Q265" s="32"/>
      <c r="R265" s="32"/>
    </row>
    <row r="266" spans="3:18" ht="12">
      <c r="C266" s="32"/>
      <c r="D266" s="32"/>
      <c r="E266" s="32"/>
      <c r="F266" s="32"/>
      <c r="G266" s="32"/>
      <c r="H266" s="32"/>
      <c r="I266" s="32"/>
      <c r="J266" s="32"/>
      <c r="K266" s="32"/>
      <c r="L266" s="32"/>
      <c r="M266" s="32"/>
      <c r="N266" s="32"/>
      <c r="O266" s="32"/>
      <c r="P266" s="32"/>
      <c r="Q266" s="32"/>
      <c r="R266" s="32"/>
    </row>
    <row r="267" spans="3:18" ht="12">
      <c r="C267" s="32"/>
      <c r="D267" s="32"/>
      <c r="E267" s="32"/>
      <c r="F267" s="32"/>
      <c r="G267" s="32"/>
      <c r="H267" s="32"/>
      <c r="I267" s="32"/>
      <c r="J267" s="32"/>
      <c r="K267" s="32"/>
      <c r="L267" s="32"/>
      <c r="M267" s="32"/>
      <c r="N267" s="32"/>
      <c r="O267" s="32"/>
      <c r="P267" s="32"/>
      <c r="Q267" s="32"/>
      <c r="R267" s="32"/>
    </row>
    <row r="268" spans="3:18" ht="12">
      <c r="C268" s="32"/>
      <c r="D268" s="32"/>
      <c r="E268" s="32"/>
      <c r="F268" s="32"/>
      <c r="G268" s="32"/>
      <c r="H268" s="32"/>
      <c r="I268" s="32"/>
      <c r="J268" s="32"/>
      <c r="K268" s="32"/>
      <c r="L268" s="32"/>
      <c r="M268" s="32"/>
      <c r="N268" s="32"/>
      <c r="O268" s="32"/>
      <c r="P268" s="32"/>
      <c r="Q268" s="32"/>
      <c r="R268" s="32"/>
    </row>
    <row r="269" spans="3:18" ht="12">
      <c r="C269" s="32"/>
      <c r="D269" s="32"/>
      <c r="E269" s="32"/>
      <c r="F269" s="32"/>
      <c r="G269" s="32"/>
      <c r="H269" s="32"/>
      <c r="I269" s="32"/>
      <c r="J269" s="32"/>
      <c r="K269" s="32"/>
      <c r="L269" s="32"/>
      <c r="M269" s="32"/>
      <c r="N269" s="32"/>
      <c r="O269" s="32"/>
      <c r="P269" s="32"/>
      <c r="Q269" s="32"/>
      <c r="R269" s="32"/>
    </row>
    <row r="270" spans="3:18" ht="12">
      <c r="C270" s="32"/>
      <c r="D270" s="32"/>
      <c r="E270" s="32"/>
      <c r="F270" s="32"/>
      <c r="G270" s="32"/>
      <c r="H270" s="32"/>
      <c r="I270" s="32"/>
      <c r="J270" s="32"/>
      <c r="K270" s="32"/>
      <c r="L270" s="32"/>
      <c r="M270" s="32"/>
      <c r="N270" s="32"/>
      <c r="O270" s="32"/>
      <c r="P270" s="32"/>
      <c r="Q270" s="32"/>
      <c r="R270" s="32"/>
    </row>
    <row r="271" spans="3:18" ht="12">
      <c r="C271" s="32"/>
      <c r="D271" s="32"/>
      <c r="E271" s="32"/>
      <c r="F271" s="32"/>
      <c r="G271" s="32"/>
      <c r="H271" s="32"/>
      <c r="I271" s="32"/>
      <c r="J271" s="32"/>
      <c r="K271" s="32"/>
      <c r="L271" s="32"/>
      <c r="M271" s="32"/>
      <c r="N271" s="32"/>
      <c r="O271" s="32"/>
      <c r="P271" s="32"/>
      <c r="Q271" s="32"/>
      <c r="R271" s="32"/>
    </row>
    <row r="272" spans="3:18" ht="12">
      <c r="C272" s="32"/>
      <c r="D272" s="32"/>
      <c r="E272" s="32"/>
      <c r="F272" s="32"/>
      <c r="G272" s="32"/>
      <c r="H272" s="32"/>
      <c r="I272" s="32"/>
      <c r="J272" s="32"/>
      <c r="K272" s="32"/>
      <c r="L272" s="32"/>
      <c r="M272" s="32"/>
      <c r="N272" s="32"/>
      <c r="O272" s="32"/>
      <c r="P272" s="32"/>
      <c r="Q272" s="32"/>
      <c r="R272" s="32"/>
    </row>
    <row r="273" spans="3:18" ht="12">
      <c r="C273" s="32"/>
      <c r="D273" s="32"/>
      <c r="E273" s="32"/>
      <c r="F273" s="32"/>
      <c r="G273" s="32"/>
      <c r="H273" s="32"/>
      <c r="I273" s="32"/>
      <c r="J273" s="32"/>
      <c r="K273" s="32"/>
      <c r="L273" s="32"/>
      <c r="M273" s="32"/>
      <c r="N273" s="32"/>
      <c r="O273" s="32"/>
      <c r="P273" s="32"/>
      <c r="Q273" s="32"/>
      <c r="R273" s="32"/>
    </row>
    <row r="274" spans="3:18" ht="12">
      <c r="C274" s="32"/>
      <c r="D274" s="32"/>
      <c r="E274" s="32"/>
      <c r="F274" s="32"/>
      <c r="G274" s="32"/>
      <c r="H274" s="32"/>
      <c r="I274" s="32"/>
      <c r="J274" s="32"/>
      <c r="K274" s="32"/>
      <c r="L274" s="32"/>
      <c r="M274" s="32"/>
      <c r="N274" s="32"/>
      <c r="O274" s="32"/>
      <c r="P274" s="32"/>
      <c r="Q274" s="32"/>
      <c r="R274" s="32"/>
    </row>
    <row r="275" spans="3:18" ht="12">
      <c r="C275" s="32"/>
      <c r="D275" s="32"/>
      <c r="E275" s="32"/>
      <c r="F275" s="32"/>
      <c r="G275" s="32"/>
      <c r="H275" s="32"/>
      <c r="I275" s="32"/>
      <c r="J275" s="32"/>
      <c r="K275" s="32"/>
      <c r="L275" s="32"/>
      <c r="M275" s="32"/>
      <c r="N275" s="32"/>
      <c r="O275" s="32"/>
      <c r="P275" s="32"/>
      <c r="Q275" s="32"/>
      <c r="R275" s="32"/>
    </row>
    <row r="276" spans="3:18" ht="12">
      <c r="C276" s="32"/>
      <c r="D276" s="32"/>
      <c r="E276" s="32"/>
      <c r="F276" s="32"/>
      <c r="G276" s="32"/>
      <c r="H276" s="32"/>
      <c r="I276" s="32"/>
      <c r="J276" s="32"/>
      <c r="K276" s="32"/>
      <c r="L276" s="32"/>
      <c r="M276" s="32"/>
      <c r="N276" s="32"/>
      <c r="O276" s="32"/>
      <c r="P276" s="32"/>
      <c r="Q276" s="32"/>
      <c r="R276" s="32"/>
    </row>
    <row r="277" spans="3:18" ht="12">
      <c r="C277" s="32"/>
      <c r="D277" s="32"/>
      <c r="E277" s="32"/>
      <c r="F277" s="32"/>
      <c r="G277" s="32"/>
      <c r="H277" s="32"/>
      <c r="I277" s="32"/>
      <c r="J277" s="32"/>
      <c r="K277" s="32"/>
      <c r="L277" s="32"/>
      <c r="M277" s="32"/>
      <c r="N277" s="32"/>
      <c r="O277" s="32"/>
      <c r="P277" s="32"/>
      <c r="Q277" s="32"/>
      <c r="R277" s="32"/>
    </row>
    <row r="278" spans="3:18" ht="12">
      <c r="C278" s="32"/>
      <c r="D278" s="32"/>
      <c r="E278" s="32"/>
      <c r="F278" s="32"/>
      <c r="G278" s="32"/>
      <c r="H278" s="32"/>
      <c r="I278" s="32"/>
      <c r="J278" s="32"/>
      <c r="K278" s="32"/>
      <c r="L278" s="32"/>
      <c r="M278" s="32"/>
      <c r="N278" s="32"/>
      <c r="O278" s="32"/>
      <c r="P278" s="32"/>
      <c r="Q278" s="32"/>
      <c r="R278" s="32"/>
    </row>
    <row r="279" spans="3:18" ht="12">
      <c r="C279" s="32"/>
      <c r="D279" s="32"/>
      <c r="E279" s="32"/>
      <c r="F279" s="32"/>
      <c r="G279" s="32"/>
      <c r="H279" s="32"/>
      <c r="I279" s="32"/>
      <c r="J279" s="32"/>
      <c r="K279" s="32"/>
      <c r="L279" s="32"/>
      <c r="M279" s="32"/>
      <c r="N279" s="32"/>
      <c r="O279" s="32"/>
      <c r="P279" s="32"/>
      <c r="Q279" s="32"/>
      <c r="R279" s="32"/>
    </row>
    <row r="280" spans="3:18" ht="12">
      <c r="C280" s="32"/>
      <c r="D280" s="32"/>
      <c r="E280" s="32"/>
      <c r="F280" s="32"/>
      <c r="G280" s="32"/>
      <c r="H280" s="32"/>
      <c r="I280" s="32"/>
      <c r="J280" s="32"/>
      <c r="K280" s="32"/>
      <c r="L280" s="32"/>
      <c r="M280" s="32"/>
      <c r="N280" s="32"/>
      <c r="O280" s="32"/>
      <c r="P280" s="32"/>
      <c r="Q280" s="32"/>
      <c r="R280" s="32"/>
    </row>
    <row r="281" spans="3:18" ht="12">
      <c r="C281" s="32"/>
      <c r="D281" s="32"/>
      <c r="E281" s="32"/>
      <c r="F281" s="32"/>
      <c r="G281" s="32"/>
      <c r="H281" s="32"/>
      <c r="I281" s="32"/>
      <c r="J281" s="32"/>
      <c r="K281" s="32"/>
      <c r="L281" s="32"/>
      <c r="M281" s="32"/>
      <c r="N281" s="32"/>
      <c r="O281" s="32"/>
      <c r="P281" s="32"/>
      <c r="Q281" s="32"/>
      <c r="R281" s="32"/>
    </row>
    <row r="282" spans="3:18" ht="12">
      <c r="C282" s="32"/>
      <c r="D282" s="32"/>
      <c r="E282" s="32"/>
      <c r="F282" s="32"/>
      <c r="G282" s="32"/>
      <c r="H282" s="32"/>
      <c r="I282" s="32"/>
      <c r="J282" s="32"/>
      <c r="K282" s="32"/>
      <c r="L282" s="32"/>
      <c r="M282" s="32"/>
      <c r="N282" s="32"/>
      <c r="O282" s="32"/>
      <c r="P282" s="32"/>
      <c r="Q282" s="32"/>
      <c r="R282" s="32"/>
    </row>
    <row r="283" spans="3:18" ht="12">
      <c r="C283" s="32"/>
      <c r="D283" s="32"/>
      <c r="E283" s="32"/>
      <c r="F283" s="32"/>
      <c r="G283" s="32"/>
      <c r="H283" s="32"/>
      <c r="I283" s="32"/>
      <c r="J283" s="32"/>
      <c r="K283" s="32"/>
      <c r="L283" s="32"/>
      <c r="M283" s="32"/>
      <c r="N283" s="32"/>
      <c r="O283" s="32"/>
      <c r="P283" s="32"/>
      <c r="Q283" s="32"/>
      <c r="R283" s="32"/>
    </row>
    <row r="284" spans="3:18" ht="12">
      <c r="C284" s="32"/>
      <c r="D284" s="32"/>
      <c r="E284" s="32"/>
      <c r="F284" s="32"/>
      <c r="G284" s="32"/>
      <c r="H284" s="32"/>
      <c r="I284" s="32"/>
      <c r="J284" s="32"/>
      <c r="K284" s="32"/>
      <c r="L284" s="32"/>
      <c r="M284" s="32"/>
      <c r="N284" s="32"/>
      <c r="O284" s="32"/>
      <c r="P284" s="32"/>
      <c r="Q284" s="32"/>
      <c r="R284" s="32"/>
    </row>
    <row r="285" spans="3:18" ht="12">
      <c r="C285" s="32"/>
      <c r="D285" s="32"/>
      <c r="E285" s="32"/>
      <c r="F285" s="32"/>
      <c r="G285" s="32"/>
      <c r="H285" s="32"/>
      <c r="I285" s="32"/>
      <c r="J285" s="32"/>
      <c r="K285" s="32"/>
      <c r="L285" s="32"/>
      <c r="M285" s="32"/>
      <c r="N285" s="32"/>
      <c r="O285" s="32"/>
      <c r="P285" s="32"/>
      <c r="Q285" s="32"/>
      <c r="R285" s="32"/>
    </row>
    <row r="286" spans="3:18" ht="12">
      <c r="C286" s="32"/>
      <c r="D286" s="32"/>
      <c r="E286" s="32"/>
      <c r="F286" s="32"/>
      <c r="G286" s="32"/>
      <c r="H286" s="32"/>
      <c r="I286" s="32"/>
      <c r="J286" s="32"/>
      <c r="K286" s="32"/>
      <c r="L286" s="32"/>
      <c r="M286" s="32"/>
      <c r="N286" s="32"/>
      <c r="O286" s="32"/>
      <c r="P286" s="32"/>
      <c r="Q286" s="32"/>
      <c r="R286" s="32"/>
    </row>
    <row r="287" spans="3:18" ht="12">
      <c r="C287" s="32"/>
      <c r="D287" s="32"/>
      <c r="E287" s="32"/>
      <c r="F287" s="32"/>
      <c r="G287" s="32"/>
      <c r="H287" s="32"/>
      <c r="I287" s="32"/>
      <c r="J287" s="32"/>
      <c r="K287" s="32"/>
      <c r="L287" s="32"/>
      <c r="M287" s="32"/>
      <c r="N287" s="32"/>
      <c r="O287" s="32"/>
      <c r="P287" s="32"/>
      <c r="Q287" s="32"/>
      <c r="R287" s="32"/>
    </row>
    <row r="288" spans="3:18" ht="12">
      <c r="C288" s="32"/>
      <c r="D288" s="32"/>
      <c r="E288" s="32"/>
      <c r="F288" s="32"/>
      <c r="G288" s="32"/>
      <c r="H288" s="32"/>
      <c r="I288" s="32"/>
      <c r="J288" s="32"/>
      <c r="K288" s="32"/>
      <c r="L288" s="32"/>
      <c r="M288" s="32"/>
      <c r="N288" s="32"/>
      <c r="O288" s="32"/>
      <c r="P288" s="32"/>
      <c r="Q288" s="32"/>
      <c r="R288" s="32"/>
    </row>
    <row r="289" spans="3:18" ht="12">
      <c r="C289" s="32"/>
      <c r="D289" s="32"/>
      <c r="E289" s="32"/>
      <c r="F289" s="32"/>
      <c r="G289" s="32"/>
      <c r="H289" s="32"/>
      <c r="I289" s="32"/>
      <c r="J289" s="32"/>
      <c r="K289" s="32"/>
      <c r="L289" s="32"/>
      <c r="M289" s="32"/>
      <c r="N289" s="32"/>
      <c r="O289" s="32"/>
      <c r="P289" s="32"/>
      <c r="Q289" s="32"/>
      <c r="R289" s="32"/>
    </row>
    <row r="290" spans="3:18" ht="12">
      <c r="C290" s="32"/>
      <c r="D290" s="32"/>
      <c r="E290" s="32"/>
      <c r="F290" s="32"/>
      <c r="G290" s="32"/>
      <c r="H290" s="32"/>
      <c r="I290" s="32"/>
      <c r="J290" s="32"/>
      <c r="K290" s="32"/>
      <c r="L290" s="32"/>
      <c r="M290" s="32"/>
      <c r="N290" s="32"/>
      <c r="O290" s="32"/>
      <c r="P290" s="32"/>
      <c r="Q290" s="32"/>
      <c r="R290" s="32"/>
    </row>
    <row r="291" spans="3:18" ht="12">
      <c r="C291" s="32"/>
      <c r="D291" s="32"/>
      <c r="E291" s="32"/>
      <c r="F291" s="32"/>
      <c r="G291" s="32"/>
      <c r="H291" s="32"/>
      <c r="I291" s="32"/>
      <c r="J291" s="32"/>
      <c r="K291" s="32"/>
      <c r="L291" s="32"/>
      <c r="M291" s="32"/>
      <c r="N291" s="32"/>
      <c r="O291" s="32"/>
      <c r="P291" s="32"/>
      <c r="Q291" s="32"/>
      <c r="R291" s="32"/>
    </row>
    <row r="292" spans="3:18" ht="12">
      <c r="C292" s="32"/>
      <c r="D292" s="32"/>
      <c r="E292" s="32"/>
      <c r="F292" s="32"/>
      <c r="G292" s="32"/>
      <c r="H292" s="32"/>
      <c r="I292" s="32"/>
      <c r="J292" s="32"/>
      <c r="K292" s="32"/>
      <c r="L292" s="32"/>
      <c r="M292" s="32"/>
      <c r="N292" s="32"/>
      <c r="O292" s="32"/>
      <c r="P292" s="32"/>
      <c r="Q292" s="32"/>
      <c r="R292" s="32"/>
    </row>
    <row r="293" spans="3:18" ht="12">
      <c r="C293" s="32"/>
      <c r="D293" s="32"/>
      <c r="E293" s="32"/>
      <c r="F293" s="32"/>
      <c r="G293" s="32"/>
      <c r="H293" s="32"/>
      <c r="I293" s="32"/>
      <c r="J293" s="32"/>
      <c r="K293" s="32"/>
      <c r="L293" s="32"/>
      <c r="M293" s="32"/>
      <c r="N293" s="32"/>
      <c r="O293" s="32"/>
      <c r="P293" s="32"/>
      <c r="Q293" s="32"/>
      <c r="R293" s="32"/>
    </row>
    <row r="294" spans="3:18" ht="12">
      <c r="C294" s="32"/>
      <c r="D294" s="32"/>
      <c r="E294" s="32"/>
      <c r="F294" s="32"/>
      <c r="G294" s="32"/>
      <c r="H294" s="32"/>
      <c r="I294" s="32"/>
      <c r="J294" s="32"/>
      <c r="K294" s="32"/>
      <c r="L294" s="32"/>
      <c r="M294" s="32"/>
      <c r="N294" s="32"/>
      <c r="O294" s="32"/>
      <c r="P294" s="32"/>
      <c r="Q294" s="32"/>
      <c r="R294" s="32"/>
    </row>
    <row r="295" spans="3:18" ht="12">
      <c r="C295" s="32"/>
      <c r="D295" s="32"/>
      <c r="E295" s="32"/>
      <c r="F295" s="32"/>
      <c r="G295" s="32"/>
      <c r="H295" s="32"/>
      <c r="I295" s="32"/>
      <c r="J295" s="32"/>
      <c r="K295" s="32"/>
      <c r="L295" s="32"/>
      <c r="M295" s="32"/>
      <c r="N295" s="32"/>
      <c r="O295" s="32"/>
      <c r="P295" s="32"/>
      <c r="Q295" s="32"/>
      <c r="R295" s="32"/>
    </row>
    <row r="296" spans="3:18" ht="12">
      <c r="C296" s="32"/>
      <c r="D296" s="32"/>
      <c r="E296" s="32"/>
      <c r="F296" s="32"/>
      <c r="G296" s="32"/>
      <c r="H296" s="32"/>
      <c r="I296" s="32"/>
      <c r="J296" s="32"/>
      <c r="K296" s="32"/>
      <c r="L296" s="32"/>
      <c r="M296" s="32"/>
      <c r="N296" s="32"/>
      <c r="O296" s="32"/>
      <c r="P296" s="32"/>
      <c r="Q296" s="32"/>
      <c r="R296" s="32"/>
    </row>
    <row r="297" spans="3:18" ht="12">
      <c r="C297" s="32"/>
      <c r="D297" s="32"/>
      <c r="E297" s="32"/>
      <c r="F297" s="32"/>
      <c r="G297" s="32"/>
      <c r="H297" s="32"/>
      <c r="I297" s="32"/>
      <c r="J297" s="32"/>
      <c r="K297" s="32"/>
      <c r="L297" s="32"/>
      <c r="M297" s="32"/>
      <c r="N297" s="32"/>
      <c r="O297" s="32"/>
      <c r="P297" s="32"/>
      <c r="Q297" s="32"/>
      <c r="R297" s="32"/>
    </row>
    <row r="298" spans="3:18" ht="12">
      <c r="C298" s="32"/>
      <c r="D298" s="32"/>
      <c r="E298" s="32"/>
      <c r="F298" s="32"/>
      <c r="G298" s="32"/>
      <c r="H298" s="32"/>
      <c r="I298" s="32"/>
      <c r="J298" s="32"/>
      <c r="K298" s="32"/>
      <c r="L298" s="32"/>
      <c r="M298" s="32"/>
      <c r="N298" s="32"/>
      <c r="O298" s="32"/>
      <c r="P298" s="32"/>
      <c r="Q298" s="32"/>
      <c r="R298" s="32"/>
    </row>
    <row r="299" spans="3:18" ht="12">
      <c r="C299" s="32"/>
      <c r="D299" s="32"/>
      <c r="E299" s="32"/>
      <c r="F299" s="32"/>
      <c r="G299" s="32"/>
      <c r="H299" s="32"/>
      <c r="I299" s="32"/>
      <c r="J299" s="32"/>
      <c r="K299" s="32"/>
      <c r="L299" s="32"/>
      <c r="M299" s="32"/>
      <c r="N299" s="32"/>
      <c r="O299" s="32"/>
      <c r="P299" s="32"/>
      <c r="Q299" s="32"/>
      <c r="R299" s="32"/>
    </row>
    <row r="300" spans="3:18" ht="12">
      <c r="C300" s="32"/>
      <c r="D300" s="32"/>
      <c r="E300" s="32"/>
      <c r="F300" s="32"/>
      <c r="G300" s="32"/>
      <c r="H300" s="32"/>
      <c r="I300" s="32"/>
      <c r="J300" s="32"/>
      <c r="K300" s="32"/>
      <c r="L300" s="32"/>
      <c r="M300" s="32"/>
      <c r="N300" s="32"/>
      <c r="O300" s="32"/>
      <c r="P300" s="32"/>
      <c r="Q300" s="32"/>
      <c r="R300" s="32"/>
    </row>
    <row r="301" spans="3:18" ht="12">
      <c r="C301" s="32"/>
      <c r="D301" s="32"/>
      <c r="E301" s="32"/>
      <c r="F301" s="32"/>
      <c r="G301" s="32"/>
      <c r="H301" s="32"/>
      <c r="I301" s="32"/>
      <c r="J301" s="32"/>
      <c r="K301" s="32"/>
      <c r="L301" s="32"/>
      <c r="M301" s="32"/>
      <c r="N301" s="32"/>
      <c r="O301" s="32"/>
      <c r="P301" s="32"/>
      <c r="Q301" s="32"/>
      <c r="R301" s="32"/>
    </row>
    <row r="302" spans="3:18" ht="12">
      <c r="C302" s="32"/>
      <c r="D302" s="32"/>
      <c r="E302" s="32"/>
      <c r="F302" s="32"/>
      <c r="G302" s="32"/>
      <c r="H302" s="32"/>
      <c r="I302" s="32"/>
      <c r="J302" s="32"/>
      <c r="K302" s="32"/>
      <c r="L302" s="32"/>
      <c r="M302" s="32"/>
      <c r="N302" s="32"/>
      <c r="O302" s="32"/>
      <c r="P302" s="32"/>
      <c r="Q302" s="32"/>
      <c r="R302" s="32"/>
    </row>
    <row r="303" spans="3:18" ht="12">
      <c r="C303" s="32"/>
      <c r="D303" s="32"/>
      <c r="E303" s="32"/>
      <c r="F303" s="32"/>
      <c r="G303" s="32"/>
      <c r="H303" s="32"/>
      <c r="I303" s="32"/>
      <c r="J303" s="32"/>
      <c r="K303" s="32"/>
      <c r="L303" s="32"/>
      <c r="M303" s="32"/>
      <c r="N303" s="32"/>
      <c r="O303" s="32"/>
      <c r="P303" s="32"/>
      <c r="Q303" s="32"/>
      <c r="R303" s="32"/>
    </row>
    <row r="304" spans="3:18" ht="12">
      <c r="C304" s="32"/>
      <c r="D304" s="32"/>
      <c r="E304" s="32"/>
      <c r="F304" s="32"/>
      <c r="G304" s="32"/>
      <c r="H304" s="32"/>
      <c r="I304" s="32"/>
      <c r="J304" s="32"/>
      <c r="K304" s="32"/>
      <c r="L304" s="32"/>
      <c r="M304" s="32"/>
      <c r="N304" s="32"/>
      <c r="O304" s="32"/>
      <c r="P304" s="32"/>
      <c r="Q304" s="32"/>
      <c r="R304" s="32"/>
    </row>
    <row r="305" spans="3:18" ht="12">
      <c r="C305" s="32"/>
      <c r="D305" s="32"/>
      <c r="E305" s="32"/>
      <c r="F305" s="32"/>
      <c r="G305" s="32"/>
      <c r="H305" s="32"/>
      <c r="I305" s="32"/>
      <c r="J305" s="32"/>
      <c r="K305" s="32"/>
      <c r="L305" s="32"/>
      <c r="M305" s="32"/>
      <c r="N305" s="32"/>
      <c r="O305" s="32"/>
      <c r="P305" s="32"/>
      <c r="Q305" s="32"/>
      <c r="R305" s="32"/>
    </row>
    <row r="306" spans="3:18" ht="12">
      <c r="C306" s="32"/>
      <c r="D306" s="32"/>
      <c r="E306" s="32"/>
      <c r="F306" s="32"/>
      <c r="G306" s="32"/>
      <c r="H306" s="32"/>
      <c r="I306" s="32"/>
      <c r="J306" s="32"/>
      <c r="K306" s="32"/>
      <c r="L306" s="32"/>
      <c r="M306" s="32"/>
      <c r="N306" s="32"/>
      <c r="O306" s="32"/>
      <c r="P306" s="32"/>
      <c r="Q306" s="32"/>
      <c r="R306" s="32"/>
    </row>
    <row r="307" spans="3:18" ht="12">
      <c r="C307" s="32"/>
      <c r="D307" s="32"/>
      <c r="E307" s="32"/>
      <c r="F307" s="32"/>
      <c r="G307" s="32"/>
      <c r="H307" s="32"/>
      <c r="I307" s="32"/>
      <c r="J307" s="32"/>
      <c r="K307" s="32"/>
      <c r="L307" s="32"/>
      <c r="M307" s="32"/>
      <c r="N307" s="32"/>
      <c r="O307" s="32"/>
      <c r="P307" s="32"/>
      <c r="Q307" s="32"/>
      <c r="R307" s="32"/>
    </row>
    <row r="308" spans="3:18" ht="12">
      <c r="C308" s="32"/>
      <c r="D308" s="32"/>
      <c r="E308" s="32"/>
      <c r="F308" s="32"/>
      <c r="G308" s="32"/>
      <c r="H308" s="32"/>
      <c r="I308" s="32"/>
      <c r="J308" s="32"/>
      <c r="K308" s="32"/>
      <c r="L308" s="32"/>
      <c r="M308" s="32"/>
      <c r="N308" s="32"/>
      <c r="O308" s="32"/>
      <c r="P308" s="32"/>
      <c r="Q308" s="32"/>
      <c r="R308" s="32"/>
    </row>
    <row r="309" spans="3:18" ht="12">
      <c r="C309" s="32"/>
      <c r="D309" s="32"/>
      <c r="E309" s="32"/>
      <c r="F309" s="32"/>
      <c r="G309" s="32"/>
      <c r="H309" s="32"/>
      <c r="I309" s="32"/>
      <c r="J309" s="32"/>
      <c r="K309" s="32"/>
      <c r="L309" s="32"/>
      <c r="M309" s="32"/>
      <c r="N309" s="32"/>
      <c r="O309" s="32"/>
      <c r="P309" s="32"/>
      <c r="Q309" s="32"/>
      <c r="R309" s="32"/>
    </row>
    <row r="310" spans="3:18" ht="12">
      <c r="C310" s="32"/>
      <c r="D310" s="32"/>
      <c r="E310" s="32"/>
      <c r="F310" s="32"/>
      <c r="G310" s="32"/>
      <c r="H310" s="32"/>
      <c r="I310" s="32"/>
      <c r="J310" s="32"/>
      <c r="K310" s="32"/>
      <c r="L310" s="32"/>
      <c r="M310" s="32"/>
      <c r="N310" s="32"/>
      <c r="O310" s="32"/>
      <c r="P310" s="32"/>
      <c r="Q310" s="32"/>
      <c r="R310" s="32"/>
    </row>
    <row r="311" spans="3:18" ht="12">
      <c r="C311" s="32"/>
      <c r="D311" s="32"/>
      <c r="E311" s="32"/>
      <c r="F311" s="32"/>
      <c r="G311" s="32"/>
      <c r="H311" s="32"/>
      <c r="I311" s="32"/>
      <c r="J311" s="32"/>
      <c r="K311" s="32"/>
      <c r="L311" s="32"/>
      <c r="M311" s="32"/>
      <c r="N311" s="32"/>
      <c r="O311" s="32"/>
      <c r="P311" s="32"/>
      <c r="Q311" s="32"/>
      <c r="R311" s="32"/>
    </row>
    <row r="312" spans="3:18" ht="12">
      <c r="C312" s="32"/>
      <c r="D312" s="32"/>
      <c r="E312" s="32"/>
      <c r="F312" s="32"/>
      <c r="G312" s="32"/>
      <c r="H312" s="32"/>
      <c r="I312" s="32"/>
      <c r="J312" s="32"/>
      <c r="K312" s="32"/>
      <c r="L312" s="32"/>
      <c r="M312" s="32"/>
      <c r="N312" s="32"/>
      <c r="O312" s="32"/>
      <c r="P312" s="32"/>
      <c r="Q312" s="32"/>
      <c r="R312" s="32"/>
    </row>
    <row r="313" spans="3:18" ht="12">
      <c r="C313" s="32"/>
      <c r="D313" s="32"/>
      <c r="E313" s="32"/>
      <c r="F313" s="32"/>
      <c r="G313" s="32"/>
      <c r="H313" s="32"/>
      <c r="I313" s="32"/>
      <c r="J313" s="32"/>
      <c r="K313" s="32"/>
      <c r="L313" s="32"/>
      <c r="M313" s="32"/>
      <c r="N313" s="32"/>
      <c r="O313" s="32"/>
      <c r="P313" s="32"/>
      <c r="Q313" s="32"/>
      <c r="R313" s="32"/>
    </row>
    <row r="314" spans="3:18" ht="12">
      <c r="C314" s="32"/>
      <c r="D314" s="32"/>
      <c r="E314" s="32"/>
      <c r="F314" s="32"/>
      <c r="G314" s="32"/>
      <c r="H314" s="32"/>
      <c r="I314" s="32"/>
      <c r="J314" s="32"/>
      <c r="K314" s="32"/>
      <c r="L314" s="32"/>
      <c r="M314" s="32"/>
      <c r="N314" s="32"/>
      <c r="O314" s="32"/>
      <c r="P314" s="32"/>
      <c r="Q314" s="32"/>
      <c r="R314" s="32"/>
    </row>
    <row r="315" spans="3:18" ht="12">
      <c r="C315" s="32"/>
      <c r="D315" s="32"/>
      <c r="E315" s="32"/>
      <c r="F315" s="32"/>
      <c r="G315" s="32"/>
      <c r="H315" s="32"/>
      <c r="I315" s="32"/>
      <c r="J315" s="32"/>
      <c r="K315" s="32"/>
      <c r="L315" s="32"/>
      <c r="M315" s="32"/>
      <c r="N315" s="32"/>
      <c r="O315" s="32"/>
      <c r="P315" s="32"/>
      <c r="Q315" s="32"/>
      <c r="R315" s="32"/>
    </row>
    <row r="316" spans="3:18" ht="12">
      <c r="C316" s="32"/>
      <c r="D316" s="32"/>
      <c r="E316" s="32"/>
      <c r="F316" s="32"/>
      <c r="G316" s="32"/>
      <c r="H316" s="32"/>
      <c r="I316" s="32"/>
      <c r="J316" s="32"/>
      <c r="K316" s="32"/>
      <c r="L316" s="32"/>
      <c r="M316" s="32"/>
      <c r="N316" s="32"/>
      <c r="O316" s="32"/>
      <c r="P316" s="32"/>
      <c r="Q316" s="32"/>
      <c r="R316" s="32"/>
    </row>
    <row r="317" spans="3:18" ht="12">
      <c r="C317" s="32"/>
      <c r="D317" s="32"/>
      <c r="E317" s="32"/>
      <c r="F317" s="32"/>
      <c r="G317" s="32"/>
      <c r="H317" s="32"/>
      <c r="I317" s="32"/>
      <c r="J317" s="32"/>
      <c r="K317" s="32"/>
      <c r="L317" s="32"/>
      <c r="M317" s="32"/>
      <c r="N317" s="32"/>
      <c r="O317" s="32"/>
      <c r="P317" s="32"/>
      <c r="Q317" s="32"/>
      <c r="R317" s="32"/>
    </row>
    <row r="318" spans="3:18" ht="12">
      <c r="C318" s="32"/>
      <c r="D318" s="32"/>
      <c r="E318" s="32"/>
      <c r="F318" s="32"/>
      <c r="G318" s="32"/>
      <c r="H318" s="32"/>
      <c r="I318" s="32"/>
      <c r="J318" s="32"/>
      <c r="K318" s="32"/>
      <c r="L318" s="32"/>
      <c r="M318" s="32"/>
      <c r="N318" s="32"/>
      <c r="O318" s="32"/>
      <c r="P318" s="32"/>
      <c r="Q318" s="32"/>
      <c r="R318" s="32"/>
    </row>
    <row r="319" spans="3:18" ht="12">
      <c r="C319" s="32"/>
      <c r="D319" s="32"/>
      <c r="E319" s="32"/>
      <c r="F319" s="32"/>
      <c r="G319" s="32"/>
      <c r="H319" s="32"/>
      <c r="I319" s="32"/>
      <c r="J319" s="32"/>
      <c r="K319" s="32"/>
      <c r="L319" s="32"/>
      <c r="M319" s="32"/>
      <c r="N319" s="32"/>
      <c r="O319" s="32"/>
      <c r="P319" s="32"/>
      <c r="Q319" s="32"/>
      <c r="R319" s="32"/>
    </row>
    <row r="320" spans="3:18" ht="12">
      <c r="C320" s="32"/>
      <c r="D320" s="32"/>
      <c r="E320" s="32"/>
      <c r="F320" s="32"/>
      <c r="G320" s="32"/>
      <c r="H320" s="32"/>
      <c r="I320" s="32"/>
      <c r="J320" s="32"/>
      <c r="K320" s="32"/>
      <c r="L320" s="32"/>
      <c r="M320" s="32"/>
      <c r="N320" s="32"/>
      <c r="O320" s="32"/>
      <c r="P320" s="32"/>
      <c r="Q320" s="32"/>
      <c r="R320" s="32"/>
    </row>
    <row r="321" spans="3:18" ht="12">
      <c r="C321" s="32"/>
      <c r="D321" s="32"/>
      <c r="E321" s="32"/>
      <c r="F321" s="32"/>
      <c r="G321" s="32"/>
      <c r="H321" s="32"/>
      <c r="I321" s="32"/>
      <c r="J321" s="32"/>
      <c r="K321" s="32"/>
      <c r="L321" s="32"/>
      <c r="M321" s="32"/>
      <c r="N321" s="32"/>
      <c r="O321" s="32"/>
      <c r="P321" s="32"/>
      <c r="Q321" s="32"/>
      <c r="R321" s="32"/>
    </row>
    <row r="322" spans="3:18" ht="12">
      <c r="C322" s="32"/>
      <c r="D322" s="32"/>
      <c r="E322" s="32"/>
      <c r="F322" s="32"/>
      <c r="G322" s="32"/>
      <c r="H322" s="32"/>
      <c r="I322" s="32"/>
      <c r="J322" s="32"/>
      <c r="K322" s="32"/>
      <c r="L322" s="32"/>
      <c r="M322" s="32"/>
      <c r="N322" s="32"/>
      <c r="O322" s="32"/>
      <c r="P322" s="32"/>
      <c r="Q322" s="32"/>
      <c r="R322" s="32"/>
    </row>
    <row r="323" spans="3:18" ht="12">
      <c r="C323" s="32"/>
      <c r="D323" s="32"/>
      <c r="E323" s="32"/>
      <c r="F323" s="32"/>
      <c r="G323" s="32"/>
      <c r="H323" s="32"/>
      <c r="I323" s="32"/>
      <c r="J323" s="32"/>
      <c r="K323" s="32"/>
      <c r="L323" s="32"/>
      <c r="M323" s="32"/>
      <c r="N323" s="32"/>
      <c r="O323" s="32"/>
      <c r="P323" s="32"/>
      <c r="Q323" s="32"/>
      <c r="R323" s="32"/>
    </row>
    <row r="324" spans="3:18" ht="12">
      <c r="C324" s="32"/>
      <c r="D324" s="32"/>
      <c r="E324" s="32"/>
      <c r="F324" s="32"/>
      <c r="G324" s="32"/>
      <c r="H324" s="32"/>
      <c r="I324" s="32"/>
      <c r="J324" s="32"/>
      <c r="K324" s="32"/>
      <c r="L324" s="32"/>
      <c r="M324" s="32"/>
      <c r="N324" s="32"/>
      <c r="O324" s="32"/>
      <c r="P324" s="32"/>
      <c r="Q324" s="32"/>
      <c r="R324" s="32"/>
    </row>
    <row r="325" spans="3:18" ht="12">
      <c r="C325" s="32"/>
      <c r="D325" s="32"/>
      <c r="E325" s="32"/>
      <c r="F325" s="32"/>
      <c r="G325" s="32"/>
      <c r="H325" s="32"/>
      <c r="I325" s="32"/>
      <c r="J325" s="32"/>
      <c r="K325" s="32"/>
      <c r="L325" s="32"/>
      <c r="M325" s="32"/>
      <c r="N325" s="32"/>
      <c r="O325" s="32"/>
      <c r="P325" s="32"/>
      <c r="Q325" s="32"/>
      <c r="R325" s="32"/>
    </row>
    <row r="326" spans="3:18" ht="12">
      <c r="C326" s="32"/>
      <c r="D326" s="32"/>
      <c r="E326" s="32"/>
      <c r="F326" s="32"/>
      <c r="G326" s="32"/>
      <c r="H326" s="32"/>
      <c r="I326" s="32"/>
      <c r="J326" s="32"/>
      <c r="K326" s="32"/>
      <c r="L326" s="32"/>
      <c r="M326" s="32"/>
      <c r="N326" s="32"/>
      <c r="O326" s="32"/>
      <c r="P326" s="32"/>
      <c r="Q326" s="32"/>
      <c r="R326" s="32"/>
    </row>
    <row r="327" spans="3:18" ht="12">
      <c r="C327" s="32"/>
      <c r="D327" s="32"/>
      <c r="E327" s="32"/>
      <c r="F327" s="32"/>
      <c r="G327" s="32"/>
      <c r="H327" s="32"/>
      <c r="I327" s="32"/>
      <c r="J327" s="32"/>
      <c r="K327" s="32"/>
      <c r="L327" s="32"/>
      <c r="M327" s="32"/>
      <c r="N327" s="32"/>
      <c r="O327" s="32"/>
      <c r="P327" s="32"/>
      <c r="Q327" s="32"/>
      <c r="R327" s="32"/>
    </row>
    <row r="328" spans="3:18" ht="12">
      <c r="C328" s="32"/>
      <c r="D328" s="32"/>
      <c r="E328" s="32"/>
      <c r="F328" s="32"/>
      <c r="G328" s="32"/>
      <c r="H328" s="32"/>
      <c r="I328" s="32"/>
      <c r="J328" s="32"/>
      <c r="K328" s="32"/>
      <c r="L328" s="32"/>
      <c r="M328" s="32"/>
      <c r="N328" s="32"/>
      <c r="O328" s="32"/>
      <c r="P328" s="32"/>
      <c r="Q328" s="32"/>
      <c r="R328" s="32"/>
    </row>
    <row r="329" spans="3:18" ht="12">
      <c r="C329" s="32"/>
      <c r="D329" s="32"/>
      <c r="E329" s="32"/>
      <c r="F329" s="32"/>
      <c r="G329" s="32"/>
      <c r="H329" s="32"/>
      <c r="I329" s="32"/>
      <c r="J329" s="32"/>
      <c r="K329" s="32"/>
      <c r="L329" s="32"/>
      <c r="M329" s="32"/>
      <c r="N329" s="32"/>
      <c r="O329" s="32"/>
      <c r="P329" s="32"/>
      <c r="Q329" s="32"/>
      <c r="R329" s="32"/>
    </row>
    <row r="330" spans="3:18" ht="12">
      <c r="C330" s="32"/>
      <c r="D330" s="32"/>
      <c r="E330" s="32"/>
      <c r="F330" s="32"/>
      <c r="G330" s="32"/>
      <c r="H330" s="32"/>
      <c r="I330" s="32"/>
      <c r="J330" s="32"/>
      <c r="K330" s="32"/>
      <c r="L330" s="32"/>
      <c r="M330" s="32"/>
      <c r="N330" s="32"/>
      <c r="O330" s="32"/>
      <c r="P330" s="32"/>
      <c r="Q330" s="32"/>
      <c r="R330" s="32"/>
    </row>
    <row r="331" spans="3:18" ht="12">
      <c r="C331" s="32"/>
      <c r="D331" s="32"/>
      <c r="E331" s="32"/>
      <c r="F331" s="32"/>
      <c r="G331" s="32"/>
      <c r="H331" s="32"/>
      <c r="I331" s="32"/>
      <c r="J331" s="32"/>
      <c r="K331" s="32"/>
      <c r="L331" s="32"/>
      <c r="M331" s="32"/>
      <c r="N331" s="32"/>
      <c r="O331" s="32"/>
      <c r="P331" s="32"/>
      <c r="Q331" s="32"/>
      <c r="R331" s="32"/>
    </row>
    <row r="332" spans="3:18" ht="12">
      <c r="C332" s="32"/>
      <c r="D332" s="32"/>
      <c r="E332" s="32"/>
      <c r="F332" s="32"/>
      <c r="G332" s="32"/>
      <c r="H332" s="32"/>
      <c r="I332" s="32"/>
      <c r="J332" s="32"/>
      <c r="K332" s="32"/>
      <c r="L332" s="32"/>
      <c r="M332" s="32"/>
      <c r="N332" s="32"/>
      <c r="O332" s="32"/>
      <c r="P332" s="32"/>
      <c r="Q332" s="32"/>
      <c r="R332" s="32"/>
    </row>
    <row r="333" spans="3:18" ht="12">
      <c r="C333" s="32"/>
      <c r="D333" s="32"/>
      <c r="E333" s="32"/>
      <c r="F333" s="32"/>
      <c r="G333" s="32"/>
      <c r="H333" s="32"/>
      <c r="I333" s="32"/>
      <c r="J333" s="32"/>
      <c r="K333" s="32"/>
      <c r="L333" s="32"/>
      <c r="M333" s="32"/>
      <c r="N333" s="32"/>
      <c r="O333" s="32"/>
      <c r="P333" s="32"/>
      <c r="Q333" s="32"/>
      <c r="R333" s="32"/>
    </row>
    <row r="334" spans="3:18" ht="12">
      <c r="C334" s="32"/>
      <c r="D334" s="32"/>
      <c r="E334" s="32"/>
      <c r="F334" s="32"/>
      <c r="G334" s="32"/>
      <c r="H334" s="32"/>
      <c r="I334" s="32"/>
      <c r="J334" s="32"/>
      <c r="K334" s="32"/>
      <c r="L334" s="32"/>
      <c r="M334" s="32"/>
      <c r="N334" s="32"/>
      <c r="O334" s="32"/>
      <c r="P334" s="32"/>
      <c r="Q334" s="32"/>
      <c r="R334" s="32"/>
    </row>
    <row r="335" spans="3:18" ht="12">
      <c r="C335" s="32"/>
      <c r="D335" s="32"/>
      <c r="E335" s="32"/>
      <c r="F335" s="32"/>
      <c r="G335" s="32"/>
      <c r="H335" s="32"/>
      <c r="I335" s="32"/>
      <c r="J335" s="32"/>
      <c r="K335" s="32"/>
      <c r="L335" s="32"/>
      <c r="M335" s="32"/>
      <c r="N335" s="32"/>
      <c r="O335" s="32"/>
      <c r="P335" s="32"/>
      <c r="Q335" s="32"/>
      <c r="R335" s="32"/>
    </row>
    <row r="336" spans="3:18" ht="12">
      <c r="C336" s="32"/>
      <c r="D336" s="32"/>
      <c r="E336" s="32"/>
      <c r="F336" s="32"/>
      <c r="G336" s="32"/>
      <c r="H336" s="32"/>
      <c r="I336" s="32"/>
      <c r="J336" s="32"/>
      <c r="K336" s="32"/>
      <c r="L336" s="32"/>
      <c r="M336" s="32"/>
      <c r="N336" s="32"/>
      <c r="O336" s="32"/>
      <c r="P336" s="32"/>
      <c r="Q336" s="32"/>
      <c r="R336" s="32"/>
    </row>
    <row r="337" spans="3:18" ht="12">
      <c r="C337" s="32"/>
      <c r="D337" s="32"/>
      <c r="E337" s="32"/>
      <c r="F337" s="32"/>
      <c r="G337" s="32"/>
      <c r="H337" s="32"/>
      <c r="I337" s="32"/>
      <c r="J337" s="32"/>
      <c r="K337" s="32"/>
      <c r="L337" s="32"/>
      <c r="M337" s="32"/>
      <c r="N337" s="32"/>
      <c r="O337" s="32"/>
      <c r="P337" s="32"/>
      <c r="Q337" s="32"/>
      <c r="R337" s="32"/>
    </row>
    <row r="338" spans="3:18" ht="12">
      <c r="C338" s="32"/>
      <c r="D338" s="32"/>
      <c r="E338" s="32"/>
      <c r="F338" s="32"/>
      <c r="G338" s="32"/>
      <c r="H338" s="32"/>
      <c r="I338" s="32"/>
      <c r="J338" s="32"/>
      <c r="K338" s="32"/>
      <c r="L338" s="32"/>
      <c r="M338" s="32"/>
      <c r="N338" s="32"/>
      <c r="O338" s="32"/>
      <c r="P338" s="32"/>
      <c r="Q338" s="32"/>
      <c r="R338" s="32"/>
    </row>
    <row r="339" spans="3:18" ht="12">
      <c r="C339" s="32"/>
      <c r="D339" s="32"/>
      <c r="E339" s="32"/>
      <c r="F339" s="32"/>
      <c r="G339" s="32"/>
      <c r="H339" s="32"/>
      <c r="I339" s="32"/>
      <c r="J339" s="32"/>
      <c r="K339" s="32"/>
      <c r="L339" s="32"/>
      <c r="M339" s="32"/>
      <c r="N339" s="32"/>
      <c r="O339" s="32"/>
      <c r="P339" s="32"/>
      <c r="Q339" s="32"/>
      <c r="R339" s="32"/>
    </row>
    <row r="340" spans="3:18" ht="12">
      <c r="C340" s="32"/>
      <c r="D340" s="32"/>
      <c r="E340" s="32"/>
      <c r="F340" s="32"/>
      <c r="G340" s="32"/>
      <c r="H340" s="32"/>
      <c r="I340" s="32"/>
      <c r="J340" s="32"/>
      <c r="K340" s="32"/>
      <c r="L340" s="32"/>
      <c r="M340" s="32"/>
      <c r="N340" s="32"/>
      <c r="O340" s="32"/>
      <c r="P340" s="32"/>
      <c r="Q340" s="32"/>
      <c r="R340" s="32"/>
    </row>
    <row r="341" spans="3:18" ht="12">
      <c r="C341" s="32"/>
      <c r="D341" s="32"/>
      <c r="E341" s="32"/>
      <c r="F341" s="32"/>
      <c r="G341" s="32"/>
      <c r="H341" s="32"/>
      <c r="I341" s="32"/>
      <c r="J341" s="32"/>
      <c r="K341" s="32"/>
      <c r="L341" s="32"/>
      <c r="M341" s="32"/>
      <c r="N341" s="32"/>
      <c r="O341" s="32"/>
      <c r="P341" s="32"/>
      <c r="Q341" s="32"/>
      <c r="R341" s="32"/>
    </row>
    <row r="342" spans="3:18" ht="12">
      <c r="C342" s="32"/>
      <c r="D342" s="32"/>
      <c r="E342" s="32"/>
      <c r="F342" s="32"/>
      <c r="G342" s="32"/>
      <c r="H342" s="32"/>
      <c r="I342" s="32"/>
      <c r="J342" s="32"/>
      <c r="K342" s="32"/>
      <c r="L342" s="32"/>
      <c r="M342" s="32"/>
      <c r="N342" s="32"/>
      <c r="O342" s="32"/>
      <c r="P342" s="32"/>
      <c r="Q342" s="32"/>
      <c r="R342" s="32"/>
    </row>
    <row r="343" spans="3:18" ht="12">
      <c r="C343" s="32"/>
      <c r="D343" s="32"/>
      <c r="E343" s="32"/>
      <c r="F343" s="32"/>
      <c r="G343" s="32"/>
      <c r="H343" s="32"/>
      <c r="I343" s="32"/>
      <c r="J343" s="32"/>
      <c r="K343" s="32"/>
      <c r="L343" s="32"/>
      <c r="M343" s="32"/>
      <c r="N343" s="32"/>
      <c r="O343" s="32"/>
      <c r="P343" s="32"/>
      <c r="Q343" s="32"/>
      <c r="R343" s="32"/>
    </row>
    <row r="344" spans="3:18" ht="12">
      <c r="C344" s="32"/>
      <c r="D344" s="32"/>
      <c r="E344" s="32"/>
      <c r="F344" s="32"/>
      <c r="G344" s="32"/>
      <c r="H344" s="32"/>
      <c r="I344" s="32"/>
      <c r="J344" s="32"/>
      <c r="K344" s="32"/>
      <c r="L344" s="32"/>
      <c r="M344" s="32"/>
      <c r="N344" s="32"/>
      <c r="O344" s="32"/>
      <c r="P344" s="32"/>
      <c r="Q344" s="32"/>
      <c r="R344" s="32"/>
    </row>
    <row r="345" spans="3:18" ht="12">
      <c r="C345" s="32"/>
      <c r="D345" s="32"/>
      <c r="E345" s="32"/>
      <c r="F345" s="32"/>
      <c r="G345" s="32"/>
      <c r="H345" s="32"/>
      <c r="I345" s="32"/>
      <c r="J345" s="32"/>
      <c r="K345" s="32"/>
      <c r="L345" s="32"/>
      <c r="M345" s="32"/>
      <c r="N345" s="32"/>
      <c r="O345" s="32"/>
      <c r="P345" s="32"/>
      <c r="Q345" s="32"/>
      <c r="R345" s="32"/>
    </row>
    <row r="346" spans="3:18" ht="12">
      <c r="C346" s="32"/>
      <c r="D346" s="32"/>
      <c r="E346" s="32"/>
      <c r="F346" s="32"/>
      <c r="G346" s="32"/>
      <c r="H346" s="32"/>
      <c r="I346" s="32"/>
      <c r="J346" s="32"/>
      <c r="K346" s="32"/>
      <c r="L346" s="32"/>
      <c r="M346" s="32"/>
      <c r="N346" s="32"/>
      <c r="O346" s="32"/>
      <c r="P346" s="32"/>
      <c r="Q346" s="32"/>
      <c r="R346" s="32"/>
    </row>
    <row r="347" spans="3:18" ht="12">
      <c r="C347" s="32"/>
      <c r="D347" s="32"/>
      <c r="E347" s="32"/>
      <c r="F347" s="32"/>
      <c r="G347" s="32"/>
      <c r="H347" s="32"/>
      <c r="I347" s="32"/>
      <c r="J347" s="32"/>
      <c r="K347" s="32"/>
      <c r="L347" s="32"/>
      <c r="M347" s="32"/>
      <c r="N347" s="32"/>
      <c r="O347" s="32"/>
      <c r="P347" s="32"/>
      <c r="Q347" s="32"/>
      <c r="R347" s="32"/>
    </row>
    <row r="348" spans="3:18" ht="12">
      <c r="C348" s="32"/>
      <c r="D348" s="32"/>
      <c r="E348" s="32"/>
      <c r="F348" s="32"/>
      <c r="G348" s="32"/>
      <c r="H348" s="32"/>
      <c r="I348" s="32"/>
      <c r="J348" s="32"/>
      <c r="K348" s="32"/>
      <c r="L348" s="32"/>
      <c r="M348" s="32"/>
      <c r="N348" s="32"/>
      <c r="O348" s="32"/>
      <c r="P348" s="32"/>
      <c r="Q348" s="32"/>
      <c r="R348" s="32"/>
    </row>
    <row r="349" spans="3:18" ht="12">
      <c r="C349" s="32"/>
      <c r="D349" s="32"/>
      <c r="E349" s="32"/>
      <c r="F349" s="32"/>
      <c r="G349" s="32"/>
      <c r="H349" s="32"/>
      <c r="I349" s="32"/>
      <c r="J349" s="32"/>
      <c r="K349" s="32"/>
      <c r="L349" s="32"/>
      <c r="M349" s="32"/>
      <c r="N349" s="32"/>
      <c r="O349" s="32"/>
      <c r="P349" s="32"/>
      <c r="Q349" s="32"/>
      <c r="R349" s="32"/>
    </row>
    <row r="350" spans="3:18" ht="12">
      <c r="C350" s="32"/>
      <c r="D350" s="32"/>
      <c r="E350" s="32"/>
      <c r="F350" s="32"/>
      <c r="G350" s="32"/>
      <c r="H350" s="32"/>
      <c r="I350" s="32"/>
      <c r="J350" s="32"/>
      <c r="K350" s="32"/>
      <c r="L350" s="32"/>
      <c r="M350" s="32"/>
      <c r="N350" s="32"/>
      <c r="O350" s="32"/>
      <c r="P350" s="32"/>
      <c r="Q350" s="32"/>
      <c r="R350" s="32"/>
    </row>
    <row r="351" spans="3:18" ht="12">
      <c r="C351" s="32"/>
      <c r="D351" s="32"/>
      <c r="E351" s="32"/>
      <c r="F351" s="32"/>
      <c r="G351" s="32"/>
      <c r="H351" s="32"/>
      <c r="I351" s="32"/>
      <c r="J351" s="32"/>
      <c r="K351" s="32"/>
      <c r="L351" s="32"/>
      <c r="M351" s="32"/>
      <c r="N351" s="32"/>
      <c r="O351" s="32"/>
      <c r="P351" s="32"/>
      <c r="Q351" s="32"/>
      <c r="R351" s="32"/>
    </row>
    <row r="352" spans="3:18" ht="12">
      <c r="C352" s="32"/>
      <c r="D352" s="32"/>
      <c r="E352" s="32"/>
      <c r="F352" s="32"/>
      <c r="G352" s="32"/>
      <c r="H352" s="32"/>
      <c r="I352" s="32"/>
      <c r="J352" s="32"/>
      <c r="K352" s="32"/>
      <c r="L352" s="32"/>
      <c r="M352" s="32"/>
      <c r="N352" s="32"/>
      <c r="O352" s="32"/>
      <c r="P352" s="32"/>
      <c r="Q352" s="32"/>
      <c r="R352" s="32"/>
    </row>
    <row r="353" spans="3:18" ht="12">
      <c r="C353" s="32"/>
      <c r="D353" s="32"/>
      <c r="E353" s="32"/>
      <c r="F353" s="32"/>
      <c r="G353" s="32"/>
      <c r="H353" s="32"/>
      <c r="I353" s="32"/>
      <c r="J353" s="32"/>
      <c r="K353" s="32"/>
      <c r="L353" s="32"/>
      <c r="M353" s="32"/>
      <c r="N353" s="32"/>
      <c r="O353" s="32"/>
      <c r="P353" s="32"/>
      <c r="Q353" s="32"/>
      <c r="R353" s="32"/>
    </row>
    <row r="354" spans="3:18" ht="12">
      <c r="C354" s="32"/>
      <c r="D354" s="32"/>
      <c r="E354" s="32"/>
      <c r="F354" s="32"/>
      <c r="G354" s="32"/>
      <c r="H354" s="32"/>
      <c r="I354" s="32"/>
      <c r="J354" s="32"/>
      <c r="K354" s="32"/>
      <c r="L354" s="32"/>
      <c r="M354" s="32"/>
      <c r="N354" s="32"/>
      <c r="O354" s="32"/>
      <c r="P354" s="32"/>
      <c r="Q354" s="32"/>
      <c r="R354" s="32"/>
    </row>
    <row r="355" spans="3:18" ht="12">
      <c r="C355" s="32"/>
      <c r="D355" s="32"/>
      <c r="E355" s="32"/>
      <c r="F355" s="32"/>
      <c r="G355" s="32"/>
      <c r="H355" s="32"/>
      <c r="I355" s="32"/>
      <c r="J355" s="32"/>
      <c r="K355" s="32"/>
      <c r="L355" s="32"/>
      <c r="M355" s="32"/>
      <c r="N355" s="32"/>
      <c r="O355" s="32"/>
      <c r="P355" s="32"/>
      <c r="Q355" s="32"/>
      <c r="R355" s="32"/>
    </row>
    <row r="356" spans="3:18" ht="12">
      <c r="C356" s="32"/>
      <c r="D356" s="32"/>
      <c r="E356" s="32"/>
      <c r="F356" s="32"/>
      <c r="G356" s="32"/>
      <c r="H356" s="32"/>
      <c r="I356" s="32"/>
      <c r="J356" s="32"/>
      <c r="K356" s="32"/>
      <c r="L356" s="32"/>
      <c r="M356" s="32"/>
      <c r="N356" s="32"/>
      <c r="O356" s="32"/>
      <c r="P356" s="32"/>
      <c r="Q356" s="32"/>
      <c r="R356" s="32"/>
    </row>
    <row r="357" spans="3:18" ht="12">
      <c r="C357" s="32"/>
      <c r="D357" s="32"/>
      <c r="E357" s="32"/>
      <c r="F357" s="32"/>
      <c r="G357" s="32"/>
      <c r="H357" s="32"/>
      <c r="I357" s="32"/>
      <c r="J357" s="32"/>
      <c r="K357" s="32"/>
      <c r="L357" s="32"/>
      <c r="M357" s="32"/>
      <c r="N357" s="32"/>
      <c r="O357" s="32"/>
      <c r="P357" s="32"/>
      <c r="Q357" s="32"/>
      <c r="R357" s="32"/>
    </row>
    <row r="358" spans="3:18" ht="12">
      <c r="C358" s="32"/>
      <c r="D358" s="32"/>
      <c r="E358" s="32"/>
      <c r="F358" s="32"/>
      <c r="G358" s="32"/>
      <c r="H358" s="32"/>
      <c r="I358" s="32"/>
      <c r="J358" s="32"/>
      <c r="K358" s="32"/>
      <c r="L358" s="32"/>
      <c r="M358" s="32"/>
      <c r="N358" s="32"/>
      <c r="O358" s="32"/>
      <c r="P358" s="32"/>
      <c r="Q358" s="32"/>
      <c r="R358" s="32"/>
    </row>
    <row r="359" spans="3:18" ht="12">
      <c r="C359" s="32"/>
      <c r="D359" s="32"/>
      <c r="E359" s="32"/>
      <c r="F359" s="32"/>
      <c r="G359" s="32"/>
      <c r="H359" s="32"/>
      <c r="I359" s="32"/>
      <c r="J359" s="32"/>
      <c r="K359" s="32"/>
      <c r="L359" s="32"/>
      <c r="M359" s="32"/>
      <c r="N359" s="32"/>
      <c r="O359" s="32"/>
      <c r="P359" s="32"/>
      <c r="Q359" s="32"/>
      <c r="R359" s="32"/>
    </row>
    <row r="360" spans="3:18" ht="12">
      <c r="C360" s="32"/>
      <c r="D360" s="32"/>
      <c r="E360" s="32"/>
      <c r="F360" s="32"/>
      <c r="G360" s="32"/>
      <c r="H360" s="32"/>
      <c r="I360" s="32"/>
      <c r="J360" s="32"/>
      <c r="K360" s="32"/>
      <c r="L360" s="32"/>
      <c r="M360" s="32"/>
      <c r="N360" s="32"/>
      <c r="O360" s="32"/>
      <c r="P360" s="32"/>
      <c r="Q360" s="32"/>
      <c r="R360" s="32"/>
    </row>
    <row r="361" spans="3:18" ht="12">
      <c r="C361" s="32"/>
      <c r="D361" s="32"/>
      <c r="E361" s="32"/>
      <c r="F361" s="32"/>
      <c r="G361" s="32"/>
      <c r="H361" s="32"/>
      <c r="I361" s="32"/>
      <c r="J361" s="32"/>
      <c r="K361" s="32"/>
      <c r="L361" s="32"/>
      <c r="M361" s="32"/>
      <c r="N361" s="32"/>
      <c r="O361" s="32"/>
      <c r="P361" s="32"/>
      <c r="Q361" s="32"/>
      <c r="R361" s="32"/>
    </row>
    <row r="362" spans="3:18" ht="12">
      <c r="C362" s="32"/>
      <c r="D362" s="32"/>
      <c r="E362" s="32"/>
      <c r="F362" s="32"/>
      <c r="G362" s="32"/>
      <c r="H362" s="32"/>
      <c r="I362" s="32"/>
      <c r="J362" s="32"/>
      <c r="K362" s="32"/>
      <c r="L362" s="32"/>
      <c r="M362" s="32"/>
      <c r="N362" s="32"/>
      <c r="O362" s="32"/>
      <c r="P362" s="32"/>
      <c r="Q362" s="32"/>
      <c r="R362" s="32"/>
    </row>
    <row r="363" spans="3:18" ht="12">
      <c r="C363" s="32"/>
      <c r="D363" s="32"/>
      <c r="E363" s="32"/>
      <c r="F363" s="32"/>
      <c r="G363" s="32"/>
      <c r="H363" s="32"/>
      <c r="I363" s="32"/>
      <c r="J363" s="32"/>
      <c r="K363" s="32"/>
      <c r="L363" s="32"/>
      <c r="M363" s="32"/>
      <c r="N363" s="32"/>
      <c r="O363" s="32"/>
      <c r="P363" s="32"/>
      <c r="Q363" s="32"/>
      <c r="R363" s="32"/>
    </row>
    <row r="364" spans="3:18" ht="12">
      <c r="C364" s="32"/>
      <c r="D364" s="32"/>
      <c r="E364" s="32"/>
      <c r="F364" s="32"/>
      <c r="G364" s="32"/>
      <c r="H364" s="32"/>
      <c r="I364" s="32"/>
      <c r="J364" s="32"/>
      <c r="K364" s="32"/>
      <c r="L364" s="32"/>
      <c r="M364" s="32"/>
      <c r="N364" s="32"/>
      <c r="O364" s="32"/>
      <c r="P364" s="32"/>
      <c r="Q364" s="32"/>
      <c r="R364" s="32"/>
    </row>
    <row r="365" spans="3:18" ht="12">
      <c r="C365" s="32"/>
      <c r="D365" s="32"/>
      <c r="E365" s="32"/>
      <c r="F365" s="32"/>
      <c r="G365" s="32"/>
      <c r="H365" s="32"/>
      <c r="I365" s="32"/>
      <c r="J365" s="32"/>
      <c r="K365" s="32"/>
      <c r="L365" s="32"/>
      <c r="M365" s="32"/>
      <c r="N365" s="32"/>
      <c r="O365" s="32"/>
      <c r="P365" s="32"/>
      <c r="Q365" s="32"/>
      <c r="R365" s="32"/>
    </row>
    <row r="366" spans="3:18" ht="12">
      <c r="C366" s="32"/>
      <c r="D366" s="32"/>
      <c r="E366" s="32"/>
      <c r="F366" s="32"/>
      <c r="G366" s="32"/>
      <c r="H366" s="32"/>
      <c r="I366" s="32"/>
      <c r="J366" s="32"/>
      <c r="K366" s="32"/>
      <c r="L366" s="32"/>
      <c r="M366" s="32"/>
      <c r="N366" s="32"/>
      <c r="O366" s="32"/>
      <c r="P366" s="32"/>
      <c r="Q366" s="32"/>
      <c r="R366" s="32"/>
    </row>
    <row r="367" spans="3:18" ht="12">
      <c r="C367" s="32"/>
      <c r="D367" s="32"/>
      <c r="E367" s="32"/>
      <c r="F367" s="32"/>
      <c r="G367" s="32"/>
      <c r="H367" s="32"/>
      <c r="I367" s="32"/>
      <c r="J367" s="32"/>
      <c r="K367" s="32"/>
      <c r="L367" s="32"/>
      <c r="M367" s="32"/>
      <c r="N367" s="32"/>
      <c r="O367" s="32"/>
      <c r="P367" s="32"/>
      <c r="Q367" s="32"/>
      <c r="R367" s="32"/>
    </row>
    <row r="368" spans="3:18" ht="12">
      <c r="C368" s="32"/>
      <c r="D368" s="32"/>
      <c r="E368" s="32"/>
      <c r="F368" s="32"/>
      <c r="G368" s="32"/>
      <c r="H368" s="32"/>
      <c r="I368" s="32"/>
      <c r="J368" s="32"/>
      <c r="K368" s="32"/>
      <c r="L368" s="32"/>
      <c r="M368" s="32"/>
      <c r="N368" s="32"/>
      <c r="O368" s="32"/>
      <c r="P368" s="32"/>
      <c r="Q368" s="32"/>
      <c r="R368" s="32"/>
    </row>
    <row r="369" spans="3:18" ht="12">
      <c r="C369" s="32"/>
      <c r="D369" s="32"/>
      <c r="E369" s="32"/>
      <c r="F369" s="32"/>
      <c r="G369" s="32"/>
      <c r="H369" s="32"/>
      <c r="I369" s="32"/>
      <c r="J369" s="32"/>
      <c r="K369" s="32"/>
      <c r="L369" s="32"/>
      <c r="M369" s="32"/>
      <c r="N369" s="32"/>
      <c r="O369" s="32"/>
      <c r="P369" s="32"/>
      <c r="Q369" s="32"/>
      <c r="R369" s="32"/>
    </row>
    <row r="370" spans="3:18" ht="12">
      <c r="C370" s="32"/>
      <c r="D370" s="32"/>
      <c r="E370" s="32"/>
      <c r="F370" s="32"/>
      <c r="G370" s="32"/>
      <c r="H370" s="32"/>
      <c r="I370" s="32"/>
      <c r="J370" s="32"/>
      <c r="K370" s="32"/>
      <c r="L370" s="32"/>
      <c r="M370" s="32"/>
      <c r="N370" s="32"/>
      <c r="O370" s="32"/>
      <c r="P370" s="32"/>
      <c r="Q370" s="32"/>
      <c r="R370" s="32"/>
    </row>
    <row r="371" spans="3:18" ht="12">
      <c r="C371" s="32"/>
      <c r="D371" s="32"/>
      <c r="E371" s="32"/>
      <c r="F371" s="32"/>
      <c r="G371" s="32"/>
      <c r="H371" s="32"/>
      <c r="I371" s="32"/>
      <c r="J371" s="32"/>
      <c r="K371" s="32"/>
      <c r="L371" s="32"/>
      <c r="M371" s="32"/>
      <c r="N371" s="32"/>
      <c r="O371" s="32"/>
      <c r="P371" s="32"/>
      <c r="Q371" s="32"/>
      <c r="R371" s="32"/>
    </row>
    <row r="372" spans="3:18" ht="12">
      <c r="C372" s="32"/>
      <c r="D372" s="32"/>
      <c r="E372" s="32"/>
      <c r="F372" s="32"/>
      <c r="G372" s="32"/>
      <c r="H372" s="32"/>
      <c r="I372" s="32"/>
      <c r="J372" s="32"/>
      <c r="K372" s="32"/>
      <c r="L372" s="32"/>
      <c r="M372" s="32"/>
      <c r="N372" s="32"/>
      <c r="O372" s="32"/>
      <c r="P372" s="32"/>
      <c r="Q372" s="32"/>
      <c r="R372" s="32"/>
    </row>
    <row r="373" spans="3:18" ht="12">
      <c r="C373" s="32"/>
      <c r="D373" s="32"/>
      <c r="E373" s="32"/>
      <c r="F373" s="32"/>
      <c r="G373" s="32"/>
      <c r="H373" s="32"/>
      <c r="I373" s="32"/>
      <c r="J373" s="32"/>
      <c r="K373" s="32"/>
      <c r="L373" s="32"/>
      <c r="M373" s="32"/>
      <c r="N373" s="32"/>
      <c r="O373" s="32"/>
      <c r="P373" s="32"/>
      <c r="Q373" s="32"/>
      <c r="R373" s="32"/>
    </row>
    <row r="374" spans="3:18" ht="12">
      <c r="C374" s="32"/>
      <c r="D374" s="32"/>
      <c r="E374" s="32"/>
      <c r="F374" s="32"/>
      <c r="G374" s="32"/>
      <c r="H374" s="32"/>
      <c r="I374" s="32"/>
      <c r="J374" s="32"/>
      <c r="K374" s="32"/>
      <c r="L374" s="32"/>
      <c r="M374" s="32"/>
      <c r="N374" s="32"/>
      <c r="O374" s="32"/>
      <c r="P374" s="32"/>
      <c r="Q374" s="32"/>
      <c r="R374" s="32"/>
    </row>
    <row r="375" spans="3:18" ht="12">
      <c r="C375" s="32"/>
      <c r="D375" s="32"/>
      <c r="E375" s="32"/>
      <c r="F375" s="32"/>
      <c r="G375" s="32"/>
      <c r="H375" s="32"/>
      <c r="I375" s="32"/>
      <c r="J375" s="32"/>
      <c r="K375" s="32"/>
      <c r="L375" s="32"/>
      <c r="M375" s="32"/>
      <c r="N375" s="32"/>
      <c r="O375" s="32"/>
      <c r="P375" s="32"/>
      <c r="Q375" s="32"/>
      <c r="R375" s="32"/>
    </row>
    <row r="376" spans="3:18" ht="12">
      <c r="C376" s="32"/>
      <c r="D376" s="32"/>
      <c r="E376" s="32"/>
      <c r="F376" s="32"/>
      <c r="G376" s="32"/>
      <c r="H376" s="32"/>
      <c r="I376" s="32"/>
      <c r="J376" s="32"/>
      <c r="K376" s="32"/>
      <c r="L376" s="32"/>
      <c r="M376" s="32"/>
      <c r="N376" s="32"/>
      <c r="O376" s="32"/>
      <c r="P376" s="32"/>
      <c r="Q376" s="32"/>
      <c r="R376" s="32"/>
    </row>
    <row r="377" spans="3:18" ht="12">
      <c r="C377" s="32"/>
      <c r="D377" s="32"/>
      <c r="E377" s="32"/>
      <c r="F377" s="32"/>
      <c r="G377" s="32"/>
      <c r="H377" s="32"/>
      <c r="I377" s="32"/>
      <c r="J377" s="32"/>
      <c r="K377" s="32"/>
      <c r="L377" s="32"/>
      <c r="M377" s="32"/>
      <c r="N377" s="32"/>
      <c r="O377" s="32"/>
      <c r="P377" s="32"/>
      <c r="Q377" s="32"/>
      <c r="R377" s="32"/>
    </row>
    <row r="378" spans="3:18" ht="12">
      <c r="C378" s="32"/>
      <c r="D378" s="32"/>
      <c r="E378" s="32"/>
      <c r="F378" s="32"/>
      <c r="G378" s="32"/>
      <c r="H378" s="32"/>
      <c r="I378" s="32"/>
      <c r="J378" s="32"/>
      <c r="K378" s="32"/>
      <c r="L378" s="32"/>
      <c r="M378" s="32"/>
      <c r="N378" s="32"/>
      <c r="O378" s="32"/>
      <c r="P378" s="32"/>
      <c r="Q378" s="32"/>
      <c r="R378" s="32"/>
    </row>
    <row r="379" spans="3:18" ht="12">
      <c r="C379" s="32"/>
      <c r="D379" s="32"/>
      <c r="E379" s="32"/>
      <c r="F379" s="32"/>
      <c r="G379" s="32"/>
      <c r="H379" s="32"/>
      <c r="I379" s="32"/>
      <c r="J379" s="32"/>
      <c r="K379" s="32"/>
      <c r="L379" s="32"/>
      <c r="M379" s="32"/>
      <c r="N379" s="32"/>
      <c r="O379" s="32"/>
      <c r="P379" s="32"/>
      <c r="Q379" s="32"/>
      <c r="R379" s="32"/>
    </row>
    <row r="380" spans="3:18" ht="12">
      <c r="C380" s="32"/>
      <c r="D380" s="32"/>
      <c r="E380" s="32"/>
      <c r="F380" s="32"/>
      <c r="G380" s="32"/>
      <c r="H380" s="32"/>
      <c r="I380" s="32"/>
      <c r="J380" s="32"/>
      <c r="K380" s="32"/>
      <c r="L380" s="32"/>
      <c r="M380" s="32"/>
      <c r="N380" s="32"/>
      <c r="O380" s="32"/>
      <c r="P380" s="32"/>
      <c r="Q380" s="32"/>
      <c r="R380" s="32"/>
    </row>
    <row r="381" spans="3:18" ht="12">
      <c r="C381" s="32"/>
      <c r="D381" s="32"/>
      <c r="E381" s="32"/>
      <c r="F381" s="32"/>
      <c r="G381" s="32"/>
      <c r="H381" s="32"/>
      <c r="I381" s="32"/>
      <c r="J381" s="32"/>
      <c r="K381" s="32"/>
      <c r="L381" s="32"/>
      <c r="M381" s="32"/>
      <c r="N381" s="32"/>
      <c r="O381" s="32"/>
      <c r="P381" s="32"/>
      <c r="Q381" s="32"/>
      <c r="R381" s="32"/>
    </row>
    <row r="382" spans="3:18" ht="12">
      <c r="C382" s="32"/>
      <c r="D382" s="32"/>
      <c r="E382" s="32"/>
      <c r="F382" s="32"/>
      <c r="G382" s="32"/>
      <c r="H382" s="32"/>
      <c r="I382" s="32"/>
      <c r="J382" s="32"/>
      <c r="K382" s="32"/>
      <c r="L382" s="32"/>
      <c r="M382" s="32"/>
      <c r="N382" s="32"/>
      <c r="O382" s="32"/>
      <c r="P382" s="32"/>
      <c r="Q382" s="32"/>
      <c r="R382" s="32"/>
    </row>
    <row r="383" spans="3:18" ht="12">
      <c r="C383" s="32"/>
      <c r="D383" s="32"/>
      <c r="E383" s="32"/>
      <c r="F383" s="32"/>
      <c r="G383" s="32"/>
      <c r="H383" s="32"/>
      <c r="I383" s="32"/>
      <c r="J383" s="32"/>
      <c r="K383" s="32"/>
      <c r="L383" s="32"/>
      <c r="M383" s="32"/>
      <c r="N383" s="32"/>
      <c r="O383" s="32"/>
      <c r="P383" s="32"/>
      <c r="Q383" s="32"/>
      <c r="R383" s="32"/>
    </row>
    <row r="384" spans="3:18" ht="12">
      <c r="C384" s="32"/>
      <c r="D384" s="32"/>
      <c r="E384" s="32"/>
      <c r="F384" s="32"/>
      <c r="G384" s="32"/>
      <c r="H384" s="32"/>
      <c r="I384" s="32"/>
      <c r="J384" s="32"/>
      <c r="K384" s="32"/>
      <c r="L384" s="32"/>
      <c r="M384" s="32"/>
      <c r="N384" s="32"/>
      <c r="O384" s="32"/>
      <c r="P384" s="32"/>
      <c r="Q384" s="32"/>
      <c r="R384" s="32"/>
    </row>
    <row r="385" spans="3:18" ht="12">
      <c r="C385" s="32"/>
      <c r="D385" s="32"/>
      <c r="E385" s="32"/>
      <c r="F385" s="32"/>
      <c r="G385" s="32"/>
      <c r="H385" s="32"/>
      <c r="I385" s="32"/>
      <c r="J385" s="32"/>
      <c r="K385" s="32"/>
      <c r="L385" s="32"/>
      <c r="M385" s="32"/>
      <c r="N385" s="32"/>
      <c r="O385" s="32"/>
      <c r="P385" s="32"/>
      <c r="Q385" s="32"/>
      <c r="R385" s="32"/>
    </row>
    <row r="386" spans="3:18" ht="12">
      <c r="C386" s="32"/>
      <c r="D386" s="32"/>
      <c r="E386" s="32"/>
      <c r="F386" s="32"/>
      <c r="G386" s="32"/>
      <c r="H386" s="32"/>
      <c r="I386" s="32"/>
      <c r="J386" s="32"/>
      <c r="K386" s="32"/>
      <c r="L386" s="32"/>
      <c r="M386" s="32"/>
      <c r="N386" s="32"/>
      <c r="O386" s="32"/>
      <c r="P386" s="32"/>
      <c r="Q386" s="32"/>
      <c r="R386" s="32"/>
    </row>
    <row r="387" spans="3:18" ht="12">
      <c r="C387" s="32"/>
      <c r="D387" s="32"/>
      <c r="E387" s="32"/>
      <c r="F387" s="32"/>
      <c r="G387" s="32"/>
      <c r="H387" s="32"/>
      <c r="I387" s="32"/>
      <c r="J387" s="32"/>
      <c r="K387" s="32"/>
      <c r="L387" s="32"/>
      <c r="M387" s="32"/>
      <c r="N387" s="32"/>
      <c r="O387" s="32"/>
      <c r="P387" s="32"/>
      <c r="Q387" s="32"/>
      <c r="R387" s="32"/>
    </row>
    <row r="388" spans="3:18" ht="12">
      <c r="C388" s="32"/>
      <c r="D388" s="32"/>
      <c r="E388" s="32"/>
      <c r="F388" s="32"/>
      <c r="G388" s="32"/>
      <c r="H388" s="32"/>
      <c r="I388" s="32"/>
      <c r="J388" s="32"/>
      <c r="K388" s="32"/>
      <c r="L388" s="32"/>
      <c r="M388" s="32"/>
      <c r="N388" s="32"/>
      <c r="O388" s="32"/>
      <c r="P388" s="32"/>
      <c r="Q388" s="32"/>
      <c r="R388" s="32"/>
    </row>
    <row r="389" spans="3:18" ht="12">
      <c r="C389" s="32"/>
      <c r="D389" s="32"/>
      <c r="E389" s="32"/>
      <c r="F389" s="32"/>
      <c r="G389" s="32"/>
      <c r="H389" s="32"/>
      <c r="I389" s="32"/>
      <c r="J389" s="32"/>
      <c r="K389" s="32"/>
      <c r="L389" s="32"/>
      <c r="M389" s="32"/>
      <c r="N389" s="32"/>
      <c r="O389" s="32"/>
      <c r="P389" s="32"/>
      <c r="Q389" s="32"/>
      <c r="R389" s="32"/>
    </row>
    <row r="390" spans="3:18" ht="12">
      <c r="C390" s="32"/>
      <c r="D390" s="32"/>
      <c r="E390" s="32"/>
      <c r="F390" s="32"/>
      <c r="G390" s="32"/>
      <c r="H390" s="32"/>
      <c r="I390" s="32"/>
      <c r="J390" s="32"/>
      <c r="K390" s="32"/>
      <c r="L390" s="32"/>
      <c r="M390" s="32"/>
      <c r="N390" s="32"/>
      <c r="O390" s="32"/>
      <c r="P390" s="32"/>
      <c r="Q390" s="32"/>
      <c r="R390" s="32"/>
    </row>
    <row r="391" spans="3:18" ht="12">
      <c r="C391" s="32"/>
      <c r="D391" s="32"/>
      <c r="E391" s="32"/>
      <c r="F391" s="32"/>
      <c r="G391" s="32"/>
      <c r="H391" s="32"/>
      <c r="I391" s="32"/>
      <c r="J391" s="32"/>
      <c r="K391" s="32"/>
      <c r="L391" s="32"/>
      <c r="M391" s="32"/>
      <c r="N391" s="32"/>
      <c r="O391" s="32"/>
      <c r="P391" s="32"/>
      <c r="Q391" s="32"/>
      <c r="R391" s="32"/>
    </row>
    <row r="392" spans="3:18" ht="12">
      <c r="C392" s="32"/>
      <c r="D392" s="32"/>
      <c r="E392" s="32"/>
      <c r="F392" s="32"/>
      <c r="G392" s="32"/>
      <c r="H392" s="32"/>
      <c r="I392" s="32"/>
      <c r="J392" s="32"/>
      <c r="K392" s="32"/>
      <c r="L392" s="32"/>
      <c r="M392" s="32"/>
      <c r="N392" s="32"/>
      <c r="O392" s="32"/>
      <c r="P392" s="32"/>
      <c r="Q392" s="32"/>
      <c r="R392" s="32"/>
    </row>
    <row r="393" spans="3:18" ht="12">
      <c r="C393" s="32"/>
      <c r="D393" s="32"/>
      <c r="E393" s="32"/>
      <c r="F393" s="32"/>
      <c r="G393" s="32"/>
      <c r="H393" s="32"/>
      <c r="I393" s="32"/>
      <c r="J393" s="32"/>
      <c r="K393" s="32"/>
      <c r="L393" s="32"/>
      <c r="M393" s="32"/>
      <c r="N393" s="32"/>
      <c r="O393" s="32"/>
      <c r="P393" s="32"/>
      <c r="Q393" s="32"/>
      <c r="R393" s="32"/>
    </row>
    <row r="394" spans="3:18" ht="12">
      <c r="C394" s="32"/>
      <c r="D394" s="32"/>
      <c r="E394" s="32"/>
      <c r="F394" s="32"/>
      <c r="G394" s="32"/>
      <c r="H394" s="32"/>
      <c r="I394" s="32"/>
      <c r="J394" s="32"/>
      <c r="K394" s="32"/>
      <c r="L394" s="32"/>
      <c r="M394" s="32"/>
      <c r="N394" s="32"/>
      <c r="O394" s="32"/>
      <c r="P394" s="32"/>
      <c r="Q394" s="32"/>
      <c r="R394" s="32"/>
    </row>
    <row r="395" spans="3:18" ht="12">
      <c r="C395" s="32"/>
      <c r="D395" s="32"/>
      <c r="E395" s="32"/>
      <c r="F395" s="32"/>
      <c r="G395" s="32"/>
      <c r="H395" s="32"/>
      <c r="I395" s="32"/>
      <c r="J395" s="32"/>
      <c r="K395" s="32"/>
      <c r="L395" s="32"/>
      <c r="M395" s="32"/>
      <c r="N395" s="32"/>
      <c r="O395" s="32"/>
      <c r="P395" s="32"/>
      <c r="Q395" s="32"/>
      <c r="R395" s="32"/>
    </row>
    <row r="396" spans="3:18" ht="12">
      <c r="C396" s="32"/>
      <c r="D396" s="32"/>
      <c r="E396" s="32"/>
      <c r="F396" s="32"/>
      <c r="G396" s="32"/>
      <c r="H396" s="32"/>
      <c r="I396" s="32"/>
      <c r="J396" s="32"/>
      <c r="K396" s="32"/>
      <c r="L396" s="32"/>
      <c r="M396" s="32"/>
      <c r="N396" s="32"/>
      <c r="O396" s="32"/>
      <c r="P396" s="32"/>
      <c r="Q396" s="32"/>
      <c r="R396" s="32"/>
    </row>
    <row r="397" spans="3:18" ht="12">
      <c r="C397" s="32"/>
      <c r="D397" s="32"/>
      <c r="E397" s="32"/>
      <c r="F397" s="32"/>
      <c r="G397" s="32"/>
      <c r="H397" s="32"/>
      <c r="I397" s="32"/>
      <c r="J397" s="32"/>
      <c r="K397" s="32"/>
      <c r="L397" s="32"/>
      <c r="M397" s="32"/>
      <c r="N397" s="32"/>
      <c r="O397" s="32"/>
      <c r="P397" s="32"/>
      <c r="Q397" s="32"/>
      <c r="R397" s="32"/>
    </row>
    <row r="398" spans="3:18" ht="12">
      <c r="C398" s="32"/>
      <c r="D398" s="32"/>
      <c r="E398" s="32"/>
      <c r="F398" s="32"/>
      <c r="G398" s="32"/>
      <c r="H398" s="32"/>
      <c r="I398" s="32"/>
      <c r="J398" s="32"/>
      <c r="K398" s="32"/>
      <c r="L398" s="32"/>
      <c r="M398" s="32"/>
      <c r="N398" s="32"/>
      <c r="O398" s="32"/>
      <c r="P398" s="32"/>
      <c r="Q398" s="32"/>
      <c r="R398" s="32"/>
    </row>
    <row r="399" spans="3:18" ht="12">
      <c r="C399" s="32"/>
      <c r="D399" s="32"/>
      <c r="E399" s="32"/>
      <c r="F399" s="32"/>
      <c r="G399" s="32"/>
      <c r="H399" s="32"/>
      <c r="I399" s="32"/>
      <c r="J399" s="32"/>
      <c r="K399" s="32"/>
      <c r="L399" s="32"/>
      <c r="M399" s="32"/>
      <c r="N399" s="32"/>
      <c r="O399" s="32"/>
      <c r="P399" s="32"/>
      <c r="Q399" s="32"/>
      <c r="R399" s="32"/>
    </row>
    <row r="400" spans="3:18" ht="12">
      <c r="C400" s="32"/>
      <c r="D400" s="32"/>
      <c r="E400" s="32"/>
      <c r="F400" s="32"/>
      <c r="G400" s="32"/>
      <c r="H400" s="32"/>
      <c r="I400" s="32"/>
      <c r="J400" s="32"/>
      <c r="K400" s="32"/>
      <c r="L400" s="32"/>
      <c r="M400" s="32"/>
      <c r="N400" s="32"/>
      <c r="O400" s="32"/>
      <c r="P400" s="32"/>
      <c r="Q400" s="32"/>
      <c r="R400" s="32"/>
    </row>
    <row r="401" spans="3:18" ht="12">
      <c r="C401" s="32"/>
      <c r="D401" s="32"/>
      <c r="E401" s="32"/>
      <c r="F401" s="32"/>
      <c r="G401" s="32"/>
      <c r="H401" s="32"/>
      <c r="I401" s="32"/>
      <c r="J401" s="32"/>
      <c r="K401" s="32"/>
      <c r="L401" s="32"/>
      <c r="M401" s="32"/>
      <c r="N401" s="32"/>
      <c r="O401" s="32"/>
      <c r="P401" s="32"/>
      <c r="Q401" s="32"/>
      <c r="R401" s="32"/>
    </row>
    <row r="402" spans="3:18" ht="12">
      <c r="C402" s="32"/>
      <c r="D402" s="32"/>
      <c r="E402" s="32"/>
      <c r="F402" s="32"/>
      <c r="G402" s="32"/>
      <c r="H402" s="32"/>
      <c r="I402" s="32"/>
      <c r="J402" s="32"/>
      <c r="K402" s="32"/>
      <c r="L402" s="32"/>
      <c r="M402" s="32"/>
      <c r="N402" s="32"/>
      <c r="O402" s="32"/>
      <c r="P402" s="32"/>
      <c r="Q402" s="32"/>
      <c r="R402" s="32"/>
    </row>
    <row r="403" spans="3:18" ht="12">
      <c r="C403" s="32"/>
      <c r="D403" s="32"/>
      <c r="E403" s="32"/>
      <c r="F403" s="32"/>
      <c r="G403" s="32"/>
      <c r="H403" s="32"/>
      <c r="I403" s="32"/>
      <c r="J403" s="32"/>
      <c r="K403" s="32"/>
      <c r="L403" s="32"/>
      <c r="M403" s="32"/>
      <c r="N403" s="32"/>
      <c r="O403" s="32"/>
      <c r="P403" s="32"/>
      <c r="Q403" s="32"/>
      <c r="R403" s="32"/>
    </row>
    <row r="404" spans="3:18" ht="12">
      <c r="C404" s="32"/>
      <c r="D404" s="32"/>
      <c r="E404" s="32"/>
      <c r="F404" s="32"/>
      <c r="G404" s="32"/>
      <c r="H404" s="32"/>
      <c r="I404" s="32"/>
      <c r="J404" s="32"/>
      <c r="K404" s="32"/>
      <c r="L404" s="32"/>
      <c r="M404" s="32"/>
      <c r="N404" s="32"/>
      <c r="O404" s="32"/>
      <c r="P404" s="32"/>
      <c r="Q404" s="32"/>
      <c r="R404" s="32"/>
    </row>
    <row r="405" spans="3:18" ht="12">
      <c r="C405" s="32"/>
      <c r="D405" s="32"/>
      <c r="E405" s="32"/>
      <c r="F405" s="32"/>
      <c r="G405" s="32"/>
      <c r="H405" s="32"/>
      <c r="I405" s="32"/>
      <c r="J405" s="32"/>
      <c r="K405" s="32"/>
      <c r="L405" s="32"/>
      <c r="M405" s="32"/>
      <c r="N405" s="32"/>
      <c r="O405" s="32"/>
      <c r="P405" s="32"/>
      <c r="Q405" s="32"/>
      <c r="R405" s="32"/>
    </row>
    <row r="406" spans="3:18" ht="12">
      <c r="C406" s="32"/>
      <c r="D406" s="32"/>
      <c r="E406" s="32"/>
      <c r="F406" s="32"/>
      <c r="G406" s="32"/>
      <c r="H406" s="32"/>
      <c r="I406" s="32"/>
      <c r="J406" s="32"/>
      <c r="K406" s="32"/>
      <c r="L406" s="32"/>
      <c r="M406" s="32"/>
      <c r="N406" s="32"/>
      <c r="O406" s="32"/>
      <c r="P406" s="32"/>
      <c r="Q406" s="32"/>
      <c r="R406" s="32"/>
    </row>
    <row r="407" spans="3:18" ht="12">
      <c r="C407" s="32"/>
      <c r="D407" s="32"/>
      <c r="E407" s="32"/>
      <c r="F407" s="32"/>
      <c r="G407" s="32"/>
      <c r="H407" s="32"/>
      <c r="I407" s="32"/>
      <c r="J407" s="32"/>
      <c r="K407" s="32"/>
      <c r="L407" s="32"/>
      <c r="M407" s="32"/>
      <c r="N407" s="32"/>
      <c r="O407" s="32"/>
      <c r="P407" s="32"/>
      <c r="Q407" s="32"/>
      <c r="R407" s="32"/>
    </row>
    <row r="408" spans="3:18" ht="12">
      <c r="C408" s="32"/>
      <c r="D408" s="32"/>
      <c r="E408" s="32"/>
      <c r="F408" s="32"/>
      <c r="G408" s="32"/>
      <c r="H408" s="32"/>
      <c r="I408" s="32"/>
      <c r="J408" s="32"/>
      <c r="K408" s="32"/>
      <c r="L408" s="32"/>
      <c r="M408" s="32"/>
      <c r="N408" s="32"/>
      <c r="O408" s="32"/>
      <c r="P408" s="32"/>
      <c r="Q408" s="32"/>
      <c r="R408" s="32"/>
    </row>
    <row r="409" spans="3:18" ht="12">
      <c r="C409" s="32"/>
      <c r="D409" s="32"/>
      <c r="E409" s="32"/>
      <c r="F409" s="32"/>
      <c r="G409" s="32"/>
      <c r="H409" s="32"/>
      <c r="I409" s="32"/>
      <c r="J409" s="32"/>
      <c r="K409" s="32"/>
      <c r="L409" s="32"/>
      <c r="M409" s="32"/>
      <c r="N409" s="32"/>
      <c r="O409" s="32"/>
      <c r="P409" s="32"/>
      <c r="Q409" s="32"/>
      <c r="R409" s="32"/>
    </row>
    <row r="410" spans="3:18" ht="12">
      <c r="C410" s="32"/>
      <c r="D410" s="32"/>
      <c r="E410" s="32"/>
      <c r="F410" s="32"/>
      <c r="G410" s="32"/>
      <c r="H410" s="32"/>
      <c r="I410" s="32"/>
      <c r="J410" s="32"/>
      <c r="K410" s="32"/>
      <c r="L410" s="32"/>
      <c r="M410" s="32"/>
      <c r="N410" s="32"/>
      <c r="O410" s="32"/>
      <c r="P410" s="32"/>
      <c r="Q410" s="32"/>
      <c r="R410" s="32"/>
    </row>
    <row r="411" spans="3:18" ht="12">
      <c r="C411" s="32"/>
      <c r="D411" s="32"/>
      <c r="E411" s="32"/>
      <c r="F411" s="32"/>
      <c r="G411" s="32"/>
      <c r="H411" s="32"/>
      <c r="I411" s="32"/>
      <c r="J411" s="32"/>
      <c r="K411" s="32"/>
      <c r="L411" s="32"/>
      <c r="M411" s="32"/>
      <c r="N411" s="32"/>
      <c r="O411" s="32"/>
      <c r="P411" s="32"/>
      <c r="Q411" s="32"/>
      <c r="R411" s="32"/>
    </row>
    <row r="412" spans="3:18" ht="12">
      <c r="C412" s="32"/>
      <c r="D412" s="32"/>
      <c r="E412" s="32"/>
      <c r="F412" s="32"/>
      <c r="G412" s="32"/>
      <c r="H412" s="32"/>
      <c r="I412" s="32"/>
      <c r="J412" s="32"/>
      <c r="K412" s="32"/>
      <c r="L412" s="32"/>
      <c r="M412" s="32"/>
      <c r="N412" s="32"/>
      <c r="O412" s="32"/>
      <c r="P412" s="32"/>
      <c r="Q412" s="32"/>
      <c r="R412" s="32"/>
    </row>
    <row r="413" spans="3:18" ht="12">
      <c r="C413" s="32"/>
      <c r="D413" s="32"/>
      <c r="E413" s="32"/>
      <c r="F413" s="32"/>
      <c r="G413" s="32"/>
      <c r="H413" s="32"/>
      <c r="I413" s="32"/>
      <c r="J413" s="32"/>
      <c r="K413" s="32"/>
      <c r="L413" s="32"/>
      <c r="M413" s="32"/>
      <c r="N413" s="32"/>
      <c r="O413" s="32"/>
      <c r="P413" s="32"/>
      <c r="Q413" s="32"/>
      <c r="R413" s="32"/>
    </row>
    <row r="414" spans="3:18" ht="12">
      <c r="C414" s="32"/>
      <c r="D414" s="32"/>
      <c r="E414" s="32"/>
      <c r="F414" s="32"/>
      <c r="G414" s="32"/>
      <c r="H414" s="32"/>
      <c r="I414" s="32"/>
      <c r="J414" s="32"/>
      <c r="K414" s="32"/>
      <c r="L414" s="32"/>
      <c r="M414" s="32"/>
      <c r="N414" s="32"/>
      <c r="O414" s="32"/>
      <c r="P414" s="32"/>
      <c r="Q414" s="32"/>
      <c r="R414" s="32"/>
    </row>
    <row r="415" spans="3:18" ht="12">
      <c r="C415" s="32"/>
      <c r="D415" s="32"/>
      <c r="E415" s="32"/>
      <c r="F415" s="32"/>
      <c r="G415" s="32"/>
      <c r="H415" s="32"/>
      <c r="I415" s="32"/>
      <c r="J415" s="32"/>
      <c r="K415" s="32"/>
      <c r="L415" s="32"/>
      <c r="M415" s="32"/>
      <c r="N415" s="32"/>
      <c r="O415" s="32"/>
      <c r="P415" s="32"/>
      <c r="Q415" s="32"/>
      <c r="R415" s="32"/>
    </row>
    <row r="416" spans="3:18" ht="12">
      <c r="C416" s="32"/>
      <c r="D416" s="32"/>
      <c r="E416" s="32"/>
      <c r="F416" s="32"/>
      <c r="G416" s="32"/>
      <c r="H416" s="32"/>
      <c r="I416" s="32"/>
      <c r="J416" s="32"/>
      <c r="K416" s="32"/>
      <c r="L416" s="32"/>
      <c r="M416" s="32"/>
      <c r="N416" s="32"/>
      <c r="O416" s="32"/>
      <c r="P416" s="32"/>
      <c r="Q416" s="32"/>
      <c r="R416" s="32"/>
    </row>
    <row r="417" spans="3:18" ht="12">
      <c r="C417" s="32"/>
      <c r="D417" s="32"/>
      <c r="E417" s="32"/>
      <c r="F417" s="32"/>
      <c r="G417" s="32"/>
      <c r="H417" s="32"/>
      <c r="I417" s="32"/>
      <c r="J417" s="32"/>
      <c r="K417" s="32"/>
      <c r="L417" s="32"/>
      <c r="M417" s="32"/>
      <c r="N417" s="32"/>
      <c r="O417" s="32"/>
      <c r="P417" s="32"/>
      <c r="Q417" s="32"/>
      <c r="R417" s="32"/>
    </row>
    <row r="418" spans="3:18" ht="12">
      <c r="C418" s="32"/>
      <c r="D418" s="32"/>
      <c r="E418" s="32"/>
      <c r="F418" s="32"/>
      <c r="G418" s="32"/>
      <c r="H418" s="32"/>
      <c r="I418" s="32"/>
      <c r="J418" s="32"/>
      <c r="K418" s="32"/>
      <c r="L418" s="32"/>
      <c r="M418" s="32"/>
      <c r="N418" s="32"/>
      <c r="O418" s="32"/>
      <c r="P418" s="32"/>
      <c r="Q418" s="32"/>
      <c r="R418" s="32"/>
    </row>
    <row r="419" spans="3:18" ht="12">
      <c r="C419" s="32"/>
      <c r="D419" s="32"/>
      <c r="E419" s="32"/>
      <c r="F419" s="32"/>
      <c r="G419" s="32"/>
      <c r="H419" s="32"/>
      <c r="I419" s="32"/>
      <c r="J419" s="32"/>
      <c r="K419" s="32"/>
      <c r="L419" s="32"/>
      <c r="M419" s="32"/>
      <c r="N419" s="32"/>
      <c r="O419" s="32"/>
      <c r="P419" s="32"/>
      <c r="Q419" s="32"/>
      <c r="R419" s="32"/>
    </row>
    <row r="420" spans="3:18" ht="12">
      <c r="C420" s="32"/>
      <c r="D420" s="32"/>
      <c r="E420" s="32"/>
      <c r="F420" s="32"/>
      <c r="G420" s="32"/>
      <c r="H420" s="32"/>
      <c r="I420" s="32"/>
      <c r="J420" s="32"/>
      <c r="K420" s="32"/>
      <c r="L420" s="32"/>
      <c r="M420" s="32"/>
      <c r="N420" s="32"/>
      <c r="O420" s="32"/>
      <c r="P420" s="32"/>
      <c r="Q420" s="32"/>
      <c r="R420" s="32"/>
    </row>
    <row r="421" spans="3:18" ht="12">
      <c r="C421" s="32"/>
      <c r="D421" s="32"/>
      <c r="E421" s="32"/>
      <c r="F421" s="32"/>
      <c r="G421" s="32"/>
      <c r="H421" s="32"/>
      <c r="I421" s="32"/>
      <c r="J421" s="32"/>
      <c r="K421" s="32"/>
      <c r="L421" s="32"/>
      <c r="M421" s="32"/>
      <c r="N421" s="32"/>
      <c r="O421" s="32"/>
      <c r="P421" s="32"/>
      <c r="Q421" s="32"/>
      <c r="R421" s="32"/>
    </row>
    <row r="422" spans="3:18" ht="12">
      <c r="C422" s="32"/>
      <c r="D422" s="32"/>
      <c r="E422" s="32"/>
      <c r="F422" s="32"/>
      <c r="G422" s="32"/>
      <c r="H422" s="32"/>
      <c r="I422" s="32"/>
      <c r="J422" s="32"/>
      <c r="K422" s="32"/>
      <c r="L422" s="32"/>
      <c r="M422" s="32"/>
      <c r="N422" s="32"/>
      <c r="O422" s="32"/>
      <c r="P422" s="32"/>
      <c r="Q422" s="32"/>
      <c r="R422" s="32"/>
    </row>
    <row r="423" spans="3:18" ht="12">
      <c r="C423" s="32"/>
      <c r="D423" s="32"/>
      <c r="E423" s="32"/>
      <c r="F423" s="32"/>
      <c r="G423" s="32"/>
      <c r="H423" s="32"/>
      <c r="I423" s="32"/>
      <c r="J423" s="32"/>
      <c r="K423" s="32"/>
      <c r="L423" s="32"/>
      <c r="M423" s="32"/>
      <c r="N423" s="32"/>
      <c r="O423" s="32"/>
      <c r="P423" s="32"/>
      <c r="Q423" s="32"/>
      <c r="R423" s="32"/>
    </row>
    <row r="424" spans="3:18" ht="12">
      <c r="C424" s="32"/>
      <c r="D424" s="32"/>
      <c r="E424" s="32"/>
      <c r="F424" s="32"/>
      <c r="G424" s="32"/>
      <c r="H424" s="32"/>
      <c r="I424" s="32"/>
      <c r="J424" s="32"/>
      <c r="K424" s="32"/>
      <c r="L424" s="32"/>
      <c r="M424" s="32"/>
      <c r="N424" s="32"/>
      <c r="O424" s="32"/>
      <c r="P424" s="32"/>
      <c r="Q424" s="32"/>
      <c r="R424" s="32"/>
    </row>
    <row r="425" spans="3:18" ht="12">
      <c r="C425" s="32"/>
      <c r="D425" s="32"/>
      <c r="E425" s="32"/>
      <c r="F425" s="32"/>
      <c r="G425" s="32"/>
      <c r="H425" s="32"/>
      <c r="I425" s="32"/>
      <c r="J425" s="32"/>
      <c r="K425" s="32"/>
      <c r="L425" s="32"/>
      <c r="M425" s="32"/>
      <c r="N425" s="32"/>
      <c r="O425" s="32"/>
      <c r="P425" s="32"/>
      <c r="Q425" s="32"/>
      <c r="R425" s="32"/>
    </row>
    <row r="426" spans="3:18" ht="12">
      <c r="C426" s="32"/>
      <c r="D426" s="32"/>
      <c r="E426" s="32"/>
      <c r="F426" s="32"/>
      <c r="G426" s="32"/>
      <c r="H426" s="32"/>
      <c r="I426" s="32"/>
      <c r="J426" s="32"/>
      <c r="K426" s="32"/>
      <c r="L426" s="32"/>
      <c r="M426" s="32"/>
      <c r="N426" s="32"/>
      <c r="O426" s="32"/>
      <c r="P426" s="32"/>
      <c r="Q426" s="32"/>
      <c r="R426" s="32"/>
    </row>
  </sheetData>
  <sheetProtection/>
  <printOptions/>
  <pageMargins left="0.75" right="0.75" top="0.66" bottom="0.6" header="0.3" footer="0.31"/>
  <pageSetup fitToHeight="2"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AG479"/>
  <sheetViews>
    <sheetView zoomScalePageLayoutView="0" workbookViewId="0" topLeftCell="A2">
      <pane xSplit="2" ySplit="6" topLeftCell="C308" activePane="bottomRight" state="frozen"/>
      <selection pane="topLeft" activeCell="A2" sqref="A2"/>
      <selection pane="topRight" activeCell="C2" sqref="C2"/>
      <selection pane="bottomLeft" activeCell="A8" sqref="A8"/>
      <selection pane="bottomRight" activeCell="A2" sqref="A2"/>
    </sheetView>
  </sheetViews>
  <sheetFormatPr defaultColWidth="8.7109375" defaultRowHeight="12.75"/>
  <cols>
    <col min="1" max="1" width="7.140625" style="236" customWidth="1"/>
    <col min="2" max="2" width="12.28125" style="131" bestFit="1" customWidth="1"/>
    <col min="3" max="3" width="12.28125" style="131" customWidth="1"/>
    <col min="4" max="5" width="8.7109375" style="131" customWidth="1"/>
    <col min="6" max="6" width="9.140625" style="131" customWidth="1"/>
    <col min="7" max="7" width="11.140625" style="131" customWidth="1"/>
    <col min="8" max="10" width="8.7109375" style="131" customWidth="1"/>
    <col min="11" max="11" width="11.00390625" style="131" customWidth="1"/>
    <col min="12" max="12" width="8.7109375" style="131" customWidth="1"/>
    <col min="13" max="14" width="9.28125" style="131" customWidth="1"/>
    <col min="15" max="15" width="8.7109375" style="131" customWidth="1"/>
    <col min="16" max="16" width="10.28125" style="131" bestFit="1" customWidth="1"/>
    <col min="17" max="17" width="8.7109375" style="131" customWidth="1"/>
    <col min="18" max="18" width="20.421875" style="131" bestFit="1" customWidth="1"/>
    <col min="19" max="16384" width="8.7109375" style="131" customWidth="1"/>
  </cols>
  <sheetData>
    <row r="1" ht="34.5" hidden="1">
      <c r="A1" s="235" t="s">
        <v>92</v>
      </c>
    </row>
    <row r="2" spans="1:18" ht="15">
      <c r="A2" s="320" t="s">
        <v>91</v>
      </c>
      <c r="B2" s="248"/>
      <c r="C2" s="248"/>
      <c r="D2" s="248"/>
      <c r="E2" s="248"/>
      <c r="F2" s="248"/>
      <c r="G2" s="248"/>
      <c r="H2" s="248"/>
      <c r="I2" s="248"/>
      <c r="J2" s="248"/>
      <c r="K2" s="248"/>
      <c r="L2" s="248"/>
      <c r="M2" s="248"/>
      <c r="N2" s="248"/>
      <c r="O2" s="248"/>
      <c r="P2" s="321"/>
      <c r="Q2" s="249" t="s">
        <v>67</v>
      </c>
      <c r="R2" s="319"/>
    </row>
    <row r="3" spans="1:2" ht="12">
      <c r="A3" s="318"/>
      <c r="B3" s="319"/>
    </row>
    <row r="4" spans="1:17" ht="12" hidden="1">
      <c r="A4" s="305"/>
      <c r="B4" s="251"/>
      <c r="C4" s="251"/>
      <c r="D4" s="252"/>
      <c r="E4" s="252"/>
      <c r="F4" s="253"/>
      <c r="G4" s="252"/>
      <c r="H4" s="252"/>
      <c r="I4" s="253"/>
      <c r="J4" s="253"/>
      <c r="K4" s="252"/>
      <c r="L4" s="252"/>
      <c r="M4" s="253"/>
      <c r="N4" s="253"/>
      <c r="O4" s="253"/>
      <c r="P4" s="251"/>
      <c r="Q4" s="251"/>
    </row>
    <row r="5" spans="1:18" ht="12" hidden="1">
      <c r="A5" s="306"/>
      <c r="B5" s="251"/>
      <c r="C5" s="253"/>
      <c r="D5" s="253"/>
      <c r="E5" s="253"/>
      <c r="F5" s="253"/>
      <c r="G5" s="253"/>
      <c r="H5" s="253"/>
      <c r="I5" s="253"/>
      <c r="J5" s="253"/>
      <c r="K5" s="253"/>
      <c r="L5" s="253"/>
      <c r="M5" s="253"/>
      <c r="N5" s="253"/>
      <c r="O5" s="253"/>
      <c r="P5" s="251"/>
      <c r="Q5" s="251"/>
      <c r="R5" s="237"/>
    </row>
    <row r="6" spans="1:18" ht="19.5" customHeight="1">
      <c r="A6" s="305"/>
      <c r="B6" s="251"/>
      <c r="C6" s="323" t="s">
        <v>205</v>
      </c>
      <c r="D6" s="307"/>
      <c r="E6" s="324"/>
      <c r="F6" s="349" t="s">
        <v>207</v>
      </c>
      <c r="G6" s="322" t="s">
        <v>2</v>
      </c>
      <c r="H6" s="324"/>
      <c r="I6" s="172"/>
      <c r="J6" s="172"/>
      <c r="K6" s="322" t="s">
        <v>3</v>
      </c>
      <c r="L6" s="324"/>
      <c r="M6" s="172"/>
      <c r="N6" s="172"/>
      <c r="O6" s="172"/>
      <c r="P6" s="172"/>
      <c r="Q6" s="173"/>
      <c r="R6" s="237"/>
    </row>
    <row r="7" spans="1:18" ht="27" customHeight="1">
      <c r="A7" s="315"/>
      <c r="B7" s="315"/>
      <c r="C7" s="175" t="s">
        <v>204</v>
      </c>
      <c r="D7" s="177" t="s">
        <v>12</v>
      </c>
      <c r="E7" s="176" t="s">
        <v>193</v>
      </c>
      <c r="F7" s="328" t="s">
        <v>70</v>
      </c>
      <c r="G7" s="175" t="s">
        <v>194</v>
      </c>
      <c r="H7" s="178" t="s">
        <v>203</v>
      </c>
      <c r="I7" s="177" t="s">
        <v>206</v>
      </c>
      <c r="J7" s="177" t="s">
        <v>195</v>
      </c>
      <c r="K7" s="175" t="s">
        <v>196</v>
      </c>
      <c r="L7" s="176" t="s">
        <v>197</v>
      </c>
      <c r="M7" s="177" t="s">
        <v>198</v>
      </c>
      <c r="N7" s="177" t="s">
        <v>199</v>
      </c>
      <c r="O7" s="177" t="s">
        <v>200</v>
      </c>
      <c r="P7" s="177" t="s">
        <v>201</v>
      </c>
      <c r="Q7" s="176" t="s">
        <v>23</v>
      </c>
      <c r="R7" s="238"/>
    </row>
    <row r="8" spans="1:33" ht="16.5" customHeight="1">
      <c r="A8" s="262">
        <v>1995</v>
      </c>
      <c r="B8" s="263" t="s">
        <v>55</v>
      </c>
      <c r="C8" s="325">
        <v>7729</v>
      </c>
      <c r="D8" s="291">
        <v>572</v>
      </c>
      <c r="E8" s="287">
        <v>6</v>
      </c>
      <c r="F8" s="329">
        <v>7150</v>
      </c>
      <c r="G8" s="285">
        <v>157</v>
      </c>
      <c r="H8" s="287">
        <v>12</v>
      </c>
      <c r="I8" s="308">
        <v>277</v>
      </c>
      <c r="J8" s="312">
        <v>2202</v>
      </c>
      <c r="K8" s="287">
        <v>606</v>
      </c>
      <c r="L8" s="287">
        <v>347</v>
      </c>
      <c r="M8" s="330">
        <v>915.73</v>
      </c>
      <c r="N8" s="331">
        <v>1431.27</v>
      </c>
      <c r="O8" s="309">
        <v>854</v>
      </c>
      <c r="P8" s="309">
        <v>108</v>
      </c>
      <c r="Q8" s="312">
        <v>119</v>
      </c>
      <c r="R8" s="241"/>
      <c r="S8" s="338"/>
      <c r="T8" s="338"/>
      <c r="U8" s="338"/>
      <c r="V8" s="338"/>
      <c r="W8" s="338"/>
      <c r="X8" s="338"/>
      <c r="Y8" s="338"/>
      <c r="Z8" s="338"/>
      <c r="AA8" s="338"/>
      <c r="AB8" s="338"/>
      <c r="AC8" s="338"/>
      <c r="AD8" s="338"/>
      <c r="AE8" s="338"/>
      <c r="AF8" s="338"/>
      <c r="AG8" s="338"/>
    </row>
    <row r="9" spans="1:33" ht="12">
      <c r="A9" s="262">
        <v>1995</v>
      </c>
      <c r="B9" s="263" t="s">
        <v>56</v>
      </c>
      <c r="C9" s="326">
        <v>6591</v>
      </c>
      <c r="D9" s="255">
        <v>479</v>
      </c>
      <c r="E9" s="246">
        <v>0</v>
      </c>
      <c r="F9" s="326">
        <v>6112</v>
      </c>
      <c r="G9" s="257">
        <v>124</v>
      </c>
      <c r="H9" s="246">
        <v>12</v>
      </c>
      <c r="I9" s="257">
        <v>234</v>
      </c>
      <c r="J9" s="256">
        <v>1897</v>
      </c>
      <c r="K9" s="246">
        <v>486</v>
      </c>
      <c r="L9" s="246">
        <v>248</v>
      </c>
      <c r="M9" s="332">
        <v>834.12</v>
      </c>
      <c r="N9" s="333">
        <v>1171.88</v>
      </c>
      <c r="O9" s="255">
        <v>724</v>
      </c>
      <c r="P9" s="255">
        <v>104</v>
      </c>
      <c r="Q9" s="256">
        <v>169</v>
      </c>
      <c r="R9" s="241"/>
      <c r="S9" s="338"/>
      <c r="T9" s="338"/>
      <c r="U9" s="338"/>
      <c r="V9" s="338"/>
      <c r="W9" s="338"/>
      <c r="X9" s="338"/>
      <c r="Y9" s="338"/>
      <c r="Z9" s="338"/>
      <c r="AA9" s="338"/>
      <c r="AB9" s="338"/>
      <c r="AC9" s="338"/>
      <c r="AD9" s="338"/>
      <c r="AE9" s="338"/>
      <c r="AF9" s="338"/>
      <c r="AG9" s="338"/>
    </row>
    <row r="10" spans="1:33" ht="12">
      <c r="A10" s="262">
        <v>1995</v>
      </c>
      <c r="B10" s="263" t="s">
        <v>57</v>
      </c>
      <c r="C10" s="326">
        <v>7852</v>
      </c>
      <c r="D10" s="255">
        <v>551</v>
      </c>
      <c r="E10" s="246">
        <v>31</v>
      </c>
      <c r="F10" s="326">
        <v>7270</v>
      </c>
      <c r="G10" s="257">
        <v>155</v>
      </c>
      <c r="H10" s="246">
        <v>12</v>
      </c>
      <c r="I10" s="257">
        <v>238</v>
      </c>
      <c r="J10" s="256">
        <v>2274</v>
      </c>
      <c r="K10" s="246">
        <v>597</v>
      </c>
      <c r="L10" s="246">
        <v>338</v>
      </c>
      <c r="M10" s="332">
        <v>960.13</v>
      </c>
      <c r="N10" s="333">
        <v>1335.87</v>
      </c>
      <c r="O10" s="255">
        <v>867</v>
      </c>
      <c r="P10" s="255">
        <v>119</v>
      </c>
      <c r="Q10" s="256">
        <v>240</v>
      </c>
      <c r="R10" s="292"/>
      <c r="S10" s="338"/>
      <c r="T10" s="338"/>
      <c r="U10" s="338"/>
      <c r="V10" s="338"/>
      <c r="W10" s="338"/>
      <c r="X10" s="338"/>
      <c r="Y10" s="338"/>
      <c r="Z10" s="338"/>
      <c r="AA10" s="338"/>
      <c r="AB10" s="338"/>
      <c r="AC10" s="338"/>
      <c r="AD10" s="338"/>
      <c r="AE10" s="338"/>
      <c r="AF10" s="338"/>
      <c r="AG10" s="338"/>
    </row>
    <row r="11" spans="1:33" ht="12">
      <c r="A11" s="262">
        <v>1995</v>
      </c>
      <c r="B11" s="263" t="s">
        <v>58</v>
      </c>
      <c r="C11" s="326">
        <v>6842</v>
      </c>
      <c r="D11" s="255">
        <v>492</v>
      </c>
      <c r="E11" s="246">
        <v>-23</v>
      </c>
      <c r="F11" s="326">
        <v>6374</v>
      </c>
      <c r="G11" s="257">
        <v>158</v>
      </c>
      <c r="H11" s="246">
        <v>13</v>
      </c>
      <c r="I11" s="257">
        <v>228</v>
      </c>
      <c r="J11" s="256">
        <v>1984</v>
      </c>
      <c r="K11" s="246">
        <v>615</v>
      </c>
      <c r="L11" s="246">
        <v>214</v>
      </c>
      <c r="M11" s="332">
        <v>746.17</v>
      </c>
      <c r="N11" s="333">
        <v>1209.83</v>
      </c>
      <c r="O11" s="255">
        <v>753</v>
      </c>
      <c r="P11" s="255">
        <v>120</v>
      </c>
      <c r="Q11" s="256">
        <v>201</v>
      </c>
      <c r="R11" s="292"/>
      <c r="S11" s="338"/>
      <c r="T11" s="338"/>
      <c r="U11" s="338"/>
      <c r="V11" s="338"/>
      <c r="W11" s="338"/>
      <c r="X11" s="338"/>
      <c r="Y11" s="338"/>
      <c r="Z11" s="338"/>
      <c r="AA11" s="338"/>
      <c r="AB11" s="338"/>
      <c r="AC11" s="338"/>
      <c r="AD11" s="338"/>
      <c r="AE11" s="338"/>
      <c r="AF11" s="338"/>
      <c r="AG11" s="338"/>
    </row>
    <row r="12" spans="1:33" ht="12">
      <c r="A12" s="262">
        <v>1995</v>
      </c>
      <c r="B12" s="263" t="s">
        <v>59</v>
      </c>
      <c r="C12" s="326">
        <v>7343</v>
      </c>
      <c r="D12" s="255">
        <v>497</v>
      </c>
      <c r="E12" s="246">
        <v>-1</v>
      </c>
      <c r="F12" s="326">
        <v>6848</v>
      </c>
      <c r="G12" s="257">
        <v>167</v>
      </c>
      <c r="H12" s="246">
        <v>9</v>
      </c>
      <c r="I12" s="257">
        <v>210</v>
      </c>
      <c r="J12" s="256">
        <v>2113</v>
      </c>
      <c r="K12" s="246">
        <v>636</v>
      </c>
      <c r="L12" s="246">
        <v>188</v>
      </c>
      <c r="M12" s="332">
        <v>774.56</v>
      </c>
      <c r="N12" s="333">
        <v>1334.44</v>
      </c>
      <c r="O12" s="255">
        <v>970</v>
      </c>
      <c r="P12" s="255">
        <v>93</v>
      </c>
      <c r="Q12" s="256">
        <v>219</v>
      </c>
      <c r="R12" s="292"/>
      <c r="S12" s="338"/>
      <c r="T12" s="338"/>
      <c r="U12" s="338"/>
      <c r="V12" s="338"/>
      <c r="W12" s="338"/>
      <c r="X12" s="338"/>
      <c r="Y12" s="338"/>
      <c r="Z12" s="338"/>
      <c r="AA12" s="338"/>
      <c r="AB12" s="338"/>
      <c r="AC12" s="338"/>
      <c r="AD12" s="338"/>
      <c r="AE12" s="338"/>
      <c r="AF12" s="338"/>
      <c r="AG12" s="338"/>
    </row>
    <row r="13" spans="1:33" ht="12">
      <c r="A13" s="262">
        <v>1995</v>
      </c>
      <c r="B13" s="263" t="s">
        <v>60</v>
      </c>
      <c r="C13" s="326">
        <v>7499</v>
      </c>
      <c r="D13" s="255">
        <v>534</v>
      </c>
      <c r="E13" s="246">
        <v>18</v>
      </c>
      <c r="F13" s="326">
        <v>6947</v>
      </c>
      <c r="G13" s="257">
        <v>160</v>
      </c>
      <c r="H13" s="246">
        <v>11</v>
      </c>
      <c r="I13" s="257">
        <v>237</v>
      </c>
      <c r="J13" s="256">
        <v>2165</v>
      </c>
      <c r="K13" s="246">
        <v>679</v>
      </c>
      <c r="L13" s="246">
        <v>149</v>
      </c>
      <c r="M13" s="332">
        <v>798.59</v>
      </c>
      <c r="N13" s="333">
        <v>1428.41</v>
      </c>
      <c r="O13" s="255">
        <v>883</v>
      </c>
      <c r="P13" s="255">
        <v>69</v>
      </c>
      <c r="Q13" s="256">
        <v>233</v>
      </c>
      <c r="R13" s="292"/>
      <c r="S13" s="338"/>
      <c r="T13" s="338"/>
      <c r="U13" s="338"/>
      <c r="V13" s="338"/>
      <c r="W13" s="338"/>
      <c r="X13" s="338"/>
      <c r="Y13" s="338"/>
      <c r="Z13" s="338"/>
      <c r="AA13" s="338"/>
      <c r="AB13" s="338"/>
      <c r="AC13" s="338"/>
      <c r="AD13" s="338"/>
      <c r="AE13" s="338"/>
      <c r="AF13" s="338"/>
      <c r="AG13" s="338"/>
    </row>
    <row r="14" spans="1:33" ht="12">
      <c r="A14" s="262">
        <v>1995</v>
      </c>
      <c r="B14" s="263" t="s">
        <v>61</v>
      </c>
      <c r="C14" s="326">
        <v>7701</v>
      </c>
      <c r="D14" s="255">
        <v>546</v>
      </c>
      <c r="E14" s="246">
        <v>79</v>
      </c>
      <c r="F14" s="326">
        <v>7075</v>
      </c>
      <c r="G14" s="257">
        <v>171</v>
      </c>
      <c r="H14" s="246">
        <v>10</v>
      </c>
      <c r="I14" s="257">
        <v>127</v>
      </c>
      <c r="J14" s="256">
        <v>2358</v>
      </c>
      <c r="K14" s="246">
        <v>692</v>
      </c>
      <c r="L14" s="246">
        <v>179</v>
      </c>
      <c r="M14" s="332">
        <v>781.78</v>
      </c>
      <c r="N14" s="333">
        <v>1363.22</v>
      </c>
      <c r="O14" s="255">
        <v>905</v>
      </c>
      <c r="P14" s="255">
        <v>94</v>
      </c>
      <c r="Q14" s="256">
        <v>252</v>
      </c>
      <c r="R14" s="292"/>
      <c r="S14" s="338"/>
      <c r="T14" s="338"/>
      <c r="U14" s="338"/>
      <c r="V14" s="338"/>
      <c r="W14" s="338"/>
      <c r="X14" s="338"/>
      <c r="Y14" s="338"/>
      <c r="Z14" s="338"/>
      <c r="AA14" s="338"/>
      <c r="AB14" s="338"/>
      <c r="AC14" s="338"/>
      <c r="AD14" s="338"/>
      <c r="AE14" s="338"/>
      <c r="AF14" s="338"/>
      <c r="AG14" s="338"/>
    </row>
    <row r="15" spans="1:33" ht="12">
      <c r="A15" s="262">
        <v>1995</v>
      </c>
      <c r="B15" s="263" t="s">
        <v>62</v>
      </c>
      <c r="C15" s="326">
        <v>8097</v>
      </c>
      <c r="D15" s="255">
        <v>544</v>
      </c>
      <c r="E15" s="246">
        <v>31</v>
      </c>
      <c r="F15" s="326">
        <v>7522</v>
      </c>
      <c r="G15" s="257">
        <v>148</v>
      </c>
      <c r="H15" s="246">
        <v>10</v>
      </c>
      <c r="I15" s="257">
        <v>194</v>
      </c>
      <c r="J15" s="256">
        <v>2417</v>
      </c>
      <c r="K15" s="246">
        <v>780</v>
      </c>
      <c r="L15" s="246">
        <v>148</v>
      </c>
      <c r="M15" s="332">
        <v>888.38</v>
      </c>
      <c r="N15" s="333">
        <v>1472.62</v>
      </c>
      <c r="O15" s="255">
        <v>1007</v>
      </c>
      <c r="P15" s="255">
        <v>110</v>
      </c>
      <c r="Q15" s="256">
        <v>219</v>
      </c>
      <c r="R15" s="292"/>
      <c r="S15" s="338"/>
      <c r="T15" s="338"/>
      <c r="U15" s="338"/>
      <c r="V15" s="338"/>
      <c r="W15" s="338"/>
      <c r="X15" s="338"/>
      <c r="Y15" s="338"/>
      <c r="Z15" s="338"/>
      <c r="AA15" s="338"/>
      <c r="AB15" s="338"/>
      <c r="AC15" s="338"/>
      <c r="AD15" s="338"/>
      <c r="AE15" s="338"/>
      <c r="AF15" s="338"/>
      <c r="AG15" s="338"/>
    </row>
    <row r="16" spans="1:33" ht="12">
      <c r="A16" s="262">
        <v>1995</v>
      </c>
      <c r="B16" s="263" t="s">
        <v>63</v>
      </c>
      <c r="C16" s="326">
        <v>8111</v>
      </c>
      <c r="D16" s="255">
        <v>556</v>
      </c>
      <c r="E16" s="246">
        <v>-55</v>
      </c>
      <c r="F16" s="326">
        <v>7610</v>
      </c>
      <c r="G16" s="257">
        <v>142</v>
      </c>
      <c r="H16" s="246">
        <v>11</v>
      </c>
      <c r="I16" s="257">
        <v>235</v>
      </c>
      <c r="J16" s="256">
        <v>2444</v>
      </c>
      <c r="K16" s="246">
        <v>679</v>
      </c>
      <c r="L16" s="246">
        <v>233</v>
      </c>
      <c r="M16" s="332">
        <v>894.28</v>
      </c>
      <c r="N16" s="333">
        <v>1478.72</v>
      </c>
      <c r="O16" s="255">
        <v>1010</v>
      </c>
      <c r="P16" s="255">
        <v>119</v>
      </c>
      <c r="Q16" s="256">
        <v>220</v>
      </c>
      <c r="R16" s="292"/>
      <c r="S16" s="338"/>
      <c r="T16" s="338"/>
      <c r="U16" s="338"/>
      <c r="V16" s="338"/>
      <c r="W16" s="338"/>
      <c r="X16" s="338"/>
      <c r="Y16" s="338"/>
      <c r="Z16" s="338"/>
      <c r="AA16" s="338"/>
      <c r="AB16" s="338"/>
      <c r="AC16" s="338"/>
      <c r="AD16" s="338"/>
      <c r="AE16" s="338"/>
      <c r="AF16" s="338"/>
      <c r="AG16" s="338"/>
    </row>
    <row r="17" spans="1:33" ht="12">
      <c r="A17" s="262">
        <v>1995</v>
      </c>
      <c r="B17" s="263" t="s">
        <v>64</v>
      </c>
      <c r="C17" s="326">
        <v>8380.11</v>
      </c>
      <c r="D17" s="255">
        <v>562.17</v>
      </c>
      <c r="E17" s="246">
        <v>37.42</v>
      </c>
      <c r="F17" s="326">
        <v>7780.53</v>
      </c>
      <c r="G17" s="257">
        <v>146.63</v>
      </c>
      <c r="H17" s="246">
        <v>10.88</v>
      </c>
      <c r="I17" s="257">
        <v>245.37</v>
      </c>
      <c r="J17" s="256">
        <v>2508.7</v>
      </c>
      <c r="K17" s="246">
        <v>697.03</v>
      </c>
      <c r="L17" s="246">
        <v>280.02</v>
      </c>
      <c r="M17" s="332">
        <v>960</v>
      </c>
      <c r="N17" s="333">
        <v>1514.55</v>
      </c>
      <c r="O17" s="255">
        <v>989.46</v>
      </c>
      <c r="P17" s="255">
        <v>103.76</v>
      </c>
      <c r="Q17" s="256">
        <v>198.2</v>
      </c>
      <c r="R17" s="292"/>
      <c r="S17" s="338"/>
      <c r="T17" s="338"/>
      <c r="U17" s="338"/>
      <c r="V17" s="338"/>
      <c r="W17" s="338"/>
      <c r="X17" s="338"/>
      <c r="Y17" s="338"/>
      <c r="Z17" s="338"/>
      <c r="AA17" s="338"/>
      <c r="AB17" s="338"/>
      <c r="AC17" s="338"/>
      <c r="AD17" s="338"/>
      <c r="AE17" s="338"/>
      <c r="AF17" s="338"/>
      <c r="AG17" s="338"/>
    </row>
    <row r="18" spans="1:33" ht="12">
      <c r="A18" s="262">
        <v>1995</v>
      </c>
      <c r="B18" s="263" t="s">
        <v>65</v>
      </c>
      <c r="C18" s="326">
        <v>8286.81</v>
      </c>
      <c r="D18" s="255">
        <v>555.87</v>
      </c>
      <c r="E18" s="246">
        <v>-4.27</v>
      </c>
      <c r="F18" s="326">
        <v>7735.21</v>
      </c>
      <c r="G18" s="257">
        <v>132.22</v>
      </c>
      <c r="H18" s="246">
        <v>11.23</v>
      </c>
      <c r="I18" s="257">
        <v>231.82</v>
      </c>
      <c r="J18" s="256">
        <v>2518.68</v>
      </c>
      <c r="K18" s="246">
        <v>681.36</v>
      </c>
      <c r="L18" s="246">
        <v>268.95</v>
      </c>
      <c r="M18" s="332">
        <v>996.65</v>
      </c>
      <c r="N18" s="333">
        <v>1469.15</v>
      </c>
      <c r="O18" s="255">
        <v>980.98</v>
      </c>
      <c r="P18" s="255">
        <v>98.11</v>
      </c>
      <c r="Q18" s="256">
        <v>200.83</v>
      </c>
      <c r="R18" s="292"/>
      <c r="S18" s="338"/>
      <c r="T18" s="338"/>
      <c r="U18" s="338"/>
      <c r="V18" s="338"/>
      <c r="W18" s="338"/>
      <c r="X18" s="338"/>
      <c r="Y18" s="338"/>
      <c r="Z18" s="338"/>
      <c r="AA18" s="338"/>
      <c r="AB18" s="338"/>
      <c r="AC18" s="338"/>
      <c r="AD18" s="338"/>
      <c r="AE18" s="338"/>
      <c r="AF18" s="338"/>
      <c r="AG18" s="338"/>
    </row>
    <row r="19" spans="1:33" ht="12">
      <c r="A19" s="264">
        <v>1995</v>
      </c>
      <c r="B19" s="265" t="s">
        <v>66</v>
      </c>
      <c r="C19" s="327">
        <v>8311.01</v>
      </c>
      <c r="D19" s="267">
        <v>591.17</v>
      </c>
      <c r="E19" s="267">
        <v>12.15</v>
      </c>
      <c r="F19" s="327">
        <v>7707.69</v>
      </c>
      <c r="G19" s="282">
        <v>155.56</v>
      </c>
      <c r="H19" s="267">
        <v>11.04</v>
      </c>
      <c r="I19" s="282">
        <v>253.34</v>
      </c>
      <c r="J19" s="283">
        <v>2373.41</v>
      </c>
      <c r="K19" s="267">
        <v>687.37</v>
      </c>
      <c r="L19" s="267">
        <v>330.08</v>
      </c>
      <c r="M19" s="334">
        <v>957.28</v>
      </c>
      <c r="N19" s="335">
        <v>1452.26</v>
      </c>
      <c r="O19" s="267">
        <v>1024.88</v>
      </c>
      <c r="P19" s="267">
        <v>122.1</v>
      </c>
      <c r="Q19" s="283">
        <v>187.39</v>
      </c>
      <c r="R19" s="292"/>
      <c r="S19" s="338"/>
      <c r="T19" s="338"/>
      <c r="U19" s="338"/>
      <c r="V19" s="338"/>
      <c r="W19" s="338"/>
      <c r="X19" s="338"/>
      <c r="Y19" s="338"/>
      <c r="Z19" s="338"/>
      <c r="AA19" s="338"/>
      <c r="AB19" s="338"/>
      <c r="AC19" s="338"/>
      <c r="AD19" s="338"/>
      <c r="AE19" s="338"/>
      <c r="AF19" s="338"/>
      <c r="AG19" s="338"/>
    </row>
    <row r="20" spans="1:33" ht="12">
      <c r="A20" s="262">
        <v>1996</v>
      </c>
      <c r="B20" s="263" t="s">
        <v>55</v>
      </c>
      <c r="C20" s="326">
        <v>7783</v>
      </c>
      <c r="D20" s="255">
        <v>573</v>
      </c>
      <c r="E20" s="246">
        <v>16</v>
      </c>
      <c r="F20" s="326">
        <v>7194</v>
      </c>
      <c r="G20" s="257">
        <v>145</v>
      </c>
      <c r="H20" s="246">
        <v>11</v>
      </c>
      <c r="I20" s="257">
        <v>234</v>
      </c>
      <c r="J20" s="256">
        <v>2336</v>
      </c>
      <c r="K20" s="246">
        <v>639</v>
      </c>
      <c r="L20" s="246">
        <v>356</v>
      </c>
      <c r="M20" s="332">
        <v>873.59</v>
      </c>
      <c r="N20" s="333">
        <v>1365.41</v>
      </c>
      <c r="O20" s="255">
        <v>897</v>
      </c>
      <c r="P20" s="255">
        <v>102</v>
      </c>
      <c r="Q20" s="256">
        <v>94</v>
      </c>
      <c r="R20" s="292"/>
      <c r="S20" s="338"/>
      <c r="T20" s="338"/>
      <c r="U20" s="338"/>
      <c r="V20" s="338"/>
      <c r="W20" s="338"/>
      <c r="X20" s="338"/>
      <c r="Y20" s="338"/>
      <c r="Z20" s="338"/>
      <c r="AA20" s="338"/>
      <c r="AB20" s="338"/>
      <c r="AC20" s="338"/>
      <c r="AD20" s="338"/>
      <c r="AE20" s="338"/>
      <c r="AF20" s="338"/>
      <c r="AG20" s="338"/>
    </row>
    <row r="21" spans="1:33" ht="12">
      <c r="A21" s="262">
        <v>1996</v>
      </c>
      <c r="B21" s="263" t="s">
        <v>56</v>
      </c>
      <c r="C21" s="326">
        <v>7073</v>
      </c>
      <c r="D21" s="255">
        <v>510</v>
      </c>
      <c r="E21" s="246">
        <v>85</v>
      </c>
      <c r="F21" s="326">
        <v>6478</v>
      </c>
      <c r="G21" s="257">
        <v>115</v>
      </c>
      <c r="H21" s="246">
        <v>9</v>
      </c>
      <c r="I21" s="257">
        <v>246</v>
      </c>
      <c r="J21" s="256">
        <v>1852</v>
      </c>
      <c r="K21" s="246">
        <v>529</v>
      </c>
      <c r="L21" s="246">
        <v>369</v>
      </c>
      <c r="M21" s="332">
        <v>896.49</v>
      </c>
      <c r="N21" s="333">
        <v>1259.51</v>
      </c>
      <c r="O21" s="255">
        <v>846</v>
      </c>
      <c r="P21" s="255">
        <v>83</v>
      </c>
      <c r="Q21" s="256">
        <v>138</v>
      </c>
      <c r="R21" s="292"/>
      <c r="S21" s="338"/>
      <c r="T21" s="338"/>
      <c r="U21" s="338"/>
      <c r="V21" s="338"/>
      <c r="W21" s="338"/>
      <c r="X21" s="338"/>
      <c r="Y21" s="338"/>
      <c r="Z21" s="338"/>
      <c r="AA21" s="338"/>
      <c r="AB21" s="338"/>
      <c r="AC21" s="338"/>
      <c r="AD21" s="338"/>
      <c r="AE21" s="338"/>
      <c r="AF21" s="338"/>
      <c r="AG21" s="338"/>
    </row>
    <row r="22" spans="1:33" ht="12">
      <c r="A22" s="262">
        <v>1996</v>
      </c>
      <c r="B22" s="263" t="s">
        <v>57</v>
      </c>
      <c r="C22" s="326">
        <v>7932</v>
      </c>
      <c r="D22" s="255">
        <v>552</v>
      </c>
      <c r="E22" s="246">
        <v>-26</v>
      </c>
      <c r="F22" s="326">
        <v>7406</v>
      </c>
      <c r="G22" s="257">
        <v>146</v>
      </c>
      <c r="H22" s="246">
        <v>12</v>
      </c>
      <c r="I22" s="257">
        <v>211</v>
      </c>
      <c r="J22" s="256">
        <v>2289</v>
      </c>
      <c r="K22" s="246">
        <v>656</v>
      </c>
      <c r="L22" s="246">
        <v>362</v>
      </c>
      <c r="M22" s="332">
        <v>952.6</v>
      </c>
      <c r="N22" s="333">
        <v>1325.4</v>
      </c>
      <c r="O22" s="255">
        <v>981</v>
      </c>
      <c r="P22" s="255">
        <v>110</v>
      </c>
      <c r="Q22" s="256">
        <v>223</v>
      </c>
      <c r="R22" s="292"/>
      <c r="S22" s="338"/>
      <c r="T22" s="338"/>
      <c r="U22" s="338"/>
      <c r="V22" s="338"/>
      <c r="W22" s="338"/>
      <c r="X22" s="338"/>
      <c r="Y22" s="338"/>
      <c r="Z22" s="338"/>
      <c r="AA22" s="338"/>
      <c r="AB22" s="338"/>
      <c r="AC22" s="338"/>
      <c r="AD22" s="338"/>
      <c r="AE22" s="338"/>
      <c r="AF22" s="338"/>
      <c r="AG22" s="338"/>
    </row>
    <row r="23" spans="1:33" ht="12">
      <c r="A23" s="262">
        <v>1996</v>
      </c>
      <c r="B23" s="263" t="s">
        <v>58</v>
      </c>
      <c r="C23" s="326">
        <v>7874</v>
      </c>
      <c r="D23" s="255">
        <v>536</v>
      </c>
      <c r="E23" s="246">
        <v>26</v>
      </c>
      <c r="F23" s="326">
        <v>7312</v>
      </c>
      <c r="G23" s="257">
        <v>168</v>
      </c>
      <c r="H23" s="246">
        <v>12</v>
      </c>
      <c r="I23" s="257">
        <v>249</v>
      </c>
      <c r="J23" s="256">
        <v>2136</v>
      </c>
      <c r="K23" s="246">
        <v>671</v>
      </c>
      <c r="L23" s="246">
        <v>310</v>
      </c>
      <c r="M23" s="332">
        <v>894.18</v>
      </c>
      <c r="N23" s="333">
        <v>1449.82</v>
      </c>
      <c r="O23" s="255">
        <v>1030</v>
      </c>
      <c r="P23" s="255">
        <v>107</v>
      </c>
      <c r="Q23" s="256">
        <v>158</v>
      </c>
      <c r="R23" s="292"/>
      <c r="S23" s="338"/>
      <c r="T23" s="338"/>
      <c r="U23" s="338"/>
      <c r="V23" s="338"/>
      <c r="W23" s="338"/>
      <c r="X23" s="338"/>
      <c r="Y23" s="338"/>
      <c r="Z23" s="338"/>
      <c r="AA23" s="338"/>
      <c r="AB23" s="338"/>
      <c r="AC23" s="338"/>
      <c r="AD23" s="338"/>
      <c r="AE23" s="338"/>
      <c r="AF23" s="338"/>
      <c r="AG23" s="338"/>
    </row>
    <row r="24" spans="1:33" ht="12">
      <c r="A24" s="262">
        <v>1996</v>
      </c>
      <c r="B24" s="263" t="s">
        <v>59</v>
      </c>
      <c r="C24" s="326">
        <v>8200</v>
      </c>
      <c r="D24" s="255">
        <v>545</v>
      </c>
      <c r="E24" s="246">
        <v>29</v>
      </c>
      <c r="F24" s="326">
        <v>7626</v>
      </c>
      <c r="G24" s="257">
        <v>170</v>
      </c>
      <c r="H24" s="246">
        <v>10</v>
      </c>
      <c r="I24" s="257">
        <v>241</v>
      </c>
      <c r="J24" s="256">
        <v>2360</v>
      </c>
      <c r="K24" s="246">
        <v>789</v>
      </c>
      <c r="L24" s="294">
        <v>257</v>
      </c>
      <c r="M24" s="332">
        <v>888.41</v>
      </c>
      <c r="N24" s="333">
        <v>1530.59</v>
      </c>
      <c r="O24" s="255">
        <v>961</v>
      </c>
      <c r="P24" s="255">
        <v>96</v>
      </c>
      <c r="Q24" s="256">
        <v>202</v>
      </c>
      <c r="R24" s="292"/>
      <c r="S24" s="338"/>
      <c r="T24" s="338"/>
      <c r="U24" s="338"/>
      <c r="V24" s="338"/>
      <c r="W24" s="338"/>
      <c r="X24" s="338"/>
      <c r="Y24" s="338"/>
      <c r="Z24" s="338"/>
      <c r="AA24" s="338"/>
      <c r="AB24" s="338"/>
      <c r="AC24" s="338"/>
      <c r="AD24" s="338"/>
      <c r="AE24" s="338"/>
      <c r="AF24" s="338"/>
      <c r="AG24" s="338"/>
    </row>
    <row r="25" spans="1:33" ht="12">
      <c r="A25" s="262">
        <v>1996</v>
      </c>
      <c r="B25" s="263" t="s">
        <v>60</v>
      </c>
      <c r="C25" s="326">
        <v>8104</v>
      </c>
      <c r="D25" s="255">
        <v>539</v>
      </c>
      <c r="E25" s="246">
        <v>-3</v>
      </c>
      <c r="F25" s="326">
        <v>7568</v>
      </c>
      <c r="G25" s="257">
        <v>175</v>
      </c>
      <c r="H25" s="246">
        <v>11</v>
      </c>
      <c r="I25" s="257">
        <v>236</v>
      </c>
      <c r="J25" s="256">
        <v>2388</v>
      </c>
      <c r="K25" s="246">
        <v>734</v>
      </c>
      <c r="L25" s="246">
        <v>232</v>
      </c>
      <c r="M25" s="332">
        <v>845.93</v>
      </c>
      <c r="N25" s="333">
        <v>1513.07</v>
      </c>
      <c r="O25" s="255">
        <v>1032</v>
      </c>
      <c r="P25" s="255">
        <v>81</v>
      </c>
      <c r="Q25" s="256">
        <v>200</v>
      </c>
      <c r="R25" s="292"/>
      <c r="S25" s="338"/>
      <c r="T25" s="338"/>
      <c r="U25" s="338"/>
      <c r="V25" s="338"/>
      <c r="W25" s="338"/>
      <c r="X25" s="338"/>
      <c r="Y25" s="338"/>
      <c r="Z25" s="338"/>
      <c r="AA25" s="338"/>
      <c r="AB25" s="338"/>
      <c r="AC25" s="338"/>
      <c r="AD25" s="338"/>
      <c r="AE25" s="338"/>
      <c r="AF25" s="338"/>
      <c r="AG25" s="338"/>
    </row>
    <row r="26" spans="1:33" ht="12">
      <c r="A26" s="262">
        <v>1996</v>
      </c>
      <c r="B26" s="263" t="s">
        <v>61</v>
      </c>
      <c r="C26" s="326">
        <v>8525</v>
      </c>
      <c r="D26" s="255">
        <v>556</v>
      </c>
      <c r="E26" s="246">
        <v>33</v>
      </c>
      <c r="F26" s="326">
        <v>7936</v>
      </c>
      <c r="G26" s="257">
        <v>176</v>
      </c>
      <c r="H26" s="246">
        <v>14</v>
      </c>
      <c r="I26" s="257">
        <v>238</v>
      </c>
      <c r="J26" s="256">
        <v>2561</v>
      </c>
      <c r="K26" s="246">
        <v>830</v>
      </c>
      <c r="L26" s="246">
        <v>192</v>
      </c>
      <c r="M26" s="332">
        <v>895.85</v>
      </c>
      <c r="N26" s="333">
        <v>1562.15</v>
      </c>
      <c r="O26" s="255">
        <v>1043</v>
      </c>
      <c r="P26" s="255">
        <v>60</v>
      </c>
      <c r="Q26" s="256">
        <v>234</v>
      </c>
      <c r="R26" s="292"/>
      <c r="S26" s="338"/>
      <c r="T26" s="338"/>
      <c r="U26" s="338"/>
      <c r="V26" s="338"/>
      <c r="W26" s="338"/>
      <c r="X26" s="338"/>
      <c r="Y26" s="338"/>
      <c r="Z26" s="338"/>
      <c r="AA26" s="338"/>
      <c r="AB26" s="338"/>
      <c r="AC26" s="338"/>
      <c r="AD26" s="338"/>
      <c r="AE26" s="338"/>
      <c r="AF26" s="338"/>
      <c r="AG26" s="338"/>
    </row>
    <row r="27" spans="1:33" ht="12">
      <c r="A27" s="262">
        <v>1996</v>
      </c>
      <c r="B27" s="263" t="s">
        <v>62</v>
      </c>
      <c r="C27" s="326">
        <v>8220</v>
      </c>
      <c r="D27" s="255">
        <v>553</v>
      </c>
      <c r="E27" s="246">
        <v>21</v>
      </c>
      <c r="F27" s="326">
        <v>7646</v>
      </c>
      <c r="G27" s="257">
        <v>161</v>
      </c>
      <c r="H27" s="246">
        <v>13</v>
      </c>
      <c r="I27" s="257">
        <v>221</v>
      </c>
      <c r="J27" s="256">
        <v>2406</v>
      </c>
      <c r="K27" s="246">
        <v>785</v>
      </c>
      <c r="L27" s="246">
        <v>225</v>
      </c>
      <c r="M27" s="332">
        <v>915.1</v>
      </c>
      <c r="N27" s="333">
        <v>1516.9</v>
      </c>
      <c r="O27" s="255">
        <v>974</v>
      </c>
      <c r="P27" s="255">
        <v>103</v>
      </c>
      <c r="Q27" s="256">
        <v>199</v>
      </c>
      <c r="R27" s="292"/>
      <c r="S27" s="338"/>
      <c r="T27" s="338"/>
      <c r="U27" s="338"/>
      <c r="V27" s="338"/>
      <c r="W27" s="338"/>
      <c r="X27" s="338"/>
      <c r="Y27" s="338"/>
      <c r="Z27" s="338"/>
      <c r="AA27" s="338"/>
      <c r="AB27" s="338"/>
      <c r="AC27" s="338"/>
      <c r="AD27" s="338"/>
      <c r="AE27" s="338"/>
      <c r="AF27" s="338"/>
      <c r="AG27" s="338"/>
    </row>
    <row r="28" spans="1:33" ht="12">
      <c r="A28" s="262">
        <v>1996</v>
      </c>
      <c r="B28" s="263" t="s">
        <v>63</v>
      </c>
      <c r="C28" s="326">
        <v>8027</v>
      </c>
      <c r="D28" s="255">
        <v>536</v>
      </c>
      <c r="E28" s="246">
        <v>8</v>
      </c>
      <c r="F28" s="326">
        <v>7483</v>
      </c>
      <c r="G28" s="257">
        <v>136</v>
      </c>
      <c r="H28" s="246">
        <v>13</v>
      </c>
      <c r="I28" s="257">
        <v>216</v>
      </c>
      <c r="J28" s="256">
        <v>2386</v>
      </c>
      <c r="K28" s="246">
        <v>708</v>
      </c>
      <c r="L28" s="246">
        <v>240</v>
      </c>
      <c r="M28" s="332">
        <v>937.62</v>
      </c>
      <c r="N28" s="333">
        <v>1550.38</v>
      </c>
      <c r="O28" s="255">
        <v>886</v>
      </c>
      <c r="P28" s="255">
        <v>79</v>
      </c>
      <c r="Q28" s="256">
        <v>200</v>
      </c>
      <c r="R28" s="292"/>
      <c r="S28" s="338"/>
      <c r="T28" s="338"/>
      <c r="U28" s="338"/>
      <c r="V28" s="338"/>
      <c r="W28" s="338"/>
      <c r="X28" s="338"/>
      <c r="Y28" s="338"/>
      <c r="Z28" s="338"/>
      <c r="AA28" s="338"/>
      <c r="AB28" s="338"/>
      <c r="AC28" s="338"/>
      <c r="AD28" s="338"/>
      <c r="AE28" s="338"/>
      <c r="AF28" s="338"/>
      <c r="AG28" s="338"/>
    </row>
    <row r="29" spans="1:33" ht="12">
      <c r="A29" s="262">
        <v>1996</v>
      </c>
      <c r="B29" s="263" t="s">
        <v>64</v>
      </c>
      <c r="C29" s="326">
        <v>8365</v>
      </c>
      <c r="D29" s="255">
        <v>557</v>
      </c>
      <c r="E29" s="246">
        <v>-17</v>
      </c>
      <c r="F29" s="326">
        <v>7824</v>
      </c>
      <c r="G29" s="257">
        <v>125</v>
      </c>
      <c r="H29" s="246">
        <v>14</v>
      </c>
      <c r="I29" s="257">
        <v>239</v>
      </c>
      <c r="J29" s="256">
        <v>2527</v>
      </c>
      <c r="K29" s="246">
        <v>673</v>
      </c>
      <c r="L29" s="246">
        <v>292</v>
      </c>
      <c r="M29" s="332">
        <v>1031.56</v>
      </c>
      <c r="N29" s="333">
        <v>1627.44</v>
      </c>
      <c r="O29" s="255">
        <v>862</v>
      </c>
      <c r="P29" s="255">
        <v>93</v>
      </c>
      <c r="Q29" s="256">
        <v>208</v>
      </c>
      <c r="R29" s="292"/>
      <c r="S29" s="338"/>
      <c r="T29" s="338"/>
      <c r="U29" s="338"/>
      <c r="V29" s="338"/>
      <c r="W29" s="338"/>
      <c r="X29" s="338"/>
      <c r="Y29" s="338"/>
      <c r="Z29" s="338"/>
      <c r="AA29" s="338"/>
      <c r="AB29" s="338"/>
      <c r="AC29" s="338"/>
      <c r="AD29" s="338"/>
      <c r="AE29" s="338"/>
      <c r="AF29" s="338"/>
      <c r="AG29" s="338"/>
    </row>
    <row r="30" spans="1:33" ht="12">
      <c r="A30" s="262">
        <v>1996</v>
      </c>
      <c r="B30" s="263" t="s">
        <v>65</v>
      </c>
      <c r="C30" s="326">
        <v>8194</v>
      </c>
      <c r="D30" s="255">
        <v>571</v>
      </c>
      <c r="E30" s="246">
        <v>-3</v>
      </c>
      <c r="F30" s="326">
        <v>7626</v>
      </c>
      <c r="G30" s="257">
        <v>142</v>
      </c>
      <c r="H30" s="246">
        <v>12</v>
      </c>
      <c r="I30" s="257">
        <v>240</v>
      </c>
      <c r="J30" s="256">
        <v>2493</v>
      </c>
      <c r="K30" s="246">
        <v>648</v>
      </c>
      <c r="L30" s="246">
        <v>288</v>
      </c>
      <c r="M30" s="332">
        <v>1011.68</v>
      </c>
      <c r="N30" s="333">
        <v>1491.32</v>
      </c>
      <c r="O30" s="255">
        <v>892</v>
      </c>
      <c r="P30" s="255">
        <v>98</v>
      </c>
      <c r="Q30" s="256">
        <v>198</v>
      </c>
      <c r="R30" s="292"/>
      <c r="S30" s="338"/>
      <c r="T30" s="338"/>
      <c r="U30" s="338"/>
      <c r="V30" s="338"/>
      <c r="W30" s="338"/>
      <c r="X30" s="338"/>
      <c r="Y30" s="338"/>
      <c r="Z30" s="338"/>
      <c r="AA30" s="338"/>
      <c r="AB30" s="338"/>
      <c r="AC30" s="338"/>
      <c r="AD30" s="338"/>
      <c r="AE30" s="338"/>
      <c r="AF30" s="338"/>
      <c r="AG30" s="338"/>
    </row>
    <row r="31" spans="1:33" ht="12">
      <c r="A31" s="264">
        <v>1996</v>
      </c>
      <c r="B31" s="265" t="s">
        <v>66</v>
      </c>
      <c r="C31" s="327">
        <v>8364</v>
      </c>
      <c r="D31" s="267">
        <v>595</v>
      </c>
      <c r="E31" s="267">
        <v>-17</v>
      </c>
      <c r="F31" s="327">
        <v>7786</v>
      </c>
      <c r="G31" s="282">
        <v>169</v>
      </c>
      <c r="H31" s="267">
        <v>13</v>
      </c>
      <c r="I31" s="282">
        <v>254</v>
      </c>
      <c r="J31" s="283">
        <v>2314</v>
      </c>
      <c r="K31" s="267">
        <v>643</v>
      </c>
      <c r="L31" s="267">
        <v>387</v>
      </c>
      <c r="M31" s="334">
        <v>1019.44</v>
      </c>
      <c r="N31" s="335">
        <v>1546.56</v>
      </c>
      <c r="O31" s="267">
        <v>1074</v>
      </c>
      <c r="P31" s="267">
        <v>99</v>
      </c>
      <c r="Q31" s="283">
        <v>134</v>
      </c>
      <c r="R31" s="292"/>
      <c r="S31" s="338"/>
      <c r="T31" s="338"/>
      <c r="U31" s="338"/>
      <c r="V31" s="338"/>
      <c r="W31" s="338"/>
      <c r="X31" s="338"/>
      <c r="Y31" s="338"/>
      <c r="Z31" s="338"/>
      <c r="AA31" s="338"/>
      <c r="AB31" s="338"/>
      <c r="AC31" s="338"/>
      <c r="AD31" s="338"/>
      <c r="AE31" s="338"/>
      <c r="AF31" s="338"/>
      <c r="AG31" s="338"/>
    </row>
    <row r="32" spans="1:33" ht="12">
      <c r="A32" s="262">
        <v>1997</v>
      </c>
      <c r="B32" s="263" t="s">
        <v>55</v>
      </c>
      <c r="C32" s="326">
        <v>7972.81</v>
      </c>
      <c r="D32" s="255">
        <v>565.64</v>
      </c>
      <c r="E32" s="246">
        <v>9.05</v>
      </c>
      <c r="F32" s="326">
        <v>7398.15</v>
      </c>
      <c r="G32" s="257">
        <v>173.26</v>
      </c>
      <c r="H32" s="246">
        <v>13.53</v>
      </c>
      <c r="I32" s="257">
        <v>251.28</v>
      </c>
      <c r="J32" s="256">
        <v>2323.14</v>
      </c>
      <c r="K32" s="246">
        <v>650.48</v>
      </c>
      <c r="L32" s="246">
        <v>399.44</v>
      </c>
      <c r="M32" s="332">
        <v>914.66</v>
      </c>
      <c r="N32" s="333">
        <v>1429.6</v>
      </c>
      <c r="O32" s="255">
        <v>940.68</v>
      </c>
      <c r="P32" s="255">
        <v>78.06</v>
      </c>
      <c r="Q32" s="256">
        <v>86.43</v>
      </c>
      <c r="R32" s="292"/>
      <c r="S32" s="338"/>
      <c r="T32" s="338"/>
      <c r="U32" s="338"/>
      <c r="V32" s="338"/>
      <c r="W32" s="338"/>
      <c r="X32" s="338"/>
      <c r="Y32" s="338"/>
      <c r="Z32" s="338"/>
      <c r="AA32" s="338"/>
      <c r="AB32" s="338"/>
      <c r="AC32" s="338"/>
      <c r="AD32" s="338"/>
      <c r="AE32" s="338"/>
      <c r="AF32" s="338"/>
      <c r="AG32" s="338"/>
    </row>
    <row r="33" spans="1:33" ht="12">
      <c r="A33" s="262">
        <v>1997</v>
      </c>
      <c r="B33" s="263" t="s">
        <v>56</v>
      </c>
      <c r="C33" s="326">
        <v>7369.91</v>
      </c>
      <c r="D33" s="255">
        <v>521.61</v>
      </c>
      <c r="E33" s="246">
        <v>-21.08</v>
      </c>
      <c r="F33" s="326">
        <v>6869.41</v>
      </c>
      <c r="G33" s="257">
        <v>154.6</v>
      </c>
      <c r="H33" s="246">
        <v>10.81</v>
      </c>
      <c r="I33" s="257">
        <v>223.75</v>
      </c>
      <c r="J33" s="256">
        <v>2125.79</v>
      </c>
      <c r="K33" s="246">
        <v>662.13</v>
      </c>
      <c r="L33" s="246">
        <v>302.19</v>
      </c>
      <c r="M33" s="332">
        <v>901.57</v>
      </c>
      <c r="N33" s="333">
        <v>1266.65</v>
      </c>
      <c r="O33" s="255">
        <v>842.64</v>
      </c>
      <c r="P33" s="255">
        <v>99.33</v>
      </c>
      <c r="Q33" s="256">
        <v>165.62</v>
      </c>
      <c r="R33" s="292"/>
      <c r="S33" s="338"/>
      <c r="T33" s="338"/>
      <c r="U33" s="338"/>
      <c r="V33" s="338"/>
      <c r="W33" s="338"/>
      <c r="X33" s="338"/>
      <c r="Y33" s="338"/>
      <c r="Z33" s="338"/>
      <c r="AA33" s="338"/>
      <c r="AB33" s="338"/>
      <c r="AC33" s="338"/>
      <c r="AD33" s="338"/>
      <c r="AE33" s="338"/>
      <c r="AF33" s="338"/>
      <c r="AG33" s="338"/>
    </row>
    <row r="34" spans="1:33" ht="12">
      <c r="A34" s="262">
        <v>1997</v>
      </c>
      <c r="B34" s="263" t="s">
        <v>57</v>
      </c>
      <c r="C34" s="326">
        <v>8009.29</v>
      </c>
      <c r="D34" s="255">
        <v>563.27</v>
      </c>
      <c r="E34" s="246">
        <v>-22.29</v>
      </c>
      <c r="F34" s="326">
        <v>7468.34</v>
      </c>
      <c r="G34" s="257">
        <v>156.36</v>
      </c>
      <c r="H34" s="246">
        <v>9.83</v>
      </c>
      <c r="I34" s="257">
        <v>257.84</v>
      </c>
      <c r="J34" s="256">
        <v>2305.46</v>
      </c>
      <c r="K34" s="246">
        <v>726.25</v>
      </c>
      <c r="L34" s="246">
        <v>284.85</v>
      </c>
      <c r="M34" s="332">
        <v>990.13</v>
      </c>
      <c r="N34" s="333">
        <v>1377.62</v>
      </c>
      <c r="O34" s="255">
        <v>929.5</v>
      </c>
      <c r="P34" s="255">
        <v>96.82</v>
      </c>
      <c r="Q34" s="256">
        <v>194.47</v>
      </c>
      <c r="R34" s="292"/>
      <c r="S34" s="338"/>
      <c r="T34" s="338"/>
      <c r="U34" s="338"/>
      <c r="V34" s="338"/>
      <c r="W34" s="338"/>
      <c r="X34" s="338"/>
      <c r="Y34" s="338"/>
      <c r="Z34" s="338"/>
      <c r="AA34" s="338"/>
      <c r="AB34" s="338"/>
      <c r="AC34" s="338"/>
      <c r="AD34" s="338"/>
      <c r="AE34" s="338"/>
      <c r="AF34" s="338"/>
      <c r="AG34" s="338"/>
    </row>
    <row r="35" spans="1:33" ht="12">
      <c r="A35" s="262">
        <v>1997</v>
      </c>
      <c r="B35" s="263" t="s">
        <v>58</v>
      </c>
      <c r="C35" s="326">
        <v>8045.26</v>
      </c>
      <c r="D35" s="255">
        <v>518.41</v>
      </c>
      <c r="E35" s="246">
        <v>23.19</v>
      </c>
      <c r="F35" s="326">
        <v>7503.47</v>
      </c>
      <c r="G35" s="257">
        <v>152.57</v>
      </c>
      <c r="H35" s="246">
        <v>9.19</v>
      </c>
      <c r="I35" s="257">
        <v>249.92</v>
      </c>
      <c r="J35" s="256">
        <v>2317.97</v>
      </c>
      <c r="K35" s="246">
        <v>664.32</v>
      </c>
      <c r="L35" s="246">
        <v>235.59</v>
      </c>
      <c r="M35" s="332">
        <v>953.53</v>
      </c>
      <c r="N35" s="333">
        <v>1546.03</v>
      </c>
      <c r="O35" s="255">
        <v>953.12</v>
      </c>
      <c r="P35" s="255">
        <v>109.5</v>
      </c>
      <c r="Q35" s="256">
        <v>199.95</v>
      </c>
      <c r="R35" s="292"/>
      <c r="S35" s="338"/>
      <c r="T35" s="338"/>
      <c r="U35" s="338"/>
      <c r="V35" s="338"/>
      <c r="W35" s="338"/>
      <c r="X35" s="338"/>
      <c r="Y35" s="338"/>
      <c r="Z35" s="338"/>
      <c r="AA35" s="338"/>
      <c r="AB35" s="338"/>
      <c r="AC35" s="338"/>
      <c r="AD35" s="338"/>
      <c r="AE35" s="338"/>
      <c r="AF35" s="338"/>
      <c r="AG35" s="338"/>
    </row>
    <row r="36" spans="1:33" ht="12">
      <c r="A36" s="262">
        <v>1997</v>
      </c>
      <c r="B36" s="263" t="s">
        <v>59</v>
      </c>
      <c r="C36" s="326">
        <v>7890.76</v>
      </c>
      <c r="D36" s="255">
        <v>511.76</v>
      </c>
      <c r="E36" s="246">
        <v>14.61</v>
      </c>
      <c r="F36" s="326">
        <v>7364.2</v>
      </c>
      <c r="G36" s="257">
        <v>164.56</v>
      </c>
      <c r="H36" s="246">
        <v>7.54</v>
      </c>
      <c r="I36" s="257">
        <v>279.42</v>
      </c>
      <c r="J36" s="256">
        <v>2242.82</v>
      </c>
      <c r="K36" s="246">
        <v>677.93</v>
      </c>
      <c r="L36" s="246">
        <v>251.88</v>
      </c>
      <c r="M36" s="332">
        <v>846.17</v>
      </c>
      <c r="N36" s="333">
        <v>1457.81</v>
      </c>
      <c r="O36" s="255">
        <v>1032.91</v>
      </c>
      <c r="P36" s="255">
        <v>111.42</v>
      </c>
      <c r="Q36" s="256">
        <v>204.09</v>
      </c>
      <c r="R36" s="292"/>
      <c r="S36" s="338"/>
      <c r="T36" s="338"/>
      <c r="U36" s="338"/>
      <c r="V36" s="338"/>
      <c r="W36" s="338"/>
      <c r="X36" s="338"/>
      <c r="Y36" s="338"/>
      <c r="Z36" s="338"/>
      <c r="AA36" s="338"/>
      <c r="AB36" s="338"/>
      <c r="AC36" s="338"/>
      <c r="AD36" s="338"/>
      <c r="AE36" s="338"/>
      <c r="AF36" s="338"/>
      <c r="AG36" s="338"/>
    </row>
    <row r="37" spans="1:33" ht="12">
      <c r="A37" s="262">
        <v>1997</v>
      </c>
      <c r="B37" s="263" t="s">
        <v>60</v>
      </c>
      <c r="C37" s="326">
        <v>7730.98</v>
      </c>
      <c r="D37" s="255">
        <v>515.05</v>
      </c>
      <c r="E37" s="246">
        <v>45.15</v>
      </c>
      <c r="F37" s="326">
        <v>7170.59</v>
      </c>
      <c r="G37" s="257">
        <v>166.43</v>
      </c>
      <c r="H37" s="246">
        <v>9.66</v>
      </c>
      <c r="I37" s="257">
        <v>222.77</v>
      </c>
      <c r="J37" s="256">
        <v>2240.84</v>
      </c>
      <c r="K37" s="246">
        <v>739.63</v>
      </c>
      <c r="L37" s="246">
        <v>185.41</v>
      </c>
      <c r="M37" s="332">
        <v>815.86</v>
      </c>
      <c r="N37" s="333">
        <v>1459.29</v>
      </c>
      <c r="O37" s="255">
        <v>926.25</v>
      </c>
      <c r="P37" s="255">
        <v>91.52</v>
      </c>
      <c r="Q37" s="256">
        <v>231.74</v>
      </c>
      <c r="R37" s="292"/>
      <c r="S37" s="338"/>
      <c r="T37" s="338"/>
      <c r="U37" s="338"/>
      <c r="V37" s="338"/>
      <c r="W37" s="338"/>
      <c r="X37" s="338"/>
      <c r="Y37" s="338"/>
      <c r="Z37" s="338"/>
      <c r="AA37" s="338"/>
      <c r="AB37" s="338"/>
      <c r="AC37" s="338"/>
      <c r="AD37" s="338"/>
      <c r="AE37" s="338"/>
      <c r="AF37" s="338"/>
      <c r="AG37" s="338"/>
    </row>
    <row r="38" spans="1:33" ht="12">
      <c r="A38" s="262">
        <v>1997</v>
      </c>
      <c r="B38" s="263" t="s">
        <v>61</v>
      </c>
      <c r="C38" s="326">
        <v>8664.07</v>
      </c>
      <c r="D38" s="255">
        <v>561.45</v>
      </c>
      <c r="E38" s="246">
        <v>-10.85</v>
      </c>
      <c r="F38" s="326">
        <v>8113.58</v>
      </c>
      <c r="G38" s="257">
        <v>190.72</v>
      </c>
      <c r="H38" s="246">
        <v>9.85</v>
      </c>
      <c r="I38" s="257">
        <v>245.73</v>
      </c>
      <c r="J38" s="256">
        <v>2359.32</v>
      </c>
      <c r="K38" s="246">
        <v>781.66</v>
      </c>
      <c r="L38" s="246">
        <v>243.39</v>
      </c>
      <c r="M38" s="332">
        <v>977.2</v>
      </c>
      <c r="N38" s="333">
        <v>1703.99</v>
      </c>
      <c r="O38" s="255">
        <v>1128.75</v>
      </c>
      <c r="P38" s="255">
        <v>109.8</v>
      </c>
      <c r="Q38" s="256">
        <v>229.2</v>
      </c>
      <c r="R38" s="292"/>
      <c r="S38" s="338"/>
      <c r="T38" s="338"/>
      <c r="U38" s="338"/>
      <c r="V38" s="338"/>
      <c r="W38" s="338"/>
      <c r="X38" s="338"/>
      <c r="Y38" s="338"/>
      <c r="Z38" s="338"/>
      <c r="AA38" s="338"/>
      <c r="AB38" s="338"/>
      <c r="AC38" s="338"/>
      <c r="AD38" s="338"/>
      <c r="AE38" s="338"/>
      <c r="AF38" s="338"/>
      <c r="AG38" s="338"/>
    </row>
    <row r="39" spans="1:33" ht="12">
      <c r="A39" s="262">
        <v>1997</v>
      </c>
      <c r="B39" s="263" t="s">
        <v>62</v>
      </c>
      <c r="C39" s="326">
        <v>8429.86</v>
      </c>
      <c r="D39" s="255">
        <v>550.47</v>
      </c>
      <c r="E39" s="246">
        <v>1.85</v>
      </c>
      <c r="F39" s="326">
        <v>7877.65</v>
      </c>
      <c r="G39" s="257">
        <v>178.09</v>
      </c>
      <c r="H39" s="246">
        <v>10.3</v>
      </c>
      <c r="I39" s="257">
        <v>225.73</v>
      </c>
      <c r="J39" s="256">
        <v>2428.47</v>
      </c>
      <c r="K39" s="246">
        <v>792.65</v>
      </c>
      <c r="L39" s="246">
        <v>217.15</v>
      </c>
      <c r="M39" s="332">
        <v>962.58</v>
      </c>
      <c r="N39" s="333">
        <v>1595.61</v>
      </c>
      <c r="O39" s="255">
        <v>1018.96</v>
      </c>
      <c r="P39" s="255">
        <v>94.59</v>
      </c>
      <c r="Q39" s="256">
        <v>217.69</v>
      </c>
      <c r="R39" s="292"/>
      <c r="S39" s="338"/>
      <c r="T39" s="338"/>
      <c r="U39" s="338"/>
      <c r="V39" s="338"/>
      <c r="W39" s="338"/>
      <c r="X39" s="338"/>
      <c r="Y39" s="338"/>
      <c r="Z39" s="338"/>
      <c r="AA39" s="338"/>
      <c r="AB39" s="338"/>
      <c r="AC39" s="338"/>
      <c r="AD39" s="338"/>
      <c r="AE39" s="338"/>
      <c r="AF39" s="338"/>
      <c r="AG39" s="338"/>
    </row>
    <row r="40" spans="1:33" ht="12">
      <c r="A40" s="262">
        <v>1997</v>
      </c>
      <c r="B40" s="263" t="s">
        <v>63</v>
      </c>
      <c r="C40" s="326">
        <v>8313.07</v>
      </c>
      <c r="D40" s="255">
        <v>549.84</v>
      </c>
      <c r="E40" s="246">
        <v>25.05</v>
      </c>
      <c r="F40" s="326">
        <v>7738.28</v>
      </c>
      <c r="G40" s="257">
        <v>133.67</v>
      </c>
      <c r="H40" s="246">
        <v>11.32</v>
      </c>
      <c r="I40" s="257">
        <v>225.51</v>
      </c>
      <c r="J40" s="256">
        <v>2460.13</v>
      </c>
      <c r="K40" s="246">
        <v>693.02</v>
      </c>
      <c r="L40" s="246">
        <v>274.93</v>
      </c>
      <c r="M40" s="332">
        <v>908.18</v>
      </c>
      <c r="N40" s="333">
        <v>1501.69</v>
      </c>
      <c r="O40" s="255">
        <v>1064.66</v>
      </c>
      <c r="P40" s="255">
        <v>133.31</v>
      </c>
      <c r="Q40" s="256">
        <v>206.08</v>
      </c>
      <c r="R40" s="292"/>
      <c r="S40" s="338"/>
      <c r="T40" s="338"/>
      <c r="U40" s="338"/>
      <c r="V40" s="338"/>
      <c r="W40" s="338"/>
      <c r="X40" s="338"/>
      <c r="Y40" s="338"/>
      <c r="Z40" s="338"/>
      <c r="AA40" s="338"/>
      <c r="AB40" s="338"/>
      <c r="AC40" s="338"/>
      <c r="AD40" s="338"/>
      <c r="AE40" s="338"/>
      <c r="AF40" s="338"/>
      <c r="AG40" s="338"/>
    </row>
    <row r="41" spans="1:33" ht="12">
      <c r="A41" s="262">
        <v>1997</v>
      </c>
      <c r="B41" s="263" t="s">
        <v>64</v>
      </c>
      <c r="C41" s="326">
        <v>8108.21</v>
      </c>
      <c r="D41" s="255">
        <v>565.94</v>
      </c>
      <c r="E41" s="246">
        <v>17.48</v>
      </c>
      <c r="F41" s="326">
        <v>7524.74</v>
      </c>
      <c r="G41" s="257">
        <v>146.21</v>
      </c>
      <c r="H41" s="246">
        <v>12.9</v>
      </c>
      <c r="I41" s="257">
        <v>180.51</v>
      </c>
      <c r="J41" s="256">
        <v>2511.28</v>
      </c>
      <c r="K41" s="246">
        <v>689.31</v>
      </c>
      <c r="L41" s="246">
        <v>242.85</v>
      </c>
      <c r="M41" s="332">
        <v>909.69</v>
      </c>
      <c r="N41" s="333">
        <v>1435.16</v>
      </c>
      <c r="O41" s="255">
        <v>988.86</v>
      </c>
      <c r="P41" s="255">
        <v>80.41</v>
      </c>
      <c r="Q41" s="256">
        <v>186.06</v>
      </c>
      <c r="R41" s="292"/>
      <c r="S41" s="338"/>
      <c r="T41" s="338"/>
      <c r="U41" s="338"/>
      <c r="V41" s="338"/>
      <c r="W41" s="338"/>
      <c r="X41" s="338"/>
      <c r="Y41" s="338"/>
      <c r="Z41" s="338"/>
      <c r="AA41" s="338"/>
      <c r="AB41" s="338"/>
      <c r="AC41" s="338"/>
      <c r="AD41" s="338"/>
      <c r="AE41" s="338"/>
      <c r="AF41" s="338"/>
      <c r="AG41" s="338"/>
    </row>
    <row r="42" spans="1:33" ht="12">
      <c r="A42" s="262">
        <v>1997</v>
      </c>
      <c r="B42" s="263" t="s">
        <v>65</v>
      </c>
      <c r="C42" s="326">
        <v>8257.25</v>
      </c>
      <c r="D42" s="255">
        <v>571.13</v>
      </c>
      <c r="E42" s="246">
        <v>-28.37</v>
      </c>
      <c r="F42" s="326">
        <v>7714.44</v>
      </c>
      <c r="G42" s="257">
        <v>164.51</v>
      </c>
      <c r="H42" s="246">
        <v>14.08</v>
      </c>
      <c r="I42" s="257">
        <v>242.24</v>
      </c>
      <c r="J42" s="256">
        <v>2465.61</v>
      </c>
      <c r="K42" s="246">
        <v>665.34</v>
      </c>
      <c r="L42" s="246">
        <v>349.17</v>
      </c>
      <c r="M42" s="332">
        <v>944.98</v>
      </c>
      <c r="N42" s="333">
        <v>1392.99</v>
      </c>
      <c r="O42" s="255">
        <v>1028.8</v>
      </c>
      <c r="P42" s="255">
        <v>121.67</v>
      </c>
      <c r="Q42" s="256">
        <v>195.12</v>
      </c>
      <c r="R42" s="292"/>
      <c r="S42" s="338"/>
      <c r="T42" s="338"/>
      <c r="U42" s="338"/>
      <c r="V42" s="338"/>
      <c r="W42" s="338"/>
      <c r="X42" s="338"/>
      <c r="Y42" s="338"/>
      <c r="Z42" s="338"/>
      <c r="AA42" s="338"/>
      <c r="AB42" s="338"/>
      <c r="AC42" s="338"/>
      <c r="AD42" s="338"/>
      <c r="AE42" s="338"/>
      <c r="AF42" s="338"/>
      <c r="AG42" s="338"/>
    </row>
    <row r="43" spans="1:33" ht="12">
      <c r="A43" s="264">
        <v>1997</v>
      </c>
      <c r="B43" s="265" t="s">
        <v>66</v>
      </c>
      <c r="C43" s="327">
        <v>8232.54</v>
      </c>
      <c r="D43" s="267">
        <v>576.95</v>
      </c>
      <c r="E43" s="267">
        <v>32.72</v>
      </c>
      <c r="F43" s="327">
        <v>7622.82</v>
      </c>
      <c r="G43" s="282">
        <v>169.11</v>
      </c>
      <c r="H43" s="267">
        <v>19.51</v>
      </c>
      <c r="I43" s="282">
        <v>249.07</v>
      </c>
      <c r="J43" s="283">
        <v>2479.41</v>
      </c>
      <c r="K43" s="267">
        <v>599.61</v>
      </c>
      <c r="L43" s="267">
        <v>349.08</v>
      </c>
      <c r="M43" s="334">
        <v>987.9</v>
      </c>
      <c r="N43" s="335">
        <v>1498.72</v>
      </c>
      <c r="O43" s="267">
        <v>891.86</v>
      </c>
      <c r="P43" s="267">
        <v>105.03</v>
      </c>
      <c r="Q43" s="283">
        <v>142</v>
      </c>
      <c r="R43" s="292"/>
      <c r="S43" s="338"/>
      <c r="T43" s="338"/>
      <c r="U43" s="338"/>
      <c r="V43" s="338"/>
      <c r="W43" s="338"/>
      <c r="X43" s="338"/>
      <c r="Y43" s="338"/>
      <c r="Z43" s="338"/>
      <c r="AA43" s="338"/>
      <c r="AB43" s="338"/>
      <c r="AC43" s="338"/>
      <c r="AD43" s="338"/>
      <c r="AE43" s="338"/>
      <c r="AF43" s="338"/>
      <c r="AG43" s="338"/>
    </row>
    <row r="44" spans="1:33" ht="12">
      <c r="A44" s="262">
        <v>1998</v>
      </c>
      <c r="B44" s="263" t="s">
        <v>55</v>
      </c>
      <c r="C44" s="326">
        <v>7611.84</v>
      </c>
      <c r="D44" s="255">
        <v>544.63</v>
      </c>
      <c r="E44" s="246">
        <v>52.72</v>
      </c>
      <c r="F44" s="326">
        <v>7014.48</v>
      </c>
      <c r="G44" s="257">
        <v>160.59</v>
      </c>
      <c r="H44" s="246">
        <v>25.81</v>
      </c>
      <c r="I44" s="257">
        <v>187.45</v>
      </c>
      <c r="J44" s="256">
        <v>2368.7</v>
      </c>
      <c r="K44" s="246">
        <v>574.69</v>
      </c>
      <c r="L44" s="246">
        <v>339.03</v>
      </c>
      <c r="M44" s="332">
        <v>861.57</v>
      </c>
      <c r="N44" s="333">
        <v>1346.63</v>
      </c>
      <c r="O44" s="255">
        <v>824.2</v>
      </c>
      <c r="P44" s="255">
        <v>79.04</v>
      </c>
      <c r="Q44" s="256">
        <v>106.8</v>
      </c>
      <c r="R44" s="292"/>
      <c r="S44" s="338"/>
      <c r="T44" s="338"/>
      <c r="U44" s="338"/>
      <c r="V44" s="338"/>
      <c r="W44" s="338"/>
      <c r="X44" s="338"/>
      <c r="Y44" s="338"/>
      <c r="Z44" s="338"/>
      <c r="AA44" s="338"/>
      <c r="AB44" s="338"/>
      <c r="AC44" s="338"/>
      <c r="AD44" s="338"/>
      <c r="AE44" s="338"/>
      <c r="AF44" s="338"/>
      <c r="AG44" s="338"/>
    </row>
    <row r="45" spans="1:33" ht="12">
      <c r="A45" s="262">
        <v>1998</v>
      </c>
      <c r="B45" s="263" t="s">
        <v>56</v>
      </c>
      <c r="C45" s="326">
        <v>6799.02</v>
      </c>
      <c r="D45" s="255">
        <v>438.56</v>
      </c>
      <c r="E45" s="246">
        <v>149.8</v>
      </c>
      <c r="F45" s="326">
        <v>6210.66</v>
      </c>
      <c r="G45" s="257">
        <v>123.02</v>
      </c>
      <c r="H45" s="246">
        <v>7.88</v>
      </c>
      <c r="I45" s="257">
        <v>186.12</v>
      </c>
      <c r="J45" s="256">
        <v>1944.83</v>
      </c>
      <c r="K45" s="246">
        <v>466.67</v>
      </c>
      <c r="L45" s="246">
        <v>301.11</v>
      </c>
      <c r="M45" s="332">
        <v>811.67</v>
      </c>
      <c r="N45" s="333">
        <v>1140.35</v>
      </c>
      <c r="O45" s="255">
        <v>870.78</v>
      </c>
      <c r="P45" s="255">
        <v>98.31</v>
      </c>
      <c r="Q45" s="256">
        <v>128.22</v>
      </c>
      <c r="R45" s="292"/>
      <c r="S45" s="338"/>
      <c r="T45" s="338"/>
      <c r="U45" s="338"/>
      <c r="V45" s="338"/>
      <c r="W45" s="338"/>
      <c r="X45" s="338"/>
      <c r="Y45" s="338"/>
      <c r="Z45" s="338"/>
      <c r="AA45" s="338"/>
      <c r="AB45" s="338"/>
      <c r="AC45" s="338"/>
      <c r="AD45" s="338"/>
      <c r="AE45" s="338"/>
      <c r="AF45" s="338"/>
      <c r="AG45" s="338"/>
    </row>
    <row r="46" spans="1:33" ht="12">
      <c r="A46" s="262">
        <v>1998</v>
      </c>
      <c r="B46" s="263" t="s">
        <v>57</v>
      </c>
      <c r="C46" s="326">
        <v>8148.28</v>
      </c>
      <c r="D46" s="255">
        <v>516.73</v>
      </c>
      <c r="E46" s="246">
        <v>53.86</v>
      </c>
      <c r="F46" s="326">
        <v>7577.69</v>
      </c>
      <c r="G46" s="257">
        <v>161.82</v>
      </c>
      <c r="H46" s="246">
        <v>27.98</v>
      </c>
      <c r="I46" s="257">
        <v>215.55</v>
      </c>
      <c r="J46" s="256">
        <v>2351.03</v>
      </c>
      <c r="K46" s="246">
        <v>651.93</v>
      </c>
      <c r="L46" s="246">
        <v>322.36</v>
      </c>
      <c r="M46" s="332">
        <v>1035.94</v>
      </c>
      <c r="N46" s="333">
        <v>1441.35</v>
      </c>
      <c r="O46" s="255">
        <v>949.52</v>
      </c>
      <c r="P46" s="255">
        <v>106.52</v>
      </c>
      <c r="Q46" s="256">
        <v>190.9</v>
      </c>
      <c r="R46" s="292"/>
      <c r="S46" s="338"/>
      <c r="T46" s="338"/>
      <c r="U46" s="338"/>
      <c r="V46" s="338"/>
      <c r="W46" s="338"/>
      <c r="X46" s="338"/>
      <c r="Y46" s="338"/>
      <c r="Z46" s="338"/>
      <c r="AA46" s="338"/>
      <c r="AB46" s="338"/>
      <c r="AC46" s="338"/>
      <c r="AD46" s="338"/>
      <c r="AE46" s="338"/>
      <c r="AF46" s="338"/>
      <c r="AG46" s="338"/>
    </row>
    <row r="47" spans="1:33" ht="12">
      <c r="A47" s="262">
        <v>1998</v>
      </c>
      <c r="B47" s="263" t="s">
        <v>58</v>
      </c>
      <c r="C47" s="326">
        <v>8196.58</v>
      </c>
      <c r="D47" s="255">
        <v>527.6</v>
      </c>
      <c r="E47" s="246">
        <v>71.91</v>
      </c>
      <c r="F47" s="326">
        <v>7597.07</v>
      </c>
      <c r="G47" s="257">
        <v>167.93</v>
      </c>
      <c r="H47" s="246">
        <v>34.49</v>
      </c>
      <c r="I47" s="257">
        <v>238.26</v>
      </c>
      <c r="J47" s="256">
        <v>2284.39</v>
      </c>
      <c r="K47" s="246">
        <v>693.43</v>
      </c>
      <c r="L47" s="246">
        <v>355.38</v>
      </c>
      <c r="M47" s="332">
        <v>911.38</v>
      </c>
      <c r="N47" s="333">
        <v>1477.71</v>
      </c>
      <c r="O47" s="255">
        <v>1018.36</v>
      </c>
      <c r="P47" s="255">
        <v>104.12</v>
      </c>
      <c r="Q47" s="256">
        <v>189.49</v>
      </c>
      <c r="R47" s="292"/>
      <c r="S47" s="338"/>
      <c r="T47" s="338"/>
      <c r="U47" s="338"/>
      <c r="V47" s="338"/>
      <c r="W47" s="338"/>
      <c r="X47" s="338"/>
      <c r="Y47" s="338"/>
      <c r="Z47" s="338"/>
      <c r="AA47" s="338"/>
      <c r="AB47" s="338"/>
      <c r="AC47" s="338"/>
      <c r="AD47" s="338"/>
      <c r="AE47" s="338"/>
      <c r="AF47" s="338"/>
      <c r="AG47" s="338"/>
    </row>
    <row r="48" spans="1:33" ht="12">
      <c r="A48" s="262">
        <v>1998</v>
      </c>
      <c r="B48" s="263" t="s">
        <v>59</v>
      </c>
      <c r="C48" s="326">
        <v>8249.59</v>
      </c>
      <c r="D48" s="255">
        <v>534.67</v>
      </c>
      <c r="E48" s="246">
        <v>51.11</v>
      </c>
      <c r="F48" s="326">
        <v>7663.8</v>
      </c>
      <c r="G48" s="257">
        <v>181.9</v>
      </c>
      <c r="H48" s="246">
        <v>39.86</v>
      </c>
      <c r="I48" s="257">
        <v>210.06</v>
      </c>
      <c r="J48" s="256">
        <v>2382.59</v>
      </c>
      <c r="K48" s="246">
        <v>766.66</v>
      </c>
      <c r="L48" s="246">
        <v>228.61</v>
      </c>
      <c r="M48" s="332">
        <v>908.6</v>
      </c>
      <c r="N48" s="333">
        <v>1565.37</v>
      </c>
      <c r="O48" s="255">
        <v>937.53</v>
      </c>
      <c r="P48" s="255">
        <v>97.79</v>
      </c>
      <c r="Q48" s="256">
        <v>225.44</v>
      </c>
      <c r="R48" s="292"/>
      <c r="S48" s="338"/>
      <c r="T48" s="338"/>
      <c r="U48" s="338"/>
      <c r="V48" s="338"/>
      <c r="W48" s="338"/>
      <c r="X48" s="338"/>
      <c r="Y48" s="338"/>
      <c r="Z48" s="338"/>
      <c r="AA48" s="338"/>
      <c r="AB48" s="338"/>
      <c r="AC48" s="338"/>
      <c r="AD48" s="338"/>
      <c r="AE48" s="338"/>
      <c r="AF48" s="338"/>
      <c r="AG48" s="338"/>
    </row>
    <row r="49" spans="1:33" ht="12">
      <c r="A49" s="262">
        <v>1998</v>
      </c>
      <c r="B49" s="263" t="s">
        <v>60</v>
      </c>
      <c r="C49" s="326">
        <v>8188.39</v>
      </c>
      <c r="D49" s="255">
        <v>529.98</v>
      </c>
      <c r="E49" s="246">
        <v>93</v>
      </c>
      <c r="F49" s="326">
        <v>7565.41</v>
      </c>
      <c r="G49" s="257">
        <v>176.74</v>
      </c>
      <c r="H49" s="246">
        <v>18.4</v>
      </c>
      <c r="I49" s="257">
        <v>214.21</v>
      </c>
      <c r="J49" s="256">
        <v>2327.03</v>
      </c>
      <c r="K49" s="246">
        <v>750.09</v>
      </c>
      <c r="L49" s="246">
        <v>215.95</v>
      </c>
      <c r="M49" s="332">
        <v>884.75</v>
      </c>
      <c r="N49" s="333">
        <v>1582.52</v>
      </c>
      <c r="O49" s="255">
        <v>950.94</v>
      </c>
      <c r="P49" s="255">
        <v>93.23</v>
      </c>
      <c r="Q49" s="256">
        <v>213.21</v>
      </c>
      <c r="R49" s="292"/>
      <c r="S49" s="338"/>
      <c r="T49" s="338"/>
      <c r="U49" s="338"/>
      <c r="V49" s="338"/>
      <c r="W49" s="338"/>
      <c r="X49" s="338"/>
      <c r="Y49" s="338"/>
      <c r="Z49" s="338"/>
      <c r="AA49" s="338"/>
      <c r="AB49" s="338"/>
      <c r="AC49" s="338"/>
      <c r="AD49" s="338"/>
      <c r="AE49" s="338"/>
      <c r="AF49" s="338"/>
      <c r="AG49" s="338"/>
    </row>
    <row r="50" spans="1:33" ht="12">
      <c r="A50" s="262">
        <v>1998</v>
      </c>
      <c r="B50" s="263" t="s">
        <v>61</v>
      </c>
      <c r="C50" s="326">
        <v>8165.8</v>
      </c>
      <c r="D50" s="255">
        <v>532.7</v>
      </c>
      <c r="E50" s="246">
        <v>20.13</v>
      </c>
      <c r="F50" s="326">
        <v>7612.97</v>
      </c>
      <c r="G50" s="257">
        <v>186.16</v>
      </c>
      <c r="H50" s="246">
        <v>62.27</v>
      </c>
      <c r="I50" s="257">
        <v>169.18</v>
      </c>
      <c r="J50" s="256">
        <v>2327.65</v>
      </c>
      <c r="K50" s="246">
        <v>819.51</v>
      </c>
      <c r="L50" s="246">
        <v>166.06</v>
      </c>
      <c r="M50" s="332">
        <v>892.83</v>
      </c>
      <c r="N50" s="333">
        <v>1556.86</v>
      </c>
      <c r="O50" s="255">
        <v>964.27</v>
      </c>
      <c r="P50" s="255">
        <v>112.9</v>
      </c>
      <c r="Q50" s="256">
        <v>232.38</v>
      </c>
      <c r="R50" s="292"/>
      <c r="S50" s="338"/>
      <c r="T50" s="338"/>
      <c r="U50" s="338"/>
      <c r="V50" s="338"/>
      <c r="W50" s="338"/>
      <c r="X50" s="338"/>
      <c r="Y50" s="338"/>
      <c r="Z50" s="338"/>
      <c r="AA50" s="338"/>
      <c r="AB50" s="338"/>
      <c r="AC50" s="338"/>
      <c r="AD50" s="338"/>
      <c r="AE50" s="338"/>
      <c r="AF50" s="338"/>
      <c r="AG50" s="338"/>
    </row>
    <row r="51" spans="1:33" ht="12">
      <c r="A51" s="262">
        <v>1998</v>
      </c>
      <c r="B51" s="263" t="s">
        <v>62</v>
      </c>
      <c r="C51" s="326">
        <v>7445.65</v>
      </c>
      <c r="D51" s="255">
        <v>526.49</v>
      </c>
      <c r="E51" s="246">
        <v>106.23</v>
      </c>
      <c r="F51" s="326">
        <v>6812.93</v>
      </c>
      <c r="G51" s="257">
        <v>175.52</v>
      </c>
      <c r="H51" s="246">
        <v>34.48</v>
      </c>
      <c r="I51" s="257">
        <v>91.89</v>
      </c>
      <c r="J51" s="256">
        <v>2225.89</v>
      </c>
      <c r="K51" s="246">
        <v>730.01</v>
      </c>
      <c r="L51" s="246">
        <v>190.99</v>
      </c>
      <c r="M51" s="332">
        <v>794.6</v>
      </c>
      <c r="N51" s="333">
        <v>1317.16</v>
      </c>
      <c r="O51" s="255">
        <v>847.54</v>
      </c>
      <c r="P51" s="255">
        <v>68.9</v>
      </c>
      <c r="Q51" s="256">
        <v>210.27</v>
      </c>
      <c r="R51" s="292"/>
      <c r="S51" s="338"/>
      <c r="T51" s="338"/>
      <c r="U51" s="338"/>
      <c r="V51" s="338"/>
      <c r="W51" s="338"/>
      <c r="X51" s="338"/>
      <c r="Y51" s="338"/>
      <c r="Z51" s="338"/>
      <c r="AA51" s="338"/>
      <c r="AB51" s="338"/>
      <c r="AC51" s="338"/>
      <c r="AD51" s="338"/>
      <c r="AE51" s="338"/>
      <c r="AF51" s="338"/>
      <c r="AG51" s="338"/>
    </row>
    <row r="52" spans="1:33" ht="12">
      <c r="A52" s="262">
        <v>1998</v>
      </c>
      <c r="B52" s="263" t="s">
        <v>63</v>
      </c>
      <c r="C52" s="326">
        <v>7157.58</v>
      </c>
      <c r="D52" s="255">
        <v>482.62</v>
      </c>
      <c r="E52" s="246">
        <v>68.52</v>
      </c>
      <c r="F52" s="326">
        <v>6606.44</v>
      </c>
      <c r="G52" s="257">
        <v>125.55</v>
      </c>
      <c r="H52" s="246">
        <v>31.82</v>
      </c>
      <c r="I52" s="257">
        <v>185.54</v>
      </c>
      <c r="J52" s="256">
        <v>2118.47</v>
      </c>
      <c r="K52" s="246">
        <v>572.19</v>
      </c>
      <c r="L52" s="246">
        <v>237.21</v>
      </c>
      <c r="M52" s="332">
        <v>778.16</v>
      </c>
      <c r="N52" s="333">
        <v>1286.7</v>
      </c>
      <c r="O52" s="255">
        <v>862.83</v>
      </c>
      <c r="P52" s="255">
        <v>101.29</v>
      </c>
      <c r="Q52" s="256">
        <v>198.49</v>
      </c>
      <c r="R52" s="292"/>
      <c r="S52" s="338"/>
      <c r="T52" s="338"/>
      <c r="U52" s="338"/>
      <c r="V52" s="338"/>
      <c r="W52" s="338"/>
      <c r="X52" s="338"/>
      <c r="Y52" s="338"/>
      <c r="Z52" s="338"/>
      <c r="AA52" s="338"/>
      <c r="AB52" s="338"/>
      <c r="AC52" s="338"/>
      <c r="AD52" s="338"/>
      <c r="AE52" s="338"/>
      <c r="AF52" s="338"/>
      <c r="AG52" s="338"/>
    </row>
    <row r="53" spans="1:33" ht="12">
      <c r="A53" s="262">
        <v>1998</v>
      </c>
      <c r="B53" s="263" t="s">
        <v>64</v>
      </c>
      <c r="C53" s="326">
        <v>8092.46</v>
      </c>
      <c r="D53" s="255">
        <v>541.76</v>
      </c>
      <c r="E53" s="246">
        <v>106.71</v>
      </c>
      <c r="F53" s="326">
        <v>7444</v>
      </c>
      <c r="G53" s="257">
        <v>155.86</v>
      </c>
      <c r="H53" s="246">
        <v>30.88</v>
      </c>
      <c r="I53" s="257">
        <v>205.45</v>
      </c>
      <c r="J53" s="256">
        <v>2381.96</v>
      </c>
      <c r="K53" s="246">
        <v>684.98</v>
      </c>
      <c r="L53" s="246">
        <v>323.14</v>
      </c>
      <c r="M53" s="332">
        <v>900.04</v>
      </c>
      <c r="N53" s="333">
        <v>1419.95</v>
      </c>
      <c r="O53" s="255">
        <v>945.55</v>
      </c>
      <c r="P53" s="255">
        <v>86.79</v>
      </c>
      <c r="Q53" s="256">
        <v>186.49</v>
      </c>
      <c r="R53" s="292"/>
      <c r="S53" s="338"/>
      <c r="T53" s="338"/>
      <c r="U53" s="338"/>
      <c r="V53" s="338"/>
      <c r="W53" s="338"/>
      <c r="X53" s="338"/>
      <c r="Y53" s="338"/>
      <c r="Z53" s="338"/>
      <c r="AA53" s="338"/>
      <c r="AB53" s="338"/>
      <c r="AC53" s="338"/>
      <c r="AD53" s="338"/>
      <c r="AE53" s="338"/>
      <c r="AF53" s="338"/>
      <c r="AG53" s="338"/>
    </row>
    <row r="54" spans="1:33" ht="12">
      <c r="A54" s="262">
        <v>1998</v>
      </c>
      <c r="B54" s="263" t="s">
        <v>65</v>
      </c>
      <c r="C54" s="326">
        <v>7688.2</v>
      </c>
      <c r="D54" s="255">
        <v>476.61</v>
      </c>
      <c r="E54" s="246">
        <v>61.86</v>
      </c>
      <c r="F54" s="326">
        <v>7149.74</v>
      </c>
      <c r="G54" s="257">
        <v>163.39</v>
      </c>
      <c r="H54" s="246">
        <v>48.6</v>
      </c>
      <c r="I54" s="257">
        <v>206.62</v>
      </c>
      <c r="J54" s="256">
        <v>2174.65</v>
      </c>
      <c r="K54" s="246">
        <v>638.3</v>
      </c>
      <c r="L54" s="246">
        <v>317.26</v>
      </c>
      <c r="M54" s="332">
        <v>905.19</v>
      </c>
      <c r="N54" s="333">
        <v>1334.33</v>
      </c>
      <c r="O54" s="255">
        <v>980.61</v>
      </c>
      <c r="P54" s="255">
        <v>92.35</v>
      </c>
      <c r="Q54" s="256">
        <v>173.7</v>
      </c>
      <c r="R54" s="292"/>
      <c r="S54" s="338"/>
      <c r="T54" s="338"/>
      <c r="U54" s="338"/>
      <c r="V54" s="338"/>
      <c r="W54" s="338"/>
      <c r="X54" s="338"/>
      <c r="Y54" s="338"/>
      <c r="Z54" s="338"/>
      <c r="AA54" s="338"/>
      <c r="AB54" s="338"/>
      <c r="AC54" s="338"/>
      <c r="AD54" s="338"/>
      <c r="AE54" s="338"/>
      <c r="AF54" s="338"/>
      <c r="AG54" s="338"/>
    </row>
    <row r="55" spans="1:33" ht="12">
      <c r="A55" s="264">
        <v>1998</v>
      </c>
      <c r="B55" s="265" t="s">
        <v>66</v>
      </c>
      <c r="C55" s="327">
        <v>8053.63</v>
      </c>
      <c r="D55" s="267">
        <v>524.64</v>
      </c>
      <c r="E55" s="267">
        <v>169.17</v>
      </c>
      <c r="F55" s="327">
        <v>7359.82</v>
      </c>
      <c r="G55" s="282">
        <v>183.52</v>
      </c>
      <c r="H55" s="267">
        <v>31.53</v>
      </c>
      <c r="I55" s="282">
        <v>205.68</v>
      </c>
      <c r="J55" s="283">
        <v>2278.8</v>
      </c>
      <c r="K55" s="267">
        <v>527.53</v>
      </c>
      <c r="L55" s="267">
        <v>444.91</v>
      </c>
      <c r="M55" s="334">
        <v>944.89</v>
      </c>
      <c r="N55" s="335">
        <v>1433.46</v>
      </c>
      <c r="O55" s="267">
        <v>972.85</v>
      </c>
      <c r="P55" s="267">
        <v>83.75</v>
      </c>
      <c r="Q55" s="283">
        <v>116.6</v>
      </c>
      <c r="R55" s="292"/>
      <c r="S55" s="338"/>
      <c r="T55" s="338"/>
      <c r="U55" s="338"/>
      <c r="V55" s="338"/>
      <c r="W55" s="338"/>
      <c r="X55" s="338"/>
      <c r="Y55" s="338"/>
      <c r="Z55" s="338"/>
      <c r="AA55" s="338"/>
      <c r="AB55" s="338"/>
      <c r="AC55" s="338"/>
      <c r="AD55" s="338"/>
      <c r="AE55" s="338"/>
      <c r="AF55" s="338"/>
      <c r="AG55" s="338"/>
    </row>
    <row r="56" spans="1:33" ht="12">
      <c r="A56" s="262">
        <v>1999</v>
      </c>
      <c r="B56" s="263" t="s">
        <v>55</v>
      </c>
      <c r="C56" s="326">
        <v>7888.44</v>
      </c>
      <c r="D56" s="255">
        <v>501.24</v>
      </c>
      <c r="E56" s="246">
        <v>115.9</v>
      </c>
      <c r="F56" s="326">
        <v>7271.29</v>
      </c>
      <c r="G56" s="257">
        <v>188.88</v>
      </c>
      <c r="H56" s="246">
        <v>35.44</v>
      </c>
      <c r="I56" s="257">
        <v>205.47</v>
      </c>
      <c r="J56" s="256">
        <v>2274.6</v>
      </c>
      <c r="K56" s="246">
        <v>559.88</v>
      </c>
      <c r="L56" s="246">
        <v>434.34</v>
      </c>
      <c r="M56" s="332">
        <v>905.86</v>
      </c>
      <c r="N56" s="333">
        <v>1415.85</v>
      </c>
      <c r="O56" s="255">
        <v>942.95</v>
      </c>
      <c r="P56" s="255">
        <v>77.3</v>
      </c>
      <c r="Q56" s="256">
        <v>96.14</v>
      </c>
      <c r="R56" s="292"/>
      <c r="S56" s="338"/>
      <c r="T56" s="338"/>
      <c r="U56" s="338"/>
      <c r="V56" s="338"/>
      <c r="W56" s="338"/>
      <c r="X56" s="338"/>
      <c r="Y56" s="338"/>
      <c r="Z56" s="338"/>
      <c r="AA56" s="338"/>
      <c r="AB56" s="338"/>
      <c r="AC56" s="338"/>
      <c r="AD56" s="338"/>
      <c r="AE56" s="338"/>
      <c r="AF56" s="338"/>
      <c r="AG56" s="338"/>
    </row>
    <row r="57" spans="1:33" ht="12">
      <c r="A57" s="262">
        <v>1999</v>
      </c>
      <c r="B57" s="263" t="s">
        <v>56</v>
      </c>
      <c r="C57" s="326">
        <v>6917.56</v>
      </c>
      <c r="D57" s="255">
        <v>449.67</v>
      </c>
      <c r="E57" s="246">
        <v>76.49</v>
      </c>
      <c r="F57" s="326">
        <v>6391.4</v>
      </c>
      <c r="G57" s="257">
        <v>139.97</v>
      </c>
      <c r="H57" s="246">
        <v>30.33</v>
      </c>
      <c r="I57" s="257">
        <v>160.15</v>
      </c>
      <c r="J57" s="256">
        <v>1902.26</v>
      </c>
      <c r="K57" s="246">
        <v>502.25</v>
      </c>
      <c r="L57" s="246">
        <v>389.89</v>
      </c>
      <c r="M57" s="332">
        <v>921.96</v>
      </c>
      <c r="N57" s="333">
        <v>1295.29</v>
      </c>
      <c r="O57" s="255">
        <v>727.95</v>
      </c>
      <c r="P57" s="255">
        <v>76.38</v>
      </c>
      <c r="Q57" s="256">
        <v>143.09</v>
      </c>
      <c r="R57" s="292"/>
      <c r="S57" s="338"/>
      <c r="T57" s="338"/>
      <c r="U57" s="338"/>
      <c r="V57" s="338"/>
      <c r="W57" s="338"/>
      <c r="X57" s="338"/>
      <c r="Y57" s="338"/>
      <c r="Z57" s="338"/>
      <c r="AA57" s="338"/>
      <c r="AB57" s="338"/>
      <c r="AC57" s="338"/>
      <c r="AD57" s="338"/>
      <c r="AE57" s="338"/>
      <c r="AF57" s="338"/>
      <c r="AG57" s="338"/>
    </row>
    <row r="58" spans="1:33" ht="12">
      <c r="A58" s="262">
        <v>1999</v>
      </c>
      <c r="B58" s="263" t="s">
        <v>57</v>
      </c>
      <c r="C58" s="326">
        <v>7860.66</v>
      </c>
      <c r="D58" s="255">
        <v>473.95</v>
      </c>
      <c r="E58" s="246">
        <v>148.66</v>
      </c>
      <c r="F58" s="326">
        <v>7238.05</v>
      </c>
      <c r="G58" s="257">
        <v>168.06</v>
      </c>
      <c r="H58" s="246">
        <v>32.28</v>
      </c>
      <c r="I58" s="257">
        <v>217.9</v>
      </c>
      <c r="J58" s="256">
        <v>2287.94</v>
      </c>
      <c r="K58" s="246">
        <v>563.05</v>
      </c>
      <c r="L58" s="246">
        <v>394.06</v>
      </c>
      <c r="M58" s="332">
        <v>950.46</v>
      </c>
      <c r="N58" s="333">
        <v>1322.42</v>
      </c>
      <c r="O58" s="255">
        <v>876.23</v>
      </c>
      <c r="P58" s="255">
        <v>118.58</v>
      </c>
      <c r="Q58" s="256">
        <v>179.56</v>
      </c>
      <c r="R58" s="292"/>
      <c r="S58" s="338"/>
      <c r="T58" s="338"/>
      <c r="U58" s="338"/>
      <c r="V58" s="338"/>
      <c r="W58" s="338"/>
      <c r="X58" s="338"/>
      <c r="Y58" s="338"/>
      <c r="Z58" s="338"/>
      <c r="AA58" s="338"/>
      <c r="AB58" s="338"/>
      <c r="AC58" s="338"/>
      <c r="AD58" s="338"/>
      <c r="AE58" s="338"/>
      <c r="AF58" s="338"/>
      <c r="AG58" s="338"/>
    </row>
    <row r="59" spans="1:33" ht="12">
      <c r="A59" s="262">
        <v>1999</v>
      </c>
      <c r="B59" s="263" t="s">
        <v>58</v>
      </c>
      <c r="C59" s="326">
        <v>7302.23</v>
      </c>
      <c r="D59" s="255">
        <v>475.65</v>
      </c>
      <c r="E59" s="246">
        <v>120.63</v>
      </c>
      <c r="F59" s="326">
        <v>6705.95</v>
      </c>
      <c r="G59" s="257">
        <v>161.36</v>
      </c>
      <c r="H59" s="246">
        <v>25.4</v>
      </c>
      <c r="I59" s="257">
        <v>293.61</v>
      </c>
      <c r="J59" s="256">
        <v>2201.25</v>
      </c>
      <c r="K59" s="246">
        <v>562.09</v>
      </c>
      <c r="L59" s="246">
        <v>327.98</v>
      </c>
      <c r="M59" s="332">
        <v>769.9</v>
      </c>
      <c r="N59" s="333">
        <v>1248.3</v>
      </c>
      <c r="O59" s="255">
        <v>830.33</v>
      </c>
      <c r="P59" s="255">
        <v>43.77</v>
      </c>
      <c r="Q59" s="256">
        <v>102.35</v>
      </c>
      <c r="R59" s="292"/>
      <c r="S59" s="338"/>
      <c r="T59" s="338"/>
      <c r="U59" s="338"/>
      <c r="V59" s="338"/>
      <c r="W59" s="338"/>
      <c r="X59" s="338"/>
      <c r="Y59" s="338"/>
      <c r="Z59" s="338"/>
      <c r="AA59" s="338"/>
      <c r="AB59" s="338"/>
      <c r="AC59" s="338"/>
      <c r="AD59" s="338"/>
      <c r="AE59" s="338"/>
      <c r="AF59" s="338"/>
      <c r="AG59" s="338"/>
    </row>
    <row r="60" spans="1:33" ht="12">
      <c r="A60" s="262">
        <v>1999</v>
      </c>
      <c r="B60" s="263" t="s">
        <v>59</v>
      </c>
      <c r="C60" s="326">
        <v>7457.65</v>
      </c>
      <c r="D60" s="255">
        <v>478.18</v>
      </c>
      <c r="E60" s="246">
        <v>138.44</v>
      </c>
      <c r="F60" s="326">
        <v>6841.03</v>
      </c>
      <c r="G60" s="257">
        <v>168.07</v>
      </c>
      <c r="H60" s="246">
        <v>26.95</v>
      </c>
      <c r="I60" s="257">
        <v>198.64</v>
      </c>
      <c r="J60" s="256">
        <v>2230.43</v>
      </c>
      <c r="K60" s="246">
        <v>625.59</v>
      </c>
      <c r="L60" s="246">
        <v>246.75</v>
      </c>
      <c r="M60" s="332">
        <v>751.3</v>
      </c>
      <c r="N60" s="333">
        <v>1294.37</v>
      </c>
      <c r="O60" s="255">
        <v>909.71</v>
      </c>
      <c r="P60" s="255">
        <v>72.07</v>
      </c>
      <c r="Q60" s="256">
        <v>151.7</v>
      </c>
      <c r="R60" s="292"/>
      <c r="S60" s="338"/>
      <c r="T60" s="338"/>
      <c r="U60" s="338"/>
      <c r="V60" s="338"/>
      <c r="W60" s="338"/>
      <c r="X60" s="338"/>
      <c r="Y60" s="338"/>
      <c r="Z60" s="338"/>
      <c r="AA60" s="338"/>
      <c r="AB60" s="338"/>
      <c r="AC60" s="338"/>
      <c r="AD60" s="338"/>
      <c r="AE60" s="338"/>
      <c r="AF60" s="338"/>
      <c r="AG60" s="338"/>
    </row>
    <row r="61" spans="1:33" ht="12">
      <c r="A61" s="262">
        <v>1999</v>
      </c>
      <c r="B61" s="263" t="s">
        <v>60</v>
      </c>
      <c r="C61" s="326">
        <v>7260.4</v>
      </c>
      <c r="D61" s="255">
        <v>450.56</v>
      </c>
      <c r="E61" s="246">
        <v>118.17</v>
      </c>
      <c r="F61" s="326">
        <v>6691.68</v>
      </c>
      <c r="G61" s="257">
        <v>161.47</v>
      </c>
      <c r="H61" s="246">
        <v>26.54</v>
      </c>
      <c r="I61" s="257">
        <v>189.59</v>
      </c>
      <c r="J61" s="256">
        <v>1984.34</v>
      </c>
      <c r="K61" s="246">
        <v>720.48</v>
      </c>
      <c r="L61" s="246">
        <v>185.67</v>
      </c>
      <c r="M61" s="332">
        <v>754.18</v>
      </c>
      <c r="N61" s="333">
        <v>1348.97</v>
      </c>
      <c r="O61" s="255">
        <v>917.93</v>
      </c>
      <c r="P61" s="255">
        <v>91.13</v>
      </c>
      <c r="Q61" s="256">
        <v>160.33</v>
      </c>
      <c r="R61" s="292"/>
      <c r="S61" s="338"/>
      <c r="T61" s="338"/>
      <c r="U61" s="338"/>
      <c r="V61" s="338"/>
      <c r="W61" s="338"/>
      <c r="X61" s="338"/>
      <c r="Y61" s="338"/>
      <c r="Z61" s="338"/>
      <c r="AA61" s="338"/>
      <c r="AB61" s="338"/>
      <c r="AC61" s="338"/>
      <c r="AD61" s="338"/>
      <c r="AE61" s="338"/>
      <c r="AF61" s="338"/>
      <c r="AG61" s="338"/>
    </row>
    <row r="62" spans="1:33" ht="12">
      <c r="A62" s="262">
        <v>1999</v>
      </c>
      <c r="B62" s="263" t="s">
        <v>61</v>
      </c>
      <c r="C62" s="326">
        <v>7391.99</v>
      </c>
      <c r="D62" s="255">
        <v>453.37</v>
      </c>
      <c r="E62" s="246">
        <v>149.12</v>
      </c>
      <c r="F62" s="326">
        <v>6789.5</v>
      </c>
      <c r="G62" s="257">
        <v>182.44</v>
      </c>
      <c r="H62" s="246">
        <v>35.16</v>
      </c>
      <c r="I62" s="257">
        <v>214.68</v>
      </c>
      <c r="J62" s="256">
        <v>2149.87</v>
      </c>
      <c r="K62" s="246">
        <v>689.62</v>
      </c>
      <c r="L62" s="246">
        <v>158.66</v>
      </c>
      <c r="M62" s="332">
        <v>787.27</v>
      </c>
      <c r="N62" s="333">
        <v>1372.81</v>
      </c>
      <c r="O62" s="255">
        <v>789.01</v>
      </c>
      <c r="P62" s="255">
        <v>88.22</v>
      </c>
      <c r="Q62" s="256">
        <v>182.54</v>
      </c>
      <c r="R62" s="292"/>
      <c r="S62" s="338"/>
      <c r="T62" s="338"/>
      <c r="U62" s="338"/>
      <c r="V62" s="338"/>
      <c r="W62" s="338"/>
      <c r="X62" s="338"/>
      <c r="Y62" s="338"/>
      <c r="Z62" s="338"/>
      <c r="AA62" s="338"/>
      <c r="AB62" s="338"/>
      <c r="AC62" s="338"/>
      <c r="AD62" s="338"/>
      <c r="AE62" s="338"/>
      <c r="AF62" s="338"/>
      <c r="AG62" s="338"/>
    </row>
    <row r="63" spans="1:33" ht="12">
      <c r="A63" s="262">
        <v>1999</v>
      </c>
      <c r="B63" s="263" t="s">
        <v>62</v>
      </c>
      <c r="C63" s="326">
        <v>7310.59</v>
      </c>
      <c r="D63" s="255">
        <v>481</v>
      </c>
      <c r="E63" s="246">
        <v>111.2</v>
      </c>
      <c r="F63" s="326">
        <v>6718.4</v>
      </c>
      <c r="G63" s="257">
        <v>182.57</v>
      </c>
      <c r="H63" s="246">
        <v>31.51</v>
      </c>
      <c r="I63" s="257">
        <v>163.09</v>
      </c>
      <c r="J63" s="256">
        <v>2181.56</v>
      </c>
      <c r="K63" s="246">
        <v>671.94</v>
      </c>
      <c r="L63" s="246">
        <v>206.87</v>
      </c>
      <c r="M63" s="332">
        <v>796.37</v>
      </c>
      <c r="N63" s="333">
        <v>1320.1</v>
      </c>
      <c r="O63" s="255">
        <v>785.05</v>
      </c>
      <c r="P63" s="255">
        <v>76.37</v>
      </c>
      <c r="Q63" s="256">
        <v>147.28</v>
      </c>
      <c r="R63" s="292"/>
      <c r="S63" s="338"/>
      <c r="T63" s="338"/>
      <c r="U63" s="338"/>
      <c r="V63" s="338"/>
      <c r="W63" s="338"/>
      <c r="X63" s="338"/>
      <c r="Y63" s="338"/>
      <c r="Z63" s="338"/>
      <c r="AA63" s="338"/>
      <c r="AB63" s="338"/>
      <c r="AC63" s="338"/>
      <c r="AD63" s="338"/>
      <c r="AE63" s="338"/>
      <c r="AF63" s="338"/>
      <c r="AG63" s="338"/>
    </row>
    <row r="64" spans="1:33" ht="12">
      <c r="A64" s="262">
        <v>1999</v>
      </c>
      <c r="B64" s="263" t="s">
        <v>63</v>
      </c>
      <c r="C64" s="326">
        <v>6772.04</v>
      </c>
      <c r="D64" s="255">
        <v>423.01</v>
      </c>
      <c r="E64" s="246">
        <v>98.08</v>
      </c>
      <c r="F64" s="326">
        <v>6250.94</v>
      </c>
      <c r="G64" s="257">
        <v>118.32</v>
      </c>
      <c r="H64" s="246">
        <v>32.55</v>
      </c>
      <c r="I64" s="257">
        <v>205.82</v>
      </c>
      <c r="J64" s="256">
        <v>1791.88</v>
      </c>
      <c r="K64" s="246">
        <v>583.85</v>
      </c>
      <c r="L64" s="246">
        <v>252.91</v>
      </c>
      <c r="M64" s="332">
        <v>726.28</v>
      </c>
      <c r="N64" s="333">
        <v>1200.93</v>
      </c>
      <c r="O64" s="255">
        <v>919.87</v>
      </c>
      <c r="P64" s="255">
        <v>106.58</v>
      </c>
      <c r="Q64" s="256">
        <v>141.41</v>
      </c>
      <c r="R64" s="292"/>
      <c r="S64" s="338"/>
      <c r="T64" s="338"/>
      <c r="U64" s="338"/>
      <c r="V64" s="338"/>
      <c r="W64" s="338"/>
      <c r="X64" s="338"/>
      <c r="Y64" s="338"/>
      <c r="Z64" s="338"/>
      <c r="AA64" s="338"/>
      <c r="AB64" s="338"/>
      <c r="AC64" s="338"/>
      <c r="AD64" s="338"/>
      <c r="AE64" s="338"/>
      <c r="AF64" s="338"/>
      <c r="AG64" s="338"/>
    </row>
    <row r="65" spans="1:33" ht="12">
      <c r="A65" s="262">
        <v>1999</v>
      </c>
      <c r="B65" s="263" t="s">
        <v>64</v>
      </c>
      <c r="C65" s="326">
        <v>7082.23</v>
      </c>
      <c r="D65" s="255">
        <v>447.95</v>
      </c>
      <c r="E65" s="246">
        <v>155.19</v>
      </c>
      <c r="F65" s="326">
        <v>6479.09</v>
      </c>
      <c r="G65" s="257">
        <v>121.3</v>
      </c>
      <c r="H65" s="246">
        <v>28.04</v>
      </c>
      <c r="I65" s="257">
        <v>223.09</v>
      </c>
      <c r="J65" s="256">
        <v>1907.82</v>
      </c>
      <c r="K65" s="246">
        <v>668.59</v>
      </c>
      <c r="L65" s="246">
        <v>240.98</v>
      </c>
      <c r="M65" s="332">
        <v>847.25</v>
      </c>
      <c r="N65" s="333">
        <v>1336.65</v>
      </c>
      <c r="O65" s="255">
        <v>813.19</v>
      </c>
      <c r="P65" s="255">
        <v>61.66</v>
      </c>
      <c r="Q65" s="256">
        <v>112.43</v>
      </c>
      <c r="R65" s="292"/>
      <c r="S65" s="338"/>
      <c r="T65" s="338"/>
      <c r="U65" s="338"/>
      <c r="V65" s="338"/>
      <c r="W65" s="338"/>
      <c r="X65" s="338"/>
      <c r="Y65" s="338"/>
      <c r="Z65" s="338"/>
      <c r="AA65" s="338"/>
      <c r="AB65" s="338"/>
      <c r="AC65" s="338"/>
      <c r="AD65" s="338"/>
      <c r="AE65" s="338"/>
      <c r="AF65" s="338"/>
      <c r="AG65" s="338"/>
    </row>
    <row r="66" spans="1:33" ht="12">
      <c r="A66" s="262">
        <v>1999</v>
      </c>
      <c r="B66" s="263" t="s">
        <v>65</v>
      </c>
      <c r="C66" s="326">
        <v>7663.55</v>
      </c>
      <c r="D66" s="255">
        <v>465.91</v>
      </c>
      <c r="E66" s="246">
        <v>113.5</v>
      </c>
      <c r="F66" s="326">
        <v>7084.14</v>
      </c>
      <c r="G66" s="257">
        <v>240.27</v>
      </c>
      <c r="H66" s="246">
        <v>30.53</v>
      </c>
      <c r="I66" s="257">
        <v>121.85</v>
      </c>
      <c r="J66" s="256">
        <v>2308.03</v>
      </c>
      <c r="K66" s="246">
        <v>596.04</v>
      </c>
      <c r="L66" s="246">
        <v>361.36</v>
      </c>
      <c r="M66" s="332">
        <v>866.69</v>
      </c>
      <c r="N66" s="333">
        <v>1277.58</v>
      </c>
      <c r="O66" s="255">
        <v>997.83</v>
      </c>
      <c r="P66" s="255">
        <v>60.55</v>
      </c>
      <c r="Q66" s="256">
        <v>130.09</v>
      </c>
      <c r="R66" s="292"/>
      <c r="S66" s="338"/>
      <c r="T66" s="338"/>
      <c r="U66" s="338"/>
      <c r="V66" s="338"/>
      <c r="W66" s="338"/>
      <c r="X66" s="338"/>
      <c r="Y66" s="338"/>
      <c r="Z66" s="338"/>
      <c r="AA66" s="338"/>
      <c r="AB66" s="338"/>
      <c r="AC66" s="338"/>
      <c r="AD66" s="338"/>
      <c r="AE66" s="338"/>
      <c r="AF66" s="338"/>
      <c r="AG66" s="338"/>
    </row>
    <row r="67" spans="1:33" ht="12">
      <c r="A67" s="264">
        <v>1999</v>
      </c>
      <c r="B67" s="265" t="s">
        <v>66</v>
      </c>
      <c r="C67" s="327">
        <v>7378.65</v>
      </c>
      <c r="D67" s="267">
        <v>437.51</v>
      </c>
      <c r="E67" s="267">
        <v>207.62</v>
      </c>
      <c r="F67" s="327">
        <v>6733.53</v>
      </c>
      <c r="G67" s="282">
        <v>143.28</v>
      </c>
      <c r="H67" s="267">
        <v>26.29</v>
      </c>
      <c r="I67" s="282">
        <v>236.1</v>
      </c>
      <c r="J67" s="283">
        <v>2010.02</v>
      </c>
      <c r="K67" s="267">
        <v>505.64</v>
      </c>
      <c r="L67" s="267">
        <v>353.53</v>
      </c>
      <c r="M67" s="334">
        <v>889.61</v>
      </c>
      <c r="N67" s="335">
        <v>1349.59</v>
      </c>
      <c r="O67" s="267">
        <v>935.96</v>
      </c>
      <c r="P67" s="267">
        <v>34.39</v>
      </c>
      <c r="Q67" s="283">
        <v>97.07</v>
      </c>
      <c r="R67" s="292"/>
      <c r="S67" s="338"/>
      <c r="T67" s="338"/>
      <c r="U67" s="338"/>
      <c r="V67" s="338"/>
      <c r="W67" s="338"/>
      <c r="X67" s="338"/>
      <c r="Y67" s="338"/>
      <c r="Z67" s="338"/>
      <c r="AA67" s="338"/>
      <c r="AB67" s="338"/>
      <c r="AC67" s="338"/>
      <c r="AD67" s="338"/>
      <c r="AE67" s="338"/>
      <c r="AF67" s="338"/>
      <c r="AG67" s="338"/>
    </row>
    <row r="68" spans="1:33" ht="12">
      <c r="A68" s="262">
        <v>2000</v>
      </c>
      <c r="B68" s="263" t="s">
        <v>55</v>
      </c>
      <c r="C68" s="326">
        <v>7408.39</v>
      </c>
      <c r="D68" s="255">
        <v>423.64</v>
      </c>
      <c r="E68" s="246">
        <v>278.31</v>
      </c>
      <c r="F68" s="326">
        <v>6706.44</v>
      </c>
      <c r="G68" s="257">
        <v>151.17</v>
      </c>
      <c r="H68" s="246">
        <v>25.56</v>
      </c>
      <c r="I68" s="257">
        <v>258.56</v>
      </c>
      <c r="J68" s="256">
        <v>1970.38</v>
      </c>
      <c r="K68" s="246">
        <v>480</v>
      </c>
      <c r="L68" s="246">
        <v>270.61</v>
      </c>
      <c r="M68" s="332">
        <v>944.77</v>
      </c>
      <c r="N68" s="333">
        <v>1476.67</v>
      </c>
      <c r="O68" s="255">
        <v>946.23</v>
      </c>
      <c r="P68" s="255">
        <v>17.09</v>
      </c>
      <c r="Q68" s="256">
        <v>57.83</v>
      </c>
      <c r="R68" s="292"/>
      <c r="S68" s="338"/>
      <c r="T68" s="338"/>
      <c r="U68" s="338"/>
      <c r="V68" s="338"/>
      <c r="W68" s="338"/>
      <c r="X68" s="338"/>
      <c r="Y68" s="338"/>
      <c r="Z68" s="338"/>
      <c r="AA68" s="338"/>
      <c r="AB68" s="338"/>
      <c r="AC68" s="338"/>
      <c r="AD68" s="338"/>
      <c r="AE68" s="338"/>
      <c r="AF68" s="338"/>
      <c r="AG68" s="338"/>
    </row>
    <row r="69" spans="1:33" ht="12">
      <c r="A69" s="262">
        <v>2000</v>
      </c>
      <c r="B69" s="263" t="s">
        <v>56</v>
      </c>
      <c r="C69" s="326">
        <v>7408.39</v>
      </c>
      <c r="D69" s="255">
        <v>419.96</v>
      </c>
      <c r="E69" s="246">
        <v>361.9</v>
      </c>
      <c r="F69" s="326">
        <v>6626.53</v>
      </c>
      <c r="G69" s="257">
        <v>149.62</v>
      </c>
      <c r="H69" s="246">
        <v>23.86</v>
      </c>
      <c r="I69" s="257">
        <v>281.93</v>
      </c>
      <c r="J69" s="256">
        <v>1979.09</v>
      </c>
      <c r="K69" s="246">
        <v>497</v>
      </c>
      <c r="L69" s="246">
        <v>360.92</v>
      </c>
      <c r="M69" s="332">
        <v>933.98</v>
      </c>
      <c r="N69" s="333">
        <v>1312.18</v>
      </c>
      <c r="O69" s="255">
        <v>811.31</v>
      </c>
      <c r="P69" s="255">
        <v>63.05</v>
      </c>
      <c r="Q69" s="256">
        <v>125.48</v>
      </c>
      <c r="R69" s="292"/>
      <c r="S69" s="338"/>
      <c r="T69" s="338"/>
      <c r="U69" s="338"/>
      <c r="V69" s="338"/>
      <c r="W69" s="338"/>
      <c r="X69" s="338"/>
      <c r="Y69" s="338"/>
      <c r="Z69" s="338"/>
      <c r="AA69" s="338"/>
      <c r="AB69" s="338"/>
      <c r="AC69" s="338"/>
      <c r="AD69" s="338"/>
      <c r="AE69" s="338"/>
      <c r="AF69" s="338"/>
      <c r="AG69" s="338"/>
    </row>
    <row r="70" spans="1:33" ht="12">
      <c r="A70" s="262">
        <v>2000</v>
      </c>
      <c r="B70" s="263" t="s">
        <v>57</v>
      </c>
      <c r="C70" s="326">
        <v>7408.39</v>
      </c>
      <c r="D70" s="255">
        <v>429.54</v>
      </c>
      <c r="E70" s="246">
        <v>9.29</v>
      </c>
      <c r="F70" s="326">
        <v>6969.56</v>
      </c>
      <c r="G70" s="257">
        <v>159.54</v>
      </c>
      <c r="H70" s="246">
        <v>25.56</v>
      </c>
      <c r="I70" s="257">
        <v>266.36</v>
      </c>
      <c r="J70" s="256">
        <v>2125.78</v>
      </c>
      <c r="K70" s="246">
        <v>515</v>
      </c>
      <c r="L70" s="246">
        <v>312.75</v>
      </c>
      <c r="M70" s="332">
        <v>991.94</v>
      </c>
      <c r="N70" s="333">
        <v>1380.13</v>
      </c>
      <c r="O70" s="255">
        <v>837.23</v>
      </c>
      <c r="P70" s="255">
        <v>34.12</v>
      </c>
      <c r="Q70" s="256">
        <v>138.19</v>
      </c>
      <c r="R70" s="292"/>
      <c r="S70" s="338"/>
      <c r="T70" s="338"/>
      <c r="U70" s="338"/>
      <c r="V70" s="338"/>
      <c r="W70" s="338"/>
      <c r="X70" s="338"/>
      <c r="Y70" s="338"/>
      <c r="Z70" s="338"/>
      <c r="AA70" s="338"/>
      <c r="AB70" s="338"/>
      <c r="AC70" s="338"/>
      <c r="AD70" s="338"/>
      <c r="AE70" s="338"/>
      <c r="AF70" s="338"/>
      <c r="AG70" s="338"/>
    </row>
    <row r="71" spans="1:33" ht="12">
      <c r="A71" s="262">
        <v>2000</v>
      </c>
      <c r="B71" s="263" t="s">
        <v>58</v>
      </c>
      <c r="C71" s="326">
        <v>7174.28</v>
      </c>
      <c r="D71" s="255">
        <v>430.44</v>
      </c>
      <c r="E71" s="246">
        <v>-114.02</v>
      </c>
      <c r="F71" s="326">
        <v>6857.87</v>
      </c>
      <c r="G71" s="257">
        <v>191.06</v>
      </c>
      <c r="H71" s="246">
        <v>27.27</v>
      </c>
      <c r="I71" s="257">
        <v>279.82</v>
      </c>
      <c r="J71" s="256">
        <v>2051.89</v>
      </c>
      <c r="K71" s="246">
        <v>561</v>
      </c>
      <c r="L71" s="246">
        <v>309.79</v>
      </c>
      <c r="M71" s="332">
        <v>853.57</v>
      </c>
      <c r="N71" s="333">
        <v>1383.97</v>
      </c>
      <c r="O71" s="255">
        <v>917.64</v>
      </c>
      <c r="P71" s="255">
        <v>49.37</v>
      </c>
      <c r="Q71" s="256">
        <v>96.37</v>
      </c>
      <c r="R71" s="292"/>
      <c r="S71" s="338"/>
      <c r="T71" s="338"/>
      <c r="U71" s="338"/>
      <c r="V71" s="338"/>
      <c r="W71" s="338"/>
      <c r="X71" s="338"/>
      <c r="Y71" s="338"/>
      <c r="Z71" s="338"/>
      <c r="AA71" s="338"/>
      <c r="AB71" s="338"/>
      <c r="AC71" s="338"/>
      <c r="AD71" s="338"/>
      <c r="AE71" s="338"/>
      <c r="AF71" s="338"/>
      <c r="AG71" s="338"/>
    </row>
    <row r="72" spans="1:33" ht="12">
      <c r="A72" s="262">
        <v>2000</v>
      </c>
      <c r="B72" s="263" t="s">
        <v>59</v>
      </c>
      <c r="C72" s="326">
        <v>7174.28</v>
      </c>
      <c r="D72" s="255">
        <v>437.25</v>
      </c>
      <c r="E72" s="246">
        <v>-68.15</v>
      </c>
      <c r="F72" s="326">
        <v>6805.18</v>
      </c>
      <c r="G72" s="257">
        <v>173</v>
      </c>
      <c r="H72" s="246">
        <v>22.15</v>
      </c>
      <c r="I72" s="257">
        <v>304.5</v>
      </c>
      <c r="J72" s="256">
        <v>1976.84</v>
      </c>
      <c r="K72" s="246">
        <v>596</v>
      </c>
      <c r="L72" s="246">
        <v>175.73</v>
      </c>
      <c r="M72" s="332">
        <v>853.34</v>
      </c>
      <c r="N72" s="333">
        <v>1470.16</v>
      </c>
      <c r="O72" s="255">
        <v>857.78</v>
      </c>
      <c r="P72" s="255">
        <v>68</v>
      </c>
      <c r="Q72" s="256">
        <v>135.8</v>
      </c>
      <c r="R72" s="292"/>
      <c r="S72" s="338"/>
      <c r="T72" s="338"/>
      <c r="U72" s="338"/>
      <c r="V72" s="338"/>
      <c r="W72" s="338"/>
      <c r="X72" s="338"/>
      <c r="Y72" s="338"/>
      <c r="Z72" s="338"/>
      <c r="AA72" s="338"/>
      <c r="AB72" s="338"/>
      <c r="AC72" s="338"/>
      <c r="AD72" s="338"/>
      <c r="AE72" s="338"/>
      <c r="AF72" s="338"/>
      <c r="AG72" s="338"/>
    </row>
    <row r="73" spans="1:33" ht="12">
      <c r="A73" s="262">
        <v>2000</v>
      </c>
      <c r="B73" s="263" t="s">
        <v>60</v>
      </c>
      <c r="C73" s="326">
        <v>7174.28</v>
      </c>
      <c r="D73" s="255">
        <v>426.74</v>
      </c>
      <c r="E73" s="246">
        <v>604.83</v>
      </c>
      <c r="F73" s="326">
        <v>6142.72</v>
      </c>
      <c r="G73" s="257">
        <v>166.29</v>
      </c>
      <c r="H73" s="246">
        <v>23.86</v>
      </c>
      <c r="I73" s="257">
        <v>212.65</v>
      </c>
      <c r="J73" s="256">
        <v>1889.71</v>
      </c>
      <c r="K73" s="246">
        <v>519</v>
      </c>
      <c r="L73" s="246">
        <v>123.7</v>
      </c>
      <c r="M73" s="332">
        <v>779.59</v>
      </c>
      <c r="N73" s="333">
        <v>1394.41</v>
      </c>
      <c r="O73" s="255">
        <v>738.05</v>
      </c>
      <c r="P73" s="255">
        <v>66</v>
      </c>
      <c r="Q73" s="256">
        <v>131.67</v>
      </c>
      <c r="R73" s="292"/>
      <c r="S73" s="338"/>
      <c r="T73" s="338"/>
      <c r="U73" s="338"/>
      <c r="V73" s="338"/>
      <c r="W73" s="338"/>
      <c r="X73" s="338"/>
      <c r="Y73" s="338"/>
      <c r="Z73" s="338"/>
      <c r="AA73" s="338"/>
      <c r="AB73" s="338"/>
      <c r="AC73" s="338"/>
      <c r="AD73" s="338"/>
      <c r="AE73" s="338"/>
      <c r="AF73" s="338"/>
      <c r="AG73" s="338"/>
    </row>
    <row r="74" spans="1:33" ht="12">
      <c r="A74" s="262">
        <v>2000</v>
      </c>
      <c r="B74" s="263" t="s">
        <v>61</v>
      </c>
      <c r="C74" s="326">
        <v>7281.74</v>
      </c>
      <c r="D74" s="255">
        <v>440.81</v>
      </c>
      <c r="E74" s="246">
        <v>381.01</v>
      </c>
      <c r="F74" s="326">
        <v>6459.91</v>
      </c>
      <c r="G74" s="257">
        <v>168.2</v>
      </c>
      <c r="H74" s="246">
        <v>22.96</v>
      </c>
      <c r="I74" s="257">
        <v>198.05</v>
      </c>
      <c r="J74" s="256">
        <v>1849.71</v>
      </c>
      <c r="K74" s="246">
        <v>589</v>
      </c>
      <c r="L74" s="246">
        <v>184.79</v>
      </c>
      <c r="M74" s="332">
        <v>850.14</v>
      </c>
      <c r="N74" s="333">
        <v>1482.43</v>
      </c>
      <c r="O74" s="255">
        <v>805.95</v>
      </c>
      <c r="P74" s="255">
        <v>58.33</v>
      </c>
      <c r="Q74" s="256">
        <v>157.75</v>
      </c>
      <c r="R74" s="292"/>
      <c r="S74" s="338"/>
      <c r="T74" s="338"/>
      <c r="U74" s="338"/>
      <c r="V74" s="338"/>
      <c r="W74" s="338"/>
      <c r="X74" s="338"/>
      <c r="Y74" s="338"/>
      <c r="Z74" s="338"/>
      <c r="AA74" s="338"/>
      <c r="AB74" s="338"/>
      <c r="AC74" s="338"/>
      <c r="AD74" s="338"/>
      <c r="AE74" s="338"/>
      <c r="AF74" s="338"/>
      <c r="AG74" s="338"/>
    </row>
    <row r="75" spans="1:33" ht="12">
      <c r="A75" s="269">
        <v>2000</v>
      </c>
      <c r="B75" s="295" t="s">
        <v>62</v>
      </c>
      <c r="C75" s="326">
        <v>7281.74</v>
      </c>
      <c r="D75" s="255">
        <v>451.38</v>
      </c>
      <c r="E75" s="246">
        <v>-234.63</v>
      </c>
      <c r="F75" s="326">
        <v>7064.99</v>
      </c>
      <c r="G75" s="257">
        <v>185.16</v>
      </c>
      <c r="H75" s="246">
        <v>17.04</v>
      </c>
      <c r="I75" s="257">
        <v>265.63</v>
      </c>
      <c r="J75" s="256">
        <v>2007.18</v>
      </c>
      <c r="K75" s="246">
        <v>651</v>
      </c>
      <c r="L75" s="246">
        <v>184.16</v>
      </c>
      <c r="M75" s="332">
        <v>922.89</v>
      </c>
      <c r="N75" s="333">
        <v>1529.83</v>
      </c>
      <c r="O75" s="255">
        <v>912.28</v>
      </c>
      <c r="P75" s="255">
        <v>76.17</v>
      </c>
      <c r="Q75" s="256">
        <v>139.88</v>
      </c>
      <c r="R75" s="292"/>
      <c r="S75" s="338"/>
      <c r="T75" s="338"/>
      <c r="U75" s="338"/>
      <c r="V75" s="338"/>
      <c r="W75" s="338"/>
      <c r="X75" s="338"/>
      <c r="Y75" s="338"/>
      <c r="Z75" s="338"/>
      <c r="AA75" s="338"/>
      <c r="AB75" s="338"/>
      <c r="AC75" s="338"/>
      <c r="AD75" s="338"/>
      <c r="AE75" s="338"/>
      <c r="AF75" s="338"/>
      <c r="AG75" s="338"/>
    </row>
    <row r="76" spans="1:33" ht="12">
      <c r="A76" s="262">
        <v>2000</v>
      </c>
      <c r="B76" s="263" t="s">
        <v>63</v>
      </c>
      <c r="C76" s="326">
        <v>7281.74</v>
      </c>
      <c r="D76" s="255">
        <v>417.82</v>
      </c>
      <c r="E76" s="246">
        <v>202.72</v>
      </c>
      <c r="F76" s="326">
        <v>6661.2</v>
      </c>
      <c r="G76" s="257">
        <v>135.2</v>
      </c>
      <c r="H76" s="246">
        <v>18.75</v>
      </c>
      <c r="I76" s="257">
        <v>214.21</v>
      </c>
      <c r="J76" s="256">
        <v>1899.81</v>
      </c>
      <c r="K76" s="246">
        <v>558</v>
      </c>
      <c r="L76" s="246">
        <v>238.44</v>
      </c>
      <c r="M76" s="332">
        <v>913.24</v>
      </c>
      <c r="N76" s="333">
        <v>1510.06</v>
      </c>
      <c r="O76" s="255">
        <v>795.23</v>
      </c>
      <c r="P76" s="255">
        <v>74.32</v>
      </c>
      <c r="Q76" s="256">
        <v>122.67</v>
      </c>
      <c r="R76" s="292"/>
      <c r="S76" s="338"/>
      <c r="T76" s="338"/>
      <c r="U76" s="338"/>
      <c r="V76" s="338"/>
      <c r="W76" s="338"/>
      <c r="X76" s="338"/>
      <c r="Y76" s="338"/>
      <c r="Z76" s="338"/>
      <c r="AA76" s="338"/>
      <c r="AB76" s="338"/>
      <c r="AC76" s="338"/>
      <c r="AD76" s="338"/>
      <c r="AE76" s="338"/>
      <c r="AF76" s="338"/>
      <c r="AG76" s="338"/>
    </row>
    <row r="77" spans="1:33" ht="12">
      <c r="A77" s="262">
        <v>2000</v>
      </c>
      <c r="B77" s="263" t="s">
        <v>64</v>
      </c>
      <c r="C77" s="326">
        <v>7473.34</v>
      </c>
      <c r="D77" s="255">
        <v>443.88</v>
      </c>
      <c r="E77" s="246">
        <v>97.91</v>
      </c>
      <c r="F77" s="326">
        <v>6931.55</v>
      </c>
      <c r="G77" s="257">
        <v>131.47</v>
      </c>
      <c r="H77" s="246">
        <v>25.56</v>
      </c>
      <c r="I77" s="257">
        <v>248.33</v>
      </c>
      <c r="J77" s="256">
        <v>1981.65</v>
      </c>
      <c r="K77" s="246">
        <v>513</v>
      </c>
      <c r="L77" s="246">
        <v>308</v>
      </c>
      <c r="M77" s="332">
        <v>930.55</v>
      </c>
      <c r="N77" s="333">
        <v>1468.08</v>
      </c>
      <c r="O77" s="255">
        <v>779.15</v>
      </c>
      <c r="P77" s="255">
        <v>50.49</v>
      </c>
      <c r="Q77" s="256">
        <v>136.46</v>
      </c>
      <c r="R77" s="292"/>
      <c r="S77" s="338"/>
      <c r="T77" s="338"/>
      <c r="U77" s="338"/>
      <c r="V77" s="338"/>
      <c r="W77" s="338"/>
      <c r="X77" s="338"/>
      <c r="Y77" s="338"/>
      <c r="Z77" s="338"/>
      <c r="AA77" s="338"/>
      <c r="AB77" s="338"/>
      <c r="AC77" s="338"/>
      <c r="AD77" s="338"/>
      <c r="AE77" s="338"/>
      <c r="AF77" s="338"/>
      <c r="AG77" s="338"/>
    </row>
    <row r="78" spans="1:33" ht="12">
      <c r="A78" s="262">
        <v>2000</v>
      </c>
      <c r="B78" s="263" t="s">
        <v>65</v>
      </c>
      <c r="C78" s="326">
        <v>7473.34</v>
      </c>
      <c r="D78" s="255">
        <v>479.3</v>
      </c>
      <c r="E78" s="246">
        <v>158.9</v>
      </c>
      <c r="F78" s="326">
        <v>6835.14</v>
      </c>
      <c r="G78" s="257">
        <v>139.81</v>
      </c>
      <c r="H78" s="246">
        <v>27.27</v>
      </c>
      <c r="I78" s="257">
        <v>255</v>
      </c>
      <c r="J78" s="256">
        <v>1850.82</v>
      </c>
      <c r="K78" s="246">
        <v>489</v>
      </c>
      <c r="L78" s="246">
        <v>326</v>
      </c>
      <c r="M78" s="332">
        <v>1003.25</v>
      </c>
      <c r="N78" s="333">
        <v>1478.89</v>
      </c>
      <c r="O78" s="255">
        <v>918.54</v>
      </c>
      <c r="P78" s="255">
        <v>74.84</v>
      </c>
      <c r="Q78" s="256">
        <v>110.57</v>
      </c>
      <c r="R78" s="292"/>
      <c r="S78" s="338"/>
      <c r="T78" s="338"/>
      <c r="U78" s="338"/>
      <c r="V78" s="338"/>
      <c r="W78" s="338"/>
      <c r="X78" s="338"/>
      <c r="Y78" s="338"/>
      <c r="Z78" s="338"/>
      <c r="AA78" s="338"/>
      <c r="AB78" s="338"/>
      <c r="AC78" s="338"/>
      <c r="AD78" s="338"/>
      <c r="AE78" s="338"/>
      <c r="AF78" s="338"/>
      <c r="AG78" s="338"/>
    </row>
    <row r="79" spans="1:33" ht="12">
      <c r="A79" s="264">
        <v>2000</v>
      </c>
      <c r="B79" s="265" t="s">
        <v>66</v>
      </c>
      <c r="C79" s="327">
        <v>7473.34</v>
      </c>
      <c r="D79" s="267">
        <v>451.62</v>
      </c>
      <c r="E79" s="267">
        <v>-46.28</v>
      </c>
      <c r="F79" s="327">
        <v>7068</v>
      </c>
      <c r="G79" s="282">
        <v>168.22</v>
      </c>
      <c r="H79" s="267">
        <v>28.17</v>
      </c>
      <c r="I79" s="282">
        <v>296.32</v>
      </c>
      <c r="J79" s="283">
        <v>1862.14</v>
      </c>
      <c r="K79" s="267">
        <v>516</v>
      </c>
      <c r="L79" s="267">
        <v>283</v>
      </c>
      <c r="M79" s="334">
        <v>937.15</v>
      </c>
      <c r="N79" s="335">
        <v>1421.72</v>
      </c>
      <c r="O79" s="267">
        <v>976.61</v>
      </c>
      <c r="P79" s="267">
        <v>70.28</v>
      </c>
      <c r="Q79" s="283">
        <v>85.34</v>
      </c>
      <c r="R79" s="292"/>
      <c r="S79" s="338"/>
      <c r="T79" s="338"/>
      <c r="U79" s="338"/>
      <c r="V79" s="338"/>
      <c r="W79" s="338"/>
      <c r="X79" s="338"/>
      <c r="Y79" s="338"/>
      <c r="Z79" s="338"/>
      <c r="AA79" s="338"/>
      <c r="AB79" s="338"/>
      <c r="AC79" s="338"/>
      <c r="AD79" s="338"/>
      <c r="AE79" s="338"/>
      <c r="AF79" s="338"/>
      <c r="AG79" s="338"/>
    </row>
    <row r="80" spans="1:33" ht="12">
      <c r="A80" s="262">
        <v>2001</v>
      </c>
      <c r="B80" s="263" t="s">
        <v>55</v>
      </c>
      <c r="C80" s="326">
        <v>7726.05</v>
      </c>
      <c r="D80" s="255">
        <v>458.97</v>
      </c>
      <c r="E80" s="246">
        <v>133.72</v>
      </c>
      <c r="F80" s="326">
        <v>7133.36</v>
      </c>
      <c r="G80" s="257">
        <v>161.09</v>
      </c>
      <c r="H80" s="246">
        <v>50.23</v>
      </c>
      <c r="I80" s="257">
        <v>250.8</v>
      </c>
      <c r="J80" s="256">
        <v>1820.47</v>
      </c>
      <c r="K80" s="246">
        <v>472.04</v>
      </c>
      <c r="L80" s="246">
        <v>430.32</v>
      </c>
      <c r="M80" s="332">
        <v>969.5</v>
      </c>
      <c r="N80" s="333">
        <v>1515.33</v>
      </c>
      <c r="O80" s="255">
        <v>1066.55</v>
      </c>
      <c r="P80" s="255">
        <v>72.93</v>
      </c>
      <c r="Q80" s="256">
        <v>49.17</v>
      </c>
      <c r="R80" s="292"/>
      <c r="S80" s="338"/>
      <c r="T80" s="338"/>
      <c r="U80" s="338"/>
      <c r="V80" s="338"/>
      <c r="W80" s="338"/>
      <c r="X80" s="338"/>
      <c r="Y80" s="338"/>
      <c r="Z80" s="338"/>
      <c r="AA80" s="338"/>
      <c r="AB80" s="338"/>
      <c r="AC80" s="338"/>
      <c r="AD80" s="338"/>
      <c r="AE80" s="338"/>
      <c r="AF80" s="338"/>
      <c r="AG80" s="338"/>
    </row>
    <row r="81" spans="1:33" ht="12">
      <c r="A81" s="262">
        <v>2001</v>
      </c>
      <c r="B81" s="263" t="s">
        <v>56</v>
      </c>
      <c r="C81" s="326">
        <v>6168.46</v>
      </c>
      <c r="D81" s="255">
        <v>346.72</v>
      </c>
      <c r="E81" s="246">
        <v>292.6</v>
      </c>
      <c r="F81" s="326">
        <v>5529.15</v>
      </c>
      <c r="G81" s="257">
        <v>126.88</v>
      </c>
      <c r="H81" s="246">
        <v>46.98</v>
      </c>
      <c r="I81" s="257">
        <v>318.7</v>
      </c>
      <c r="J81" s="256">
        <v>1289.62</v>
      </c>
      <c r="K81" s="246">
        <v>307.41</v>
      </c>
      <c r="L81" s="246">
        <v>409.07</v>
      </c>
      <c r="M81" s="332">
        <v>821.74</v>
      </c>
      <c r="N81" s="333">
        <v>1154.49</v>
      </c>
      <c r="O81" s="255">
        <v>742.21</v>
      </c>
      <c r="P81" s="255">
        <v>69.23</v>
      </c>
      <c r="Q81" s="256">
        <v>120.85</v>
      </c>
      <c r="R81" s="292"/>
      <c r="S81" s="338"/>
      <c r="T81" s="338"/>
      <c r="U81" s="338"/>
      <c r="V81" s="338"/>
      <c r="W81" s="338"/>
      <c r="X81" s="338"/>
      <c r="Y81" s="338"/>
      <c r="Z81" s="338"/>
      <c r="AA81" s="338"/>
      <c r="AB81" s="338"/>
      <c r="AC81" s="338"/>
      <c r="AD81" s="338"/>
      <c r="AE81" s="338"/>
      <c r="AF81" s="338"/>
      <c r="AG81" s="338"/>
    </row>
    <row r="82" spans="1:33" ht="12">
      <c r="A82" s="262">
        <v>2001</v>
      </c>
      <c r="B82" s="263" t="s">
        <v>57</v>
      </c>
      <c r="C82" s="326">
        <v>6782.4</v>
      </c>
      <c r="D82" s="255">
        <v>409.53</v>
      </c>
      <c r="E82" s="246">
        <v>211.17</v>
      </c>
      <c r="F82" s="326">
        <v>6161.71</v>
      </c>
      <c r="G82" s="257">
        <v>143.15</v>
      </c>
      <c r="H82" s="246">
        <v>47.29</v>
      </c>
      <c r="I82" s="257">
        <v>272.92</v>
      </c>
      <c r="J82" s="256">
        <v>1610.48</v>
      </c>
      <c r="K82" s="246">
        <v>433.31</v>
      </c>
      <c r="L82" s="246">
        <v>326.25</v>
      </c>
      <c r="M82" s="332">
        <v>895.6</v>
      </c>
      <c r="N82" s="333">
        <v>1246.1</v>
      </c>
      <c r="O82" s="255">
        <v>903.52</v>
      </c>
      <c r="P82" s="255">
        <v>48.84</v>
      </c>
      <c r="Q82" s="256">
        <v>130.63</v>
      </c>
      <c r="R82" s="292"/>
      <c r="S82" s="338"/>
      <c r="T82" s="338"/>
      <c r="U82" s="338"/>
      <c r="V82" s="338"/>
      <c r="W82" s="338"/>
      <c r="X82" s="338"/>
      <c r="Y82" s="338"/>
      <c r="Z82" s="338"/>
      <c r="AA82" s="338"/>
      <c r="AB82" s="338"/>
      <c r="AC82" s="338"/>
      <c r="AD82" s="338"/>
      <c r="AE82" s="338"/>
      <c r="AF82" s="338"/>
      <c r="AG82" s="338"/>
    </row>
    <row r="83" spans="1:33" ht="12">
      <c r="A83" s="262">
        <v>2001</v>
      </c>
      <c r="B83" s="263" t="s">
        <v>58</v>
      </c>
      <c r="C83" s="326">
        <v>6008.16</v>
      </c>
      <c r="D83" s="255">
        <v>391.3</v>
      </c>
      <c r="E83" s="246">
        <v>-117.92</v>
      </c>
      <c r="F83" s="326">
        <v>5734.78</v>
      </c>
      <c r="G83" s="257">
        <v>169.64</v>
      </c>
      <c r="H83" s="246">
        <v>35.44</v>
      </c>
      <c r="I83" s="257">
        <v>270.24</v>
      </c>
      <c r="J83" s="256">
        <v>1566.45</v>
      </c>
      <c r="K83" s="246">
        <v>460.6</v>
      </c>
      <c r="L83" s="246">
        <v>218.35</v>
      </c>
      <c r="M83" s="332">
        <v>751.6</v>
      </c>
      <c r="N83" s="333">
        <v>1218.64</v>
      </c>
      <c r="O83" s="255">
        <v>799.7</v>
      </c>
      <c r="P83" s="255">
        <v>67.08</v>
      </c>
      <c r="Q83" s="256">
        <v>107.6</v>
      </c>
      <c r="R83" s="292"/>
      <c r="S83" s="338"/>
      <c r="T83" s="338"/>
      <c r="U83" s="338"/>
      <c r="V83" s="338"/>
      <c r="W83" s="338"/>
      <c r="X83" s="338"/>
      <c r="Y83" s="338"/>
      <c r="Z83" s="338"/>
      <c r="AA83" s="338"/>
      <c r="AB83" s="338"/>
      <c r="AC83" s="338"/>
      <c r="AD83" s="338"/>
      <c r="AE83" s="338"/>
      <c r="AF83" s="338"/>
      <c r="AG83" s="338"/>
    </row>
    <row r="84" spans="1:33" ht="12">
      <c r="A84" s="262">
        <v>2001</v>
      </c>
      <c r="B84" s="270" t="s">
        <v>59</v>
      </c>
      <c r="C84" s="326">
        <v>6334.71</v>
      </c>
      <c r="D84" s="255">
        <v>380.86</v>
      </c>
      <c r="E84" s="246">
        <v>10.46</v>
      </c>
      <c r="F84" s="326">
        <v>5943.39</v>
      </c>
      <c r="G84" s="257">
        <v>165.62</v>
      </c>
      <c r="H84" s="246">
        <v>17.72</v>
      </c>
      <c r="I84" s="257">
        <v>234.79</v>
      </c>
      <c r="J84" s="256">
        <v>1600.5</v>
      </c>
      <c r="K84" s="246">
        <v>493.4</v>
      </c>
      <c r="L84" s="246">
        <v>190.02</v>
      </c>
      <c r="M84" s="332">
        <v>687.18</v>
      </c>
      <c r="N84" s="333">
        <v>1183.9</v>
      </c>
      <c r="O84" s="255">
        <v>986.75</v>
      </c>
      <c r="P84" s="255">
        <v>54.15</v>
      </c>
      <c r="Q84" s="256">
        <v>124.08</v>
      </c>
      <c r="R84" s="292"/>
      <c r="S84" s="338"/>
      <c r="T84" s="338"/>
      <c r="U84" s="338"/>
      <c r="V84" s="338"/>
      <c r="W84" s="338"/>
      <c r="X84" s="338"/>
      <c r="Y84" s="338"/>
      <c r="Z84" s="338"/>
      <c r="AA84" s="338"/>
      <c r="AB84" s="338"/>
      <c r="AC84" s="338"/>
      <c r="AD84" s="338"/>
      <c r="AE84" s="338"/>
      <c r="AF84" s="338"/>
      <c r="AG84" s="338"/>
    </row>
    <row r="85" spans="1:33" ht="12">
      <c r="A85" s="262">
        <v>2001</v>
      </c>
      <c r="B85" s="270" t="s">
        <v>60</v>
      </c>
      <c r="C85" s="326">
        <v>5719.36</v>
      </c>
      <c r="D85" s="255">
        <v>360.1</v>
      </c>
      <c r="E85" s="246">
        <v>112.7</v>
      </c>
      <c r="F85" s="326">
        <v>5246.55</v>
      </c>
      <c r="G85" s="257">
        <v>134.27</v>
      </c>
      <c r="H85" s="246">
        <v>26.63</v>
      </c>
      <c r="I85" s="257">
        <v>277.17</v>
      </c>
      <c r="J85" s="256">
        <v>1394.31</v>
      </c>
      <c r="K85" s="246">
        <v>467.19</v>
      </c>
      <c r="L85" s="246">
        <v>133.02</v>
      </c>
      <c r="M85" s="332">
        <v>643.16</v>
      </c>
      <c r="N85" s="333">
        <v>1150.39</v>
      </c>
      <c r="O85" s="255">
        <v>737.06</v>
      </c>
      <c r="P85" s="255">
        <v>52.6</v>
      </c>
      <c r="Q85" s="256">
        <v>166.93</v>
      </c>
      <c r="R85" s="292"/>
      <c r="S85" s="338"/>
      <c r="T85" s="338"/>
      <c r="U85" s="338"/>
      <c r="V85" s="338"/>
      <c r="W85" s="338"/>
      <c r="X85" s="338"/>
      <c r="Y85" s="338"/>
      <c r="Z85" s="338"/>
      <c r="AA85" s="338"/>
      <c r="AB85" s="338"/>
      <c r="AC85" s="338"/>
      <c r="AD85" s="338"/>
      <c r="AE85" s="338"/>
      <c r="AF85" s="338"/>
      <c r="AG85" s="338"/>
    </row>
    <row r="86" spans="1:33" ht="12">
      <c r="A86" s="262">
        <v>2001</v>
      </c>
      <c r="B86" s="296" t="s">
        <v>61</v>
      </c>
      <c r="C86" s="326">
        <v>7198.76</v>
      </c>
      <c r="D86" s="255">
        <v>424.49</v>
      </c>
      <c r="E86" s="246">
        <v>189.29</v>
      </c>
      <c r="F86" s="326">
        <v>6584.98</v>
      </c>
      <c r="G86" s="257">
        <v>174.65</v>
      </c>
      <c r="H86" s="246">
        <v>33.03</v>
      </c>
      <c r="I86" s="257">
        <v>362.98</v>
      </c>
      <c r="J86" s="256">
        <v>1796.2</v>
      </c>
      <c r="K86" s="246">
        <v>642.74</v>
      </c>
      <c r="L86" s="246">
        <v>146.6</v>
      </c>
      <c r="M86" s="332">
        <v>807.56</v>
      </c>
      <c r="N86" s="333">
        <v>1408.19</v>
      </c>
      <c r="O86" s="255">
        <v>819.43</v>
      </c>
      <c r="P86" s="255">
        <v>43.49</v>
      </c>
      <c r="Q86" s="256">
        <v>178.76</v>
      </c>
      <c r="R86" s="292"/>
      <c r="S86" s="338"/>
      <c r="T86" s="338"/>
      <c r="U86" s="338"/>
      <c r="V86" s="338"/>
      <c r="W86" s="338"/>
      <c r="X86" s="338"/>
      <c r="Y86" s="338"/>
      <c r="Z86" s="338"/>
      <c r="AA86" s="338"/>
      <c r="AB86" s="338"/>
      <c r="AC86" s="338"/>
      <c r="AD86" s="338"/>
      <c r="AE86" s="338"/>
      <c r="AF86" s="338"/>
      <c r="AG86" s="338"/>
    </row>
    <row r="87" spans="1:33" ht="12">
      <c r="A87" s="262">
        <v>2001</v>
      </c>
      <c r="B87" s="296" t="s">
        <v>62</v>
      </c>
      <c r="C87" s="326">
        <v>7437.52</v>
      </c>
      <c r="D87" s="255">
        <v>484.66</v>
      </c>
      <c r="E87" s="246">
        <v>39.27</v>
      </c>
      <c r="F87" s="326">
        <v>6913.59</v>
      </c>
      <c r="G87" s="257">
        <v>199.74</v>
      </c>
      <c r="H87" s="246">
        <v>5.87</v>
      </c>
      <c r="I87" s="257">
        <v>312.47</v>
      </c>
      <c r="J87" s="256">
        <v>2014.18</v>
      </c>
      <c r="K87" s="246">
        <v>620.47</v>
      </c>
      <c r="L87" s="246">
        <v>199.29</v>
      </c>
      <c r="M87" s="332">
        <v>911.15</v>
      </c>
      <c r="N87" s="333">
        <v>1510.36</v>
      </c>
      <c r="O87" s="255">
        <v>805.71</v>
      </c>
      <c r="P87" s="255">
        <v>34.95</v>
      </c>
      <c r="Q87" s="256">
        <v>163.51</v>
      </c>
      <c r="R87" s="292"/>
      <c r="S87" s="338"/>
      <c r="T87" s="338"/>
      <c r="U87" s="338"/>
      <c r="V87" s="338"/>
      <c r="W87" s="338"/>
      <c r="X87" s="338"/>
      <c r="Y87" s="338"/>
      <c r="Z87" s="338"/>
      <c r="AA87" s="338"/>
      <c r="AB87" s="338"/>
      <c r="AC87" s="338"/>
      <c r="AD87" s="338"/>
      <c r="AE87" s="338"/>
      <c r="AF87" s="338"/>
      <c r="AG87" s="338"/>
    </row>
    <row r="88" spans="1:33" ht="12">
      <c r="A88" s="262">
        <v>2001</v>
      </c>
      <c r="B88" s="296" t="s">
        <v>63</v>
      </c>
      <c r="C88" s="326">
        <v>7437.33</v>
      </c>
      <c r="D88" s="255">
        <v>455.89</v>
      </c>
      <c r="E88" s="246">
        <v>-42.78</v>
      </c>
      <c r="F88" s="326">
        <v>7024.22</v>
      </c>
      <c r="G88" s="257">
        <v>139.45</v>
      </c>
      <c r="H88" s="246">
        <v>0.05</v>
      </c>
      <c r="I88" s="257">
        <v>275.41</v>
      </c>
      <c r="J88" s="256">
        <v>2139.02</v>
      </c>
      <c r="K88" s="246">
        <v>586.37</v>
      </c>
      <c r="L88" s="246">
        <v>238.11</v>
      </c>
      <c r="M88" s="332">
        <v>910.61</v>
      </c>
      <c r="N88" s="333">
        <v>1505.71</v>
      </c>
      <c r="O88" s="255">
        <v>822.87</v>
      </c>
      <c r="P88" s="255">
        <v>51.64</v>
      </c>
      <c r="Q88" s="256">
        <v>170.94</v>
      </c>
      <c r="R88" s="292"/>
      <c r="S88" s="338"/>
      <c r="T88" s="338"/>
      <c r="U88" s="338"/>
      <c r="V88" s="338"/>
      <c r="W88" s="338"/>
      <c r="X88" s="338"/>
      <c r="Y88" s="338"/>
      <c r="Z88" s="338"/>
      <c r="AA88" s="338"/>
      <c r="AB88" s="338"/>
      <c r="AC88" s="338"/>
      <c r="AD88" s="338"/>
      <c r="AE88" s="338"/>
      <c r="AF88" s="338"/>
      <c r="AG88" s="338"/>
    </row>
    <row r="89" spans="1:33" ht="12">
      <c r="A89" s="262">
        <v>2001</v>
      </c>
      <c r="B89" s="296" t="s">
        <v>64</v>
      </c>
      <c r="C89" s="326">
        <v>7532.54</v>
      </c>
      <c r="D89" s="255">
        <v>446.01</v>
      </c>
      <c r="E89" s="246">
        <v>102.17</v>
      </c>
      <c r="F89" s="326">
        <v>6984.36</v>
      </c>
      <c r="G89" s="257">
        <v>100.6</v>
      </c>
      <c r="H89" s="246">
        <v>2.94</v>
      </c>
      <c r="I89" s="257">
        <v>317.05</v>
      </c>
      <c r="J89" s="256">
        <v>2039.65</v>
      </c>
      <c r="K89" s="246">
        <v>490.87</v>
      </c>
      <c r="L89" s="246">
        <v>231.34</v>
      </c>
      <c r="M89" s="332">
        <v>987.39</v>
      </c>
      <c r="N89" s="333">
        <v>1557.76</v>
      </c>
      <c r="O89" s="255">
        <v>862.34</v>
      </c>
      <c r="P89" s="255">
        <v>49.29</v>
      </c>
      <c r="Q89" s="256">
        <v>168.67</v>
      </c>
      <c r="R89" s="292"/>
      <c r="S89" s="338"/>
      <c r="T89" s="338"/>
      <c r="U89" s="338"/>
      <c r="V89" s="338"/>
      <c r="W89" s="338"/>
      <c r="X89" s="338"/>
      <c r="Y89" s="338"/>
      <c r="Z89" s="338"/>
      <c r="AA89" s="338"/>
      <c r="AB89" s="338"/>
      <c r="AC89" s="338"/>
      <c r="AD89" s="338"/>
      <c r="AE89" s="338"/>
      <c r="AF89" s="338"/>
      <c r="AG89" s="338"/>
    </row>
    <row r="90" spans="1:33" ht="12">
      <c r="A90" s="262">
        <v>2001</v>
      </c>
      <c r="B90" s="273" t="s">
        <v>65</v>
      </c>
      <c r="C90" s="326">
        <v>7505.2</v>
      </c>
      <c r="D90" s="255">
        <v>443.25</v>
      </c>
      <c r="E90" s="246">
        <v>217.36</v>
      </c>
      <c r="F90" s="326">
        <v>6844.58</v>
      </c>
      <c r="G90" s="257">
        <v>122.54</v>
      </c>
      <c r="H90" s="246">
        <v>5.87</v>
      </c>
      <c r="I90" s="257">
        <v>248.91</v>
      </c>
      <c r="J90" s="256">
        <v>2113.68</v>
      </c>
      <c r="K90" s="246">
        <v>484.16</v>
      </c>
      <c r="L90" s="246">
        <v>243.04</v>
      </c>
      <c r="M90" s="332">
        <v>963.71</v>
      </c>
      <c r="N90" s="333">
        <v>1420.59</v>
      </c>
      <c r="O90" s="255">
        <v>833.16</v>
      </c>
      <c r="P90" s="255">
        <v>55.63</v>
      </c>
      <c r="Q90" s="256">
        <v>174.33</v>
      </c>
      <c r="R90" s="292"/>
      <c r="S90" s="338"/>
      <c r="T90" s="338"/>
      <c r="U90" s="338"/>
      <c r="V90" s="338"/>
      <c r="W90" s="338"/>
      <c r="X90" s="338"/>
      <c r="Y90" s="338"/>
      <c r="Z90" s="338"/>
      <c r="AA90" s="338"/>
      <c r="AB90" s="338"/>
      <c r="AC90" s="338"/>
      <c r="AD90" s="338"/>
      <c r="AE90" s="338"/>
      <c r="AF90" s="338"/>
      <c r="AG90" s="338"/>
    </row>
    <row r="91" spans="1:33" ht="12">
      <c r="A91" s="264">
        <v>2001</v>
      </c>
      <c r="B91" s="297" t="s">
        <v>66</v>
      </c>
      <c r="C91" s="327">
        <v>7492.33</v>
      </c>
      <c r="D91" s="267">
        <v>457.53</v>
      </c>
      <c r="E91" s="267">
        <v>85.35</v>
      </c>
      <c r="F91" s="327">
        <v>6949.46</v>
      </c>
      <c r="G91" s="282">
        <v>125.82</v>
      </c>
      <c r="H91" s="298">
        <v>0</v>
      </c>
      <c r="I91" s="282">
        <v>286.08</v>
      </c>
      <c r="J91" s="283">
        <v>2070.87</v>
      </c>
      <c r="K91" s="267">
        <v>451.32</v>
      </c>
      <c r="L91" s="267">
        <v>322.28</v>
      </c>
      <c r="M91" s="334">
        <v>1004.13</v>
      </c>
      <c r="N91" s="335">
        <v>1523.33</v>
      </c>
      <c r="O91" s="267">
        <v>799.7</v>
      </c>
      <c r="P91" s="267">
        <v>56.49</v>
      </c>
      <c r="Q91" s="283">
        <v>151.08</v>
      </c>
      <c r="R91" s="292"/>
      <c r="S91" s="338"/>
      <c r="T91" s="338"/>
      <c r="U91" s="338"/>
      <c r="V91" s="338"/>
      <c r="W91" s="338"/>
      <c r="X91" s="338"/>
      <c r="Y91" s="338"/>
      <c r="Z91" s="338"/>
      <c r="AA91" s="338"/>
      <c r="AB91" s="338"/>
      <c r="AC91" s="338"/>
      <c r="AD91" s="338"/>
      <c r="AE91" s="338"/>
      <c r="AF91" s="338"/>
      <c r="AG91" s="338"/>
    </row>
    <row r="92" spans="1:33" ht="12">
      <c r="A92" s="262">
        <v>2002</v>
      </c>
      <c r="B92" s="296" t="s">
        <v>55</v>
      </c>
      <c r="C92" s="326">
        <v>7263.16</v>
      </c>
      <c r="D92" s="255">
        <v>481.04</v>
      </c>
      <c r="E92" s="246">
        <v>72.25</v>
      </c>
      <c r="F92" s="326">
        <v>6709.86</v>
      </c>
      <c r="G92" s="257">
        <v>168.85</v>
      </c>
      <c r="H92" s="246">
        <v>49.68</v>
      </c>
      <c r="I92" s="257">
        <v>259.99</v>
      </c>
      <c r="J92" s="256">
        <v>1982.64</v>
      </c>
      <c r="K92" s="246">
        <v>363.15</v>
      </c>
      <c r="L92" s="246">
        <v>420.8</v>
      </c>
      <c r="M92" s="332">
        <v>942.92</v>
      </c>
      <c r="N92" s="333">
        <v>1473.77</v>
      </c>
      <c r="O92" s="255">
        <v>793.28</v>
      </c>
      <c r="P92" s="255">
        <v>40.66</v>
      </c>
      <c r="Q92" s="256">
        <v>46.86</v>
      </c>
      <c r="R92" s="292"/>
      <c r="S92" s="338"/>
      <c r="T92" s="338"/>
      <c r="U92" s="338"/>
      <c r="V92" s="338"/>
      <c r="W92" s="338"/>
      <c r="X92" s="338"/>
      <c r="Y92" s="338"/>
      <c r="Z92" s="338"/>
      <c r="AA92" s="338"/>
      <c r="AB92" s="338"/>
      <c r="AC92" s="338"/>
      <c r="AD92" s="338"/>
      <c r="AE92" s="338"/>
      <c r="AF92" s="338"/>
      <c r="AG92" s="338"/>
    </row>
    <row r="93" spans="1:33" ht="12">
      <c r="A93" s="262">
        <v>2002</v>
      </c>
      <c r="B93" s="296" t="s">
        <v>56</v>
      </c>
      <c r="C93" s="326">
        <v>6657.03</v>
      </c>
      <c r="D93" s="255">
        <v>458.85</v>
      </c>
      <c r="E93" s="246">
        <v>102.86</v>
      </c>
      <c r="F93" s="326">
        <v>6095.31</v>
      </c>
      <c r="G93" s="257">
        <v>145.25</v>
      </c>
      <c r="H93" s="246">
        <v>26.92</v>
      </c>
      <c r="I93" s="257">
        <v>263.19</v>
      </c>
      <c r="J93" s="256">
        <v>1778.82</v>
      </c>
      <c r="K93" s="246">
        <v>383.64</v>
      </c>
      <c r="L93" s="246">
        <v>357.18</v>
      </c>
      <c r="M93" s="332">
        <v>894.01</v>
      </c>
      <c r="N93" s="333">
        <v>1256.03</v>
      </c>
      <c r="O93" s="255">
        <v>700.57</v>
      </c>
      <c r="P93" s="255">
        <v>35.35</v>
      </c>
      <c r="Q93" s="256">
        <v>172.62</v>
      </c>
      <c r="R93" s="292"/>
      <c r="S93" s="338"/>
      <c r="T93" s="338"/>
      <c r="U93" s="338"/>
      <c r="V93" s="338"/>
      <c r="W93" s="338"/>
      <c r="X93" s="338"/>
      <c r="Y93" s="338"/>
      <c r="Z93" s="338"/>
      <c r="AA93" s="338"/>
      <c r="AB93" s="338"/>
      <c r="AC93" s="338"/>
      <c r="AD93" s="338"/>
      <c r="AE93" s="338"/>
      <c r="AF93" s="338"/>
      <c r="AG93" s="338"/>
    </row>
    <row r="94" spans="1:33" ht="12">
      <c r="A94" s="262">
        <v>2002</v>
      </c>
      <c r="B94" s="299" t="s">
        <v>57</v>
      </c>
      <c r="C94" s="326">
        <v>7215.42</v>
      </c>
      <c r="D94" s="255">
        <v>517.49</v>
      </c>
      <c r="E94" s="246">
        <v>-23.36</v>
      </c>
      <c r="F94" s="326">
        <v>6721.29</v>
      </c>
      <c r="G94" s="257">
        <v>177.97</v>
      </c>
      <c r="H94" s="246">
        <v>45.71</v>
      </c>
      <c r="I94" s="257">
        <v>240.95</v>
      </c>
      <c r="J94" s="256">
        <v>2015.17</v>
      </c>
      <c r="K94" s="246">
        <v>411.83</v>
      </c>
      <c r="L94" s="246">
        <v>407.47</v>
      </c>
      <c r="M94" s="332">
        <v>1001.73</v>
      </c>
      <c r="N94" s="333">
        <v>1393.75</v>
      </c>
      <c r="O94" s="255">
        <v>710.24</v>
      </c>
      <c r="P94" s="255">
        <v>52.83</v>
      </c>
      <c r="Q94" s="256">
        <v>157.45</v>
      </c>
      <c r="R94" s="292"/>
      <c r="S94" s="338"/>
      <c r="T94" s="338"/>
      <c r="U94" s="338"/>
      <c r="V94" s="338"/>
      <c r="W94" s="338"/>
      <c r="X94" s="338"/>
      <c r="Y94" s="338"/>
      <c r="Z94" s="338"/>
      <c r="AA94" s="338"/>
      <c r="AB94" s="338"/>
      <c r="AC94" s="338"/>
      <c r="AD94" s="338"/>
      <c r="AE94" s="338"/>
      <c r="AF94" s="338"/>
      <c r="AG94" s="338"/>
    </row>
    <row r="95" spans="1:33" ht="12">
      <c r="A95" s="262">
        <v>2002</v>
      </c>
      <c r="B95" s="299" t="s">
        <v>58</v>
      </c>
      <c r="C95" s="326">
        <v>7149.49</v>
      </c>
      <c r="D95" s="255">
        <v>441.46</v>
      </c>
      <c r="E95" s="246">
        <v>192.09</v>
      </c>
      <c r="F95" s="326">
        <v>6515.95</v>
      </c>
      <c r="G95" s="257">
        <v>186.57</v>
      </c>
      <c r="H95" s="246">
        <v>32.88</v>
      </c>
      <c r="I95" s="257">
        <v>242.59</v>
      </c>
      <c r="J95" s="256">
        <v>1899.39</v>
      </c>
      <c r="K95" s="246">
        <v>390.41</v>
      </c>
      <c r="L95" s="246">
        <v>256.85</v>
      </c>
      <c r="M95" s="332">
        <v>924.85</v>
      </c>
      <c r="N95" s="333">
        <v>1499.54</v>
      </c>
      <c r="O95" s="255">
        <v>674.77</v>
      </c>
      <c r="P95" s="255">
        <v>45.35</v>
      </c>
      <c r="Q95" s="256">
        <v>169.49</v>
      </c>
      <c r="R95" s="292"/>
      <c r="S95" s="338"/>
      <c r="T95" s="338"/>
      <c r="U95" s="338"/>
      <c r="V95" s="338"/>
      <c r="W95" s="338"/>
      <c r="X95" s="338"/>
      <c r="Y95" s="338"/>
      <c r="Z95" s="338"/>
      <c r="AA95" s="338"/>
      <c r="AB95" s="338"/>
      <c r="AC95" s="338"/>
      <c r="AD95" s="338"/>
      <c r="AE95" s="338"/>
      <c r="AF95" s="338"/>
      <c r="AG95" s="338"/>
    </row>
    <row r="96" spans="1:33" ht="12">
      <c r="A96" s="262">
        <v>2002</v>
      </c>
      <c r="B96" s="300" t="s">
        <v>59</v>
      </c>
      <c r="C96" s="326">
        <v>7027.41</v>
      </c>
      <c r="D96" s="255">
        <v>481.41</v>
      </c>
      <c r="E96" s="246">
        <v>-28.18</v>
      </c>
      <c r="F96" s="326">
        <v>6574.18</v>
      </c>
      <c r="G96" s="257">
        <v>198.24</v>
      </c>
      <c r="H96" s="246">
        <v>55.64</v>
      </c>
      <c r="I96" s="257">
        <v>226.19</v>
      </c>
      <c r="J96" s="256">
        <v>1971.92</v>
      </c>
      <c r="K96" s="246">
        <v>476.81</v>
      </c>
      <c r="L96" s="246">
        <v>240.51</v>
      </c>
      <c r="M96" s="332">
        <v>860.1</v>
      </c>
      <c r="N96" s="333">
        <v>1481.82</v>
      </c>
      <c r="O96" s="255">
        <v>790.06</v>
      </c>
      <c r="P96" s="255">
        <v>33.82</v>
      </c>
      <c r="Q96" s="256">
        <v>157.19</v>
      </c>
      <c r="R96" s="292"/>
      <c r="S96" s="338"/>
      <c r="T96" s="338"/>
      <c r="U96" s="338"/>
      <c r="V96" s="338"/>
      <c r="W96" s="338"/>
      <c r="X96" s="338"/>
      <c r="Y96" s="338"/>
      <c r="Z96" s="338"/>
      <c r="AA96" s="338"/>
      <c r="AB96" s="338"/>
      <c r="AC96" s="338"/>
      <c r="AD96" s="338"/>
      <c r="AE96" s="338"/>
      <c r="AF96" s="338"/>
      <c r="AG96" s="338"/>
    </row>
    <row r="97" spans="1:33" ht="12">
      <c r="A97" s="262">
        <v>2002</v>
      </c>
      <c r="B97" s="296" t="s">
        <v>60</v>
      </c>
      <c r="C97" s="326">
        <v>6732.97</v>
      </c>
      <c r="D97" s="255">
        <v>437.91</v>
      </c>
      <c r="E97" s="246">
        <v>84.31</v>
      </c>
      <c r="F97" s="326">
        <v>6210.74</v>
      </c>
      <c r="G97" s="257">
        <v>195.35</v>
      </c>
      <c r="H97" s="246">
        <v>54.74</v>
      </c>
      <c r="I97" s="257">
        <v>204.72</v>
      </c>
      <c r="J97" s="256">
        <v>1852.7</v>
      </c>
      <c r="K97" s="246">
        <v>538.52</v>
      </c>
      <c r="L97" s="246">
        <v>200.2</v>
      </c>
      <c r="M97" s="332">
        <v>826.94</v>
      </c>
      <c r="N97" s="333">
        <v>1479.11</v>
      </c>
      <c r="O97" s="255">
        <v>536.92</v>
      </c>
      <c r="P97" s="255">
        <v>56.75</v>
      </c>
      <c r="Q97" s="256">
        <v>172.02</v>
      </c>
      <c r="R97" s="292"/>
      <c r="S97" s="338"/>
      <c r="T97" s="338"/>
      <c r="U97" s="338"/>
      <c r="V97" s="338"/>
      <c r="W97" s="338"/>
      <c r="X97" s="338"/>
      <c r="Y97" s="338"/>
      <c r="Z97" s="338"/>
      <c r="AA97" s="338"/>
      <c r="AB97" s="338"/>
      <c r="AC97" s="338"/>
      <c r="AD97" s="338"/>
      <c r="AE97" s="338"/>
      <c r="AF97" s="338"/>
      <c r="AG97" s="338"/>
    </row>
    <row r="98" spans="1:33" ht="12">
      <c r="A98" s="262">
        <v>2002</v>
      </c>
      <c r="B98" s="273" t="s">
        <v>61</v>
      </c>
      <c r="C98" s="326">
        <v>7403.21</v>
      </c>
      <c r="D98" s="255">
        <v>411.45</v>
      </c>
      <c r="E98" s="246">
        <v>-5.38</v>
      </c>
      <c r="F98" s="326">
        <v>6997.14</v>
      </c>
      <c r="G98" s="257">
        <v>211.96</v>
      </c>
      <c r="H98" s="246">
        <v>56.73</v>
      </c>
      <c r="I98" s="257">
        <v>259.86</v>
      </c>
      <c r="J98" s="256">
        <v>1976.25</v>
      </c>
      <c r="K98" s="246">
        <v>555.01</v>
      </c>
      <c r="L98" s="246">
        <v>162.93</v>
      </c>
      <c r="M98" s="332">
        <v>933.94</v>
      </c>
      <c r="N98" s="333">
        <v>1628.56</v>
      </c>
      <c r="O98" s="255">
        <v>740.07</v>
      </c>
      <c r="P98" s="255">
        <v>49.83</v>
      </c>
      <c r="Q98" s="256">
        <v>204.54</v>
      </c>
      <c r="R98" s="292"/>
      <c r="S98" s="338"/>
      <c r="T98" s="338"/>
      <c r="U98" s="338"/>
      <c r="V98" s="338"/>
      <c r="W98" s="338"/>
      <c r="X98" s="338"/>
      <c r="Y98" s="338"/>
      <c r="Z98" s="338"/>
      <c r="AA98" s="338"/>
      <c r="AB98" s="338"/>
      <c r="AC98" s="338"/>
      <c r="AD98" s="338"/>
      <c r="AE98" s="338"/>
      <c r="AF98" s="338"/>
      <c r="AG98" s="338"/>
    </row>
    <row r="99" spans="1:33" ht="12">
      <c r="A99" s="262">
        <v>2002</v>
      </c>
      <c r="B99" s="296" t="s">
        <v>62</v>
      </c>
      <c r="C99" s="326">
        <v>7222.04</v>
      </c>
      <c r="D99" s="255">
        <v>516.95</v>
      </c>
      <c r="E99" s="246">
        <v>128.54</v>
      </c>
      <c r="F99" s="326">
        <v>6576.54</v>
      </c>
      <c r="G99" s="257">
        <v>199.7</v>
      </c>
      <c r="H99" s="246">
        <v>43.72</v>
      </c>
      <c r="I99" s="257">
        <v>310.34</v>
      </c>
      <c r="J99" s="256">
        <v>1940.69</v>
      </c>
      <c r="K99" s="246">
        <v>459.34</v>
      </c>
      <c r="L99" s="246">
        <v>204.39</v>
      </c>
      <c r="M99" s="332">
        <v>910.15</v>
      </c>
      <c r="N99" s="333">
        <v>1508.7</v>
      </c>
      <c r="O99" s="255">
        <v>652.2</v>
      </c>
      <c r="P99" s="255">
        <v>64.09</v>
      </c>
      <c r="Q99" s="256">
        <v>194.58</v>
      </c>
      <c r="R99" s="292"/>
      <c r="S99" s="338"/>
      <c r="T99" s="338"/>
      <c r="U99" s="338"/>
      <c r="V99" s="338"/>
      <c r="W99" s="338"/>
      <c r="X99" s="338"/>
      <c r="Y99" s="338"/>
      <c r="Z99" s="338"/>
      <c r="AA99" s="338"/>
      <c r="AB99" s="338"/>
      <c r="AC99" s="338"/>
      <c r="AD99" s="338"/>
      <c r="AE99" s="338"/>
      <c r="AF99" s="338"/>
      <c r="AG99" s="338"/>
    </row>
    <row r="100" spans="1:33" ht="12">
      <c r="A100" s="262">
        <v>2002</v>
      </c>
      <c r="B100" s="301" t="s">
        <v>63</v>
      </c>
      <c r="C100" s="326">
        <v>7186.96</v>
      </c>
      <c r="D100" s="255">
        <v>520.85</v>
      </c>
      <c r="E100" s="246">
        <v>107.44</v>
      </c>
      <c r="F100" s="326">
        <v>6558.66</v>
      </c>
      <c r="G100" s="257">
        <v>152.43</v>
      </c>
      <c r="H100" s="246">
        <v>43.72</v>
      </c>
      <c r="I100" s="257">
        <v>236.26</v>
      </c>
      <c r="J100" s="256">
        <v>2011.25</v>
      </c>
      <c r="K100" s="246">
        <v>432.53</v>
      </c>
      <c r="L100" s="246">
        <v>325.18</v>
      </c>
      <c r="M100" s="332">
        <v>904.41</v>
      </c>
      <c r="N100" s="333">
        <v>1495.46</v>
      </c>
      <c r="O100" s="255">
        <v>687.67</v>
      </c>
      <c r="P100" s="255">
        <v>17.17</v>
      </c>
      <c r="Q100" s="256">
        <v>177.85</v>
      </c>
      <c r="R100" s="292"/>
      <c r="S100" s="338"/>
      <c r="T100" s="338"/>
      <c r="U100" s="338"/>
      <c r="V100" s="338"/>
      <c r="W100" s="338"/>
      <c r="X100" s="338"/>
      <c r="Y100" s="338"/>
      <c r="Z100" s="338"/>
      <c r="AA100" s="338"/>
      <c r="AB100" s="338"/>
      <c r="AC100" s="338"/>
      <c r="AD100" s="338"/>
      <c r="AE100" s="338"/>
      <c r="AF100" s="338"/>
      <c r="AG100" s="338"/>
    </row>
    <row r="101" spans="1:33" ht="12">
      <c r="A101" s="262">
        <v>2002</v>
      </c>
      <c r="B101" s="273" t="s">
        <v>64</v>
      </c>
      <c r="C101" s="326">
        <v>6464.86</v>
      </c>
      <c r="D101" s="255">
        <v>507.03</v>
      </c>
      <c r="E101" s="246">
        <v>1.16</v>
      </c>
      <c r="F101" s="326">
        <v>5956.67</v>
      </c>
      <c r="G101" s="257">
        <v>138.76</v>
      </c>
      <c r="H101" s="246">
        <v>35.77</v>
      </c>
      <c r="I101" s="257">
        <v>289.02</v>
      </c>
      <c r="J101" s="256">
        <v>1815.97</v>
      </c>
      <c r="K101" s="246">
        <v>500.02</v>
      </c>
      <c r="L101" s="246">
        <v>247.04</v>
      </c>
      <c r="M101" s="332">
        <v>805.84</v>
      </c>
      <c r="N101" s="333">
        <v>1271.33</v>
      </c>
      <c r="O101" s="255">
        <v>641.72</v>
      </c>
      <c r="P101" s="255">
        <v>18.53</v>
      </c>
      <c r="Q101" s="256">
        <v>191.18</v>
      </c>
      <c r="R101" s="292"/>
      <c r="S101" s="338"/>
      <c r="T101" s="338"/>
      <c r="U101" s="338"/>
      <c r="V101" s="338"/>
      <c r="W101" s="338"/>
      <c r="X101" s="338"/>
      <c r="Y101" s="338"/>
      <c r="Z101" s="338"/>
      <c r="AA101" s="338"/>
      <c r="AB101" s="338"/>
      <c r="AC101" s="338"/>
      <c r="AD101" s="338"/>
      <c r="AE101" s="338"/>
      <c r="AF101" s="338"/>
      <c r="AG101" s="338"/>
    </row>
    <row r="102" spans="1:33" ht="12">
      <c r="A102" s="262">
        <v>2002</v>
      </c>
      <c r="B102" s="296" t="s">
        <v>65</v>
      </c>
      <c r="C102" s="326">
        <v>6954.14</v>
      </c>
      <c r="D102" s="255">
        <v>421.51</v>
      </c>
      <c r="E102" s="246">
        <v>90.88</v>
      </c>
      <c r="F102" s="326">
        <v>6441.76</v>
      </c>
      <c r="G102" s="257">
        <v>156.42</v>
      </c>
      <c r="H102" s="246">
        <v>47.69</v>
      </c>
      <c r="I102" s="257">
        <v>292.64</v>
      </c>
      <c r="J102" s="256">
        <v>1727.98</v>
      </c>
      <c r="K102" s="246">
        <v>438.65</v>
      </c>
      <c r="L102" s="246">
        <v>298.09</v>
      </c>
      <c r="M102" s="332">
        <v>923.71</v>
      </c>
      <c r="N102" s="333">
        <v>1361.63</v>
      </c>
      <c r="O102" s="255">
        <v>829.56</v>
      </c>
      <c r="P102" s="255">
        <v>43.39</v>
      </c>
      <c r="Q102" s="256">
        <v>152.11</v>
      </c>
      <c r="R102" s="292"/>
      <c r="S102" s="338"/>
      <c r="T102" s="338"/>
      <c r="U102" s="338"/>
      <c r="V102" s="338"/>
      <c r="W102" s="338"/>
      <c r="X102" s="338"/>
      <c r="Y102" s="338"/>
      <c r="Z102" s="338"/>
      <c r="AA102" s="338"/>
      <c r="AB102" s="338"/>
      <c r="AC102" s="338"/>
      <c r="AD102" s="338"/>
      <c r="AE102" s="338"/>
      <c r="AF102" s="338"/>
      <c r="AG102" s="338"/>
    </row>
    <row r="103" spans="1:33" ht="12">
      <c r="A103" s="264">
        <v>2002</v>
      </c>
      <c r="B103" s="297" t="s">
        <v>66</v>
      </c>
      <c r="C103" s="327">
        <v>7507.24</v>
      </c>
      <c r="D103" s="267">
        <v>481.05</v>
      </c>
      <c r="E103" s="267">
        <v>65.65</v>
      </c>
      <c r="F103" s="327">
        <v>6960.53</v>
      </c>
      <c r="G103" s="282">
        <v>207.05</v>
      </c>
      <c r="H103" s="267">
        <v>44.8</v>
      </c>
      <c r="I103" s="282">
        <v>327.93</v>
      </c>
      <c r="J103" s="283">
        <v>1971.26</v>
      </c>
      <c r="K103" s="267">
        <v>414.68</v>
      </c>
      <c r="L103" s="267">
        <v>385.26</v>
      </c>
      <c r="M103" s="334">
        <v>1019.19</v>
      </c>
      <c r="N103" s="335">
        <v>1546.17</v>
      </c>
      <c r="O103" s="267">
        <v>748.94</v>
      </c>
      <c r="P103" s="267">
        <v>51.27</v>
      </c>
      <c r="Q103" s="283">
        <v>122.14</v>
      </c>
      <c r="R103" s="292"/>
      <c r="S103" s="338"/>
      <c r="T103" s="338"/>
      <c r="U103" s="338"/>
      <c r="V103" s="338"/>
      <c r="W103" s="338"/>
      <c r="X103" s="338"/>
      <c r="Y103" s="338"/>
      <c r="Z103" s="338"/>
      <c r="AA103" s="338"/>
      <c r="AB103" s="338"/>
      <c r="AC103" s="338"/>
      <c r="AD103" s="338"/>
      <c r="AE103" s="338"/>
      <c r="AF103" s="338"/>
      <c r="AG103" s="338"/>
    </row>
    <row r="104" spans="1:33" ht="12">
      <c r="A104" s="262">
        <v>2003</v>
      </c>
      <c r="B104" s="296" t="s">
        <v>55</v>
      </c>
      <c r="C104" s="326">
        <v>7160.97</v>
      </c>
      <c r="D104" s="255">
        <v>522.09</v>
      </c>
      <c r="E104" s="246">
        <v>-26.94</v>
      </c>
      <c r="F104" s="326">
        <v>6665.82</v>
      </c>
      <c r="G104" s="257">
        <v>206.47</v>
      </c>
      <c r="H104" s="246">
        <v>52.15</v>
      </c>
      <c r="I104" s="257">
        <v>338.62</v>
      </c>
      <c r="J104" s="256">
        <v>2005.83</v>
      </c>
      <c r="K104" s="246">
        <v>328</v>
      </c>
      <c r="L104" s="246">
        <v>469.67</v>
      </c>
      <c r="M104" s="332">
        <v>868.57</v>
      </c>
      <c r="N104" s="333">
        <v>1357.56</v>
      </c>
      <c r="O104" s="255">
        <v>764.5</v>
      </c>
      <c r="P104" s="255">
        <v>45.15</v>
      </c>
      <c r="Q104" s="256">
        <v>51</v>
      </c>
      <c r="R104" s="292"/>
      <c r="S104" s="338"/>
      <c r="T104" s="338"/>
      <c r="U104" s="338"/>
      <c r="V104" s="338"/>
      <c r="W104" s="338"/>
      <c r="X104" s="338"/>
      <c r="Y104" s="338"/>
      <c r="Z104" s="338"/>
      <c r="AA104" s="338"/>
      <c r="AB104" s="338"/>
      <c r="AC104" s="338"/>
      <c r="AD104" s="338"/>
      <c r="AE104" s="338"/>
      <c r="AF104" s="338"/>
      <c r="AG104" s="338"/>
    </row>
    <row r="105" spans="1:33" ht="12">
      <c r="A105" s="262">
        <v>2003</v>
      </c>
      <c r="B105" s="296" t="s">
        <v>56</v>
      </c>
      <c r="C105" s="326">
        <v>6898.37</v>
      </c>
      <c r="D105" s="255">
        <v>491.38</v>
      </c>
      <c r="E105" s="246">
        <v>117.19</v>
      </c>
      <c r="F105" s="326">
        <v>6289.79</v>
      </c>
      <c r="G105" s="257">
        <v>167.23</v>
      </c>
      <c r="H105" s="246">
        <v>48.94</v>
      </c>
      <c r="I105" s="257">
        <v>284.07</v>
      </c>
      <c r="J105" s="256">
        <v>1848.16</v>
      </c>
      <c r="K105" s="246">
        <v>331.27</v>
      </c>
      <c r="L105" s="246">
        <v>406.02</v>
      </c>
      <c r="M105" s="332">
        <v>876.5</v>
      </c>
      <c r="N105" s="333">
        <v>1231.42</v>
      </c>
      <c r="O105" s="255">
        <v>783.42</v>
      </c>
      <c r="P105" s="255">
        <v>58.56</v>
      </c>
      <c r="Q105" s="256">
        <v>144.35</v>
      </c>
      <c r="R105" s="292"/>
      <c r="S105" s="338"/>
      <c r="T105" s="338"/>
      <c r="U105" s="338"/>
      <c r="V105" s="338"/>
      <c r="W105" s="338"/>
      <c r="X105" s="338"/>
      <c r="Y105" s="338"/>
      <c r="Z105" s="338"/>
      <c r="AA105" s="338"/>
      <c r="AB105" s="338"/>
      <c r="AC105" s="338"/>
      <c r="AD105" s="338"/>
      <c r="AE105" s="338"/>
      <c r="AF105" s="338"/>
      <c r="AG105" s="338"/>
    </row>
    <row r="106" spans="1:33" ht="12">
      <c r="A106" s="262">
        <v>2003</v>
      </c>
      <c r="B106" s="296" t="s">
        <v>57</v>
      </c>
      <c r="C106" s="326">
        <v>7401.92</v>
      </c>
      <c r="D106" s="255">
        <v>480.22</v>
      </c>
      <c r="E106" s="246">
        <v>-45.51</v>
      </c>
      <c r="F106" s="326">
        <v>6967.2</v>
      </c>
      <c r="G106" s="257">
        <v>193.49</v>
      </c>
      <c r="H106" s="246">
        <v>52.15</v>
      </c>
      <c r="I106" s="257">
        <v>390.84</v>
      </c>
      <c r="J106" s="256">
        <v>1963.26</v>
      </c>
      <c r="K106" s="246">
        <v>453.69</v>
      </c>
      <c r="L106" s="246">
        <v>350.04</v>
      </c>
      <c r="M106" s="332">
        <v>1026.63</v>
      </c>
      <c r="N106" s="333">
        <v>1428.41</v>
      </c>
      <c r="O106" s="255">
        <v>773.8</v>
      </c>
      <c r="P106" s="255">
        <v>29.7</v>
      </c>
      <c r="Q106" s="256">
        <v>157.44</v>
      </c>
      <c r="R106" s="292"/>
      <c r="S106" s="338"/>
      <c r="T106" s="338"/>
      <c r="U106" s="338"/>
      <c r="V106" s="338"/>
      <c r="W106" s="338"/>
      <c r="X106" s="338"/>
      <c r="Y106" s="338"/>
      <c r="Z106" s="338"/>
      <c r="AA106" s="338"/>
      <c r="AB106" s="338"/>
      <c r="AC106" s="338"/>
      <c r="AD106" s="338"/>
      <c r="AE106" s="338"/>
      <c r="AF106" s="338"/>
      <c r="AG106" s="338"/>
    </row>
    <row r="107" spans="1:33" ht="12">
      <c r="A107" s="262">
        <v>2003</v>
      </c>
      <c r="B107" s="296" t="s">
        <v>58</v>
      </c>
      <c r="C107" s="326">
        <v>7043.95</v>
      </c>
      <c r="D107" s="255">
        <v>409.35</v>
      </c>
      <c r="E107" s="246">
        <v>-48.05</v>
      </c>
      <c r="F107" s="326">
        <v>6682.65</v>
      </c>
      <c r="G107" s="257">
        <v>204.47</v>
      </c>
      <c r="H107" s="246">
        <v>100.41</v>
      </c>
      <c r="I107" s="257">
        <v>347.78</v>
      </c>
      <c r="J107" s="256">
        <v>1896.68</v>
      </c>
      <c r="K107" s="246">
        <v>519.05</v>
      </c>
      <c r="L107" s="246">
        <v>234.6</v>
      </c>
      <c r="M107" s="332">
        <v>897.05</v>
      </c>
      <c r="N107" s="333">
        <v>1454.46</v>
      </c>
      <c r="O107" s="255">
        <v>754.08</v>
      </c>
      <c r="P107" s="255">
        <v>45.37</v>
      </c>
      <c r="Q107" s="256">
        <v>87.83</v>
      </c>
      <c r="R107" s="292"/>
      <c r="S107" s="338"/>
      <c r="T107" s="338"/>
      <c r="U107" s="338"/>
      <c r="V107" s="338"/>
      <c r="W107" s="338"/>
      <c r="X107" s="338"/>
      <c r="Y107" s="338"/>
      <c r="Z107" s="338"/>
      <c r="AA107" s="338"/>
      <c r="AB107" s="338"/>
      <c r="AC107" s="338"/>
      <c r="AD107" s="338"/>
      <c r="AE107" s="338"/>
      <c r="AF107" s="338"/>
      <c r="AG107" s="338"/>
    </row>
    <row r="108" spans="1:33" ht="12">
      <c r="A108" s="262">
        <v>2003</v>
      </c>
      <c r="B108" s="296" t="s">
        <v>59</v>
      </c>
      <c r="C108" s="326">
        <v>7607.07</v>
      </c>
      <c r="D108" s="255">
        <v>429.34</v>
      </c>
      <c r="E108" s="246">
        <v>-96.4</v>
      </c>
      <c r="F108" s="326">
        <v>7274.12</v>
      </c>
      <c r="G108" s="257">
        <v>239.04</v>
      </c>
      <c r="H108" s="246">
        <v>50.09</v>
      </c>
      <c r="I108" s="257">
        <v>280.5</v>
      </c>
      <c r="J108" s="256">
        <v>2007.11</v>
      </c>
      <c r="K108" s="246">
        <v>548.68</v>
      </c>
      <c r="L108" s="246">
        <v>229.36</v>
      </c>
      <c r="M108" s="332">
        <v>912</v>
      </c>
      <c r="N108" s="333">
        <v>1571.23</v>
      </c>
      <c r="O108" s="255">
        <v>786.36</v>
      </c>
      <c r="P108" s="255">
        <v>48.83</v>
      </c>
      <c r="Q108" s="256">
        <v>340.31</v>
      </c>
      <c r="R108" s="292"/>
      <c r="S108" s="338"/>
      <c r="T108" s="338"/>
      <c r="U108" s="338"/>
      <c r="V108" s="338"/>
      <c r="W108" s="338"/>
      <c r="X108" s="338"/>
      <c r="Y108" s="338"/>
      <c r="Z108" s="338"/>
      <c r="AA108" s="338"/>
      <c r="AB108" s="338"/>
      <c r="AC108" s="338"/>
      <c r="AD108" s="338"/>
      <c r="AE108" s="338"/>
      <c r="AF108" s="338"/>
      <c r="AG108" s="338"/>
    </row>
    <row r="109" spans="1:33" ht="12">
      <c r="A109" s="262">
        <v>2003</v>
      </c>
      <c r="B109" s="296" t="s">
        <v>60</v>
      </c>
      <c r="C109" s="326">
        <v>7080.99</v>
      </c>
      <c r="D109" s="255">
        <v>403.14</v>
      </c>
      <c r="E109" s="246">
        <v>142.85</v>
      </c>
      <c r="F109" s="326">
        <v>6535</v>
      </c>
      <c r="G109" s="257">
        <v>232.87</v>
      </c>
      <c r="H109" s="246">
        <v>48.14</v>
      </c>
      <c r="I109" s="257">
        <v>257.52</v>
      </c>
      <c r="J109" s="256">
        <v>1886.4</v>
      </c>
      <c r="K109" s="246">
        <v>465.43</v>
      </c>
      <c r="L109" s="246">
        <v>173.4</v>
      </c>
      <c r="M109" s="332">
        <v>839.27</v>
      </c>
      <c r="N109" s="333">
        <v>1501.15</v>
      </c>
      <c r="O109" s="255">
        <v>794.55</v>
      </c>
      <c r="P109" s="255">
        <v>42.41</v>
      </c>
      <c r="Q109" s="256">
        <v>133.5</v>
      </c>
      <c r="R109" s="292"/>
      <c r="S109" s="338"/>
      <c r="T109" s="338"/>
      <c r="U109" s="338"/>
      <c r="V109" s="338"/>
      <c r="W109" s="338"/>
      <c r="X109" s="338"/>
      <c r="Y109" s="338"/>
      <c r="Z109" s="338"/>
      <c r="AA109" s="338"/>
      <c r="AB109" s="338"/>
      <c r="AC109" s="338"/>
      <c r="AD109" s="338"/>
      <c r="AE109" s="338"/>
      <c r="AF109" s="338"/>
      <c r="AG109" s="338"/>
    </row>
    <row r="110" spans="1:33" ht="12">
      <c r="A110" s="262">
        <v>2003</v>
      </c>
      <c r="B110" s="296" t="s">
        <v>61</v>
      </c>
      <c r="C110" s="326">
        <v>6581.61</v>
      </c>
      <c r="D110" s="255">
        <v>476.09</v>
      </c>
      <c r="E110" s="246">
        <v>-57.76</v>
      </c>
      <c r="F110" s="326">
        <v>6163.28</v>
      </c>
      <c r="G110" s="257">
        <v>225.07</v>
      </c>
      <c r="H110" s="246">
        <v>43.22</v>
      </c>
      <c r="I110" s="257">
        <v>311.88</v>
      </c>
      <c r="J110" s="256">
        <v>1766.72</v>
      </c>
      <c r="K110" s="246">
        <v>476.48</v>
      </c>
      <c r="L110" s="246">
        <v>177.47</v>
      </c>
      <c r="M110" s="332">
        <v>796.5</v>
      </c>
      <c r="N110" s="333">
        <v>1388.89</v>
      </c>
      <c r="O110" s="255">
        <v>665.2</v>
      </c>
      <c r="P110" s="255">
        <v>53.02</v>
      </c>
      <c r="Q110" s="256">
        <v>169.51</v>
      </c>
      <c r="R110" s="292"/>
      <c r="S110" s="338"/>
      <c r="T110" s="338"/>
      <c r="U110" s="338"/>
      <c r="V110" s="338"/>
      <c r="W110" s="338"/>
      <c r="X110" s="338"/>
      <c r="Y110" s="338"/>
      <c r="Z110" s="338"/>
      <c r="AA110" s="338"/>
      <c r="AB110" s="338"/>
      <c r="AC110" s="338"/>
      <c r="AD110" s="338"/>
      <c r="AE110" s="338"/>
      <c r="AF110" s="338"/>
      <c r="AG110" s="338"/>
    </row>
    <row r="111" spans="1:33" ht="12">
      <c r="A111" s="262">
        <v>2003</v>
      </c>
      <c r="B111" s="296" t="s">
        <v>62</v>
      </c>
      <c r="C111" s="326">
        <v>7490.24</v>
      </c>
      <c r="D111" s="255">
        <v>474.82</v>
      </c>
      <c r="E111" s="246">
        <v>101.73</v>
      </c>
      <c r="F111" s="326">
        <v>6913.69</v>
      </c>
      <c r="G111" s="257">
        <v>191.21</v>
      </c>
      <c r="H111" s="246">
        <v>60.45</v>
      </c>
      <c r="I111" s="257">
        <v>211.79</v>
      </c>
      <c r="J111" s="256">
        <v>2005.59</v>
      </c>
      <c r="K111" s="246">
        <v>549.4</v>
      </c>
      <c r="L111" s="246">
        <v>201.77</v>
      </c>
      <c r="M111" s="332">
        <v>929.1</v>
      </c>
      <c r="N111" s="333">
        <v>1540.12</v>
      </c>
      <c r="O111" s="255">
        <v>817.12</v>
      </c>
      <c r="P111" s="255">
        <v>48.09</v>
      </c>
      <c r="Q111" s="256">
        <v>165.6</v>
      </c>
      <c r="R111" s="292"/>
      <c r="S111" s="338"/>
      <c r="T111" s="338"/>
      <c r="U111" s="338"/>
      <c r="V111" s="338"/>
      <c r="W111" s="338"/>
      <c r="X111" s="338"/>
      <c r="Y111" s="338"/>
      <c r="Z111" s="338"/>
      <c r="AA111" s="338"/>
      <c r="AB111" s="338"/>
      <c r="AC111" s="338"/>
      <c r="AD111" s="338"/>
      <c r="AE111" s="338"/>
      <c r="AF111" s="338"/>
      <c r="AG111" s="338"/>
    </row>
    <row r="112" spans="1:33" ht="12">
      <c r="A112" s="262">
        <v>2003</v>
      </c>
      <c r="B112" s="296" t="s">
        <v>63</v>
      </c>
      <c r="C112" s="326">
        <v>6488.57</v>
      </c>
      <c r="D112" s="255">
        <v>416.27</v>
      </c>
      <c r="E112" s="246">
        <v>30.91</v>
      </c>
      <c r="F112" s="326">
        <v>6041.39</v>
      </c>
      <c r="G112" s="257">
        <v>147.31</v>
      </c>
      <c r="H112" s="246">
        <v>49.9</v>
      </c>
      <c r="I112" s="257">
        <v>262.45</v>
      </c>
      <c r="J112" s="256">
        <v>1698.86</v>
      </c>
      <c r="K112" s="246">
        <v>443.1</v>
      </c>
      <c r="L112" s="246">
        <v>277.62</v>
      </c>
      <c r="M112" s="332">
        <v>751.08</v>
      </c>
      <c r="N112" s="333">
        <v>1241.93</v>
      </c>
      <c r="O112" s="255">
        <v>754.22</v>
      </c>
      <c r="P112" s="255">
        <v>47.26</v>
      </c>
      <c r="Q112" s="256">
        <v>224.46</v>
      </c>
      <c r="R112" s="292"/>
      <c r="S112" s="338"/>
      <c r="T112" s="338"/>
      <c r="U112" s="338"/>
      <c r="V112" s="338"/>
      <c r="W112" s="338"/>
      <c r="X112" s="338"/>
      <c r="Y112" s="338"/>
      <c r="Z112" s="338"/>
      <c r="AA112" s="338"/>
      <c r="AB112" s="338"/>
      <c r="AC112" s="338"/>
      <c r="AD112" s="338"/>
      <c r="AE112" s="338"/>
      <c r="AF112" s="338"/>
      <c r="AG112" s="338"/>
    </row>
    <row r="113" spans="1:33" ht="12">
      <c r="A113" s="262">
        <v>2003</v>
      </c>
      <c r="B113" s="296" t="s">
        <v>64</v>
      </c>
      <c r="C113" s="326">
        <v>6550.72</v>
      </c>
      <c r="D113" s="255">
        <v>429.46</v>
      </c>
      <c r="E113" s="246">
        <v>-120.23</v>
      </c>
      <c r="F113" s="326">
        <v>6241.49</v>
      </c>
      <c r="G113" s="257">
        <v>168.56</v>
      </c>
      <c r="H113" s="246">
        <v>74.01</v>
      </c>
      <c r="I113" s="257">
        <v>294.34</v>
      </c>
      <c r="J113" s="256">
        <v>1808.85</v>
      </c>
      <c r="K113" s="246">
        <v>409.32</v>
      </c>
      <c r="L113" s="246">
        <v>267.46</v>
      </c>
      <c r="M113" s="332">
        <v>847.52</v>
      </c>
      <c r="N113" s="333">
        <v>1337.08</v>
      </c>
      <c r="O113" s="255">
        <v>727.71</v>
      </c>
      <c r="P113" s="255">
        <v>51.26</v>
      </c>
      <c r="Q113" s="256">
        <v>139.5</v>
      </c>
      <c r="R113" s="292"/>
      <c r="S113" s="338"/>
      <c r="T113" s="338"/>
      <c r="U113" s="338"/>
      <c r="V113" s="338"/>
      <c r="W113" s="338"/>
      <c r="X113" s="338"/>
      <c r="Y113" s="338"/>
      <c r="Z113" s="338"/>
      <c r="AA113" s="338"/>
      <c r="AB113" s="338"/>
      <c r="AC113" s="338"/>
      <c r="AD113" s="338"/>
      <c r="AE113" s="338"/>
      <c r="AF113" s="338"/>
      <c r="AG113" s="338"/>
    </row>
    <row r="114" spans="1:33" ht="12">
      <c r="A114" s="262">
        <v>2003</v>
      </c>
      <c r="B114" s="296" t="s">
        <v>65</v>
      </c>
      <c r="C114" s="326">
        <v>6873.8</v>
      </c>
      <c r="D114" s="255">
        <v>450.14</v>
      </c>
      <c r="E114" s="246">
        <v>-6.27</v>
      </c>
      <c r="F114" s="326">
        <v>6429.92</v>
      </c>
      <c r="G114" s="257">
        <v>156.11</v>
      </c>
      <c r="H114" s="246">
        <v>63.57</v>
      </c>
      <c r="I114" s="257">
        <v>254.1</v>
      </c>
      <c r="J114" s="256">
        <v>1810.38</v>
      </c>
      <c r="K114" s="246">
        <v>362.6</v>
      </c>
      <c r="L114" s="246">
        <v>317.17</v>
      </c>
      <c r="M114" s="332">
        <v>881.26</v>
      </c>
      <c r="N114" s="333">
        <v>1299.06</v>
      </c>
      <c r="O114" s="255">
        <v>968.93</v>
      </c>
      <c r="P114" s="255">
        <v>60.44</v>
      </c>
      <c r="Q114" s="256">
        <v>147.4</v>
      </c>
      <c r="R114" s="292"/>
      <c r="S114" s="338"/>
      <c r="T114" s="338"/>
      <c r="U114" s="338"/>
      <c r="V114" s="338"/>
      <c r="W114" s="338"/>
      <c r="X114" s="338"/>
      <c r="Y114" s="338"/>
      <c r="Z114" s="338"/>
      <c r="AA114" s="338"/>
      <c r="AB114" s="338"/>
      <c r="AC114" s="338"/>
      <c r="AD114" s="338"/>
      <c r="AE114" s="338"/>
      <c r="AF114" s="338"/>
      <c r="AG114" s="338"/>
    </row>
    <row r="115" spans="1:33" ht="12">
      <c r="A115" s="264">
        <v>2003</v>
      </c>
      <c r="B115" s="297" t="s">
        <v>66</v>
      </c>
      <c r="C115" s="327">
        <v>7406.81</v>
      </c>
      <c r="D115" s="267">
        <v>473.29</v>
      </c>
      <c r="E115" s="267">
        <v>64.66</v>
      </c>
      <c r="F115" s="327">
        <v>6868.87</v>
      </c>
      <c r="G115" s="282">
        <v>149.56</v>
      </c>
      <c r="H115" s="267">
        <v>73.03</v>
      </c>
      <c r="I115" s="282">
        <v>269.67</v>
      </c>
      <c r="J115" s="283">
        <v>1929.44</v>
      </c>
      <c r="K115" s="267">
        <v>390.8</v>
      </c>
      <c r="L115" s="267">
        <v>417.42</v>
      </c>
      <c r="M115" s="334">
        <v>954.74</v>
      </c>
      <c r="N115" s="335">
        <v>1448.41</v>
      </c>
      <c r="O115" s="267">
        <v>904.51</v>
      </c>
      <c r="P115" s="267">
        <v>45.78</v>
      </c>
      <c r="Q115" s="283">
        <v>163.37</v>
      </c>
      <c r="R115" s="292"/>
      <c r="S115" s="338"/>
      <c r="T115" s="338"/>
      <c r="U115" s="338"/>
      <c r="V115" s="338"/>
      <c r="W115" s="338"/>
      <c r="X115" s="338"/>
      <c r="Y115" s="338"/>
      <c r="Z115" s="338"/>
      <c r="AA115" s="338"/>
      <c r="AB115" s="338"/>
      <c r="AC115" s="338"/>
      <c r="AD115" s="338"/>
      <c r="AE115" s="338"/>
      <c r="AF115" s="338"/>
      <c r="AG115" s="338"/>
    </row>
    <row r="116" spans="1:33" ht="12">
      <c r="A116" s="262">
        <v>2004</v>
      </c>
      <c r="B116" s="296" t="s">
        <v>55</v>
      </c>
      <c r="C116" s="326">
        <v>7216.96</v>
      </c>
      <c r="D116" s="255">
        <v>441.9</v>
      </c>
      <c r="E116" s="246">
        <v>32.79</v>
      </c>
      <c r="F116" s="326">
        <v>6742.27</v>
      </c>
      <c r="G116" s="257">
        <v>153.25</v>
      </c>
      <c r="H116" s="246">
        <v>52.73</v>
      </c>
      <c r="I116" s="257">
        <v>302.23</v>
      </c>
      <c r="J116" s="256">
        <v>1964.18</v>
      </c>
      <c r="K116" s="246">
        <v>373.88</v>
      </c>
      <c r="L116" s="246">
        <v>447.04</v>
      </c>
      <c r="M116" s="332">
        <v>910.78</v>
      </c>
      <c r="N116" s="333">
        <v>1423.54</v>
      </c>
      <c r="O116" s="255">
        <v>893.3</v>
      </c>
      <c r="P116" s="255">
        <v>99.37</v>
      </c>
      <c r="Q116" s="256">
        <v>70.04</v>
      </c>
      <c r="R116" s="292"/>
      <c r="S116" s="338"/>
      <c r="T116" s="338"/>
      <c r="U116" s="338"/>
      <c r="V116" s="338"/>
      <c r="W116" s="338"/>
      <c r="X116" s="338"/>
      <c r="Y116" s="338"/>
      <c r="Z116" s="338"/>
      <c r="AA116" s="338"/>
      <c r="AB116" s="338"/>
      <c r="AC116" s="338"/>
      <c r="AD116" s="338"/>
      <c r="AE116" s="338"/>
      <c r="AF116" s="338"/>
      <c r="AG116" s="338"/>
    </row>
    <row r="117" spans="1:33" ht="12">
      <c r="A117" s="262">
        <v>2004</v>
      </c>
      <c r="B117" s="296" t="s">
        <v>56</v>
      </c>
      <c r="C117" s="326">
        <v>6740.99</v>
      </c>
      <c r="D117" s="255">
        <v>370.39</v>
      </c>
      <c r="E117" s="246">
        <v>-8.49</v>
      </c>
      <c r="F117" s="326">
        <v>6379.1</v>
      </c>
      <c r="G117" s="257">
        <v>118.36</v>
      </c>
      <c r="H117" s="246">
        <v>23.92</v>
      </c>
      <c r="I117" s="257">
        <v>183.14</v>
      </c>
      <c r="J117" s="256">
        <v>1769.57</v>
      </c>
      <c r="K117" s="246">
        <v>342.97</v>
      </c>
      <c r="L117" s="246">
        <v>392.48</v>
      </c>
      <c r="M117" s="332">
        <v>895</v>
      </c>
      <c r="N117" s="333">
        <v>1257.42</v>
      </c>
      <c r="O117" s="255">
        <v>1018.43</v>
      </c>
      <c r="P117" s="255">
        <v>70.35</v>
      </c>
      <c r="Q117" s="256">
        <v>192.7</v>
      </c>
      <c r="R117" s="292"/>
      <c r="S117" s="338"/>
      <c r="T117" s="338"/>
      <c r="U117" s="338"/>
      <c r="V117" s="338"/>
      <c r="W117" s="338"/>
      <c r="X117" s="338"/>
      <c r="Y117" s="338"/>
      <c r="Z117" s="338"/>
      <c r="AA117" s="338"/>
      <c r="AB117" s="338"/>
      <c r="AC117" s="338"/>
      <c r="AD117" s="338"/>
      <c r="AE117" s="338"/>
      <c r="AF117" s="338"/>
      <c r="AG117" s="338"/>
    </row>
    <row r="118" spans="1:33" ht="12">
      <c r="A118" s="262">
        <v>2004</v>
      </c>
      <c r="B118" s="296" t="s">
        <v>57</v>
      </c>
      <c r="C118" s="326">
        <v>7456.28</v>
      </c>
      <c r="D118" s="255">
        <v>440.55</v>
      </c>
      <c r="E118" s="246">
        <v>48.49</v>
      </c>
      <c r="F118" s="326">
        <v>6967.25</v>
      </c>
      <c r="G118" s="257">
        <v>149.54</v>
      </c>
      <c r="H118" s="246">
        <v>48.82</v>
      </c>
      <c r="I118" s="257">
        <v>269.34</v>
      </c>
      <c r="J118" s="256">
        <v>2049.79</v>
      </c>
      <c r="K118" s="246">
        <v>426.9</v>
      </c>
      <c r="L118" s="246">
        <v>387.57</v>
      </c>
      <c r="M118" s="332">
        <v>1022.16</v>
      </c>
      <c r="N118" s="333">
        <v>1422.18</v>
      </c>
      <c r="O118" s="255">
        <v>873.01</v>
      </c>
      <c r="P118" s="255">
        <v>87.45</v>
      </c>
      <c r="Q118" s="256">
        <v>138.15</v>
      </c>
      <c r="R118" s="292"/>
      <c r="S118" s="338"/>
      <c r="T118" s="338"/>
      <c r="U118" s="338"/>
      <c r="V118" s="338"/>
      <c r="W118" s="338"/>
      <c r="X118" s="338"/>
      <c r="Y118" s="338"/>
      <c r="Z118" s="338"/>
      <c r="AA118" s="338"/>
      <c r="AB118" s="338"/>
      <c r="AC118" s="338"/>
      <c r="AD118" s="338"/>
      <c r="AE118" s="338"/>
      <c r="AF118" s="338"/>
      <c r="AG118" s="338"/>
    </row>
    <row r="119" spans="1:33" ht="12">
      <c r="A119" s="262">
        <v>2004</v>
      </c>
      <c r="B119" s="296" t="s">
        <v>58</v>
      </c>
      <c r="C119" s="326">
        <v>7519.02</v>
      </c>
      <c r="D119" s="255">
        <v>471.58</v>
      </c>
      <c r="E119" s="246">
        <v>-1.46</v>
      </c>
      <c r="F119" s="326">
        <v>7048.89</v>
      </c>
      <c r="G119" s="257">
        <v>227.15</v>
      </c>
      <c r="H119" s="246">
        <v>58.62</v>
      </c>
      <c r="I119" s="257">
        <v>282.81</v>
      </c>
      <c r="J119" s="256">
        <v>2031.36</v>
      </c>
      <c r="K119" s="246">
        <v>494.18</v>
      </c>
      <c r="L119" s="246">
        <v>338.42</v>
      </c>
      <c r="M119" s="332">
        <v>890.18</v>
      </c>
      <c r="N119" s="333">
        <v>1443.32</v>
      </c>
      <c r="O119" s="255">
        <v>891.71</v>
      </c>
      <c r="P119" s="255">
        <v>91.95</v>
      </c>
      <c r="Q119" s="256">
        <v>182.23</v>
      </c>
      <c r="R119" s="292"/>
      <c r="S119" s="338"/>
      <c r="T119" s="338"/>
      <c r="U119" s="338"/>
      <c r="V119" s="338"/>
      <c r="W119" s="338"/>
      <c r="X119" s="338"/>
      <c r="Y119" s="338"/>
      <c r="Z119" s="338"/>
      <c r="AA119" s="338"/>
      <c r="AB119" s="338"/>
      <c r="AC119" s="338"/>
      <c r="AD119" s="338"/>
      <c r="AE119" s="338"/>
      <c r="AF119" s="338"/>
      <c r="AG119" s="338"/>
    </row>
    <row r="120" spans="1:33" ht="12">
      <c r="A120" s="262">
        <v>2004</v>
      </c>
      <c r="B120" s="296" t="s">
        <v>59</v>
      </c>
      <c r="C120" s="326">
        <v>7611.28</v>
      </c>
      <c r="D120" s="255">
        <v>476.66</v>
      </c>
      <c r="E120" s="246">
        <v>-95.82</v>
      </c>
      <c r="F120" s="326">
        <v>7230.45</v>
      </c>
      <c r="G120" s="257">
        <v>236.82</v>
      </c>
      <c r="H120" s="246">
        <v>37.63</v>
      </c>
      <c r="I120" s="257">
        <v>266.21</v>
      </c>
      <c r="J120" s="256">
        <v>2186.26</v>
      </c>
      <c r="K120" s="246">
        <v>556.96</v>
      </c>
      <c r="L120" s="246">
        <v>273.41</v>
      </c>
      <c r="M120" s="332">
        <v>844.36</v>
      </c>
      <c r="N120" s="333">
        <v>1454.69</v>
      </c>
      <c r="O120" s="255">
        <v>939.05</v>
      </c>
      <c r="P120" s="255">
        <v>92.91</v>
      </c>
      <c r="Q120" s="256">
        <v>196.57</v>
      </c>
      <c r="R120" s="292"/>
      <c r="S120" s="338"/>
      <c r="T120" s="338"/>
      <c r="U120" s="338"/>
      <c r="V120" s="338"/>
      <c r="W120" s="338"/>
      <c r="X120" s="338"/>
      <c r="Y120" s="338"/>
      <c r="Z120" s="338"/>
      <c r="AA120" s="338"/>
      <c r="AB120" s="338"/>
      <c r="AC120" s="338"/>
      <c r="AD120" s="338"/>
      <c r="AE120" s="338"/>
      <c r="AF120" s="338"/>
      <c r="AG120" s="338"/>
    </row>
    <row r="121" spans="1:33" ht="12">
      <c r="A121" s="262">
        <v>2004</v>
      </c>
      <c r="B121" s="296" t="s">
        <v>60</v>
      </c>
      <c r="C121" s="326">
        <v>7086.28</v>
      </c>
      <c r="D121" s="255">
        <v>464.92</v>
      </c>
      <c r="E121" s="246">
        <v>12.6</v>
      </c>
      <c r="F121" s="326">
        <v>6608.75</v>
      </c>
      <c r="G121" s="257">
        <v>207.11</v>
      </c>
      <c r="H121" s="246">
        <v>34.57</v>
      </c>
      <c r="I121" s="257">
        <v>156.38</v>
      </c>
      <c r="J121" s="256">
        <v>2129.51</v>
      </c>
      <c r="K121" s="246">
        <v>581.92</v>
      </c>
      <c r="L121" s="246">
        <v>186.87</v>
      </c>
      <c r="M121" s="332">
        <v>748.18</v>
      </c>
      <c r="N121" s="333">
        <v>1338.23</v>
      </c>
      <c r="O121" s="255">
        <v>846.47</v>
      </c>
      <c r="P121" s="255">
        <v>81.27</v>
      </c>
      <c r="Q121" s="256">
        <v>206.69</v>
      </c>
      <c r="R121" s="292"/>
      <c r="S121" s="338"/>
      <c r="T121" s="338"/>
      <c r="U121" s="338"/>
      <c r="V121" s="338"/>
      <c r="W121" s="338"/>
      <c r="X121" s="338"/>
      <c r="Y121" s="338"/>
      <c r="Z121" s="338"/>
      <c r="AA121" s="338"/>
      <c r="AB121" s="338"/>
      <c r="AC121" s="338"/>
      <c r="AD121" s="338"/>
      <c r="AE121" s="338"/>
      <c r="AF121" s="338"/>
      <c r="AG121" s="338"/>
    </row>
    <row r="122" spans="1:33" ht="12">
      <c r="A122" s="262">
        <v>2004</v>
      </c>
      <c r="B122" s="296" t="s">
        <v>61</v>
      </c>
      <c r="C122" s="326">
        <v>7932.83</v>
      </c>
      <c r="D122" s="255">
        <v>457.66</v>
      </c>
      <c r="E122" s="246">
        <v>17.05</v>
      </c>
      <c r="F122" s="326">
        <v>7458.12</v>
      </c>
      <c r="G122" s="257">
        <v>231.46</v>
      </c>
      <c r="H122" s="246">
        <v>40.83</v>
      </c>
      <c r="I122" s="257">
        <v>262.94</v>
      </c>
      <c r="J122" s="256">
        <v>2116.43</v>
      </c>
      <c r="K122" s="246">
        <v>639.89</v>
      </c>
      <c r="L122" s="246">
        <v>141.66</v>
      </c>
      <c r="M122" s="332">
        <v>887.41</v>
      </c>
      <c r="N122" s="333">
        <v>1547.42</v>
      </c>
      <c r="O122" s="255">
        <v>1092.85</v>
      </c>
      <c r="P122" s="255">
        <v>102.47</v>
      </c>
      <c r="Q122" s="256">
        <v>271.58</v>
      </c>
      <c r="R122" s="292"/>
      <c r="S122" s="338"/>
      <c r="T122" s="338"/>
      <c r="U122" s="338"/>
      <c r="V122" s="338"/>
      <c r="W122" s="338"/>
      <c r="X122" s="338"/>
      <c r="Y122" s="338"/>
      <c r="Z122" s="338"/>
      <c r="AA122" s="338"/>
      <c r="AB122" s="338"/>
      <c r="AC122" s="338"/>
      <c r="AD122" s="338"/>
      <c r="AE122" s="338"/>
      <c r="AF122" s="338"/>
      <c r="AG122" s="338"/>
    </row>
    <row r="123" spans="1:33" ht="12">
      <c r="A123" s="262">
        <v>2004</v>
      </c>
      <c r="B123" s="296" t="s">
        <v>62</v>
      </c>
      <c r="C123" s="326">
        <v>7777.87</v>
      </c>
      <c r="D123" s="255">
        <v>452.05</v>
      </c>
      <c r="E123" s="246">
        <v>-66.81</v>
      </c>
      <c r="F123" s="326">
        <v>7392.63</v>
      </c>
      <c r="G123" s="257">
        <v>188.96</v>
      </c>
      <c r="H123" s="246">
        <v>40.1</v>
      </c>
      <c r="I123" s="257">
        <v>256.77</v>
      </c>
      <c r="J123" s="256">
        <v>2102.3</v>
      </c>
      <c r="K123" s="246">
        <v>559.25</v>
      </c>
      <c r="L123" s="246">
        <v>176.04</v>
      </c>
      <c r="M123" s="332">
        <v>969.13</v>
      </c>
      <c r="N123" s="333">
        <v>1606.47</v>
      </c>
      <c r="O123" s="255">
        <v>1029.69</v>
      </c>
      <c r="P123" s="255">
        <v>117.09</v>
      </c>
      <c r="Q123" s="256">
        <v>232.28</v>
      </c>
      <c r="R123" s="292"/>
      <c r="S123" s="338"/>
      <c r="T123" s="338"/>
      <c r="U123" s="338"/>
      <c r="V123" s="338"/>
      <c r="W123" s="338"/>
      <c r="X123" s="338"/>
      <c r="Y123" s="338"/>
      <c r="Z123" s="338"/>
      <c r="AA123" s="338"/>
      <c r="AB123" s="338"/>
      <c r="AC123" s="338"/>
      <c r="AD123" s="338"/>
      <c r="AE123" s="338"/>
      <c r="AF123" s="338"/>
      <c r="AG123" s="338"/>
    </row>
    <row r="124" spans="1:33" ht="12">
      <c r="A124" s="262">
        <v>2004</v>
      </c>
      <c r="B124" s="296" t="s">
        <v>63</v>
      </c>
      <c r="C124" s="326">
        <v>7295.02</v>
      </c>
      <c r="D124" s="255">
        <v>405.67</v>
      </c>
      <c r="E124" s="246">
        <v>-78.55</v>
      </c>
      <c r="F124" s="326">
        <v>6967.89</v>
      </c>
      <c r="G124" s="257">
        <v>146.06</v>
      </c>
      <c r="H124" s="246">
        <v>43.89</v>
      </c>
      <c r="I124" s="257">
        <v>242.72</v>
      </c>
      <c r="J124" s="256">
        <v>1927.32</v>
      </c>
      <c r="K124" s="246">
        <v>445.56</v>
      </c>
      <c r="L124" s="246">
        <v>235.03</v>
      </c>
      <c r="M124" s="332">
        <v>895.76</v>
      </c>
      <c r="N124" s="333">
        <v>1481.16</v>
      </c>
      <c r="O124" s="255">
        <v>1112.76</v>
      </c>
      <c r="P124" s="255">
        <v>94.45</v>
      </c>
      <c r="Q124" s="256">
        <v>198.72</v>
      </c>
      <c r="R124" s="292"/>
      <c r="S124" s="338"/>
      <c r="T124" s="338"/>
      <c r="U124" s="338"/>
      <c r="V124" s="338"/>
      <c r="W124" s="338"/>
      <c r="X124" s="338"/>
      <c r="Y124" s="338"/>
      <c r="Z124" s="338"/>
      <c r="AA124" s="338"/>
      <c r="AB124" s="338"/>
      <c r="AC124" s="338"/>
      <c r="AD124" s="338"/>
      <c r="AE124" s="338"/>
      <c r="AF124" s="338"/>
      <c r="AG124" s="338"/>
    </row>
    <row r="125" spans="1:33" ht="12">
      <c r="A125" s="262">
        <v>2004</v>
      </c>
      <c r="B125" s="296" t="s">
        <v>64</v>
      </c>
      <c r="C125" s="326">
        <v>7760.44</v>
      </c>
      <c r="D125" s="255">
        <v>453.63</v>
      </c>
      <c r="E125" s="246">
        <v>-39.81</v>
      </c>
      <c r="F125" s="326">
        <v>7346.63</v>
      </c>
      <c r="G125" s="257">
        <v>166.81</v>
      </c>
      <c r="H125" s="246">
        <v>37.94</v>
      </c>
      <c r="I125" s="257">
        <v>280.72</v>
      </c>
      <c r="J125" s="256">
        <v>2089.16</v>
      </c>
      <c r="K125" s="246">
        <v>452</v>
      </c>
      <c r="L125" s="246">
        <v>299.39</v>
      </c>
      <c r="M125" s="332">
        <v>988.85</v>
      </c>
      <c r="N125" s="333">
        <v>1560.06</v>
      </c>
      <c r="O125" s="255">
        <v>1002.18</v>
      </c>
      <c r="P125" s="255">
        <v>116.28</v>
      </c>
      <c r="Q125" s="256">
        <v>173.54</v>
      </c>
      <c r="R125" s="292"/>
      <c r="S125" s="338"/>
      <c r="T125" s="338"/>
      <c r="U125" s="338"/>
      <c r="V125" s="338"/>
      <c r="W125" s="338"/>
      <c r="X125" s="338"/>
      <c r="Y125" s="338"/>
      <c r="Z125" s="338"/>
      <c r="AA125" s="338"/>
      <c r="AB125" s="338"/>
      <c r="AC125" s="338"/>
      <c r="AD125" s="338"/>
      <c r="AE125" s="338"/>
      <c r="AF125" s="338"/>
      <c r="AG125" s="338"/>
    </row>
    <row r="126" spans="1:33" ht="12">
      <c r="A126" s="262">
        <v>2004</v>
      </c>
      <c r="B126" s="296" t="s">
        <v>65</v>
      </c>
      <c r="C126" s="326">
        <v>7619.1</v>
      </c>
      <c r="D126" s="255">
        <v>494.79</v>
      </c>
      <c r="E126" s="246">
        <v>184.67</v>
      </c>
      <c r="F126" s="326">
        <v>6939.64</v>
      </c>
      <c r="G126" s="257">
        <v>153.99</v>
      </c>
      <c r="H126" s="246">
        <v>40.83</v>
      </c>
      <c r="I126" s="257">
        <v>303.33</v>
      </c>
      <c r="J126" s="256">
        <v>2056.27</v>
      </c>
      <c r="K126" s="246">
        <v>396.8</v>
      </c>
      <c r="L126" s="246">
        <v>337.87</v>
      </c>
      <c r="M126" s="332">
        <v>1021.17</v>
      </c>
      <c r="N126" s="333">
        <v>1505.3</v>
      </c>
      <c r="O126" s="255">
        <v>702.48</v>
      </c>
      <c r="P126" s="255">
        <v>92.98</v>
      </c>
      <c r="Q126" s="256">
        <v>200.22</v>
      </c>
      <c r="R126" s="292"/>
      <c r="S126" s="338"/>
      <c r="T126" s="338"/>
      <c r="U126" s="338"/>
      <c r="V126" s="338"/>
      <c r="W126" s="338"/>
      <c r="X126" s="338"/>
      <c r="Y126" s="338"/>
      <c r="Z126" s="338"/>
      <c r="AA126" s="338"/>
      <c r="AB126" s="338"/>
      <c r="AC126" s="338"/>
      <c r="AD126" s="338"/>
      <c r="AE126" s="338"/>
      <c r="AF126" s="338"/>
      <c r="AG126" s="338"/>
    </row>
    <row r="127" spans="1:33" ht="12">
      <c r="A127" s="264">
        <v>2004</v>
      </c>
      <c r="B127" s="274" t="s">
        <v>114</v>
      </c>
      <c r="C127" s="327">
        <v>7804.52</v>
      </c>
      <c r="D127" s="267">
        <v>487.89</v>
      </c>
      <c r="E127" s="267">
        <v>-12.78</v>
      </c>
      <c r="F127" s="327">
        <v>7329.41</v>
      </c>
      <c r="G127" s="282">
        <v>170.75</v>
      </c>
      <c r="H127" s="267">
        <v>59.92</v>
      </c>
      <c r="I127" s="282">
        <v>361.73</v>
      </c>
      <c r="J127" s="283">
        <v>2167.87</v>
      </c>
      <c r="K127" s="267">
        <v>344.22</v>
      </c>
      <c r="L127" s="267">
        <v>397.69</v>
      </c>
      <c r="M127" s="334">
        <v>1006.54</v>
      </c>
      <c r="N127" s="335">
        <v>1526.99</v>
      </c>
      <c r="O127" s="267">
        <v>906.66</v>
      </c>
      <c r="P127" s="267">
        <v>90.24</v>
      </c>
      <c r="Q127" s="283">
        <v>134.16</v>
      </c>
      <c r="R127" s="292"/>
      <c r="S127" s="338"/>
      <c r="T127" s="338"/>
      <c r="U127" s="338"/>
      <c r="V127" s="338"/>
      <c r="W127" s="338"/>
      <c r="X127" s="338"/>
      <c r="Y127" s="338"/>
      <c r="Z127" s="338"/>
      <c r="AA127" s="338"/>
      <c r="AB127" s="338"/>
      <c r="AC127" s="338"/>
      <c r="AD127" s="338"/>
      <c r="AE127" s="338"/>
      <c r="AF127" s="338"/>
      <c r="AG127" s="338"/>
    </row>
    <row r="128" spans="1:33" ht="12">
      <c r="A128" s="262">
        <v>2005</v>
      </c>
      <c r="B128" s="296" t="s">
        <v>55</v>
      </c>
      <c r="C128" s="326">
        <v>7437.54</v>
      </c>
      <c r="D128" s="255">
        <v>494.54</v>
      </c>
      <c r="E128" s="246">
        <v>109.34</v>
      </c>
      <c r="F128" s="326">
        <v>6833.65</v>
      </c>
      <c r="G128" s="257">
        <v>88.69</v>
      </c>
      <c r="H128" s="246">
        <v>43.34</v>
      </c>
      <c r="I128" s="257">
        <v>281.09</v>
      </c>
      <c r="J128" s="284">
        <v>1982.18</v>
      </c>
      <c r="K128" s="246">
        <v>362.74</v>
      </c>
      <c r="L128" s="246">
        <v>314.56</v>
      </c>
      <c r="M128" s="332">
        <v>849.92</v>
      </c>
      <c r="N128" s="333">
        <v>1592.36</v>
      </c>
      <c r="O128" s="255">
        <v>990.37</v>
      </c>
      <c r="P128" s="255">
        <v>85.15</v>
      </c>
      <c r="Q128" s="256">
        <v>69.86</v>
      </c>
      <c r="R128" s="292"/>
      <c r="S128" s="338"/>
      <c r="T128" s="338"/>
      <c r="U128" s="338"/>
      <c r="V128" s="338"/>
      <c r="W128" s="338"/>
      <c r="X128" s="338"/>
      <c r="Y128" s="338"/>
      <c r="Z128" s="338"/>
      <c r="AA128" s="338"/>
      <c r="AB128" s="338"/>
      <c r="AC128" s="338"/>
      <c r="AD128" s="338"/>
      <c r="AE128" s="338"/>
      <c r="AF128" s="338"/>
      <c r="AG128" s="338"/>
    </row>
    <row r="129" spans="1:33" ht="12">
      <c r="A129" s="262">
        <v>2005</v>
      </c>
      <c r="B129" s="296" t="s">
        <v>56</v>
      </c>
      <c r="C129" s="326">
        <v>6238.76</v>
      </c>
      <c r="D129" s="255">
        <v>424.29</v>
      </c>
      <c r="E129" s="246">
        <v>-54.01</v>
      </c>
      <c r="F129" s="326">
        <v>5868.48</v>
      </c>
      <c r="G129" s="257">
        <v>142.89</v>
      </c>
      <c r="H129" s="246">
        <v>23.55</v>
      </c>
      <c r="I129" s="257">
        <v>222.32</v>
      </c>
      <c r="J129" s="256">
        <v>1693.29</v>
      </c>
      <c r="K129" s="246">
        <v>249.08</v>
      </c>
      <c r="L129" s="246">
        <v>343.84</v>
      </c>
      <c r="M129" s="332">
        <v>751.74</v>
      </c>
      <c r="N129" s="333">
        <v>1344.6</v>
      </c>
      <c r="O129" s="255">
        <v>736.75</v>
      </c>
      <c r="P129" s="255">
        <v>81.7</v>
      </c>
      <c r="Q129" s="256">
        <v>130.78</v>
      </c>
      <c r="R129" s="292"/>
      <c r="S129" s="338"/>
      <c r="T129" s="338"/>
      <c r="U129" s="338"/>
      <c r="V129" s="338"/>
      <c r="W129" s="338"/>
      <c r="X129" s="338"/>
      <c r="Y129" s="338"/>
      <c r="Z129" s="338"/>
      <c r="AA129" s="338"/>
      <c r="AB129" s="338"/>
      <c r="AC129" s="338"/>
      <c r="AD129" s="338"/>
      <c r="AE129" s="338"/>
      <c r="AF129" s="338"/>
      <c r="AG129" s="338"/>
    </row>
    <row r="130" spans="1:33" ht="12">
      <c r="A130" s="262">
        <v>2005</v>
      </c>
      <c r="B130" s="296" t="s">
        <v>57</v>
      </c>
      <c r="C130" s="326">
        <v>7301.99</v>
      </c>
      <c r="D130" s="255">
        <v>460.24</v>
      </c>
      <c r="E130" s="246">
        <v>99.19</v>
      </c>
      <c r="F130" s="326">
        <v>6742.55</v>
      </c>
      <c r="G130" s="257">
        <v>194.19</v>
      </c>
      <c r="H130" s="246">
        <v>38.86</v>
      </c>
      <c r="I130" s="257">
        <v>353.69</v>
      </c>
      <c r="J130" s="256">
        <v>1770.8</v>
      </c>
      <c r="K130" s="246">
        <v>347.77</v>
      </c>
      <c r="L130" s="246">
        <v>382.87</v>
      </c>
      <c r="M130" s="332">
        <v>879.24</v>
      </c>
      <c r="N130" s="333">
        <v>1596.58</v>
      </c>
      <c r="O130" s="255">
        <v>746.2</v>
      </c>
      <c r="P130" s="255">
        <v>93.54</v>
      </c>
      <c r="Q130" s="256">
        <v>166.96</v>
      </c>
      <c r="R130" s="292"/>
      <c r="S130" s="338"/>
      <c r="T130" s="338"/>
      <c r="U130" s="338"/>
      <c r="V130" s="338"/>
      <c r="W130" s="338"/>
      <c r="X130" s="338"/>
      <c r="Y130" s="338"/>
      <c r="Z130" s="338"/>
      <c r="AA130" s="338"/>
      <c r="AB130" s="338"/>
      <c r="AC130" s="338"/>
      <c r="AD130" s="338"/>
      <c r="AE130" s="338"/>
      <c r="AF130" s="338"/>
      <c r="AG130" s="338"/>
    </row>
    <row r="131" spans="1:33" ht="12">
      <c r="A131" s="262">
        <v>2005</v>
      </c>
      <c r="B131" s="270" t="s">
        <v>58</v>
      </c>
      <c r="C131" s="326">
        <v>6829.42</v>
      </c>
      <c r="D131" s="255">
        <v>444.52</v>
      </c>
      <c r="E131" s="246">
        <v>53.32</v>
      </c>
      <c r="F131" s="326">
        <v>6331.58</v>
      </c>
      <c r="G131" s="257">
        <v>215.84</v>
      </c>
      <c r="H131" s="246">
        <v>33.41</v>
      </c>
      <c r="I131" s="257">
        <v>213.24</v>
      </c>
      <c r="J131" s="256">
        <v>1759.59</v>
      </c>
      <c r="K131" s="246">
        <v>423.89</v>
      </c>
      <c r="L131" s="246">
        <v>255.4</v>
      </c>
      <c r="M131" s="332">
        <v>709.76</v>
      </c>
      <c r="N131" s="333">
        <v>1553.71</v>
      </c>
      <c r="O131" s="255">
        <v>793.91</v>
      </c>
      <c r="P131" s="255">
        <v>98.69</v>
      </c>
      <c r="Q131" s="256">
        <v>119.07</v>
      </c>
      <c r="R131" s="292"/>
      <c r="S131" s="338"/>
      <c r="T131" s="338"/>
      <c r="U131" s="338"/>
      <c r="V131" s="338"/>
      <c r="W131" s="338"/>
      <c r="X131" s="338"/>
      <c r="Y131" s="338"/>
      <c r="Z131" s="338"/>
      <c r="AA131" s="338"/>
      <c r="AB131" s="338"/>
      <c r="AC131" s="338"/>
      <c r="AD131" s="338"/>
      <c r="AE131" s="338"/>
      <c r="AF131" s="338"/>
      <c r="AG131" s="338"/>
    </row>
    <row r="132" spans="1:33" ht="12">
      <c r="A132" s="262">
        <v>2005</v>
      </c>
      <c r="B132" s="296" t="s">
        <v>59</v>
      </c>
      <c r="C132" s="326">
        <v>7195.67</v>
      </c>
      <c r="D132" s="255">
        <v>463.92</v>
      </c>
      <c r="E132" s="246">
        <v>68.46</v>
      </c>
      <c r="F132" s="326">
        <v>6663.28</v>
      </c>
      <c r="G132" s="257">
        <v>213.58</v>
      </c>
      <c r="H132" s="246">
        <v>33.76</v>
      </c>
      <c r="I132" s="257">
        <v>288.44</v>
      </c>
      <c r="J132" s="256">
        <v>1806.8</v>
      </c>
      <c r="K132" s="246">
        <v>508.45</v>
      </c>
      <c r="L132" s="246">
        <v>210.12</v>
      </c>
      <c r="M132" s="332">
        <v>679.84</v>
      </c>
      <c r="N132" s="333">
        <v>1534.87</v>
      </c>
      <c r="O132" s="255">
        <v>892.11</v>
      </c>
      <c r="P132" s="255">
        <v>96.29</v>
      </c>
      <c r="Q132" s="256">
        <v>223.11</v>
      </c>
      <c r="R132" s="292"/>
      <c r="S132" s="338"/>
      <c r="T132" s="338"/>
      <c r="U132" s="338"/>
      <c r="V132" s="338"/>
      <c r="W132" s="338"/>
      <c r="X132" s="338"/>
      <c r="Y132" s="338"/>
      <c r="Z132" s="338"/>
      <c r="AA132" s="338"/>
      <c r="AB132" s="338"/>
      <c r="AC132" s="338"/>
      <c r="AD132" s="338"/>
      <c r="AE132" s="338"/>
      <c r="AF132" s="338"/>
      <c r="AG132" s="338"/>
    </row>
    <row r="133" spans="1:33" ht="12">
      <c r="A133" s="262">
        <v>2005</v>
      </c>
      <c r="B133" s="270" t="s">
        <v>60</v>
      </c>
      <c r="C133" s="326">
        <v>6973.12</v>
      </c>
      <c r="D133" s="255">
        <v>505.19</v>
      </c>
      <c r="E133" s="246">
        <v>6.49</v>
      </c>
      <c r="F133" s="326">
        <v>6461.44</v>
      </c>
      <c r="G133" s="257">
        <v>207.55</v>
      </c>
      <c r="H133" s="246">
        <v>34.05</v>
      </c>
      <c r="I133" s="257">
        <v>229.7</v>
      </c>
      <c r="J133" s="256">
        <v>1767.69</v>
      </c>
      <c r="K133" s="246">
        <v>506.06</v>
      </c>
      <c r="L133" s="246">
        <v>199.1</v>
      </c>
      <c r="M133" s="332">
        <v>587.34</v>
      </c>
      <c r="N133" s="333">
        <v>1598.5</v>
      </c>
      <c r="O133" s="255">
        <v>910.64</v>
      </c>
      <c r="P133" s="255">
        <v>85.87</v>
      </c>
      <c r="Q133" s="256">
        <v>184.36</v>
      </c>
      <c r="R133" s="292"/>
      <c r="S133" s="338"/>
      <c r="T133" s="338"/>
      <c r="U133" s="338"/>
      <c r="V133" s="338"/>
      <c r="W133" s="338"/>
      <c r="X133" s="338"/>
      <c r="Y133" s="338"/>
      <c r="Z133" s="338"/>
      <c r="AA133" s="338"/>
      <c r="AB133" s="338"/>
      <c r="AC133" s="338"/>
      <c r="AD133" s="338"/>
      <c r="AE133" s="338"/>
      <c r="AF133" s="338"/>
      <c r="AG133" s="338"/>
    </row>
    <row r="134" spans="1:33" ht="12">
      <c r="A134" s="262">
        <v>2005</v>
      </c>
      <c r="B134" s="270" t="s">
        <v>61</v>
      </c>
      <c r="C134" s="326">
        <v>7751.32</v>
      </c>
      <c r="D134" s="255">
        <v>475.68</v>
      </c>
      <c r="E134" s="246">
        <v>19.45</v>
      </c>
      <c r="F134" s="326">
        <v>7256.2</v>
      </c>
      <c r="G134" s="257">
        <v>219.05</v>
      </c>
      <c r="H134" s="246">
        <v>39.21</v>
      </c>
      <c r="I134" s="257">
        <v>257.92</v>
      </c>
      <c r="J134" s="256">
        <v>1941.9</v>
      </c>
      <c r="K134" s="246">
        <v>568.33</v>
      </c>
      <c r="L134" s="246">
        <v>148.08</v>
      </c>
      <c r="M134" s="332">
        <v>867.33</v>
      </c>
      <c r="N134" s="333">
        <v>1805.55</v>
      </c>
      <c r="O134" s="255">
        <v>964.79</v>
      </c>
      <c r="P134" s="255">
        <v>103.25</v>
      </c>
      <c r="Q134" s="256">
        <v>180.13</v>
      </c>
      <c r="R134" s="292"/>
      <c r="S134" s="338"/>
      <c r="T134" s="338"/>
      <c r="U134" s="338"/>
      <c r="V134" s="338"/>
      <c r="W134" s="338"/>
      <c r="X134" s="338"/>
      <c r="Y134" s="338"/>
      <c r="Z134" s="338"/>
      <c r="AA134" s="338"/>
      <c r="AB134" s="338"/>
      <c r="AC134" s="338"/>
      <c r="AD134" s="338"/>
      <c r="AE134" s="338"/>
      <c r="AF134" s="338"/>
      <c r="AG134" s="338"/>
    </row>
    <row r="135" spans="1:33" ht="12">
      <c r="A135" s="262">
        <v>2005</v>
      </c>
      <c r="B135" s="270" t="s">
        <v>62</v>
      </c>
      <c r="C135" s="326">
        <v>7550.22</v>
      </c>
      <c r="D135" s="255">
        <v>487.29</v>
      </c>
      <c r="E135" s="246">
        <v>-112.87</v>
      </c>
      <c r="F135" s="326">
        <v>7175.8</v>
      </c>
      <c r="G135" s="257">
        <v>288.28</v>
      </c>
      <c r="H135" s="246">
        <v>37.75</v>
      </c>
      <c r="I135" s="257">
        <v>266.28</v>
      </c>
      <c r="J135" s="256">
        <v>1965.89</v>
      </c>
      <c r="K135" s="246">
        <v>565.02</v>
      </c>
      <c r="L135" s="246">
        <v>191.23</v>
      </c>
      <c r="M135" s="332">
        <v>784.83</v>
      </c>
      <c r="N135" s="333">
        <v>1699.91</v>
      </c>
      <c r="O135" s="255">
        <v>939.07</v>
      </c>
      <c r="P135" s="255">
        <v>84.97</v>
      </c>
      <c r="Q135" s="256">
        <v>185.54</v>
      </c>
      <c r="R135" s="292"/>
      <c r="S135" s="338"/>
      <c r="T135" s="338"/>
      <c r="U135" s="338"/>
      <c r="V135" s="338"/>
      <c r="W135" s="338"/>
      <c r="X135" s="338"/>
      <c r="Y135" s="338"/>
      <c r="Z135" s="338"/>
      <c r="AA135" s="338"/>
      <c r="AB135" s="338"/>
      <c r="AC135" s="338"/>
      <c r="AD135" s="338"/>
      <c r="AE135" s="338"/>
      <c r="AF135" s="338"/>
      <c r="AG135" s="338"/>
    </row>
    <row r="136" spans="1:33" ht="12">
      <c r="A136" s="262">
        <v>2005</v>
      </c>
      <c r="B136" s="270" t="s">
        <v>63</v>
      </c>
      <c r="C136" s="326">
        <v>7309.38</v>
      </c>
      <c r="D136" s="255">
        <v>449.2</v>
      </c>
      <c r="E136" s="246">
        <v>97.26</v>
      </c>
      <c r="F136" s="326">
        <v>6762.91</v>
      </c>
      <c r="G136" s="257">
        <v>132.84</v>
      </c>
      <c r="H136" s="246">
        <v>36.47</v>
      </c>
      <c r="I136" s="257">
        <v>208.43</v>
      </c>
      <c r="J136" s="256">
        <v>2084.99</v>
      </c>
      <c r="K136" s="246">
        <v>457.43</v>
      </c>
      <c r="L136" s="246">
        <v>258.04</v>
      </c>
      <c r="M136" s="332">
        <v>824.39</v>
      </c>
      <c r="N136" s="333">
        <v>1593.7</v>
      </c>
      <c r="O136" s="255">
        <v>759.92</v>
      </c>
      <c r="P136" s="255">
        <v>86.48</v>
      </c>
      <c r="Q136" s="256">
        <v>177.16</v>
      </c>
      <c r="R136" s="292"/>
      <c r="S136" s="338"/>
      <c r="T136" s="338"/>
      <c r="U136" s="338"/>
      <c r="V136" s="338"/>
      <c r="W136" s="338"/>
      <c r="X136" s="338"/>
      <c r="Y136" s="338"/>
      <c r="Z136" s="338"/>
      <c r="AA136" s="338"/>
      <c r="AB136" s="338"/>
      <c r="AC136" s="338"/>
      <c r="AD136" s="338"/>
      <c r="AE136" s="338"/>
      <c r="AF136" s="338"/>
      <c r="AG136" s="338"/>
    </row>
    <row r="137" spans="1:33" ht="12">
      <c r="A137" s="262">
        <v>2005</v>
      </c>
      <c r="B137" s="270" t="s">
        <v>64</v>
      </c>
      <c r="C137" s="326">
        <v>7309.42</v>
      </c>
      <c r="D137" s="255">
        <v>462.11</v>
      </c>
      <c r="E137" s="246">
        <v>35.21</v>
      </c>
      <c r="F137" s="326">
        <v>6812.1</v>
      </c>
      <c r="G137" s="257">
        <v>143.02</v>
      </c>
      <c r="H137" s="246">
        <v>36.87</v>
      </c>
      <c r="I137" s="257">
        <v>204.77</v>
      </c>
      <c r="J137" s="256">
        <v>2044.99</v>
      </c>
      <c r="K137" s="246">
        <v>499.22</v>
      </c>
      <c r="L137" s="246">
        <v>225.47</v>
      </c>
      <c r="M137" s="332">
        <v>752.05</v>
      </c>
      <c r="N137" s="333">
        <v>1651.64</v>
      </c>
      <c r="O137" s="255">
        <v>853.25</v>
      </c>
      <c r="P137" s="255">
        <v>48.27</v>
      </c>
      <c r="Q137" s="256">
        <v>181.64</v>
      </c>
      <c r="R137" s="292"/>
      <c r="S137" s="338"/>
      <c r="T137" s="338"/>
      <c r="U137" s="338"/>
      <c r="V137" s="338"/>
      <c r="W137" s="338"/>
      <c r="X137" s="338"/>
      <c r="Y137" s="338"/>
      <c r="Z137" s="338"/>
      <c r="AA137" s="338"/>
      <c r="AB137" s="338"/>
      <c r="AC137" s="338"/>
      <c r="AD137" s="338"/>
      <c r="AE137" s="338"/>
      <c r="AF137" s="338"/>
      <c r="AG137" s="338"/>
    </row>
    <row r="138" spans="1:33" ht="12">
      <c r="A138" s="262">
        <v>2005</v>
      </c>
      <c r="B138" s="270" t="s">
        <v>65</v>
      </c>
      <c r="C138" s="326">
        <v>6892.49</v>
      </c>
      <c r="D138" s="255">
        <v>445.85</v>
      </c>
      <c r="E138" s="246">
        <v>58.72</v>
      </c>
      <c r="F138" s="326">
        <v>6387.92</v>
      </c>
      <c r="G138" s="257">
        <v>173.5</v>
      </c>
      <c r="H138" s="246">
        <v>34.84</v>
      </c>
      <c r="I138" s="257">
        <v>226.22</v>
      </c>
      <c r="J138" s="256">
        <v>1807.09</v>
      </c>
      <c r="K138" s="246">
        <v>399.83</v>
      </c>
      <c r="L138" s="246">
        <v>321.05</v>
      </c>
      <c r="M138" s="332">
        <v>816.28</v>
      </c>
      <c r="N138" s="333">
        <v>1519</v>
      </c>
      <c r="O138" s="255">
        <v>746.67</v>
      </c>
      <c r="P138" s="255">
        <v>36.17</v>
      </c>
      <c r="Q138" s="256">
        <v>152.12</v>
      </c>
      <c r="R138" s="292"/>
      <c r="S138" s="338"/>
      <c r="T138" s="338"/>
      <c r="U138" s="338"/>
      <c r="V138" s="338"/>
      <c r="W138" s="338"/>
      <c r="X138" s="338"/>
      <c r="Y138" s="338"/>
      <c r="Z138" s="338"/>
      <c r="AA138" s="338"/>
      <c r="AB138" s="338"/>
      <c r="AC138" s="338"/>
      <c r="AD138" s="338"/>
      <c r="AE138" s="338"/>
      <c r="AF138" s="338"/>
      <c r="AG138" s="338"/>
    </row>
    <row r="139" spans="1:33" ht="12">
      <c r="A139" s="264">
        <v>2005</v>
      </c>
      <c r="B139" s="274" t="s">
        <v>66</v>
      </c>
      <c r="C139" s="327">
        <v>7344.94</v>
      </c>
      <c r="D139" s="267">
        <v>488.47</v>
      </c>
      <c r="E139" s="267">
        <v>6.92</v>
      </c>
      <c r="F139" s="327">
        <v>6849.55</v>
      </c>
      <c r="G139" s="282">
        <v>164.76</v>
      </c>
      <c r="H139" s="267">
        <v>35.19</v>
      </c>
      <c r="I139" s="282">
        <v>267.31</v>
      </c>
      <c r="J139" s="283">
        <v>1978.56</v>
      </c>
      <c r="K139" s="267">
        <v>279.28</v>
      </c>
      <c r="L139" s="267">
        <v>475.12</v>
      </c>
      <c r="M139" s="334">
        <v>927.13</v>
      </c>
      <c r="N139" s="335">
        <v>1565.48</v>
      </c>
      <c r="O139" s="267">
        <v>821.1</v>
      </c>
      <c r="P139" s="267">
        <v>35.92</v>
      </c>
      <c r="Q139" s="283">
        <v>140.84</v>
      </c>
      <c r="R139" s="292"/>
      <c r="S139" s="338"/>
      <c r="T139" s="338"/>
      <c r="U139" s="338"/>
      <c r="V139" s="338"/>
      <c r="W139" s="338"/>
      <c r="X139" s="338"/>
      <c r="Y139" s="338"/>
      <c r="Z139" s="338"/>
      <c r="AA139" s="338"/>
      <c r="AB139" s="338"/>
      <c r="AC139" s="338"/>
      <c r="AD139" s="338"/>
      <c r="AE139" s="338"/>
      <c r="AF139" s="338"/>
      <c r="AG139" s="338"/>
    </row>
    <row r="140" spans="1:33" ht="12">
      <c r="A140" s="262">
        <v>2006</v>
      </c>
      <c r="B140" s="270" t="s">
        <v>55</v>
      </c>
      <c r="C140" s="326">
        <v>7347.73</v>
      </c>
      <c r="D140" s="255">
        <v>400.2</v>
      </c>
      <c r="E140" s="246">
        <v>162.18</v>
      </c>
      <c r="F140" s="326">
        <v>6785.35</v>
      </c>
      <c r="G140" s="257">
        <v>231.02</v>
      </c>
      <c r="H140" s="246">
        <v>52.03</v>
      </c>
      <c r="I140" s="257">
        <v>303.16</v>
      </c>
      <c r="J140" s="284">
        <v>1838.7</v>
      </c>
      <c r="K140" s="246">
        <v>397.75</v>
      </c>
      <c r="L140" s="246">
        <v>401.93</v>
      </c>
      <c r="M140" s="332">
        <v>880.81</v>
      </c>
      <c r="N140" s="333">
        <v>1396.65</v>
      </c>
      <c r="O140" s="255">
        <v>1041.74</v>
      </c>
      <c r="P140" s="255">
        <v>62.4</v>
      </c>
      <c r="Q140" s="256">
        <v>62.08</v>
      </c>
      <c r="R140" s="292"/>
      <c r="S140" s="338"/>
      <c r="T140" s="338"/>
      <c r="U140" s="338"/>
      <c r="V140" s="338"/>
      <c r="W140" s="338"/>
      <c r="X140" s="338"/>
      <c r="Y140" s="338"/>
      <c r="Z140" s="338"/>
      <c r="AA140" s="338"/>
      <c r="AB140" s="338"/>
      <c r="AC140" s="338"/>
      <c r="AD140" s="338"/>
      <c r="AE140" s="338"/>
      <c r="AF140" s="338"/>
      <c r="AG140" s="338"/>
    </row>
    <row r="141" spans="1:33" ht="12">
      <c r="A141" s="262">
        <v>2006</v>
      </c>
      <c r="B141" s="270" t="s">
        <v>56</v>
      </c>
      <c r="C141" s="326">
        <v>6460.67</v>
      </c>
      <c r="D141" s="255">
        <v>331.53</v>
      </c>
      <c r="E141" s="246">
        <v>138.47</v>
      </c>
      <c r="F141" s="326">
        <v>5990.68</v>
      </c>
      <c r="G141" s="257">
        <v>200.96</v>
      </c>
      <c r="H141" s="246">
        <v>48.18</v>
      </c>
      <c r="I141" s="257">
        <v>299.41</v>
      </c>
      <c r="J141" s="256">
        <v>1665.49</v>
      </c>
      <c r="K141" s="246">
        <v>355.39</v>
      </c>
      <c r="L141" s="246">
        <v>364.75</v>
      </c>
      <c r="M141" s="332">
        <v>672.37</v>
      </c>
      <c r="N141" s="333">
        <v>1215.33</v>
      </c>
      <c r="O141" s="255">
        <v>891.86</v>
      </c>
      <c r="P141" s="255">
        <v>48.47</v>
      </c>
      <c r="Q141" s="256">
        <v>128.49</v>
      </c>
      <c r="R141" s="292"/>
      <c r="S141" s="338"/>
      <c r="T141" s="338"/>
      <c r="U141" s="338"/>
      <c r="V141" s="338"/>
      <c r="W141" s="338"/>
      <c r="X141" s="338"/>
      <c r="Y141" s="338"/>
      <c r="Z141" s="338"/>
      <c r="AA141" s="338"/>
      <c r="AB141" s="338"/>
      <c r="AC141" s="338"/>
      <c r="AD141" s="338"/>
      <c r="AE141" s="338"/>
      <c r="AF141" s="338"/>
      <c r="AG141" s="338"/>
    </row>
    <row r="142" spans="1:33" ht="12">
      <c r="A142" s="262">
        <v>2006</v>
      </c>
      <c r="B142" s="270" t="s">
        <v>57</v>
      </c>
      <c r="C142" s="326">
        <v>6304.26</v>
      </c>
      <c r="D142" s="255">
        <v>381.29</v>
      </c>
      <c r="E142" s="246">
        <v>-153.75</v>
      </c>
      <c r="F142" s="326">
        <v>6076.73</v>
      </c>
      <c r="G142" s="257">
        <v>194.71</v>
      </c>
      <c r="H142" s="246">
        <v>45.33</v>
      </c>
      <c r="I142" s="257">
        <v>275.48</v>
      </c>
      <c r="J142" s="256">
        <v>1532.71</v>
      </c>
      <c r="K142" s="246">
        <v>521.01</v>
      </c>
      <c r="L142" s="246">
        <v>444.54</v>
      </c>
      <c r="M142" s="332">
        <v>834.9</v>
      </c>
      <c r="N142" s="333">
        <v>1046.66</v>
      </c>
      <c r="O142" s="255">
        <v>822.27</v>
      </c>
      <c r="P142" s="255">
        <v>48.14</v>
      </c>
      <c r="Q142" s="256">
        <v>154.13</v>
      </c>
      <c r="R142" s="292"/>
      <c r="S142" s="338"/>
      <c r="T142" s="338"/>
      <c r="U142" s="338"/>
      <c r="V142" s="338"/>
      <c r="W142" s="338"/>
      <c r="X142" s="338"/>
      <c r="Y142" s="338"/>
      <c r="Z142" s="338"/>
      <c r="AA142" s="338"/>
      <c r="AB142" s="338"/>
      <c r="AC142" s="338"/>
      <c r="AD142" s="338"/>
      <c r="AE142" s="338"/>
      <c r="AF142" s="338"/>
      <c r="AG142" s="338"/>
    </row>
    <row r="143" spans="1:33" ht="12">
      <c r="A143" s="262">
        <v>2006</v>
      </c>
      <c r="B143" s="270" t="s">
        <v>58</v>
      </c>
      <c r="C143" s="326">
        <v>6530.1</v>
      </c>
      <c r="D143" s="255">
        <v>425.26</v>
      </c>
      <c r="E143" s="246">
        <v>3.5</v>
      </c>
      <c r="F143" s="326">
        <v>6101.35</v>
      </c>
      <c r="G143" s="257">
        <v>232.06</v>
      </c>
      <c r="H143" s="246">
        <v>52.41</v>
      </c>
      <c r="I143" s="257">
        <v>206.43</v>
      </c>
      <c r="J143" s="256">
        <v>1624.22</v>
      </c>
      <c r="K143" s="246">
        <v>483.26</v>
      </c>
      <c r="L143" s="246">
        <v>277.17</v>
      </c>
      <c r="M143" s="332">
        <v>849.49</v>
      </c>
      <c r="N143" s="333">
        <v>1265.47</v>
      </c>
      <c r="O143" s="255">
        <v>777.32</v>
      </c>
      <c r="P143" s="255">
        <v>51.76</v>
      </c>
      <c r="Q143" s="256">
        <v>139.95</v>
      </c>
      <c r="R143" s="292"/>
      <c r="S143" s="338"/>
      <c r="T143" s="338"/>
      <c r="U143" s="338"/>
      <c r="V143" s="338"/>
      <c r="W143" s="338"/>
      <c r="X143" s="338"/>
      <c r="Y143" s="338"/>
      <c r="Z143" s="338"/>
      <c r="AA143" s="338"/>
      <c r="AB143" s="338"/>
      <c r="AC143" s="338"/>
      <c r="AD143" s="338"/>
      <c r="AE143" s="338"/>
      <c r="AF143" s="338"/>
      <c r="AG143" s="338"/>
    </row>
    <row r="144" spans="1:33" ht="12">
      <c r="A144" s="262">
        <v>2006</v>
      </c>
      <c r="B144" s="270" t="s">
        <v>59</v>
      </c>
      <c r="C144" s="326">
        <v>7371.63</v>
      </c>
      <c r="D144" s="255">
        <v>423.99</v>
      </c>
      <c r="E144" s="246">
        <v>-160.59</v>
      </c>
      <c r="F144" s="326">
        <v>7108.24</v>
      </c>
      <c r="G144" s="257">
        <v>274.28</v>
      </c>
      <c r="H144" s="246">
        <v>57.87</v>
      </c>
      <c r="I144" s="257">
        <v>144.67</v>
      </c>
      <c r="J144" s="256">
        <v>1981.07</v>
      </c>
      <c r="K144" s="246">
        <v>570.25</v>
      </c>
      <c r="L144" s="246">
        <v>399.92</v>
      </c>
      <c r="M144" s="332">
        <v>824.2</v>
      </c>
      <c r="N144" s="333">
        <v>1463.82</v>
      </c>
      <c r="O144" s="255">
        <v>1056.64</v>
      </c>
      <c r="P144" s="255">
        <v>26.12</v>
      </c>
      <c r="Q144" s="256">
        <v>165.26</v>
      </c>
      <c r="R144" s="292"/>
      <c r="S144" s="338"/>
      <c r="T144" s="338"/>
      <c r="U144" s="338"/>
      <c r="V144" s="338"/>
      <c r="W144" s="338"/>
      <c r="X144" s="338"/>
      <c r="Y144" s="338"/>
      <c r="Z144" s="338"/>
      <c r="AA144" s="338"/>
      <c r="AB144" s="338"/>
      <c r="AC144" s="338"/>
      <c r="AD144" s="338"/>
      <c r="AE144" s="338"/>
      <c r="AF144" s="338"/>
      <c r="AG144" s="338"/>
    </row>
    <row r="145" spans="1:33" ht="12">
      <c r="A145" s="262">
        <v>2006</v>
      </c>
      <c r="B145" s="270" t="s">
        <v>60</v>
      </c>
      <c r="C145" s="326">
        <v>7080.53</v>
      </c>
      <c r="D145" s="255">
        <v>436.34</v>
      </c>
      <c r="E145" s="246">
        <v>31.2</v>
      </c>
      <c r="F145" s="326">
        <v>6612.99</v>
      </c>
      <c r="G145" s="257">
        <v>275.19</v>
      </c>
      <c r="H145" s="246">
        <v>42.13</v>
      </c>
      <c r="I145" s="257">
        <v>163.72</v>
      </c>
      <c r="J145" s="256">
        <v>1804.21</v>
      </c>
      <c r="K145" s="246">
        <v>699.59</v>
      </c>
      <c r="L145" s="246">
        <v>135.31</v>
      </c>
      <c r="M145" s="332">
        <v>861.49</v>
      </c>
      <c r="N145" s="333">
        <v>1393.51</v>
      </c>
      <c r="O145" s="255">
        <v>895.2</v>
      </c>
      <c r="P145" s="255">
        <v>56.91</v>
      </c>
      <c r="Q145" s="256">
        <v>177.08</v>
      </c>
      <c r="R145" s="292"/>
      <c r="S145" s="338"/>
      <c r="T145" s="338"/>
      <c r="U145" s="338"/>
      <c r="V145" s="338"/>
      <c r="W145" s="338"/>
      <c r="X145" s="338"/>
      <c r="Y145" s="338"/>
      <c r="Z145" s="338"/>
      <c r="AA145" s="338"/>
      <c r="AB145" s="338"/>
      <c r="AC145" s="338"/>
      <c r="AD145" s="338"/>
      <c r="AE145" s="338"/>
      <c r="AF145" s="338"/>
      <c r="AG145" s="338"/>
    </row>
    <row r="146" spans="1:33" ht="12">
      <c r="A146" s="262">
        <v>2006</v>
      </c>
      <c r="B146" s="270" t="s">
        <v>61</v>
      </c>
      <c r="C146" s="326">
        <v>7194.55</v>
      </c>
      <c r="D146" s="255">
        <v>436.2</v>
      </c>
      <c r="E146" s="246">
        <v>56.83</v>
      </c>
      <c r="F146" s="326">
        <v>6701.53</v>
      </c>
      <c r="G146" s="257">
        <v>250.36</v>
      </c>
      <c r="H146" s="246">
        <v>46.09</v>
      </c>
      <c r="I146" s="257">
        <v>174.87</v>
      </c>
      <c r="J146" s="256">
        <v>1804.65</v>
      </c>
      <c r="K146" s="246">
        <v>667.02</v>
      </c>
      <c r="L146" s="246">
        <v>113.4</v>
      </c>
      <c r="M146" s="332">
        <v>865.47</v>
      </c>
      <c r="N146" s="333">
        <v>1476.57</v>
      </c>
      <c r="O146" s="255">
        <v>906.62</v>
      </c>
      <c r="P146" s="255">
        <v>72.19</v>
      </c>
      <c r="Q146" s="256">
        <v>176.25</v>
      </c>
      <c r="R146" s="292"/>
      <c r="S146" s="338"/>
      <c r="T146" s="338"/>
      <c r="U146" s="338"/>
      <c r="V146" s="338"/>
      <c r="W146" s="338"/>
      <c r="X146" s="338"/>
      <c r="Y146" s="338"/>
      <c r="Z146" s="338"/>
      <c r="AA146" s="338"/>
      <c r="AB146" s="338"/>
      <c r="AC146" s="338"/>
      <c r="AD146" s="338"/>
      <c r="AE146" s="338"/>
      <c r="AF146" s="338"/>
      <c r="AG146" s="338"/>
    </row>
    <row r="147" spans="1:33" ht="12">
      <c r="A147" s="262">
        <v>2006</v>
      </c>
      <c r="B147" s="270" t="s">
        <v>62</v>
      </c>
      <c r="C147" s="326">
        <v>7439.16</v>
      </c>
      <c r="D147" s="255">
        <v>437.08</v>
      </c>
      <c r="E147" s="246">
        <v>40.16</v>
      </c>
      <c r="F147" s="326">
        <v>6961.91</v>
      </c>
      <c r="G147" s="257">
        <v>166.69</v>
      </c>
      <c r="H147" s="246">
        <v>55.82</v>
      </c>
      <c r="I147" s="257">
        <v>257.23</v>
      </c>
      <c r="J147" s="256">
        <v>1861.06</v>
      </c>
      <c r="K147" s="246">
        <v>727.01</v>
      </c>
      <c r="L147" s="246">
        <v>154.17</v>
      </c>
      <c r="M147" s="332">
        <v>913.03</v>
      </c>
      <c r="N147" s="333">
        <v>1518.9</v>
      </c>
      <c r="O147" s="255">
        <v>943.85</v>
      </c>
      <c r="P147" s="255">
        <v>48.52</v>
      </c>
      <c r="Q147" s="256">
        <v>187.71</v>
      </c>
      <c r="R147" s="292"/>
      <c r="S147" s="338"/>
      <c r="T147" s="338"/>
      <c r="U147" s="338"/>
      <c r="V147" s="338"/>
      <c r="W147" s="338"/>
      <c r="X147" s="338"/>
      <c r="Y147" s="338"/>
      <c r="Z147" s="338"/>
      <c r="AA147" s="338"/>
      <c r="AB147" s="338"/>
      <c r="AC147" s="338"/>
      <c r="AD147" s="338"/>
      <c r="AE147" s="338"/>
      <c r="AF147" s="338"/>
      <c r="AG147" s="338"/>
    </row>
    <row r="148" spans="1:33" ht="12">
      <c r="A148" s="262">
        <v>2006</v>
      </c>
      <c r="B148" s="270" t="s">
        <v>63</v>
      </c>
      <c r="C148" s="326">
        <v>6980.68</v>
      </c>
      <c r="D148" s="255">
        <v>404.83</v>
      </c>
      <c r="E148" s="246">
        <v>118.72</v>
      </c>
      <c r="F148" s="326">
        <v>6457.13</v>
      </c>
      <c r="G148" s="257">
        <v>53.08</v>
      </c>
      <c r="H148" s="246">
        <v>63.41</v>
      </c>
      <c r="I148" s="257">
        <v>206.33</v>
      </c>
      <c r="J148" s="256">
        <v>1846.99</v>
      </c>
      <c r="K148" s="246">
        <v>584.24</v>
      </c>
      <c r="L148" s="246">
        <v>159.6</v>
      </c>
      <c r="M148" s="332">
        <v>852.64</v>
      </c>
      <c r="N148" s="333">
        <v>1289.91</v>
      </c>
      <c r="O148" s="255">
        <v>1004.24</v>
      </c>
      <c r="P148" s="255">
        <v>50.81</v>
      </c>
      <c r="Q148" s="256">
        <v>168.36</v>
      </c>
      <c r="R148" s="292"/>
      <c r="S148" s="338"/>
      <c r="T148" s="338"/>
      <c r="U148" s="338"/>
      <c r="V148" s="338"/>
      <c r="W148" s="338"/>
      <c r="X148" s="338"/>
      <c r="Y148" s="338"/>
      <c r="Z148" s="338"/>
      <c r="AA148" s="338"/>
      <c r="AB148" s="338"/>
      <c r="AC148" s="338"/>
      <c r="AD148" s="338"/>
      <c r="AE148" s="338"/>
      <c r="AF148" s="338"/>
      <c r="AG148" s="338"/>
    </row>
    <row r="149" spans="1:33" ht="12">
      <c r="A149" s="262">
        <v>2006</v>
      </c>
      <c r="B149" s="262" t="s">
        <v>64</v>
      </c>
      <c r="C149" s="326">
        <v>6351.89</v>
      </c>
      <c r="D149" s="255">
        <v>348.67</v>
      </c>
      <c r="E149" s="246">
        <v>-19.13</v>
      </c>
      <c r="F149" s="326">
        <v>6022.35</v>
      </c>
      <c r="G149" s="257">
        <v>9.26</v>
      </c>
      <c r="H149" s="246">
        <v>71.18</v>
      </c>
      <c r="I149" s="257">
        <v>149.05</v>
      </c>
      <c r="J149" s="256">
        <v>1852.41</v>
      </c>
      <c r="K149" s="246">
        <v>402.85</v>
      </c>
      <c r="L149" s="246">
        <v>258.52</v>
      </c>
      <c r="M149" s="332">
        <v>673.57</v>
      </c>
      <c r="N149" s="333">
        <v>1183.42</v>
      </c>
      <c r="O149" s="255">
        <v>1081</v>
      </c>
      <c r="P149" s="255">
        <v>57.08</v>
      </c>
      <c r="Q149" s="256">
        <v>120.08</v>
      </c>
      <c r="R149" s="292"/>
      <c r="S149" s="338"/>
      <c r="T149" s="338"/>
      <c r="U149" s="338"/>
      <c r="V149" s="338"/>
      <c r="W149" s="338"/>
      <c r="X149" s="338"/>
      <c r="Y149" s="338"/>
      <c r="Z149" s="338"/>
      <c r="AA149" s="338"/>
      <c r="AB149" s="338"/>
      <c r="AC149" s="338"/>
      <c r="AD149" s="338"/>
      <c r="AE149" s="338"/>
      <c r="AF149" s="338"/>
      <c r="AG149" s="338"/>
    </row>
    <row r="150" spans="1:33" ht="12">
      <c r="A150" s="262">
        <v>2006</v>
      </c>
      <c r="B150" s="262" t="s">
        <v>65</v>
      </c>
      <c r="C150" s="326">
        <v>6712.3</v>
      </c>
      <c r="D150" s="255">
        <v>400.85</v>
      </c>
      <c r="E150" s="246">
        <v>69.84</v>
      </c>
      <c r="F150" s="326">
        <v>6241.61</v>
      </c>
      <c r="G150" s="257">
        <v>92.88</v>
      </c>
      <c r="H150" s="246">
        <v>65.19</v>
      </c>
      <c r="I150" s="257">
        <v>281.3</v>
      </c>
      <c r="J150" s="256">
        <v>1771.53</v>
      </c>
      <c r="K150" s="246">
        <v>372.67</v>
      </c>
      <c r="L150" s="246">
        <v>349.85</v>
      </c>
      <c r="M150" s="332">
        <v>866.93</v>
      </c>
      <c r="N150" s="333">
        <v>1204.57</v>
      </c>
      <c r="O150" s="255">
        <v>900.41</v>
      </c>
      <c r="P150" s="255">
        <v>36.56</v>
      </c>
      <c r="Q150" s="256">
        <v>132.75</v>
      </c>
      <c r="R150" s="292"/>
      <c r="S150" s="338"/>
      <c r="T150" s="338"/>
      <c r="U150" s="338"/>
      <c r="V150" s="338"/>
      <c r="W150" s="338"/>
      <c r="X150" s="338"/>
      <c r="Y150" s="338"/>
      <c r="Z150" s="338"/>
      <c r="AA150" s="338"/>
      <c r="AB150" s="338"/>
      <c r="AC150" s="338"/>
      <c r="AD150" s="338"/>
      <c r="AE150" s="338"/>
      <c r="AF150" s="338"/>
      <c r="AG150" s="338"/>
    </row>
    <row r="151" spans="1:33" ht="12">
      <c r="A151" s="264">
        <v>2006</v>
      </c>
      <c r="B151" s="264" t="s">
        <v>66</v>
      </c>
      <c r="C151" s="327">
        <v>7439.6</v>
      </c>
      <c r="D151" s="267">
        <v>451.67</v>
      </c>
      <c r="E151" s="267">
        <v>86.98</v>
      </c>
      <c r="F151" s="327">
        <v>6900.95</v>
      </c>
      <c r="G151" s="282">
        <v>123.81</v>
      </c>
      <c r="H151" s="267">
        <v>61.12</v>
      </c>
      <c r="I151" s="282">
        <v>272.24</v>
      </c>
      <c r="J151" s="283">
        <v>1860.19</v>
      </c>
      <c r="K151" s="267">
        <v>479.9</v>
      </c>
      <c r="L151" s="267">
        <v>314.42</v>
      </c>
      <c r="M151" s="334">
        <v>1120.46</v>
      </c>
      <c r="N151" s="335">
        <v>1366.33</v>
      </c>
      <c r="O151" s="267">
        <v>958.53</v>
      </c>
      <c r="P151" s="267">
        <v>58.07</v>
      </c>
      <c r="Q151" s="283">
        <v>136.8</v>
      </c>
      <c r="R151" s="292"/>
      <c r="S151" s="338"/>
      <c r="T151" s="338"/>
      <c r="U151" s="338"/>
      <c r="V151" s="338"/>
      <c r="W151" s="338"/>
      <c r="X151" s="338"/>
      <c r="Y151" s="338"/>
      <c r="Z151" s="338"/>
      <c r="AA151" s="338"/>
      <c r="AB151" s="338"/>
      <c r="AC151" s="338"/>
      <c r="AD151" s="338"/>
      <c r="AE151" s="338"/>
      <c r="AF151" s="338"/>
      <c r="AG151" s="338"/>
    </row>
    <row r="152" spans="1:33" ht="12">
      <c r="A152" s="262">
        <v>2007</v>
      </c>
      <c r="B152" s="263" t="s">
        <v>55</v>
      </c>
      <c r="C152" s="326">
        <v>7059.46</v>
      </c>
      <c r="D152" s="255">
        <v>414.35</v>
      </c>
      <c r="E152" s="246">
        <v>41.16</v>
      </c>
      <c r="F152" s="326">
        <v>6603.96</v>
      </c>
      <c r="G152" s="257">
        <v>177.24</v>
      </c>
      <c r="H152" s="246">
        <v>70.61</v>
      </c>
      <c r="I152" s="257">
        <v>273.45</v>
      </c>
      <c r="J152" s="284">
        <v>1863.1</v>
      </c>
      <c r="K152" s="246">
        <v>434.57</v>
      </c>
      <c r="L152" s="246">
        <v>356.76</v>
      </c>
      <c r="M152" s="332">
        <v>1017.58</v>
      </c>
      <c r="N152" s="333">
        <v>1251.75</v>
      </c>
      <c r="O152" s="255">
        <v>867.04</v>
      </c>
      <c r="P152" s="255">
        <v>51.12</v>
      </c>
      <c r="Q152" s="256">
        <v>64.98</v>
      </c>
      <c r="R152" s="292"/>
      <c r="S152" s="338"/>
      <c r="T152" s="338"/>
      <c r="U152" s="338"/>
      <c r="V152" s="338"/>
      <c r="W152" s="338"/>
      <c r="X152" s="338"/>
      <c r="Y152" s="338"/>
      <c r="Z152" s="338"/>
      <c r="AA152" s="338"/>
      <c r="AB152" s="338"/>
      <c r="AC152" s="338"/>
      <c r="AD152" s="338"/>
      <c r="AE152" s="338"/>
      <c r="AF152" s="338"/>
      <c r="AG152" s="338"/>
    </row>
    <row r="153" spans="1:33" ht="12">
      <c r="A153" s="262">
        <v>2007</v>
      </c>
      <c r="B153" s="263" t="s">
        <v>56</v>
      </c>
      <c r="C153" s="326">
        <v>5765.62</v>
      </c>
      <c r="D153" s="255">
        <v>299.74</v>
      </c>
      <c r="E153" s="246">
        <v>18.82</v>
      </c>
      <c r="F153" s="326">
        <v>5447.06</v>
      </c>
      <c r="G153" s="257">
        <v>132.72</v>
      </c>
      <c r="H153" s="246">
        <v>40.53</v>
      </c>
      <c r="I153" s="257">
        <v>317.08</v>
      </c>
      <c r="J153" s="256">
        <v>1442.6</v>
      </c>
      <c r="K153" s="246">
        <v>333.84</v>
      </c>
      <c r="L153" s="246">
        <v>334.58</v>
      </c>
      <c r="M153" s="332">
        <v>819.46</v>
      </c>
      <c r="N153" s="333">
        <v>896.54</v>
      </c>
      <c r="O153" s="255">
        <v>844.9</v>
      </c>
      <c r="P153" s="255">
        <v>49.73</v>
      </c>
      <c r="Q153" s="256">
        <v>118.54</v>
      </c>
      <c r="R153" s="292"/>
      <c r="S153" s="338"/>
      <c r="T153" s="338"/>
      <c r="U153" s="338"/>
      <c r="V153" s="338"/>
      <c r="W153" s="338"/>
      <c r="X153" s="338"/>
      <c r="Y153" s="338"/>
      <c r="Z153" s="338"/>
      <c r="AA153" s="338"/>
      <c r="AB153" s="338"/>
      <c r="AC153" s="338"/>
      <c r="AD153" s="338"/>
      <c r="AE153" s="338"/>
      <c r="AF153" s="338"/>
      <c r="AG153" s="338"/>
    </row>
    <row r="154" spans="1:33" ht="12">
      <c r="A154" s="262">
        <v>2007</v>
      </c>
      <c r="B154" s="263" t="s">
        <v>57</v>
      </c>
      <c r="C154" s="326">
        <v>6446.96</v>
      </c>
      <c r="D154" s="255">
        <v>363.76</v>
      </c>
      <c r="E154" s="246">
        <v>65.46</v>
      </c>
      <c r="F154" s="326">
        <v>6017.74</v>
      </c>
      <c r="G154" s="257">
        <v>198.7</v>
      </c>
      <c r="H154" s="246">
        <v>49.1</v>
      </c>
      <c r="I154" s="257">
        <v>175.61</v>
      </c>
      <c r="J154" s="256">
        <v>1682.29</v>
      </c>
      <c r="K154" s="246">
        <v>402.28</v>
      </c>
      <c r="L154" s="246">
        <v>325.38</v>
      </c>
      <c r="M154" s="332">
        <v>830.75</v>
      </c>
      <c r="N154" s="333">
        <v>1298</v>
      </c>
      <c r="O154" s="255">
        <v>724.52</v>
      </c>
      <c r="P154" s="255">
        <v>32.54</v>
      </c>
      <c r="Q154" s="256">
        <v>146.85</v>
      </c>
      <c r="R154" s="292"/>
      <c r="S154" s="338"/>
      <c r="T154" s="338"/>
      <c r="U154" s="338"/>
      <c r="V154" s="338"/>
      <c r="W154" s="338"/>
      <c r="X154" s="338"/>
      <c r="Y154" s="338"/>
      <c r="Z154" s="338"/>
      <c r="AA154" s="338"/>
      <c r="AB154" s="338"/>
      <c r="AC154" s="338"/>
      <c r="AD154" s="338"/>
      <c r="AE154" s="338"/>
      <c r="AF154" s="338"/>
      <c r="AG154" s="338"/>
    </row>
    <row r="155" spans="1:33" ht="12">
      <c r="A155" s="262">
        <v>2007</v>
      </c>
      <c r="B155" s="263" t="s">
        <v>58</v>
      </c>
      <c r="C155" s="326">
        <v>6889.63</v>
      </c>
      <c r="D155" s="255">
        <v>388.36</v>
      </c>
      <c r="E155" s="246">
        <v>18.86</v>
      </c>
      <c r="F155" s="326">
        <v>6482.41</v>
      </c>
      <c r="G155" s="257">
        <v>226.58</v>
      </c>
      <c r="H155" s="246">
        <v>48.42</v>
      </c>
      <c r="I155" s="257">
        <v>195.3</v>
      </c>
      <c r="J155" s="256">
        <v>1807.5</v>
      </c>
      <c r="K155" s="246">
        <v>533.74</v>
      </c>
      <c r="L155" s="246">
        <v>223</v>
      </c>
      <c r="M155" s="332">
        <v>793.99</v>
      </c>
      <c r="N155" s="333">
        <v>1450.76</v>
      </c>
      <c r="O155" s="255">
        <v>899.42</v>
      </c>
      <c r="P155" s="255">
        <v>16.16</v>
      </c>
      <c r="Q155" s="256">
        <v>132.4</v>
      </c>
      <c r="R155" s="292"/>
      <c r="S155" s="338"/>
      <c r="T155" s="338"/>
      <c r="U155" s="338"/>
      <c r="V155" s="338"/>
      <c r="W155" s="338"/>
      <c r="X155" s="338"/>
      <c r="Y155" s="338"/>
      <c r="Z155" s="338"/>
      <c r="AA155" s="338"/>
      <c r="AB155" s="338"/>
      <c r="AC155" s="338"/>
      <c r="AD155" s="338"/>
      <c r="AE155" s="338"/>
      <c r="AF155" s="338"/>
      <c r="AG155" s="338"/>
    </row>
    <row r="156" spans="1:33" ht="12">
      <c r="A156" s="262">
        <v>2007</v>
      </c>
      <c r="B156" s="263" t="s">
        <v>59</v>
      </c>
      <c r="C156" s="326">
        <v>7290.25</v>
      </c>
      <c r="D156" s="255">
        <v>411.41</v>
      </c>
      <c r="E156" s="246">
        <v>407.67</v>
      </c>
      <c r="F156" s="326">
        <v>6471.18</v>
      </c>
      <c r="G156" s="257">
        <v>232.57</v>
      </c>
      <c r="H156" s="246">
        <v>55.02</v>
      </c>
      <c r="I156" s="257">
        <v>178.46</v>
      </c>
      <c r="J156" s="256">
        <v>1833.5</v>
      </c>
      <c r="K156" s="246">
        <v>553.52</v>
      </c>
      <c r="L156" s="246">
        <v>233.16</v>
      </c>
      <c r="M156" s="332">
        <v>755.68</v>
      </c>
      <c r="N156" s="333">
        <v>1422.27</v>
      </c>
      <c r="O156" s="255">
        <v>943.45</v>
      </c>
      <c r="P156" s="255">
        <v>23.93</v>
      </c>
      <c r="Q156" s="256">
        <v>87.48</v>
      </c>
      <c r="R156" s="292"/>
      <c r="S156" s="338"/>
      <c r="T156" s="338"/>
      <c r="U156" s="338"/>
      <c r="V156" s="338"/>
      <c r="W156" s="338"/>
      <c r="X156" s="338"/>
      <c r="Y156" s="338"/>
      <c r="Z156" s="338"/>
      <c r="AA156" s="338"/>
      <c r="AB156" s="338"/>
      <c r="AC156" s="338"/>
      <c r="AD156" s="338"/>
      <c r="AE156" s="338"/>
      <c r="AF156" s="338"/>
      <c r="AG156" s="338"/>
    </row>
    <row r="157" spans="1:33" ht="12">
      <c r="A157" s="262">
        <v>2007</v>
      </c>
      <c r="B157" s="263" t="s">
        <v>60</v>
      </c>
      <c r="C157" s="326">
        <v>6926.45</v>
      </c>
      <c r="D157" s="255">
        <v>399.83</v>
      </c>
      <c r="E157" s="246">
        <v>-107.86</v>
      </c>
      <c r="F157" s="326">
        <v>6634.48</v>
      </c>
      <c r="G157" s="257">
        <v>240.04</v>
      </c>
      <c r="H157" s="246">
        <v>36.21</v>
      </c>
      <c r="I157" s="257">
        <v>160.46</v>
      </c>
      <c r="J157" s="256">
        <v>1992.75</v>
      </c>
      <c r="K157" s="246">
        <v>620.76</v>
      </c>
      <c r="L157" s="246">
        <v>123.2</v>
      </c>
      <c r="M157" s="332">
        <v>783.66</v>
      </c>
      <c r="N157" s="333">
        <v>1543.47</v>
      </c>
      <c r="O157" s="255">
        <v>726.73</v>
      </c>
      <c r="P157" s="255">
        <v>61.57</v>
      </c>
      <c r="Q157" s="256">
        <v>211.93</v>
      </c>
      <c r="R157" s="292"/>
      <c r="S157" s="338"/>
      <c r="T157" s="338"/>
      <c r="U157" s="338"/>
      <c r="V157" s="338"/>
      <c r="W157" s="338"/>
      <c r="X157" s="338"/>
      <c r="Y157" s="338"/>
      <c r="Z157" s="338"/>
      <c r="AA157" s="338"/>
      <c r="AB157" s="338"/>
      <c r="AC157" s="338"/>
      <c r="AD157" s="338"/>
      <c r="AE157" s="338"/>
      <c r="AF157" s="338"/>
      <c r="AG157" s="338"/>
    </row>
    <row r="158" spans="1:33" ht="12">
      <c r="A158" s="262">
        <v>2007</v>
      </c>
      <c r="B158" s="263" t="s">
        <v>61</v>
      </c>
      <c r="C158" s="326">
        <v>6819.94</v>
      </c>
      <c r="D158" s="255">
        <v>411.02</v>
      </c>
      <c r="E158" s="246">
        <v>-161.15</v>
      </c>
      <c r="F158" s="326">
        <v>6570.08</v>
      </c>
      <c r="G158" s="257">
        <v>212.79</v>
      </c>
      <c r="H158" s="246">
        <v>37.66</v>
      </c>
      <c r="I158" s="257">
        <v>133.8</v>
      </c>
      <c r="J158" s="256">
        <v>1878.07</v>
      </c>
      <c r="K158" s="246">
        <v>668.66</v>
      </c>
      <c r="L158" s="246">
        <v>107.87</v>
      </c>
      <c r="M158" s="332">
        <v>793.71</v>
      </c>
      <c r="N158" s="333">
        <v>1565.15</v>
      </c>
      <c r="O158" s="255">
        <v>760.07</v>
      </c>
      <c r="P158" s="255">
        <v>102.26</v>
      </c>
      <c r="Q158" s="256">
        <v>164.57</v>
      </c>
      <c r="R158" s="292"/>
      <c r="S158" s="338"/>
      <c r="T158" s="338"/>
      <c r="U158" s="338"/>
      <c r="V158" s="338"/>
      <c r="W158" s="338"/>
      <c r="X158" s="338"/>
      <c r="Y158" s="338"/>
      <c r="Z158" s="338"/>
      <c r="AA158" s="338"/>
      <c r="AB158" s="338"/>
      <c r="AC158" s="338"/>
      <c r="AD158" s="338"/>
      <c r="AE158" s="338"/>
      <c r="AF158" s="338"/>
      <c r="AG158" s="338"/>
    </row>
    <row r="159" spans="1:33" ht="12">
      <c r="A159" s="262">
        <v>2007</v>
      </c>
      <c r="B159" s="263" t="s">
        <v>62</v>
      </c>
      <c r="C159" s="326">
        <v>7306.92</v>
      </c>
      <c r="D159" s="255">
        <v>417.23</v>
      </c>
      <c r="E159" s="246">
        <v>26.66</v>
      </c>
      <c r="F159" s="326">
        <v>6863.03</v>
      </c>
      <c r="G159" s="257">
        <v>226.89</v>
      </c>
      <c r="H159" s="246">
        <v>41.12</v>
      </c>
      <c r="I159" s="257">
        <v>229.48</v>
      </c>
      <c r="J159" s="256">
        <v>1890.5</v>
      </c>
      <c r="K159" s="246">
        <v>679.51</v>
      </c>
      <c r="L159" s="246">
        <v>171.06</v>
      </c>
      <c r="M159" s="332">
        <v>901.71</v>
      </c>
      <c r="N159" s="333">
        <v>1478.33</v>
      </c>
      <c r="O159" s="255">
        <v>837.34</v>
      </c>
      <c r="P159" s="255">
        <v>67.41</v>
      </c>
      <c r="Q159" s="256">
        <v>158.49</v>
      </c>
      <c r="R159" s="292"/>
      <c r="S159" s="338"/>
      <c r="T159" s="338"/>
      <c r="U159" s="338"/>
      <c r="V159" s="338"/>
      <c r="W159" s="338"/>
      <c r="X159" s="338"/>
      <c r="Y159" s="338"/>
      <c r="Z159" s="338"/>
      <c r="AA159" s="338"/>
      <c r="AB159" s="338"/>
      <c r="AC159" s="338"/>
      <c r="AD159" s="338"/>
      <c r="AE159" s="338"/>
      <c r="AF159" s="338"/>
      <c r="AG159" s="338"/>
    </row>
    <row r="160" spans="1:33" ht="12">
      <c r="A160" s="262">
        <v>2007</v>
      </c>
      <c r="B160" s="263" t="s">
        <v>63</v>
      </c>
      <c r="C160" s="326">
        <v>6915.08</v>
      </c>
      <c r="D160" s="255">
        <v>384.55</v>
      </c>
      <c r="E160" s="246">
        <v>4.27</v>
      </c>
      <c r="F160" s="326">
        <v>6526.27</v>
      </c>
      <c r="G160" s="257">
        <v>108.57</v>
      </c>
      <c r="H160" s="246">
        <v>26.2</v>
      </c>
      <c r="I160" s="257">
        <v>209.42</v>
      </c>
      <c r="J160" s="256">
        <v>1885.86</v>
      </c>
      <c r="K160" s="246">
        <v>567.42</v>
      </c>
      <c r="L160" s="246">
        <v>141.07</v>
      </c>
      <c r="M160" s="332">
        <v>825.8</v>
      </c>
      <c r="N160" s="333">
        <v>1465.69</v>
      </c>
      <c r="O160" s="255">
        <v>945.35</v>
      </c>
      <c r="P160" s="255">
        <v>35.33</v>
      </c>
      <c r="Q160" s="256">
        <v>163.25</v>
      </c>
      <c r="R160" s="292"/>
      <c r="S160" s="338"/>
      <c r="T160" s="338"/>
      <c r="U160" s="338"/>
      <c r="V160" s="338"/>
      <c r="W160" s="338"/>
      <c r="X160" s="338"/>
      <c r="Y160" s="338"/>
      <c r="Z160" s="338"/>
      <c r="AA160" s="338"/>
      <c r="AB160" s="338"/>
      <c r="AC160" s="338"/>
      <c r="AD160" s="338"/>
      <c r="AE160" s="338"/>
      <c r="AF160" s="338"/>
      <c r="AG160" s="338"/>
    </row>
    <row r="161" spans="1:33" ht="12">
      <c r="A161" s="262">
        <v>2007</v>
      </c>
      <c r="B161" s="270" t="s">
        <v>64</v>
      </c>
      <c r="C161" s="326">
        <v>6965.25</v>
      </c>
      <c r="D161" s="255">
        <v>401.16</v>
      </c>
      <c r="E161" s="246">
        <v>72.77</v>
      </c>
      <c r="F161" s="326">
        <v>6491.32</v>
      </c>
      <c r="G161" s="257">
        <v>129.02</v>
      </c>
      <c r="H161" s="246">
        <v>38.64</v>
      </c>
      <c r="I161" s="257">
        <v>195.57</v>
      </c>
      <c r="J161" s="256">
        <v>1818.27</v>
      </c>
      <c r="K161" s="246">
        <v>566.26</v>
      </c>
      <c r="L161" s="246">
        <v>281.17</v>
      </c>
      <c r="M161" s="332">
        <v>849.94</v>
      </c>
      <c r="N161" s="333">
        <v>1242.19</v>
      </c>
      <c r="O161" s="255">
        <v>1080.27</v>
      </c>
      <c r="P161" s="255">
        <v>17.19</v>
      </c>
      <c r="Q161" s="256">
        <v>140.77</v>
      </c>
      <c r="R161" s="292"/>
      <c r="S161" s="338"/>
      <c r="T161" s="338"/>
      <c r="U161" s="338"/>
      <c r="V161" s="338"/>
      <c r="W161" s="338"/>
      <c r="X161" s="338"/>
      <c r="Y161" s="338"/>
      <c r="Z161" s="338"/>
      <c r="AA161" s="338"/>
      <c r="AB161" s="338"/>
      <c r="AC161" s="338"/>
      <c r="AD161" s="338"/>
      <c r="AE161" s="338"/>
      <c r="AF161" s="338"/>
      <c r="AG161" s="338"/>
    </row>
    <row r="162" spans="1:33" ht="12">
      <c r="A162" s="262">
        <v>2007</v>
      </c>
      <c r="B162" s="270" t="s">
        <v>65</v>
      </c>
      <c r="C162" s="326">
        <v>6435.47</v>
      </c>
      <c r="D162" s="255">
        <v>394.25</v>
      </c>
      <c r="E162" s="246">
        <v>-19.13</v>
      </c>
      <c r="F162" s="326">
        <v>6060.35</v>
      </c>
      <c r="G162" s="257">
        <v>178.75</v>
      </c>
      <c r="H162" s="246">
        <v>39.4</v>
      </c>
      <c r="I162" s="257">
        <v>214.2</v>
      </c>
      <c r="J162" s="256">
        <v>1651.91</v>
      </c>
      <c r="K162" s="246">
        <v>363.62</v>
      </c>
      <c r="L162" s="246">
        <v>337.41</v>
      </c>
      <c r="M162" s="332">
        <v>950.05</v>
      </c>
      <c r="N162" s="333">
        <v>1232.54</v>
      </c>
      <c r="O162" s="255">
        <v>804.49</v>
      </c>
      <c r="P162" s="255">
        <v>19.51</v>
      </c>
      <c r="Q162" s="256">
        <v>128.64</v>
      </c>
      <c r="R162" s="292"/>
      <c r="S162" s="338"/>
      <c r="T162" s="338"/>
      <c r="U162" s="338"/>
      <c r="V162" s="338"/>
      <c r="W162" s="338"/>
      <c r="X162" s="338"/>
      <c r="Y162" s="338"/>
      <c r="Z162" s="338"/>
      <c r="AA162" s="338"/>
      <c r="AB162" s="338"/>
      <c r="AC162" s="338"/>
      <c r="AD162" s="338"/>
      <c r="AE162" s="338"/>
      <c r="AF162" s="338"/>
      <c r="AG162" s="338"/>
    </row>
    <row r="163" spans="1:33" ht="12">
      <c r="A163" s="264">
        <v>2007</v>
      </c>
      <c r="B163" s="274" t="s">
        <v>66</v>
      </c>
      <c r="C163" s="327">
        <v>6656.18</v>
      </c>
      <c r="D163" s="267">
        <v>389.94</v>
      </c>
      <c r="E163" s="267">
        <v>-74.74</v>
      </c>
      <c r="F163" s="327">
        <v>6340.98</v>
      </c>
      <c r="G163" s="282">
        <v>195.41</v>
      </c>
      <c r="H163" s="267">
        <v>34.04</v>
      </c>
      <c r="I163" s="282">
        <v>277.76</v>
      </c>
      <c r="J163" s="283">
        <v>1566.99</v>
      </c>
      <c r="K163" s="267">
        <v>452.13</v>
      </c>
      <c r="L163" s="267">
        <v>333.55</v>
      </c>
      <c r="M163" s="334">
        <v>842.45</v>
      </c>
      <c r="N163" s="335">
        <v>1291.48</v>
      </c>
      <c r="O163" s="267">
        <v>999.4</v>
      </c>
      <c r="P163" s="267">
        <v>70.65</v>
      </c>
      <c r="Q163" s="283">
        <v>109.88</v>
      </c>
      <c r="R163" s="292"/>
      <c r="S163" s="338"/>
      <c r="T163" s="338"/>
      <c r="U163" s="338"/>
      <c r="V163" s="338"/>
      <c r="W163" s="338"/>
      <c r="X163" s="338"/>
      <c r="Y163" s="338"/>
      <c r="Z163" s="338"/>
      <c r="AA163" s="338"/>
      <c r="AB163" s="338"/>
      <c r="AC163" s="338"/>
      <c r="AD163" s="338"/>
      <c r="AE163" s="338"/>
      <c r="AF163" s="338"/>
      <c r="AG163" s="338"/>
    </row>
    <row r="164" spans="1:33" ht="12">
      <c r="A164" s="262">
        <v>2008</v>
      </c>
      <c r="B164" s="263" t="s">
        <v>55</v>
      </c>
      <c r="C164" s="326">
        <v>6686.27</v>
      </c>
      <c r="D164" s="255">
        <v>390.9</v>
      </c>
      <c r="E164" s="246">
        <v>66.15</v>
      </c>
      <c r="F164" s="326">
        <v>6229.22</v>
      </c>
      <c r="G164" s="257">
        <v>190.36</v>
      </c>
      <c r="H164" s="246">
        <v>39.24</v>
      </c>
      <c r="I164" s="257">
        <v>417.02</v>
      </c>
      <c r="J164" s="284">
        <v>1425.43</v>
      </c>
      <c r="K164" s="246">
        <v>433.81</v>
      </c>
      <c r="L164" s="246">
        <v>356.43</v>
      </c>
      <c r="M164" s="332">
        <v>772.16</v>
      </c>
      <c r="N164" s="333">
        <v>1265.24</v>
      </c>
      <c r="O164" s="255">
        <v>1036.52</v>
      </c>
      <c r="P164" s="255">
        <v>67.92</v>
      </c>
      <c r="Q164" s="256">
        <v>57.11</v>
      </c>
      <c r="R164" s="292"/>
      <c r="S164" s="338"/>
      <c r="T164" s="338"/>
      <c r="U164" s="338"/>
      <c r="V164" s="338"/>
      <c r="W164" s="338"/>
      <c r="X164" s="338"/>
      <c r="Y164" s="338"/>
      <c r="Z164" s="338"/>
      <c r="AA164" s="338"/>
      <c r="AB164" s="338"/>
      <c r="AC164" s="338"/>
      <c r="AD164" s="338"/>
      <c r="AE164" s="338"/>
      <c r="AF164" s="338"/>
      <c r="AG164" s="338"/>
    </row>
    <row r="165" spans="1:33" ht="12">
      <c r="A165" s="262">
        <v>2008</v>
      </c>
      <c r="B165" s="263" t="s">
        <v>56</v>
      </c>
      <c r="C165" s="326">
        <v>5951.85</v>
      </c>
      <c r="D165" s="255">
        <v>373.72</v>
      </c>
      <c r="E165" s="246">
        <v>60.86</v>
      </c>
      <c r="F165" s="326">
        <v>5517.27</v>
      </c>
      <c r="G165" s="257">
        <v>174.02</v>
      </c>
      <c r="H165" s="246">
        <v>26.61</v>
      </c>
      <c r="I165" s="257">
        <v>162.6</v>
      </c>
      <c r="J165" s="256">
        <v>1489.12</v>
      </c>
      <c r="K165" s="246">
        <v>381.46</v>
      </c>
      <c r="L165" s="246">
        <v>337.6</v>
      </c>
      <c r="M165" s="332">
        <v>823.72</v>
      </c>
      <c r="N165" s="333">
        <v>998.19</v>
      </c>
      <c r="O165" s="255">
        <v>855.4</v>
      </c>
      <c r="P165" s="255">
        <v>23.42</v>
      </c>
      <c r="Q165" s="256">
        <v>110.76</v>
      </c>
      <c r="R165" s="292"/>
      <c r="S165" s="338"/>
      <c r="T165" s="338"/>
      <c r="U165" s="338"/>
      <c r="V165" s="338"/>
      <c r="W165" s="338"/>
      <c r="X165" s="338"/>
      <c r="Y165" s="338"/>
      <c r="Z165" s="338"/>
      <c r="AA165" s="338"/>
      <c r="AB165" s="338"/>
      <c r="AC165" s="338"/>
      <c r="AD165" s="338"/>
      <c r="AE165" s="338"/>
      <c r="AF165" s="338"/>
      <c r="AG165" s="338"/>
    </row>
    <row r="166" spans="1:33" ht="12">
      <c r="A166" s="262">
        <v>2008</v>
      </c>
      <c r="B166" s="263" t="s">
        <v>57</v>
      </c>
      <c r="C166" s="326">
        <v>6873.35</v>
      </c>
      <c r="D166" s="255">
        <v>411.41</v>
      </c>
      <c r="E166" s="246">
        <v>119.63</v>
      </c>
      <c r="F166" s="326">
        <v>6342.31</v>
      </c>
      <c r="G166" s="257">
        <v>191.05</v>
      </c>
      <c r="H166" s="246">
        <v>27.73</v>
      </c>
      <c r="I166" s="257">
        <v>248.76</v>
      </c>
      <c r="J166" s="256">
        <v>1672.59</v>
      </c>
      <c r="K166" s="246">
        <v>483.27</v>
      </c>
      <c r="L166" s="246">
        <v>346.61</v>
      </c>
      <c r="M166" s="332">
        <v>1004.18</v>
      </c>
      <c r="N166" s="333">
        <v>1104.76</v>
      </c>
      <c r="O166" s="255">
        <v>936.93</v>
      </c>
      <c r="P166" s="255">
        <v>43.73</v>
      </c>
      <c r="Q166" s="256">
        <v>134.19</v>
      </c>
      <c r="R166" s="292"/>
      <c r="S166" s="338"/>
      <c r="T166" s="338"/>
      <c r="U166" s="338"/>
      <c r="V166" s="338"/>
      <c r="W166" s="338"/>
      <c r="X166" s="338"/>
      <c r="Y166" s="338"/>
      <c r="Z166" s="338"/>
      <c r="AA166" s="338"/>
      <c r="AB166" s="338"/>
      <c r="AC166" s="338"/>
      <c r="AD166" s="338"/>
      <c r="AE166" s="338"/>
      <c r="AF166" s="338"/>
      <c r="AG166" s="338"/>
    </row>
    <row r="167" spans="1:33" ht="12">
      <c r="A167" s="262">
        <v>2008</v>
      </c>
      <c r="B167" s="263" t="s">
        <v>137</v>
      </c>
      <c r="C167" s="326">
        <v>6761.69</v>
      </c>
      <c r="D167" s="255">
        <v>398.75</v>
      </c>
      <c r="E167" s="246">
        <v>28.78</v>
      </c>
      <c r="F167" s="326">
        <v>6334.15</v>
      </c>
      <c r="G167" s="257">
        <v>227</v>
      </c>
      <c r="H167" s="246">
        <v>31.13</v>
      </c>
      <c r="I167" s="257">
        <v>265.59</v>
      </c>
      <c r="J167" s="256">
        <v>1660.59</v>
      </c>
      <c r="K167" s="246">
        <v>494.61</v>
      </c>
      <c r="L167" s="246">
        <v>303.04</v>
      </c>
      <c r="M167" s="332">
        <v>800.22</v>
      </c>
      <c r="N167" s="333">
        <v>1330.88</v>
      </c>
      <c r="O167" s="255">
        <v>944.08</v>
      </c>
      <c r="P167" s="255">
        <v>63.21</v>
      </c>
      <c r="Q167" s="256">
        <v>115.62</v>
      </c>
      <c r="R167" s="292"/>
      <c r="S167" s="338"/>
      <c r="T167" s="338"/>
      <c r="U167" s="338"/>
      <c r="V167" s="338"/>
      <c r="W167" s="338"/>
      <c r="X167" s="338"/>
      <c r="Y167" s="338"/>
      <c r="Z167" s="338"/>
      <c r="AA167" s="338"/>
      <c r="AB167" s="338"/>
      <c r="AC167" s="338"/>
      <c r="AD167" s="338"/>
      <c r="AE167" s="338"/>
      <c r="AF167" s="338"/>
      <c r="AG167" s="338"/>
    </row>
    <row r="168" spans="1:33" ht="12">
      <c r="A168" s="262">
        <v>2008</v>
      </c>
      <c r="B168" s="263" t="s">
        <v>59</v>
      </c>
      <c r="C168" s="326">
        <v>6645.26</v>
      </c>
      <c r="D168" s="255">
        <v>384.82</v>
      </c>
      <c r="E168" s="246">
        <v>7.33</v>
      </c>
      <c r="F168" s="326">
        <v>6253.11</v>
      </c>
      <c r="G168" s="257">
        <v>210.99</v>
      </c>
      <c r="H168" s="246">
        <v>24.8</v>
      </c>
      <c r="I168" s="257">
        <v>222.81</v>
      </c>
      <c r="J168" s="256">
        <v>1593.84</v>
      </c>
      <c r="K168" s="246">
        <v>531.96</v>
      </c>
      <c r="L168" s="246">
        <v>207.22</v>
      </c>
      <c r="M168" s="332">
        <v>838.75</v>
      </c>
      <c r="N168" s="333">
        <v>1340.9</v>
      </c>
      <c r="O168" s="255">
        <v>967.28</v>
      </c>
      <c r="P168" s="255">
        <v>44.39</v>
      </c>
      <c r="Q168" s="256">
        <v>162.68</v>
      </c>
      <c r="R168" s="292"/>
      <c r="S168" s="338"/>
      <c r="T168" s="338"/>
      <c r="U168" s="338"/>
      <c r="V168" s="338"/>
      <c r="W168" s="338"/>
      <c r="X168" s="338"/>
      <c r="Y168" s="338"/>
      <c r="Z168" s="338"/>
      <c r="AA168" s="338"/>
      <c r="AB168" s="338"/>
      <c r="AC168" s="338"/>
      <c r="AD168" s="338"/>
      <c r="AE168" s="338"/>
      <c r="AF168" s="338"/>
      <c r="AG168" s="338"/>
    </row>
    <row r="169" spans="1:33" ht="12">
      <c r="A169" s="262">
        <v>2008</v>
      </c>
      <c r="B169" s="263" t="s">
        <v>60</v>
      </c>
      <c r="C169" s="326">
        <v>7325.37</v>
      </c>
      <c r="D169" s="255">
        <v>404.09</v>
      </c>
      <c r="E169" s="246">
        <v>102.04</v>
      </c>
      <c r="F169" s="326">
        <v>6819.24</v>
      </c>
      <c r="G169" s="257">
        <v>222.17</v>
      </c>
      <c r="H169" s="246">
        <v>31.44</v>
      </c>
      <c r="I169" s="257">
        <v>240.46</v>
      </c>
      <c r="J169" s="256">
        <v>1732.46</v>
      </c>
      <c r="K169" s="246">
        <v>670.34</v>
      </c>
      <c r="L169" s="246">
        <v>124.92</v>
      </c>
      <c r="M169" s="332">
        <v>915.85</v>
      </c>
      <c r="N169" s="333">
        <v>1526.16</v>
      </c>
      <c r="O169" s="255">
        <v>1019.52</v>
      </c>
      <c r="P169" s="255">
        <v>28.31</v>
      </c>
      <c r="Q169" s="256">
        <v>145.67</v>
      </c>
      <c r="R169" s="292"/>
      <c r="S169" s="338"/>
      <c r="T169" s="338"/>
      <c r="U169" s="338"/>
      <c r="V169" s="338"/>
      <c r="W169" s="338"/>
      <c r="X169" s="338"/>
      <c r="Y169" s="338"/>
      <c r="Z169" s="338"/>
      <c r="AA169" s="338"/>
      <c r="AB169" s="338"/>
      <c r="AC169" s="338"/>
      <c r="AD169" s="338"/>
      <c r="AE169" s="338"/>
      <c r="AF169" s="338"/>
      <c r="AG169" s="338"/>
    </row>
    <row r="170" spans="1:33" ht="12">
      <c r="A170" s="262">
        <v>2008</v>
      </c>
      <c r="B170" s="263" t="s">
        <v>61</v>
      </c>
      <c r="C170" s="326">
        <v>6855.72</v>
      </c>
      <c r="D170" s="255">
        <v>408.79</v>
      </c>
      <c r="E170" s="246">
        <v>-45.68</v>
      </c>
      <c r="F170" s="326">
        <v>6492.62</v>
      </c>
      <c r="G170" s="257">
        <v>233.82</v>
      </c>
      <c r="H170" s="246">
        <v>29.84</v>
      </c>
      <c r="I170" s="257">
        <v>157.64</v>
      </c>
      <c r="J170" s="256">
        <v>1706.3</v>
      </c>
      <c r="K170" s="246">
        <v>736.12</v>
      </c>
      <c r="L170" s="246">
        <v>118.91</v>
      </c>
      <c r="M170" s="332">
        <v>901.85</v>
      </c>
      <c r="N170" s="333">
        <v>1475.46</v>
      </c>
      <c r="O170" s="255">
        <v>732.41</v>
      </c>
      <c r="P170" s="255">
        <v>48.52</v>
      </c>
      <c r="Q170" s="256">
        <v>133.85</v>
      </c>
      <c r="R170" s="292"/>
      <c r="S170" s="338"/>
      <c r="T170" s="338"/>
      <c r="U170" s="338"/>
      <c r="V170" s="338"/>
      <c r="W170" s="338"/>
      <c r="X170" s="338"/>
      <c r="Y170" s="338"/>
      <c r="Z170" s="338"/>
      <c r="AA170" s="338"/>
      <c r="AB170" s="338"/>
      <c r="AC170" s="338"/>
      <c r="AD170" s="338"/>
      <c r="AE170" s="338"/>
      <c r="AF170" s="338"/>
      <c r="AG170" s="338"/>
    </row>
    <row r="171" spans="1:33" ht="12">
      <c r="A171" s="262">
        <v>2008</v>
      </c>
      <c r="B171" s="270" t="s">
        <v>62</v>
      </c>
      <c r="C171" s="326">
        <v>7137.14</v>
      </c>
      <c r="D171" s="255">
        <v>395.88</v>
      </c>
      <c r="E171" s="246">
        <v>36.47</v>
      </c>
      <c r="F171" s="326">
        <v>6704.79</v>
      </c>
      <c r="G171" s="257">
        <v>228.54</v>
      </c>
      <c r="H171" s="246">
        <v>24</v>
      </c>
      <c r="I171" s="257">
        <v>258.29</v>
      </c>
      <c r="J171" s="256">
        <v>1726.85</v>
      </c>
      <c r="K171" s="246">
        <v>771.38</v>
      </c>
      <c r="L171" s="246">
        <v>125.5</v>
      </c>
      <c r="M171" s="332">
        <v>869.3</v>
      </c>
      <c r="N171" s="333">
        <v>1461.33</v>
      </c>
      <c r="O171" s="255">
        <v>852.3</v>
      </c>
      <c r="P171" s="255">
        <v>36.83</v>
      </c>
      <c r="Q171" s="256">
        <v>155.78</v>
      </c>
      <c r="R171" s="292"/>
      <c r="S171" s="338"/>
      <c r="T171" s="338"/>
      <c r="U171" s="338"/>
      <c r="V171" s="338"/>
      <c r="W171" s="338"/>
      <c r="X171" s="338"/>
      <c r="Y171" s="338"/>
      <c r="Z171" s="338"/>
      <c r="AA171" s="338"/>
      <c r="AB171" s="338"/>
      <c r="AC171" s="338"/>
      <c r="AD171" s="338"/>
      <c r="AE171" s="338"/>
      <c r="AF171" s="338"/>
      <c r="AG171" s="338"/>
    </row>
    <row r="172" spans="1:33" ht="12">
      <c r="A172" s="262">
        <v>2008</v>
      </c>
      <c r="B172" s="270" t="s">
        <v>63</v>
      </c>
      <c r="C172" s="326">
        <v>6906.52</v>
      </c>
      <c r="D172" s="255">
        <v>370.39</v>
      </c>
      <c r="E172" s="246">
        <v>-9.6</v>
      </c>
      <c r="F172" s="326">
        <v>6545.73</v>
      </c>
      <c r="G172" s="257">
        <v>152.56</v>
      </c>
      <c r="H172" s="246">
        <v>28.85</v>
      </c>
      <c r="I172" s="257">
        <v>256.4</v>
      </c>
      <c r="J172" s="256">
        <v>1583.83</v>
      </c>
      <c r="K172" s="246">
        <v>642.28</v>
      </c>
      <c r="L172" s="246">
        <v>189.82</v>
      </c>
      <c r="M172" s="332">
        <v>984.24</v>
      </c>
      <c r="N172" s="333">
        <v>1437.46</v>
      </c>
      <c r="O172" s="255">
        <v>860.53</v>
      </c>
      <c r="P172" s="255">
        <v>62.9</v>
      </c>
      <c r="Q172" s="256">
        <v>132.49</v>
      </c>
      <c r="R172" s="292"/>
      <c r="S172" s="338"/>
      <c r="T172" s="338"/>
      <c r="U172" s="338"/>
      <c r="V172" s="338"/>
      <c r="W172" s="338"/>
      <c r="X172" s="338"/>
      <c r="Y172" s="338"/>
      <c r="Z172" s="338"/>
      <c r="AA172" s="338"/>
      <c r="AB172" s="338"/>
      <c r="AC172" s="338"/>
      <c r="AD172" s="338"/>
      <c r="AE172" s="338"/>
      <c r="AF172" s="338"/>
      <c r="AG172" s="338"/>
    </row>
    <row r="173" spans="1:33" ht="12">
      <c r="A173" s="262">
        <v>2008</v>
      </c>
      <c r="B173" s="270" t="s">
        <v>64</v>
      </c>
      <c r="C173" s="326">
        <v>6651.19</v>
      </c>
      <c r="D173" s="255">
        <v>364.06</v>
      </c>
      <c r="E173" s="246">
        <v>3.77</v>
      </c>
      <c r="F173" s="326">
        <v>6283.36</v>
      </c>
      <c r="G173" s="257">
        <v>135.15</v>
      </c>
      <c r="H173" s="246">
        <v>28.96</v>
      </c>
      <c r="I173" s="257">
        <v>136.07</v>
      </c>
      <c r="J173" s="256">
        <v>1624.94</v>
      </c>
      <c r="K173" s="246">
        <v>538.35</v>
      </c>
      <c r="L173" s="246">
        <v>287.21</v>
      </c>
      <c r="M173" s="332">
        <v>925.39</v>
      </c>
      <c r="N173" s="333">
        <v>1438.77</v>
      </c>
      <c r="O173" s="255">
        <v>775.49</v>
      </c>
      <c r="P173" s="255">
        <v>35.22</v>
      </c>
      <c r="Q173" s="256">
        <v>132.88</v>
      </c>
      <c r="R173" s="292"/>
      <c r="S173" s="338"/>
      <c r="T173" s="338"/>
      <c r="U173" s="338"/>
      <c r="V173" s="338"/>
      <c r="W173" s="338"/>
      <c r="X173" s="338"/>
      <c r="Y173" s="338"/>
      <c r="Z173" s="338"/>
      <c r="AA173" s="338"/>
      <c r="AB173" s="338"/>
      <c r="AC173" s="338"/>
      <c r="AD173" s="338"/>
      <c r="AE173" s="338"/>
      <c r="AF173" s="338"/>
      <c r="AG173" s="338"/>
    </row>
    <row r="174" spans="1:33" ht="12">
      <c r="A174" s="262">
        <v>2008</v>
      </c>
      <c r="B174" s="270" t="s">
        <v>65</v>
      </c>
      <c r="C174" s="326">
        <v>6143.16</v>
      </c>
      <c r="D174" s="255">
        <v>378.26</v>
      </c>
      <c r="E174" s="246">
        <v>23.98</v>
      </c>
      <c r="F174" s="326">
        <v>5740.92</v>
      </c>
      <c r="G174" s="257">
        <v>133.13</v>
      </c>
      <c r="H174" s="246">
        <v>31.39</v>
      </c>
      <c r="I174" s="257">
        <v>94.84</v>
      </c>
      <c r="J174" s="256">
        <v>1536.59</v>
      </c>
      <c r="K174" s="246">
        <v>394.51</v>
      </c>
      <c r="L174" s="246">
        <v>319.81</v>
      </c>
      <c r="M174" s="332">
        <v>779.99</v>
      </c>
      <c r="N174" s="333">
        <v>1436.73</v>
      </c>
      <c r="O174" s="255">
        <v>702.29</v>
      </c>
      <c r="P174" s="255">
        <v>22.55</v>
      </c>
      <c r="Q174" s="256">
        <v>100.59</v>
      </c>
      <c r="R174" s="292"/>
      <c r="S174" s="338"/>
      <c r="T174" s="338"/>
      <c r="U174" s="338"/>
      <c r="V174" s="338"/>
      <c r="W174" s="338"/>
      <c r="X174" s="338"/>
      <c r="Y174" s="338"/>
      <c r="Z174" s="338"/>
      <c r="AA174" s="338"/>
      <c r="AB174" s="338"/>
      <c r="AC174" s="338"/>
      <c r="AD174" s="338"/>
      <c r="AE174" s="338"/>
      <c r="AF174" s="338"/>
      <c r="AG174" s="338"/>
    </row>
    <row r="175" spans="1:33" ht="12">
      <c r="A175" s="264">
        <v>2008</v>
      </c>
      <c r="B175" s="274" t="s">
        <v>66</v>
      </c>
      <c r="C175" s="327">
        <v>7096.08</v>
      </c>
      <c r="D175" s="267">
        <v>425.11</v>
      </c>
      <c r="E175" s="267">
        <v>76.4</v>
      </c>
      <c r="F175" s="327">
        <v>6594.57</v>
      </c>
      <c r="G175" s="282">
        <v>151.71</v>
      </c>
      <c r="H175" s="267">
        <v>44.72</v>
      </c>
      <c r="I175" s="282">
        <v>199.78</v>
      </c>
      <c r="J175" s="283">
        <v>1768.52</v>
      </c>
      <c r="K175" s="267">
        <v>470.6</v>
      </c>
      <c r="L175" s="267">
        <v>374.23</v>
      </c>
      <c r="M175" s="334">
        <v>950.56</v>
      </c>
      <c r="N175" s="335">
        <v>1534.17</v>
      </c>
      <c r="O175" s="267">
        <v>800.66</v>
      </c>
      <c r="P175" s="267">
        <v>37.09</v>
      </c>
      <c r="Q175" s="283">
        <v>103.42</v>
      </c>
      <c r="R175" s="292"/>
      <c r="S175" s="338"/>
      <c r="T175" s="338"/>
      <c r="U175" s="338"/>
      <c r="V175" s="338"/>
      <c r="W175" s="338"/>
      <c r="X175" s="338"/>
      <c r="Y175" s="338"/>
      <c r="Z175" s="338"/>
      <c r="AA175" s="338"/>
      <c r="AB175" s="338"/>
      <c r="AC175" s="338"/>
      <c r="AD175" s="338"/>
      <c r="AE175" s="338"/>
      <c r="AF175" s="338"/>
      <c r="AG175" s="338"/>
    </row>
    <row r="176" spans="1:33" ht="12">
      <c r="A176" s="262">
        <v>2009</v>
      </c>
      <c r="B176" s="270" t="s">
        <v>55</v>
      </c>
      <c r="C176" s="326">
        <v>6885.83</v>
      </c>
      <c r="D176" s="255">
        <v>433.5</v>
      </c>
      <c r="E176" s="246">
        <v>141.3</v>
      </c>
      <c r="F176" s="326">
        <v>6311.03</v>
      </c>
      <c r="G176" s="257">
        <v>170.11</v>
      </c>
      <c r="H176" s="246">
        <v>34.31</v>
      </c>
      <c r="I176" s="257">
        <v>228.64</v>
      </c>
      <c r="J176" s="284">
        <v>1717.66</v>
      </c>
      <c r="K176" s="246">
        <v>487.6</v>
      </c>
      <c r="L176" s="246">
        <v>354.26</v>
      </c>
      <c r="M176" s="332">
        <v>910.29</v>
      </c>
      <c r="N176" s="333">
        <v>1399.24</v>
      </c>
      <c r="O176" s="255">
        <v>802.59</v>
      </c>
      <c r="P176" s="255">
        <v>17.31</v>
      </c>
      <c r="Q176" s="256">
        <v>29.23</v>
      </c>
      <c r="R176" s="292"/>
      <c r="S176" s="338"/>
      <c r="T176" s="338"/>
      <c r="U176" s="338"/>
      <c r="V176" s="338"/>
      <c r="W176" s="338"/>
      <c r="X176" s="338"/>
      <c r="Y176" s="338"/>
      <c r="Z176" s="338"/>
      <c r="AA176" s="338"/>
      <c r="AB176" s="338"/>
      <c r="AC176" s="338"/>
      <c r="AD176" s="338"/>
      <c r="AE176" s="338"/>
      <c r="AF176" s="338"/>
      <c r="AG176" s="338"/>
    </row>
    <row r="177" spans="1:33" ht="12">
      <c r="A177" s="262">
        <v>2009</v>
      </c>
      <c r="B177" s="270" t="s">
        <v>56</v>
      </c>
      <c r="C177" s="326">
        <v>6280.62</v>
      </c>
      <c r="D177" s="255">
        <v>372.83</v>
      </c>
      <c r="E177" s="246">
        <v>62.72</v>
      </c>
      <c r="F177" s="326">
        <v>5845.07</v>
      </c>
      <c r="G177" s="257">
        <v>169.3</v>
      </c>
      <c r="H177" s="246">
        <v>30.15</v>
      </c>
      <c r="I177" s="257">
        <v>338.81</v>
      </c>
      <c r="J177" s="256">
        <v>1455.26</v>
      </c>
      <c r="K177" s="246">
        <v>373.42</v>
      </c>
      <c r="L177" s="246">
        <v>384.98</v>
      </c>
      <c r="M177" s="332">
        <v>840.07</v>
      </c>
      <c r="N177" s="333">
        <v>1171.9</v>
      </c>
      <c r="O177" s="255">
        <v>812.7</v>
      </c>
      <c r="P177" s="255">
        <v>20.06</v>
      </c>
      <c r="Q177" s="256">
        <v>80.96</v>
      </c>
      <c r="R177" s="292"/>
      <c r="S177" s="338"/>
      <c r="T177" s="338"/>
      <c r="U177" s="338"/>
      <c r="V177" s="338"/>
      <c r="W177" s="338"/>
      <c r="X177" s="338"/>
      <c r="Y177" s="338"/>
      <c r="Z177" s="338"/>
      <c r="AA177" s="338"/>
      <c r="AB177" s="338"/>
      <c r="AC177" s="338"/>
      <c r="AD177" s="338"/>
      <c r="AE177" s="338"/>
      <c r="AF177" s="338"/>
      <c r="AG177" s="338"/>
    </row>
    <row r="178" spans="1:33" ht="12">
      <c r="A178" s="262">
        <v>2009</v>
      </c>
      <c r="B178" s="270" t="s">
        <v>57</v>
      </c>
      <c r="C178" s="326">
        <v>6554.99</v>
      </c>
      <c r="D178" s="255">
        <v>343.77</v>
      </c>
      <c r="E178" s="246">
        <v>50.97</v>
      </c>
      <c r="F178" s="326">
        <v>6160.24</v>
      </c>
      <c r="G178" s="257">
        <v>177.49</v>
      </c>
      <c r="H178" s="246">
        <v>46.1</v>
      </c>
      <c r="I178" s="257">
        <v>286.53</v>
      </c>
      <c r="J178" s="256">
        <v>1576.14</v>
      </c>
      <c r="K178" s="246">
        <v>455.53</v>
      </c>
      <c r="L178" s="246">
        <v>292.23</v>
      </c>
      <c r="M178" s="332">
        <v>871.33</v>
      </c>
      <c r="N178" s="333">
        <v>1395.47</v>
      </c>
      <c r="O178" s="255">
        <v>711.64</v>
      </c>
      <c r="P178" s="255">
        <v>43.74</v>
      </c>
      <c r="Q178" s="256">
        <v>109.3</v>
      </c>
      <c r="R178" s="292"/>
      <c r="S178" s="338"/>
      <c r="T178" s="338"/>
      <c r="U178" s="338"/>
      <c r="V178" s="338"/>
      <c r="W178" s="338"/>
      <c r="X178" s="338"/>
      <c r="Y178" s="338"/>
      <c r="Z178" s="338"/>
      <c r="AA178" s="338"/>
      <c r="AB178" s="338"/>
      <c r="AC178" s="338"/>
      <c r="AD178" s="338"/>
      <c r="AE178" s="338"/>
      <c r="AF178" s="338"/>
      <c r="AG178" s="338"/>
    </row>
    <row r="179" spans="1:33" ht="12">
      <c r="A179" s="262">
        <v>2009</v>
      </c>
      <c r="B179" s="270" t="s">
        <v>137</v>
      </c>
      <c r="C179" s="326">
        <v>5956.91</v>
      </c>
      <c r="D179" s="255">
        <v>352.99</v>
      </c>
      <c r="E179" s="246">
        <v>175.74</v>
      </c>
      <c r="F179" s="326">
        <v>5428.19</v>
      </c>
      <c r="G179" s="257">
        <v>191.92</v>
      </c>
      <c r="H179" s="246">
        <v>32.99</v>
      </c>
      <c r="I179" s="257">
        <v>177.05</v>
      </c>
      <c r="J179" s="256">
        <v>1545.58</v>
      </c>
      <c r="K179" s="246">
        <v>454.43</v>
      </c>
      <c r="L179" s="246">
        <v>224.34</v>
      </c>
      <c r="M179" s="332">
        <v>701.46</v>
      </c>
      <c r="N179" s="333">
        <v>1278.14</v>
      </c>
      <c r="O179" s="255">
        <v>547.66</v>
      </c>
      <c r="P179" s="255">
        <v>23.38</v>
      </c>
      <c r="Q179" s="256">
        <v>106.04</v>
      </c>
      <c r="R179" s="292"/>
      <c r="S179" s="338"/>
      <c r="T179" s="338"/>
      <c r="U179" s="338"/>
      <c r="V179" s="338"/>
      <c r="W179" s="338"/>
      <c r="X179" s="338"/>
      <c r="Y179" s="338"/>
      <c r="Z179" s="338"/>
      <c r="AA179" s="338"/>
      <c r="AB179" s="338"/>
      <c r="AC179" s="338"/>
      <c r="AD179" s="338"/>
      <c r="AE179" s="338"/>
      <c r="AF179" s="338"/>
      <c r="AG179" s="338"/>
    </row>
    <row r="180" spans="1:33" ht="12">
      <c r="A180" s="262">
        <v>2009</v>
      </c>
      <c r="B180" s="270" t="s">
        <v>59</v>
      </c>
      <c r="C180" s="326">
        <v>6138.3</v>
      </c>
      <c r="D180" s="255">
        <v>323.43</v>
      </c>
      <c r="E180" s="246">
        <v>-14.75</v>
      </c>
      <c r="F180" s="326">
        <v>5829.62</v>
      </c>
      <c r="G180" s="257">
        <v>204.38</v>
      </c>
      <c r="H180" s="246">
        <v>30.9</v>
      </c>
      <c r="I180" s="257">
        <v>174.99</v>
      </c>
      <c r="J180" s="256">
        <v>1633.88</v>
      </c>
      <c r="K180" s="246">
        <v>545.34</v>
      </c>
      <c r="L180" s="246">
        <v>148.12</v>
      </c>
      <c r="M180" s="332">
        <v>747.57</v>
      </c>
      <c r="N180" s="333">
        <v>1357.66</v>
      </c>
      <c r="O180" s="255">
        <v>662.6</v>
      </c>
      <c r="P180" s="255">
        <v>38.84</v>
      </c>
      <c r="Q180" s="256">
        <v>139.65</v>
      </c>
      <c r="R180" s="292"/>
      <c r="S180" s="338"/>
      <c r="T180" s="338"/>
      <c r="U180" s="338"/>
      <c r="V180" s="338"/>
      <c r="W180" s="338"/>
      <c r="X180" s="338"/>
      <c r="Y180" s="338"/>
      <c r="Z180" s="338"/>
      <c r="AA180" s="338"/>
      <c r="AB180" s="338"/>
      <c r="AC180" s="338"/>
      <c r="AD180" s="338"/>
      <c r="AE180" s="338"/>
      <c r="AF180" s="338"/>
      <c r="AG180" s="338"/>
    </row>
    <row r="181" spans="1:33" ht="12">
      <c r="A181" s="262">
        <v>2009</v>
      </c>
      <c r="B181" s="270" t="s">
        <v>60</v>
      </c>
      <c r="C181" s="326">
        <v>6230.88</v>
      </c>
      <c r="D181" s="255">
        <v>351.84</v>
      </c>
      <c r="E181" s="246">
        <v>29.16</v>
      </c>
      <c r="F181" s="326">
        <v>5849.89</v>
      </c>
      <c r="G181" s="257">
        <v>213.46</v>
      </c>
      <c r="H181" s="246">
        <v>36.57</v>
      </c>
      <c r="I181" s="257">
        <v>208.9</v>
      </c>
      <c r="J181" s="256">
        <v>1549.13</v>
      </c>
      <c r="K181" s="246">
        <v>577.44</v>
      </c>
      <c r="L181" s="246">
        <v>119.98</v>
      </c>
      <c r="M181" s="332">
        <v>735.95</v>
      </c>
      <c r="N181" s="333">
        <v>1363.14</v>
      </c>
      <c r="O181" s="255">
        <v>719.34</v>
      </c>
      <c r="P181" s="255">
        <v>29.02</v>
      </c>
      <c r="Q181" s="256">
        <v>131.16</v>
      </c>
      <c r="R181" s="292"/>
      <c r="S181" s="338"/>
      <c r="T181" s="338"/>
      <c r="U181" s="338"/>
      <c r="V181" s="338"/>
      <c r="W181" s="338"/>
      <c r="X181" s="338"/>
      <c r="Y181" s="338"/>
      <c r="Z181" s="338"/>
      <c r="AA181" s="338"/>
      <c r="AB181" s="338"/>
      <c r="AC181" s="338"/>
      <c r="AD181" s="338"/>
      <c r="AE181" s="338"/>
      <c r="AF181" s="338"/>
      <c r="AG181" s="338"/>
    </row>
    <row r="182" spans="1:33" ht="12">
      <c r="A182" s="262">
        <v>2009</v>
      </c>
      <c r="B182" s="270" t="s">
        <v>61</v>
      </c>
      <c r="C182" s="326">
        <v>6643.23</v>
      </c>
      <c r="D182" s="255">
        <v>357.42</v>
      </c>
      <c r="E182" s="246">
        <v>20.46</v>
      </c>
      <c r="F182" s="326">
        <v>6265.35</v>
      </c>
      <c r="G182" s="257">
        <v>208.59</v>
      </c>
      <c r="H182" s="246">
        <v>39.62</v>
      </c>
      <c r="I182" s="257">
        <v>189.18</v>
      </c>
      <c r="J182" s="256">
        <v>1654.08</v>
      </c>
      <c r="K182" s="246">
        <v>672.67</v>
      </c>
      <c r="L182" s="246">
        <v>107.08</v>
      </c>
      <c r="M182" s="332">
        <v>777.62</v>
      </c>
      <c r="N182" s="333">
        <v>1456.58</v>
      </c>
      <c r="O182" s="255">
        <v>772.07</v>
      </c>
      <c r="P182" s="255">
        <v>48.52</v>
      </c>
      <c r="Q182" s="256">
        <v>147.15</v>
      </c>
      <c r="R182" s="292"/>
      <c r="S182" s="338"/>
      <c r="T182" s="338"/>
      <c r="U182" s="338"/>
      <c r="V182" s="338"/>
      <c r="W182" s="338"/>
      <c r="X182" s="338"/>
      <c r="Y182" s="338"/>
      <c r="Z182" s="338"/>
      <c r="AA182" s="338"/>
      <c r="AB182" s="338"/>
      <c r="AC182" s="338"/>
      <c r="AD182" s="338"/>
      <c r="AE182" s="338"/>
      <c r="AF182" s="338"/>
      <c r="AG182" s="338"/>
    </row>
    <row r="183" spans="1:33" ht="12">
      <c r="A183" s="262">
        <v>2009</v>
      </c>
      <c r="B183" s="270" t="s">
        <v>139</v>
      </c>
      <c r="C183" s="326">
        <v>6483.75</v>
      </c>
      <c r="D183" s="255">
        <v>360.84</v>
      </c>
      <c r="E183" s="246">
        <v>25.27</v>
      </c>
      <c r="F183" s="326">
        <v>6097.64</v>
      </c>
      <c r="G183" s="257">
        <v>199.13</v>
      </c>
      <c r="H183" s="246">
        <v>42.16</v>
      </c>
      <c r="I183" s="257">
        <v>177.22</v>
      </c>
      <c r="J183" s="256">
        <v>1691.06</v>
      </c>
      <c r="K183" s="246">
        <v>625.76</v>
      </c>
      <c r="L183" s="246">
        <v>122.6</v>
      </c>
      <c r="M183" s="332">
        <v>832.32</v>
      </c>
      <c r="N183" s="333">
        <v>1389.51</v>
      </c>
      <c r="O183" s="255">
        <v>611.97</v>
      </c>
      <c r="P183" s="255">
        <v>62.05</v>
      </c>
      <c r="Q183" s="256">
        <v>130.49</v>
      </c>
      <c r="R183" s="292"/>
      <c r="S183" s="338"/>
      <c r="T183" s="338"/>
      <c r="U183" s="338"/>
      <c r="V183" s="338"/>
      <c r="W183" s="338"/>
      <c r="X183" s="338"/>
      <c r="Y183" s="338"/>
      <c r="Z183" s="338"/>
      <c r="AA183" s="338"/>
      <c r="AB183" s="338"/>
      <c r="AC183" s="338"/>
      <c r="AD183" s="338"/>
      <c r="AE183" s="338"/>
      <c r="AF183" s="338"/>
      <c r="AG183" s="338"/>
    </row>
    <row r="184" spans="1:33" ht="12">
      <c r="A184" s="262">
        <v>2009</v>
      </c>
      <c r="B184" s="270" t="s">
        <v>63</v>
      </c>
      <c r="C184" s="326">
        <v>6105.39</v>
      </c>
      <c r="D184" s="255">
        <v>324.5</v>
      </c>
      <c r="E184" s="246">
        <v>9.15</v>
      </c>
      <c r="F184" s="326">
        <v>5771.74</v>
      </c>
      <c r="G184" s="257">
        <v>98.39</v>
      </c>
      <c r="H184" s="246">
        <v>37.51</v>
      </c>
      <c r="I184" s="257">
        <v>150</v>
      </c>
      <c r="J184" s="256">
        <v>1626.17</v>
      </c>
      <c r="K184" s="246">
        <v>515.55</v>
      </c>
      <c r="L184" s="246">
        <v>227.1</v>
      </c>
      <c r="M184" s="332">
        <v>711</v>
      </c>
      <c r="N184" s="333">
        <v>1366.63</v>
      </c>
      <c r="O184" s="255">
        <v>618.66</v>
      </c>
      <c r="P184" s="255">
        <v>98.03</v>
      </c>
      <c r="Q184" s="256">
        <v>155.57</v>
      </c>
      <c r="R184" s="292"/>
      <c r="S184" s="338"/>
      <c r="T184" s="338"/>
      <c r="U184" s="338"/>
      <c r="V184" s="338"/>
      <c r="W184" s="338"/>
      <c r="X184" s="338"/>
      <c r="Y184" s="338"/>
      <c r="Z184" s="338"/>
      <c r="AA184" s="338"/>
      <c r="AB184" s="338"/>
      <c r="AC184" s="338"/>
      <c r="AD184" s="338"/>
      <c r="AE184" s="338"/>
      <c r="AF184" s="338"/>
      <c r="AG184" s="338"/>
    </row>
    <row r="185" spans="1:33" ht="12">
      <c r="A185" s="262">
        <v>2009</v>
      </c>
      <c r="B185" s="270" t="s">
        <v>64</v>
      </c>
      <c r="C185" s="326">
        <v>5836.5</v>
      </c>
      <c r="D185" s="255">
        <v>326.49</v>
      </c>
      <c r="E185" s="246">
        <v>99.53</v>
      </c>
      <c r="F185" s="326">
        <v>5410.48</v>
      </c>
      <c r="G185" s="257">
        <v>169.66</v>
      </c>
      <c r="H185" s="246">
        <v>38.27</v>
      </c>
      <c r="I185" s="257">
        <v>206.85</v>
      </c>
      <c r="J185" s="256">
        <v>1479.61</v>
      </c>
      <c r="K185" s="246">
        <v>411.98</v>
      </c>
      <c r="L185" s="246">
        <v>254.01</v>
      </c>
      <c r="M185" s="332">
        <v>776.6</v>
      </c>
      <c r="N185" s="333">
        <v>1189.75</v>
      </c>
      <c r="O185" s="255">
        <v>582.97</v>
      </c>
      <c r="P185" s="255">
        <v>23.35</v>
      </c>
      <c r="Q185" s="256">
        <v>99.7</v>
      </c>
      <c r="R185" s="292"/>
      <c r="S185" s="338"/>
      <c r="T185" s="338"/>
      <c r="U185" s="338"/>
      <c r="V185" s="338"/>
      <c r="W185" s="338"/>
      <c r="X185" s="338"/>
      <c r="Y185" s="338"/>
      <c r="Z185" s="338"/>
      <c r="AA185" s="338"/>
      <c r="AB185" s="338"/>
      <c r="AC185" s="338"/>
      <c r="AD185" s="338"/>
      <c r="AE185" s="338"/>
      <c r="AF185" s="338"/>
      <c r="AG185" s="338"/>
    </row>
    <row r="186" spans="1:33" ht="12">
      <c r="A186" s="262">
        <v>2009</v>
      </c>
      <c r="B186" s="270" t="s">
        <v>65</v>
      </c>
      <c r="C186" s="326">
        <v>5943.35</v>
      </c>
      <c r="D186" s="255">
        <v>358.79</v>
      </c>
      <c r="E186" s="246">
        <v>118.2</v>
      </c>
      <c r="F186" s="326">
        <v>5466.36</v>
      </c>
      <c r="G186" s="257">
        <v>150.04</v>
      </c>
      <c r="H186" s="246">
        <v>38</v>
      </c>
      <c r="I186" s="257">
        <v>159.62</v>
      </c>
      <c r="J186" s="256">
        <v>1510.74</v>
      </c>
      <c r="K186" s="246">
        <v>460.62</v>
      </c>
      <c r="L186" s="246">
        <v>243.03</v>
      </c>
      <c r="M186" s="332">
        <v>820.45</v>
      </c>
      <c r="N186" s="333">
        <v>1175.34</v>
      </c>
      <c r="O186" s="255">
        <v>550.03</v>
      </c>
      <c r="P186" s="255">
        <v>73.57</v>
      </c>
      <c r="Q186" s="256">
        <v>108.99</v>
      </c>
      <c r="R186" s="292"/>
      <c r="S186" s="338"/>
      <c r="T186" s="338"/>
      <c r="U186" s="338"/>
      <c r="V186" s="338"/>
      <c r="W186" s="338"/>
      <c r="X186" s="338"/>
      <c r="Y186" s="338"/>
      <c r="Z186" s="338"/>
      <c r="AA186" s="338"/>
      <c r="AB186" s="338"/>
      <c r="AC186" s="338"/>
      <c r="AD186" s="338"/>
      <c r="AE186" s="338"/>
      <c r="AF186" s="338"/>
      <c r="AG186" s="338"/>
    </row>
    <row r="187" spans="1:33" ht="12">
      <c r="A187" s="264">
        <v>2009</v>
      </c>
      <c r="B187" s="274" t="s">
        <v>114</v>
      </c>
      <c r="C187" s="327">
        <v>6490.82</v>
      </c>
      <c r="D187" s="267">
        <v>397.78</v>
      </c>
      <c r="E187" s="267">
        <v>5.27</v>
      </c>
      <c r="F187" s="327">
        <v>6087.76</v>
      </c>
      <c r="G187" s="282">
        <v>160.51</v>
      </c>
      <c r="H187" s="267">
        <v>41.94</v>
      </c>
      <c r="I187" s="282">
        <v>208.97</v>
      </c>
      <c r="J187" s="283">
        <v>1745.1</v>
      </c>
      <c r="K187" s="267">
        <v>441.4</v>
      </c>
      <c r="L187" s="267">
        <v>352.47</v>
      </c>
      <c r="M187" s="334">
        <v>762.43</v>
      </c>
      <c r="N187" s="335">
        <v>1364.86</v>
      </c>
      <c r="O187" s="267">
        <v>650.94</v>
      </c>
      <c r="P187" s="267">
        <v>51.91</v>
      </c>
      <c r="Q187" s="283">
        <v>99.6</v>
      </c>
      <c r="R187" s="292"/>
      <c r="S187" s="338"/>
      <c r="T187" s="338"/>
      <c r="U187" s="338"/>
      <c r="V187" s="338"/>
      <c r="W187" s="338"/>
      <c r="X187" s="338"/>
      <c r="Y187" s="338"/>
      <c r="Z187" s="338"/>
      <c r="AA187" s="338"/>
      <c r="AB187" s="338"/>
      <c r="AC187" s="338"/>
      <c r="AD187" s="338"/>
      <c r="AE187" s="338"/>
      <c r="AF187" s="338"/>
      <c r="AG187" s="338"/>
    </row>
    <row r="188" spans="1:33" ht="12">
      <c r="A188" s="262">
        <v>2010</v>
      </c>
      <c r="B188" s="270" t="s">
        <v>55</v>
      </c>
      <c r="C188" s="326">
        <v>5907.94</v>
      </c>
      <c r="D188" s="255">
        <v>328.92</v>
      </c>
      <c r="E188" s="246">
        <v>66.43</v>
      </c>
      <c r="F188" s="326">
        <v>5512.59</v>
      </c>
      <c r="G188" s="257">
        <v>140.71</v>
      </c>
      <c r="H188" s="246">
        <v>45.97</v>
      </c>
      <c r="I188" s="257">
        <v>341.63</v>
      </c>
      <c r="J188" s="284">
        <v>1564.38</v>
      </c>
      <c r="K188" s="246">
        <v>384.93</v>
      </c>
      <c r="L188" s="246">
        <v>365.15</v>
      </c>
      <c r="M188" s="332">
        <v>643.46</v>
      </c>
      <c r="N188" s="333">
        <v>1221.11</v>
      </c>
      <c r="O188" s="255">
        <v>542.94</v>
      </c>
      <c r="P188" s="255">
        <v>34.08</v>
      </c>
      <c r="Q188" s="256">
        <v>18.64</v>
      </c>
      <c r="R188" s="292"/>
      <c r="S188" s="338"/>
      <c r="T188" s="338"/>
      <c r="U188" s="338"/>
      <c r="V188" s="338"/>
      <c r="W188" s="338"/>
      <c r="X188" s="338"/>
      <c r="Y188" s="338"/>
      <c r="Z188" s="338"/>
      <c r="AA188" s="338"/>
      <c r="AB188" s="338"/>
      <c r="AC188" s="338"/>
      <c r="AD188" s="338"/>
      <c r="AE188" s="338"/>
      <c r="AF188" s="338"/>
      <c r="AG188" s="338"/>
    </row>
    <row r="189" spans="1:33" ht="12">
      <c r="A189" s="262">
        <v>2010</v>
      </c>
      <c r="B189" s="270" t="s">
        <v>56</v>
      </c>
      <c r="C189" s="326">
        <v>5473.29</v>
      </c>
      <c r="D189" s="255">
        <v>284.83</v>
      </c>
      <c r="E189" s="246">
        <v>121.22</v>
      </c>
      <c r="F189" s="326">
        <v>5067.23</v>
      </c>
      <c r="G189" s="257">
        <v>124.97</v>
      </c>
      <c r="H189" s="246">
        <v>42.81</v>
      </c>
      <c r="I189" s="257">
        <v>310.83</v>
      </c>
      <c r="J189" s="256">
        <v>1432.79</v>
      </c>
      <c r="K189" s="246">
        <v>356.91</v>
      </c>
      <c r="L189" s="246">
        <v>331.1</v>
      </c>
      <c r="M189" s="332">
        <v>614.72</v>
      </c>
      <c r="N189" s="333">
        <v>1014.08</v>
      </c>
      <c r="O189" s="255">
        <v>546.42</v>
      </c>
      <c r="P189" s="255">
        <v>35.21</v>
      </c>
      <c r="Q189" s="256">
        <v>72.33</v>
      </c>
      <c r="R189" s="292"/>
      <c r="S189" s="338"/>
      <c r="T189" s="338"/>
      <c r="U189" s="338"/>
      <c r="V189" s="338"/>
      <c r="W189" s="338"/>
      <c r="X189" s="338"/>
      <c r="Y189" s="338"/>
      <c r="Z189" s="338"/>
      <c r="AA189" s="338"/>
      <c r="AB189" s="338"/>
      <c r="AC189" s="338"/>
      <c r="AD189" s="338"/>
      <c r="AE189" s="338"/>
      <c r="AF189" s="338"/>
      <c r="AG189" s="338"/>
    </row>
    <row r="190" spans="1:33" ht="12">
      <c r="A190" s="262">
        <v>2010</v>
      </c>
      <c r="B190" s="270" t="s">
        <v>57</v>
      </c>
      <c r="C190" s="326">
        <v>6189.35</v>
      </c>
      <c r="D190" s="255">
        <v>327.85</v>
      </c>
      <c r="E190" s="246">
        <v>169.55</v>
      </c>
      <c r="F190" s="326">
        <v>5691.96</v>
      </c>
      <c r="G190" s="257">
        <v>190.79</v>
      </c>
      <c r="H190" s="246">
        <v>47.31</v>
      </c>
      <c r="I190" s="257">
        <v>182.88</v>
      </c>
      <c r="J190" s="256">
        <v>1556.16</v>
      </c>
      <c r="K190" s="246">
        <v>453.86</v>
      </c>
      <c r="L190" s="246">
        <v>266.18</v>
      </c>
      <c r="M190" s="332">
        <v>796.65</v>
      </c>
      <c r="N190" s="333">
        <v>1210.67</v>
      </c>
      <c r="O190" s="255">
        <v>619.26</v>
      </c>
      <c r="P190" s="255">
        <v>63.8</v>
      </c>
      <c r="Q190" s="256">
        <v>91.35</v>
      </c>
      <c r="R190" s="292"/>
      <c r="S190" s="338"/>
      <c r="T190" s="338"/>
      <c r="U190" s="338"/>
      <c r="V190" s="338"/>
      <c r="W190" s="338"/>
      <c r="X190" s="338"/>
      <c r="Y190" s="338"/>
      <c r="Z190" s="338"/>
      <c r="AA190" s="338"/>
      <c r="AB190" s="338"/>
      <c r="AC190" s="338"/>
      <c r="AD190" s="338"/>
      <c r="AE190" s="338"/>
      <c r="AF190" s="338"/>
      <c r="AG190" s="338"/>
    </row>
    <row r="191" spans="1:33" ht="12">
      <c r="A191" s="262">
        <v>2010</v>
      </c>
      <c r="B191" s="270" t="s">
        <v>58</v>
      </c>
      <c r="C191" s="326">
        <v>5758.21</v>
      </c>
      <c r="D191" s="255">
        <v>354.06</v>
      </c>
      <c r="E191" s="246">
        <v>93.61</v>
      </c>
      <c r="F191" s="326">
        <v>5310.53</v>
      </c>
      <c r="G191" s="257">
        <v>202.41</v>
      </c>
      <c r="H191" s="246">
        <v>54.05</v>
      </c>
      <c r="I191" s="257">
        <v>150.92</v>
      </c>
      <c r="J191" s="256">
        <v>1508.44</v>
      </c>
      <c r="K191" s="246">
        <v>434.66</v>
      </c>
      <c r="L191" s="246">
        <v>189.58</v>
      </c>
      <c r="M191" s="332">
        <v>823.88</v>
      </c>
      <c r="N191" s="333">
        <v>1118.51</v>
      </c>
      <c r="O191" s="255">
        <v>510.63</v>
      </c>
      <c r="P191" s="255">
        <v>12.57</v>
      </c>
      <c r="Q191" s="256">
        <v>118.59</v>
      </c>
      <c r="R191" s="292"/>
      <c r="S191" s="338"/>
      <c r="T191" s="338"/>
      <c r="U191" s="338"/>
      <c r="V191" s="338"/>
      <c r="W191" s="338"/>
      <c r="X191" s="338"/>
      <c r="Y191" s="338"/>
      <c r="Z191" s="338"/>
      <c r="AA191" s="338"/>
      <c r="AB191" s="338"/>
      <c r="AC191" s="338"/>
      <c r="AD191" s="338"/>
      <c r="AE191" s="338"/>
      <c r="AF191" s="338"/>
      <c r="AG191" s="338"/>
    </row>
    <row r="192" spans="1:33" ht="12">
      <c r="A192" s="262">
        <v>2010</v>
      </c>
      <c r="B192" s="270" t="s">
        <v>59</v>
      </c>
      <c r="C192" s="326">
        <v>6214.68</v>
      </c>
      <c r="D192" s="255">
        <v>354.99</v>
      </c>
      <c r="E192" s="246">
        <v>48.29</v>
      </c>
      <c r="F192" s="326">
        <v>5811.4</v>
      </c>
      <c r="G192" s="257">
        <v>228.17</v>
      </c>
      <c r="H192" s="246">
        <v>42.39</v>
      </c>
      <c r="I192" s="257">
        <v>191.45</v>
      </c>
      <c r="J192" s="256">
        <v>1600.31</v>
      </c>
      <c r="K192" s="246">
        <v>490.82</v>
      </c>
      <c r="L192" s="246">
        <v>177.87</v>
      </c>
      <c r="M192" s="332">
        <v>846.3</v>
      </c>
      <c r="N192" s="333">
        <v>1244.36</v>
      </c>
      <c r="O192" s="255">
        <v>594.84</v>
      </c>
      <c r="P192" s="255">
        <v>17.81</v>
      </c>
      <c r="Q192" s="256">
        <v>122.91</v>
      </c>
      <c r="R192" s="292"/>
      <c r="S192" s="338"/>
      <c r="T192" s="338"/>
      <c r="U192" s="338"/>
      <c r="V192" s="338"/>
      <c r="W192" s="338"/>
      <c r="X192" s="338"/>
      <c r="Y192" s="338"/>
      <c r="Z192" s="338"/>
      <c r="AA192" s="338"/>
      <c r="AB192" s="338"/>
      <c r="AC192" s="338"/>
      <c r="AD192" s="338"/>
      <c r="AE192" s="338"/>
      <c r="AF192" s="338"/>
      <c r="AG192" s="338"/>
    </row>
    <row r="193" spans="1:33" ht="12">
      <c r="A193" s="262">
        <v>2010</v>
      </c>
      <c r="B193" s="270" t="s">
        <v>60</v>
      </c>
      <c r="C193" s="326">
        <v>6384.06</v>
      </c>
      <c r="D193" s="255">
        <v>385.53</v>
      </c>
      <c r="E193" s="246">
        <v>71.39</v>
      </c>
      <c r="F193" s="326">
        <v>5927.14</v>
      </c>
      <c r="G193" s="257">
        <v>209.67</v>
      </c>
      <c r="H193" s="246">
        <v>44.14</v>
      </c>
      <c r="I193" s="257">
        <v>156.45</v>
      </c>
      <c r="J193" s="256">
        <v>1607.5</v>
      </c>
      <c r="K193" s="246">
        <v>616.11</v>
      </c>
      <c r="L193" s="246">
        <v>86.84</v>
      </c>
      <c r="M193" s="332">
        <v>791.06</v>
      </c>
      <c r="N193" s="333">
        <v>1489.82</v>
      </c>
      <c r="O193" s="255">
        <v>587.95</v>
      </c>
      <c r="P193" s="255">
        <v>17.15</v>
      </c>
      <c r="Q193" s="256">
        <v>133.87</v>
      </c>
      <c r="R193" s="292"/>
      <c r="S193" s="338"/>
      <c r="T193" s="338"/>
      <c r="U193" s="338"/>
      <c r="V193" s="338"/>
      <c r="W193" s="338"/>
      <c r="X193" s="338"/>
      <c r="Y193" s="338"/>
      <c r="Z193" s="338"/>
      <c r="AA193" s="338"/>
      <c r="AB193" s="338"/>
      <c r="AC193" s="338"/>
      <c r="AD193" s="338"/>
      <c r="AE193" s="338"/>
      <c r="AF193" s="338"/>
      <c r="AG193" s="338"/>
    </row>
    <row r="194" spans="1:33" ht="12">
      <c r="A194" s="262">
        <v>2010</v>
      </c>
      <c r="B194" s="270" t="s">
        <v>61</v>
      </c>
      <c r="C194" s="326">
        <v>6421.79</v>
      </c>
      <c r="D194" s="255">
        <v>380.73</v>
      </c>
      <c r="E194" s="246">
        <v>5.87</v>
      </c>
      <c r="F194" s="326">
        <v>6035.19</v>
      </c>
      <c r="G194" s="257">
        <v>225.06</v>
      </c>
      <c r="H194" s="246">
        <v>47.2</v>
      </c>
      <c r="I194" s="257">
        <v>184.31</v>
      </c>
      <c r="J194" s="256">
        <v>1640.3</v>
      </c>
      <c r="K194" s="246">
        <v>590.72</v>
      </c>
      <c r="L194" s="246">
        <v>123.5</v>
      </c>
      <c r="M194" s="332">
        <v>860.36</v>
      </c>
      <c r="N194" s="333">
        <v>1374.17</v>
      </c>
      <c r="O194" s="255">
        <v>612.28</v>
      </c>
      <c r="P194" s="255">
        <v>35.27</v>
      </c>
      <c r="Q194" s="256">
        <v>145.1</v>
      </c>
      <c r="R194" s="292"/>
      <c r="S194" s="338"/>
      <c r="T194" s="338"/>
      <c r="U194" s="338"/>
      <c r="V194" s="338"/>
      <c r="W194" s="338"/>
      <c r="X194" s="338"/>
      <c r="Y194" s="338"/>
      <c r="Z194" s="338"/>
      <c r="AA194" s="338"/>
      <c r="AB194" s="338"/>
      <c r="AC194" s="338"/>
      <c r="AD194" s="338"/>
      <c r="AE194" s="338"/>
      <c r="AF194" s="338"/>
      <c r="AG194" s="338"/>
    </row>
    <row r="195" spans="1:33" ht="12">
      <c r="A195" s="262">
        <v>2010</v>
      </c>
      <c r="B195" s="270" t="s">
        <v>62</v>
      </c>
      <c r="C195" s="326">
        <v>6413.14</v>
      </c>
      <c r="D195" s="255">
        <v>412.34</v>
      </c>
      <c r="E195" s="246">
        <v>17.94</v>
      </c>
      <c r="F195" s="326">
        <v>5982.86</v>
      </c>
      <c r="G195" s="257">
        <v>209.03</v>
      </c>
      <c r="H195" s="246">
        <v>53.86</v>
      </c>
      <c r="I195" s="257">
        <v>167.6</v>
      </c>
      <c r="J195" s="256">
        <v>1630.02</v>
      </c>
      <c r="K195" s="246">
        <v>622.34</v>
      </c>
      <c r="L195" s="246">
        <v>147.24</v>
      </c>
      <c r="M195" s="332">
        <v>825.39</v>
      </c>
      <c r="N195" s="333">
        <v>1371.22</v>
      </c>
      <c r="O195" s="255">
        <v>565.56</v>
      </c>
      <c r="P195" s="255">
        <v>41.49</v>
      </c>
      <c r="Q195" s="256">
        <v>136.95</v>
      </c>
      <c r="R195" s="292"/>
      <c r="S195" s="338"/>
      <c r="T195" s="338"/>
      <c r="U195" s="338"/>
      <c r="V195" s="338"/>
      <c r="W195" s="338"/>
      <c r="X195" s="338"/>
      <c r="Y195" s="338"/>
      <c r="Z195" s="338"/>
      <c r="AA195" s="338"/>
      <c r="AB195" s="338"/>
      <c r="AC195" s="338"/>
      <c r="AD195" s="338"/>
      <c r="AE195" s="338"/>
      <c r="AF195" s="338"/>
      <c r="AG195" s="338"/>
    </row>
    <row r="196" spans="1:33" ht="12">
      <c r="A196" s="262">
        <v>2010</v>
      </c>
      <c r="B196" s="270" t="s">
        <v>63</v>
      </c>
      <c r="C196" s="326">
        <v>6056.02</v>
      </c>
      <c r="D196" s="255">
        <v>380.39</v>
      </c>
      <c r="E196" s="246">
        <v>-74.13</v>
      </c>
      <c r="F196" s="326">
        <v>5749.76</v>
      </c>
      <c r="G196" s="257">
        <v>150.79</v>
      </c>
      <c r="H196" s="246">
        <v>32.05</v>
      </c>
      <c r="I196" s="257">
        <v>156.73</v>
      </c>
      <c r="J196" s="256">
        <v>1598.36</v>
      </c>
      <c r="K196" s="246">
        <v>522.23</v>
      </c>
      <c r="L196" s="246">
        <v>153.62</v>
      </c>
      <c r="M196" s="332">
        <v>819.97</v>
      </c>
      <c r="N196" s="333">
        <v>1357.33</v>
      </c>
      <c r="O196" s="255">
        <v>631.32</v>
      </c>
      <c r="P196" s="255">
        <v>26.34</v>
      </c>
      <c r="Q196" s="256">
        <v>123.89</v>
      </c>
      <c r="R196" s="292"/>
      <c r="S196" s="338"/>
      <c r="T196" s="338"/>
      <c r="U196" s="338"/>
      <c r="V196" s="338"/>
      <c r="W196" s="338"/>
      <c r="X196" s="338"/>
      <c r="Y196" s="338"/>
      <c r="Z196" s="338"/>
      <c r="AA196" s="338"/>
      <c r="AB196" s="338"/>
      <c r="AC196" s="338"/>
      <c r="AD196" s="338"/>
      <c r="AE196" s="338"/>
      <c r="AF196" s="338"/>
      <c r="AG196" s="338"/>
    </row>
    <row r="197" spans="1:33" ht="12">
      <c r="A197" s="262">
        <v>2010</v>
      </c>
      <c r="B197" s="270" t="s">
        <v>64</v>
      </c>
      <c r="C197" s="326">
        <v>6386.1</v>
      </c>
      <c r="D197" s="255">
        <v>393.84</v>
      </c>
      <c r="E197" s="246">
        <v>22.77</v>
      </c>
      <c r="F197" s="326">
        <v>5969.49</v>
      </c>
      <c r="G197" s="257">
        <v>171.7</v>
      </c>
      <c r="H197" s="246">
        <v>35.81</v>
      </c>
      <c r="I197" s="257">
        <v>163.46</v>
      </c>
      <c r="J197" s="256">
        <v>1739.54</v>
      </c>
      <c r="K197" s="246">
        <v>460.53</v>
      </c>
      <c r="L197" s="246">
        <v>207.47</v>
      </c>
      <c r="M197" s="332">
        <v>829.17</v>
      </c>
      <c r="N197" s="333">
        <v>1351.56</v>
      </c>
      <c r="O197" s="255">
        <v>617.89</v>
      </c>
      <c r="P197" s="255">
        <v>57.49</v>
      </c>
      <c r="Q197" s="256">
        <v>145.89</v>
      </c>
      <c r="R197" s="292"/>
      <c r="S197" s="338"/>
      <c r="T197" s="338"/>
      <c r="U197" s="338"/>
      <c r="V197" s="338"/>
      <c r="W197" s="338"/>
      <c r="X197" s="338"/>
      <c r="Y197" s="338"/>
      <c r="Z197" s="338"/>
      <c r="AA197" s="338"/>
      <c r="AB197" s="338"/>
      <c r="AC197" s="338"/>
      <c r="AD197" s="338"/>
      <c r="AE197" s="338"/>
      <c r="AF197" s="338"/>
      <c r="AG197" s="338"/>
    </row>
    <row r="198" spans="1:33" ht="12">
      <c r="A198" s="262">
        <v>2010</v>
      </c>
      <c r="B198" s="270" t="s">
        <v>65</v>
      </c>
      <c r="C198" s="326">
        <v>6192.6</v>
      </c>
      <c r="D198" s="255">
        <v>388.14</v>
      </c>
      <c r="E198" s="246">
        <v>28.81</v>
      </c>
      <c r="F198" s="326">
        <v>5775.65</v>
      </c>
      <c r="G198" s="257">
        <v>192.87</v>
      </c>
      <c r="H198" s="246">
        <v>37.92</v>
      </c>
      <c r="I198" s="257">
        <v>200.35</v>
      </c>
      <c r="J198" s="256">
        <v>1652.92</v>
      </c>
      <c r="K198" s="246">
        <v>426.92</v>
      </c>
      <c r="L198" s="246">
        <v>238.36</v>
      </c>
      <c r="M198" s="332">
        <v>852.8</v>
      </c>
      <c r="N198" s="333">
        <v>1239.56</v>
      </c>
      <c r="O198" s="255">
        <v>600.8</v>
      </c>
      <c r="P198" s="255">
        <v>29.87</v>
      </c>
      <c r="Q198" s="256">
        <v>98.54</v>
      </c>
      <c r="R198" s="292"/>
      <c r="S198" s="338"/>
      <c r="T198" s="338"/>
      <c r="U198" s="338"/>
      <c r="V198" s="338"/>
      <c r="W198" s="338"/>
      <c r="X198" s="338"/>
      <c r="Y198" s="338"/>
      <c r="Z198" s="338"/>
      <c r="AA198" s="338"/>
      <c r="AB198" s="338"/>
      <c r="AC198" s="338"/>
      <c r="AD198" s="338"/>
      <c r="AE198" s="338"/>
      <c r="AF198" s="338"/>
      <c r="AG198" s="338"/>
    </row>
    <row r="199" spans="1:33" ht="12">
      <c r="A199" s="264">
        <v>2010</v>
      </c>
      <c r="B199" s="274" t="s">
        <v>66</v>
      </c>
      <c r="C199" s="327">
        <v>6145.66</v>
      </c>
      <c r="D199" s="267">
        <v>386.21</v>
      </c>
      <c r="E199" s="267">
        <v>-5.99</v>
      </c>
      <c r="F199" s="327">
        <v>5765.44</v>
      </c>
      <c r="G199" s="282">
        <v>200.86</v>
      </c>
      <c r="H199" s="267">
        <v>34.13</v>
      </c>
      <c r="I199" s="282">
        <v>233.51</v>
      </c>
      <c r="J199" s="283">
        <v>1543.37</v>
      </c>
      <c r="K199" s="267">
        <v>420.69</v>
      </c>
      <c r="L199" s="267">
        <v>282.74</v>
      </c>
      <c r="M199" s="334">
        <v>800.99</v>
      </c>
      <c r="N199" s="335">
        <v>1339.98</v>
      </c>
      <c r="O199" s="267">
        <v>574.24</v>
      </c>
      <c r="P199" s="267">
        <v>41.38</v>
      </c>
      <c r="Q199" s="283">
        <v>68.35</v>
      </c>
      <c r="R199" s="292"/>
      <c r="S199" s="338"/>
      <c r="T199" s="338"/>
      <c r="U199" s="338"/>
      <c r="V199" s="338"/>
      <c r="W199" s="338"/>
      <c r="X199" s="338"/>
      <c r="Y199" s="338"/>
      <c r="Z199" s="338"/>
      <c r="AA199" s="338"/>
      <c r="AB199" s="338"/>
      <c r="AC199" s="338"/>
      <c r="AD199" s="338"/>
      <c r="AE199" s="338"/>
      <c r="AF199" s="338"/>
      <c r="AG199" s="338"/>
    </row>
    <row r="200" spans="1:33" ht="12">
      <c r="A200" s="262">
        <v>2011</v>
      </c>
      <c r="B200" s="270" t="s">
        <v>55</v>
      </c>
      <c r="C200" s="326">
        <v>6579</v>
      </c>
      <c r="D200" s="255">
        <v>413.29</v>
      </c>
      <c r="E200" s="246">
        <v>-59.52</v>
      </c>
      <c r="F200" s="326">
        <v>6225.24</v>
      </c>
      <c r="G200" s="257">
        <v>226.11</v>
      </c>
      <c r="H200" s="246">
        <v>33.59</v>
      </c>
      <c r="I200" s="257">
        <v>272.9</v>
      </c>
      <c r="J200" s="256">
        <v>1654.43</v>
      </c>
      <c r="K200" s="246">
        <v>454.02</v>
      </c>
      <c r="L200" s="246">
        <v>298.06</v>
      </c>
      <c r="M200" s="332">
        <v>884.38</v>
      </c>
      <c r="N200" s="333">
        <v>1478.9</v>
      </c>
      <c r="O200" s="255">
        <v>602.57</v>
      </c>
      <c r="P200" s="255">
        <v>45.41</v>
      </c>
      <c r="Q200" s="256">
        <v>67.18</v>
      </c>
      <c r="R200" s="292"/>
      <c r="S200" s="338"/>
      <c r="T200" s="338"/>
      <c r="U200" s="338"/>
      <c r="V200" s="338"/>
      <c r="W200" s="338"/>
      <c r="X200" s="338"/>
      <c r="Y200" s="338"/>
      <c r="Z200" s="338"/>
      <c r="AA200" s="338"/>
      <c r="AB200" s="338"/>
      <c r="AC200" s="338"/>
      <c r="AD200" s="338"/>
      <c r="AE200" s="338"/>
      <c r="AF200" s="338"/>
      <c r="AG200" s="338"/>
    </row>
    <row r="201" spans="1:33" ht="12">
      <c r="A201" s="262">
        <v>2011</v>
      </c>
      <c r="B201" s="270" t="s">
        <v>56</v>
      </c>
      <c r="C201" s="326">
        <v>5665.5</v>
      </c>
      <c r="D201" s="255">
        <v>356.94</v>
      </c>
      <c r="E201" s="246">
        <v>25.62</v>
      </c>
      <c r="F201" s="326">
        <v>5282.94</v>
      </c>
      <c r="G201" s="257">
        <v>187.31</v>
      </c>
      <c r="H201" s="246">
        <v>28.86</v>
      </c>
      <c r="I201" s="257">
        <v>321.27</v>
      </c>
      <c r="J201" s="256">
        <v>1332.56</v>
      </c>
      <c r="K201" s="246">
        <v>381.38</v>
      </c>
      <c r="L201" s="246">
        <v>220.76</v>
      </c>
      <c r="M201" s="332">
        <v>607.63</v>
      </c>
      <c r="N201" s="333">
        <v>1286.4</v>
      </c>
      <c r="O201" s="255">
        <v>662.18</v>
      </c>
      <c r="P201" s="255">
        <v>6.32</v>
      </c>
      <c r="Q201" s="256">
        <v>95.78</v>
      </c>
      <c r="R201" s="292"/>
      <c r="S201" s="338"/>
      <c r="T201" s="338"/>
      <c r="U201" s="338"/>
      <c r="V201" s="338"/>
      <c r="W201" s="338"/>
      <c r="X201" s="338"/>
      <c r="Y201" s="338"/>
      <c r="Z201" s="338"/>
      <c r="AA201" s="338"/>
      <c r="AB201" s="338"/>
      <c r="AC201" s="338"/>
      <c r="AD201" s="338"/>
      <c r="AE201" s="338"/>
      <c r="AF201" s="338"/>
      <c r="AG201" s="338"/>
    </row>
    <row r="202" spans="1:33" ht="12">
      <c r="A202" s="262">
        <v>2011</v>
      </c>
      <c r="B202" s="270" t="s">
        <v>57</v>
      </c>
      <c r="C202" s="326">
        <v>5961.53</v>
      </c>
      <c r="D202" s="255">
        <v>372.08</v>
      </c>
      <c r="E202" s="246">
        <v>178.89</v>
      </c>
      <c r="F202" s="326">
        <v>5410.56</v>
      </c>
      <c r="G202" s="257">
        <v>173.32</v>
      </c>
      <c r="H202" s="246">
        <v>31.14</v>
      </c>
      <c r="I202" s="257">
        <v>257.69</v>
      </c>
      <c r="J202" s="256">
        <v>1317.71</v>
      </c>
      <c r="K202" s="246">
        <v>475.86</v>
      </c>
      <c r="L202" s="246">
        <v>223.3</v>
      </c>
      <c r="M202" s="332">
        <v>636.81</v>
      </c>
      <c r="N202" s="333">
        <v>1227.36</v>
      </c>
      <c r="O202" s="255">
        <v>723.32</v>
      </c>
      <c r="P202" s="255">
        <v>45.7</v>
      </c>
      <c r="Q202" s="256">
        <v>140.92</v>
      </c>
      <c r="R202" s="292"/>
      <c r="S202" s="338"/>
      <c r="T202" s="338"/>
      <c r="U202" s="338"/>
      <c r="V202" s="338"/>
      <c r="W202" s="338"/>
      <c r="X202" s="338"/>
      <c r="Y202" s="338"/>
      <c r="Z202" s="338"/>
      <c r="AA202" s="338"/>
      <c r="AB202" s="338"/>
      <c r="AC202" s="338"/>
      <c r="AD202" s="338"/>
      <c r="AE202" s="338"/>
      <c r="AF202" s="338"/>
      <c r="AG202" s="338"/>
    </row>
    <row r="203" spans="1:33" ht="12">
      <c r="A203" s="262">
        <v>2011</v>
      </c>
      <c r="B203" s="270" t="s">
        <v>58</v>
      </c>
      <c r="C203" s="326">
        <v>6539.98</v>
      </c>
      <c r="D203" s="255">
        <v>399.65</v>
      </c>
      <c r="E203" s="246">
        <v>35.32</v>
      </c>
      <c r="F203" s="326">
        <v>6105.01</v>
      </c>
      <c r="G203" s="257">
        <v>244.59</v>
      </c>
      <c r="H203" s="246">
        <v>36.9</v>
      </c>
      <c r="I203" s="257">
        <v>216.3</v>
      </c>
      <c r="J203" s="256">
        <v>1643.9</v>
      </c>
      <c r="K203" s="246">
        <v>534.23</v>
      </c>
      <c r="L203" s="246">
        <v>208.74</v>
      </c>
      <c r="M203" s="332">
        <v>760.46</v>
      </c>
      <c r="N203" s="333">
        <v>1414.72</v>
      </c>
      <c r="O203" s="255">
        <v>674.51</v>
      </c>
      <c r="P203" s="255">
        <v>34.62</v>
      </c>
      <c r="Q203" s="256">
        <v>132.41</v>
      </c>
      <c r="R203" s="292"/>
      <c r="S203" s="338"/>
      <c r="T203" s="338"/>
      <c r="U203" s="338"/>
      <c r="V203" s="338"/>
      <c r="W203" s="338"/>
      <c r="X203" s="338"/>
      <c r="Y203" s="338"/>
      <c r="Z203" s="338"/>
      <c r="AA203" s="338"/>
      <c r="AB203" s="338"/>
      <c r="AC203" s="338"/>
      <c r="AD203" s="338"/>
      <c r="AE203" s="338"/>
      <c r="AF203" s="338"/>
      <c r="AG203" s="338"/>
    </row>
    <row r="204" spans="1:33" ht="12">
      <c r="A204" s="262">
        <v>2011</v>
      </c>
      <c r="B204" s="270" t="s">
        <v>59</v>
      </c>
      <c r="C204" s="326">
        <v>6560.86</v>
      </c>
      <c r="D204" s="255">
        <v>415.04</v>
      </c>
      <c r="E204" s="246">
        <v>38.02</v>
      </c>
      <c r="F204" s="326">
        <v>6107.8</v>
      </c>
      <c r="G204" s="257">
        <v>261.72</v>
      </c>
      <c r="H204" s="246">
        <v>38.5</v>
      </c>
      <c r="I204" s="257">
        <v>201.31</v>
      </c>
      <c r="J204" s="256">
        <v>1622.56</v>
      </c>
      <c r="K204" s="246">
        <v>622.65</v>
      </c>
      <c r="L204" s="246">
        <v>97.92</v>
      </c>
      <c r="M204" s="332">
        <v>754.71</v>
      </c>
      <c r="N204" s="333">
        <v>1500.39</v>
      </c>
      <c r="O204" s="255">
        <v>698.61</v>
      </c>
      <c r="P204" s="255">
        <v>59.96</v>
      </c>
      <c r="Q204" s="256">
        <v>65</v>
      </c>
      <c r="R204" s="292"/>
      <c r="S204" s="338"/>
      <c r="T204" s="338"/>
      <c r="U204" s="338"/>
      <c r="V204" s="338"/>
      <c r="W204" s="338"/>
      <c r="X204" s="338"/>
      <c r="Y204" s="338"/>
      <c r="Z204" s="338"/>
      <c r="AA204" s="338"/>
      <c r="AB204" s="338"/>
      <c r="AC204" s="338"/>
      <c r="AD204" s="338"/>
      <c r="AE204" s="338"/>
      <c r="AF204" s="338"/>
      <c r="AG204" s="338"/>
    </row>
    <row r="205" spans="1:33" ht="12">
      <c r="A205" s="262">
        <v>2011</v>
      </c>
      <c r="B205" s="270" t="s">
        <v>60</v>
      </c>
      <c r="C205" s="326">
        <v>6200.74</v>
      </c>
      <c r="D205" s="255">
        <v>382.22</v>
      </c>
      <c r="E205" s="246">
        <v>4.27</v>
      </c>
      <c r="F205" s="326">
        <v>5814.25</v>
      </c>
      <c r="G205" s="257">
        <v>243.14</v>
      </c>
      <c r="H205" s="246">
        <v>42.23</v>
      </c>
      <c r="I205" s="257">
        <v>158.64</v>
      </c>
      <c r="J205" s="256">
        <v>1501.13</v>
      </c>
      <c r="K205" s="246">
        <v>606.04</v>
      </c>
      <c r="L205" s="246">
        <v>111.36</v>
      </c>
      <c r="M205" s="332">
        <v>637.63</v>
      </c>
      <c r="N205" s="333">
        <v>1413.07</v>
      </c>
      <c r="O205" s="255">
        <v>696.93</v>
      </c>
      <c r="P205" s="255">
        <v>21.57</v>
      </c>
      <c r="Q205" s="256">
        <v>197.64</v>
      </c>
      <c r="R205" s="292"/>
      <c r="S205" s="338"/>
      <c r="T205" s="338"/>
      <c r="U205" s="338"/>
      <c r="V205" s="338"/>
      <c r="W205" s="338"/>
      <c r="X205" s="338"/>
      <c r="Y205" s="338"/>
      <c r="Z205" s="338"/>
      <c r="AA205" s="338"/>
      <c r="AB205" s="338"/>
      <c r="AC205" s="338"/>
      <c r="AD205" s="338"/>
      <c r="AE205" s="338"/>
      <c r="AF205" s="338"/>
      <c r="AG205" s="338"/>
    </row>
    <row r="206" spans="1:33" ht="12">
      <c r="A206" s="262">
        <v>2011</v>
      </c>
      <c r="B206" s="270" t="s">
        <v>61</v>
      </c>
      <c r="C206" s="326">
        <v>6594.1</v>
      </c>
      <c r="D206" s="255">
        <v>400.6</v>
      </c>
      <c r="E206" s="246">
        <v>-22.26</v>
      </c>
      <c r="F206" s="326">
        <v>6215.76</v>
      </c>
      <c r="G206" s="257">
        <v>269.48</v>
      </c>
      <c r="H206" s="246">
        <v>43.54</v>
      </c>
      <c r="I206" s="257">
        <v>216.22</v>
      </c>
      <c r="J206" s="256">
        <v>1577.9</v>
      </c>
      <c r="K206" s="246">
        <v>685.97</v>
      </c>
      <c r="L206" s="246">
        <v>132.2</v>
      </c>
      <c r="M206" s="332">
        <v>780.75</v>
      </c>
      <c r="N206" s="333">
        <v>1459.37</v>
      </c>
      <c r="O206" s="255">
        <v>661.14</v>
      </c>
      <c r="P206" s="255">
        <v>36.87</v>
      </c>
      <c r="Q206" s="256">
        <v>153.89</v>
      </c>
      <c r="R206" s="292"/>
      <c r="S206" s="338"/>
      <c r="T206" s="338"/>
      <c r="U206" s="338"/>
      <c r="V206" s="338"/>
      <c r="W206" s="338"/>
      <c r="X206" s="338"/>
      <c r="Y206" s="338"/>
      <c r="Z206" s="338"/>
      <c r="AA206" s="338"/>
      <c r="AB206" s="338"/>
      <c r="AC206" s="338"/>
      <c r="AD206" s="338"/>
      <c r="AE206" s="338"/>
      <c r="AF206" s="338"/>
      <c r="AG206" s="338"/>
    </row>
    <row r="207" spans="1:33" ht="12">
      <c r="A207" s="262">
        <v>2011</v>
      </c>
      <c r="B207" s="270" t="s">
        <v>62</v>
      </c>
      <c r="C207" s="326">
        <v>6666.61</v>
      </c>
      <c r="D207" s="255">
        <v>396.54</v>
      </c>
      <c r="E207" s="246">
        <v>59.96</v>
      </c>
      <c r="F207" s="326">
        <v>6210.12</v>
      </c>
      <c r="G207" s="257">
        <v>253.79</v>
      </c>
      <c r="H207" s="246">
        <v>35.29</v>
      </c>
      <c r="I207" s="257">
        <v>178.87</v>
      </c>
      <c r="J207" s="256">
        <v>1643.6</v>
      </c>
      <c r="K207" s="246">
        <v>671.61</v>
      </c>
      <c r="L207" s="246">
        <v>143.31</v>
      </c>
      <c r="M207" s="332">
        <v>827.85</v>
      </c>
      <c r="N207" s="333">
        <v>1441.8</v>
      </c>
      <c r="O207" s="255">
        <v>662.73</v>
      </c>
      <c r="P207" s="255">
        <v>22.48</v>
      </c>
      <c r="Q207" s="256">
        <v>152.22</v>
      </c>
      <c r="R207" s="292"/>
      <c r="S207" s="338"/>
      <c r="T207" s="338"/>
      <c r="U207" s="338"/>
      <c r="V207" s="338"/>
      <c r="W207" s="338"/>
      <c r="X207" s="338"/>
      <c r="Y207" s="338"/>
      <c r="Z207" s="338"/>
      <c r="AA207" s="338"/>
      <c r="AB207" s="338"/>
      <c r="AC207" s="338"/>
      <c r="AD207" s="338"/>
      <c r="AE207" s="338"/>
      <c r="AF207" s="338"/>
      <c r="AG207" s="338"/>
    </row>
    <row r="208" spans="1:33" ht="12">
      <c r="A208" s="262">
        <v>2011</v>
      </c>
      <c r="B208" s="270" t="s">
        <v>63</v>
      </c>
      <c r="C208" s="326">
        <v>6136.21</v>
      </c>
      <c r="D208" s="255">
        <v>378.22</v>
      </c>
      <c r="E208" s="246">
        <v>58.3</v>
      </c>
      <c r="F208" s="326">
        <v>5699.7</v>
      </c>
      <c r="G208" s="257">
        <v>197.38</v>
      </c>
      <c r="H208" s="246">
        <v>40.48</v>
      </c>
      <c r="I208" s="257">
        <v>157.69</v>
      </c>
      <c r="J208" s="256">
        <v>1614.91</v>
      </c>
      <c r="K208" s="246">
        <v>564.86</v>
      </c>
      <c r="L208" s="246">
        <v>193.99</v>
      </c>
      <c r="M208" s="332">
        <v>773.04</v>
      </c>
      <c r="N208" s="333">
        <v>1336.96</v>
      </c>
      <c r="O208" s="255">
        <v>483.11</v>
      </c>
      <c r="P208" s="255">
        <v>50.11</v>
      </c>
      <c r="Q208" s="256">
        <v>115.49</v>
      </c>
      <c r="R208" s="292"/>
      <c r="S208" s="338"/>
      <c r="T208" s="338"/>
      <c r="U208" s="338"/>
      <c r="V208" s="338"/>
      <c r="W208" s="338"/>
      <c r="X208" s="338"/>
      <c r="Y208" s="338"/>
      <c r="Z208" s="338"/>
      <c r="AA208" s="338"/>
      <c r="AB208" s="338"/>
      <c r="AC208" s="338"/>
      <c r="AD208" s="338"/>
      <c r="AE208" s="338"/>
      <c r="AF208" s="338"/>
      <c r="AG208" s="338"/>
    </row>
    <row r="209" spans="1:33" ht="12">
      <c r="A209" s="262">
        <v>2011</v>
      </c>
      <c r="B209" s="270" t="s">
        <v>64</v>
      </c>
      <c r="C209" s="326">
        <v>6122.44</v>
      </c>
      <c r="D209" s="255">
        <v>372.44</v>
      </c>
      <c r="E209" s="246">
        <v>-19.23</v>
      </c>
      <c r="F209" s="326">
        <v>5769.24</v>
      </c>
      <c r="G209" s="257">
        <v>185.15</v>
      </c>
      <c r="H209" s="246">
        <v>41.15</v>
      </c>
      <c r="I209" s="257">
        <v>186.14</v>
      </c>
      <c r="J209" s="256">
        <v>1666.25</v>
      </c>
      <c r="K209" s="246">
        <v>522.76</v>
      </c>
      <c r="L209" s="246">
        <v>222.08</v>
      </c>
      <c r="M209" s="332">
        <v>728.94</v>
      </c>
      <c r="N209" s="333">
        <v>1391.23</v>
      </c>
      <c r="O209" s="255">
        <v>487.47</v>
      </c>
      <c r="P209" s="255">
        <v>36.09</v>
      </c>
      <c r="Q209" s="256">
        <v>130.17</v>
      </c>
      <c r="R209" s="292"/>
      <c r="S209" s="338"/>
      <c r="T209" s="338"/>
      <c r="U209" s="338"/>
      <c r="V209" s="338"/>
      <c r="W209" s="338"/>
      <c r="X209" s="338"/>
      <c r="Y209" s="338"/>
      <c r="Z209" s="338"/>
      <c r="AA209" s="338"/>
      <c r="AB209" s="338"/>
      <c r="AC209" s="338"/>
      <c r="AD209" s="338"/>
      <c r="AE209" s="338"/>
      <c r="AF209" s="338"/>
      <c r="AG209" s="338"/>
    </row>
    <row r="210" spans="1:33" ht="12">
      <c r="A210" s="262">
        <v>2011</v>
      </c>
      <c r="B210" s="270" t="s">
        <v>65</v>
      </c>
      <c r="C210" s="326">
        <v>5854.8</v>
      </c>
      <c r="D210" s="255">
        <v>315.75</v>
      </c>
      <c r="E210" s="246">
        <v>49.2</v>
      </c>
      <c r="F210" s="326">
        <v>5489.86</v>
      </c>
      <c r="G210" s="257">
        <v>171.93</v>
      </c>
      <c r="H210" s="246">
        <v>30.47</v>
      </c>
      <c r="I210" s="257">
        <v>186.48</v>
      </c>
      <c r="J210" s="256">
        <v>1576.86</v>
      </c>
      <c r="K210" s="246">
        <v>465.06</v>
      </c>
      <c r="L210" s="246">
        <v>237.45</v>
      </c>
      <c r="M210" s="332">
        <v>640.13</v>
      </c>
      <c r="N210" s="333">
        <v>1390.01</v>
      </c>
      <c r="O210" s="255">
        <v>474.18</v>
      </c>
      <c r="P210" s="255">
        <v>36.8</v>
      </c>
      <c r="Q210" s="256">
        <v>121.64</v>
      </c>
      <c r="R210" s="292"/>
      <c r="S210" s="338"/>
      <c r="T210" s="338"/>
      <c r="U210" s="338"/>
      <c r="V210" s="338"/>
      <c r="W210" s="338"/>
      <c r="X210" s="338"/>
      <c r="Y210" s="338"/>
      <c r="Z210" s="338"/>
      <c r="AA210" s="338"/>
      <c r="AB210" s="338"/>
      <c r="AC210" s="338"/>
      <c r="AD210" s="338"/>
      <c r="AE210" s="338"/>
      <c r="AF210" s="338"/>
      <c r="AG210" s="338"/>
    </row>
    <row r="211" spans="1:33" ht="12">
      <c r="A211" s="264">
        <v>2011</v>
      </c>
      <c r="B211" s="274" t="s">
        <v>66</v>
      </c>
      <c r="C211" s="327">
        <v>6198.5</v>
      </c>
      <c r="D211" s="267">
        <v>383</v>
      </c>
      <c r="E211" s="267">
        <v>24.29</v>
      </c>
      <c r="F211" s="327">
        <v>5791.21</v>
      </c>
      <c r="G211" s="282">
        <v>184.42</v>
      </c>
      <c r="H211" s="267">
        <v>31.76</v>
      </c>
      <c r="I211" s="282">
        <v>172.08</v>
      </c>
      <c r="J211" s="283">
        <v>1670.94</v>
      </c>
      <c r="K211" s="267">
        <v>427</v>
      </c>
      <c r="L211" s="267">
        <v>287.95</v>
      </c>
      <c r="M211" s="334">
        <v>651.14</v>
      </c>
      <c r="N211" s="335">
        <v>1460.28</v>
      </c>
      <c r="O211" s="267">
        <v>604.76</v>
      </c>
      <c r="P211" s="267">
        <v>34.36</v>
      </c>
      <c r="Q211" s="283">
        <v>103.52</v>
      </c>
      <c r="R211" s="292"/>
      <c r="S211" s="338"/>
      <c r="T211" s="338"/>
      <c r="U211" s="338"/>
      <c r="V211" s="338"/>
      <c r="W211" s="338"/>
      <c r="X211" s="338"/>
      <c r="Y211" s="338"/>
      <c r="Z211" s="338"/>
      <c r="AA211" s="338"/>
      <c r="AB211" s="338"/>
      <c r="AC211" s="338"/>
      <c r="AD211" s="338"/>
      <c r="AE211" s="338"/>
      <c r="AF211" s="338"/>
      <c r="AG211" s="338"/>
    </row>
    <row r="212" spans="1:33" ht="12">
      <c r="A212" s="262">
        <v>2012</v>
      </c>
      <c r="B212" s="270" t="s">
        <v>55</v>
      </c>
      <c r="C212" s="326">
        <v>6527.57</v>
      </c>
      <c r="D212" s="255">
        <v>425.05</v>
      </c>
      <c r="E212" s="246">
        <v>-5.7</v>
      </c>
      <c r="F212" s="326">
        <v>6108.22</v>
      </c>
      <c r="G212" s="257">
        <v>221.48</v>
      </c>
      <c r="H212" s="246">
        <v>25.7</v>
      </c>
      <c r="I212" s="257">
        <v>199.39</v>
      </c>
      <c r="J212" s="256">
        <v>1789.07</v>
      </c>
      <c r="K212" s="246">
        <v>540.8</v>
      </c>
      <c r="L212" s="246">
        <v>194.8</v>
      </c>
      <c r="M212" s="332">
        <v>832.52</v>
      </c>
      <c r="N212" s="333">
        <v>1465.05</v>
      </c>
      <c r="O212" s="255">
        <v>549.55</v>
      </c>
      <c r="P212" s="255">
        <v>66.43</v>
      </c>
      <c r="Q212" s="256">
        <v>44.17</v>
      </c>
      <c r="R212" s="292"/>
      <c r="S212" s="338"/>
      <c r="T212" s="338"/>
      <c r="U212" s="338"/>
      <c r="V212" s="338"/>
      <c r="W212" s="338"/>
      <c r="X212" s="338"/>
      <c r="Y212" s="338"/>
      <c r="Z212" s="338"/>
      <c r="AA212" s="338"/>
      <c r="AB212" s="338"/>
      <c r="AC212" s="338"/>
      <c r="AD212" s="338"/>
      <c r="AE212" s="338"/>
      <c r="AF212" s="338"/>
      <c r="AG212" s="338"/>
    </row>
    <row r="213" spans="1:33" ht="12">
      <c r="A213" s="262">
        <v>2012</v>
      </c>
      <c r="B213" s="270" t="s">
        <v>56</v>
      </c>
      <c r="C213" s="326">
        <v>6293.55</v>
      </c>
      <c r="D213" s="255">
        <v>390.6</v>
      </c>
      <c r="E213" s="246">
        <v>62.69</v>
      </c>
      <c r="F213" s="326">
        <v>5840.27</v>
      </c>
      <c r="G213" s="257">
        <v>219.94</v>
      </c>
      <c r="H213" s="246">
        <v>21.82</v>
      </c>
      <c r="I213" s="257">
        <v>240.03</v>
      </c>
      <c r="J213" s="256">
        <v>1672.57</v>
      </c>
      <c r="K213" s="246">
        <v>434.91</v>
      </c>
      <c r="L213" s="246">
        <v>278.6</v>
      </c>
      <c r="M213" s="332">
        <v>752.26</v>
      </c>
      <c r="N213" s="333">
        <v>1341.52</v>
      </c>
      <c r="O213" s="255">
        <v>553.97</v>
      </c>
      <c r="P213" s="255">
        <v>32.27</v>
      </c>
      <c r="Q213" s="256">
        <v>121.21</v>
      </c>
      <c r="R213" s="292"/>
      <c r="S213" s="338"/>
      <c r="T213" s="338"/>
      <c r="U213" s="338"/>
      <c r="V213" s="338"/>
      <c r="W213" s="338"/>
      <c r="X213" s="338"/>
      <c r="Y213" s="338"/>
      <c r="Z213" s="338"/>
      <c r="AA213" s="338"/>
      <c r="AB213" s="338"/>
      <c r="AC213" s="338"/>
      <c r="AD213" s="338"/>
      <c r="AE213" s="338"/>
      <c r="AF213" s="338"/>
      <c r="AG213" s="338"/>
    </row>
    <row r="214" spans="1:33" ht="12">
      <c r="A214" s="262">
        <v>2012</v>
      </c>
      <c r="B214" s="270" t="s">
        <v>57</v>
      </c>
      <c r="C214" s="326">
        <v>6631.18</v>
      </c>
      <c r="D214" s="255">
        <v>413.9</v>
      </c>
      <c r="E214" s="246">
        <v>47.75</v>
      </c>
      <c r="F214" s="326">
        <v>6169.53</v>
      </c>
      <c r="G214" s="257">
        <v>203.6</v>
      </c>
      <c r="H214" s="246">
        <v>18.55</v>
      </c>
      <c r="I214" s="257">
        <v>222.08</v>
      </c>
      <c r="J214" s="256">
        <v>1719.03</v>
      </c>
      <c r="K214" s="246">
        <v>517.37</v>
      </c>
      <c r="L214" s="246">
        <v>196.61</v>
      </c>
      <c r="M214" s="332">
        <v>844.22</v>
      </c>
      <c r="N214" s="333">
        <v>1432.67</v>
      </c>
      <c r="O214" s="255">
        <v>693.6</v>
      </c>
      <c r="P214" s="255">
        <v>20.03</v>
      </c>
      <c r="Q214" s="256">
        <v>137.76</v>
      </c>
      <c r="R214" s="292"/>
      <c r="S214" s="338"/>
      <c r="T214" s="338"/>
      <c r="U214" s="338"/>
      <c r="V214" s="338"/>
      <c r="W214" s="338"/>
      <c r="X214" s="338"/>
      <c r="Y214" s="338"/>
      <c r="Z214" s="338"/>
      <c r="AA214" s="338"/>
      <c r="AB214" s="338"/>
      <c r="AC214" s="338"/>
      <c r="AD214" s="338"/>
      <c r="AE214" s="338"/>
      <c r="AF214" s="338"/>
      <c r="AG214" s="338"/>
    </row>
    <row r="215" spans="1:33" ht="12">
      <c r="A215" s="262">
        <v>2012</v>
      </c>
      <c r="B215" s="270" t="s">
        <v>58</v>
      </c>
      <c r="C215" s="326">
        <v>6553.84</v>
      </c>
      <c r="D215" s="255">
        <v>400.38</v>
      </c>
      <c r="E215" s="246">
        <v>49.58</v>
      </c>
      <c r="F215" s="326">
        <v>6103.88</v>
      </c>
      <c r="G215" s="257">
        <v>252.04</v>
      </c>
      <c r="H215" s="246">
        <v>21.69</v>
      </c>
      <c r="I215" s="257">
        <v>208.26</v>
      </c>
      <c r="J215" s="256">
        <v>1728.16</v>
      </c>
      <c r="K215" s="246">
        <v>590.3</v>
      </c>
      <c r="L215" s="246">
        <v>161.21</v>
      </c>
      <c r="M215" s="332">
        <v>774.73</v>
      </c>
      <c r="N215" s="333">
        <v>1447.8</v>
      </c>
      <c r="O215" s="255">
        <v>665.94</v>
      </c>
      <c r="P215" s="255">
        <v>37.39</v>
      </c>
      <c r="Q215" s="256">
        <v>68.25</v>
      </c>
      <c r="R215" s="292"/>
      <c r="S215" s="338"/>
      <c r="T215" s="338"/>
      <c r="U215" s="338"/>
      <c r="V215" s="338"/>
      <c r="W215" s="338"/>
      <c r="X215" s="338"/>
      <c r="Y215" s="338"/>
      <c r="Z215" s="338"/>
      <c r="AA215" s="338"/>
      <c r="AB215" s="338"/>
      <c r="AC215" s="338"/>
      <c r="AD215" s="338"/>
      <c r="AE215" s="338"/>
      <c r="AF215" s="338"/>
      <c r="AG215" s="338"/>
    </row>
    <row r="216" spans="1:33" ht="12">
      <c r="A216" s="262">
        <v>2012</v>
      </c>
      <c r="B216" s="270" t="s">
        <v>59</v>
      </c>
      <c r="C216" s="326">
        <v>6508.9</v>
      </c>
      <c r="D216" s="255">
        <v>393.92</v>
      </c>
      <c r="E216" s="246">
        <v>46.97</v>
      </c>
      <c r="F216" s="326">
        <v>6068.01</v>
      </c>
      <c r="G216" s="257">
        <v>235.67</v>
      </c>
      <c r="H216" s="246">
        <v>22.59</v>
      </c>
      <c r="I216" s="257">
        <v>200.44</v>
      </c>
      <c r="J216" s="256">
        <v>1752.11</v>
      </c>
      <c r="K216" s="246">
        <v>608.1</v>
      </c>
      <c r="L216" s="246">
        <v>190.33</v>
      </c>
      <c r="M216" s="332">
        <v>931.3</v>
      </c>
      <c r="N216" s="333">
        <v>1183.71</v>
      </c>
      <c r="O216" s="255">
        <v>649.2</v>
      </c>
      <c r="P216" s="255">
        <v>18.64</v>
      </c>
      <c r="Q216" s="256">
        <v>121.44</v>
      </c>
      <c r="R216" s="292"/>
      <c r="S216" s="338"/>
      <c r="T216" s="338"/>
      <c r="U216" s="338"/>
      <c r="V216" s="338"/>
      <c r="W216" s="338"/>
      <c r="X216" s="338"/>
      <c r="Y216" s="338"/>
      <c r="Z216" s="338"/>
      <c r="AA216" s="338"/>
      <c r="AB216" s="338"/>
      <c r="AC216" s="338"/>
      <c r="AD216" s="338"/>
      <c r="AE216" s="338"/>
      <c r="AF216" s="338"/>
      <c r="AG216" s="338"/>
    </row>
    <row r="217" spans="1:33" ht="12">
      <c r="A217" s="262">
        <v>2012</v>
      </c>
      <c r="B217" s="270" t="s">
        <v>60</v>
      </c>
      <c r="C217" s="326">
        <v>6076.01</v>
      </c>
      <c r="D217" s="255">
        <v>376.04</v>
      </c>
      <c r="E217" s="246">
        <v>-28.28</v>
      </c>
      <c r="F217" s="326">
        <v>5728.24</v>
      </c>
      <c r="G217" s="257">
        <v>263.42</v>
      </c>
      <c r="H217" s="246">
        <v>27.03</v>
      </c>
      <c r="I217" s="257">
        <v>218.68</v>
      </c>
      <c r="J217" s="256">
        <v>1536.98</v>
      </c>
      <c r="K217" s="246">
        <v>561.48</v>
      </c>
      <c r="L217" s="246">
        <v>96.51</v>
      </c>
      <c r="M217" s="332">
        <v>696.64</v>
      </c>
      <c r="N217" s="333">
        <v>1356.54</v>
      </c>
      <c r="O217" s="255">
        <v>657.44</v>
      </c>
      <c r="P217" s="255">
        <v>35.02</v>
      </c>
      <c r="Q217" s="256">
        <v>110.05</v>
      </c>
      <c r="R217" s="292"/>
      <c r="S217" s="338"/>
      <c r="T217" s="338"/>
      <c r="U217" s="338"/>
      <c r="V217" s="338"/>
      <c r="W217" s="338"/>
      <c r="X217" s="338"/>
      <c r="Y217" s="338"/>
      <c r="Z217" s="338"/>
      <c r="AA217" s="338"/>
      <c r="AB217" s="338"/>
      <c r="AC217" s="338"/>
      <c r="AD217" s="338"/>
      <c r="AE217" s="338"/>
      <c r="AF217" s="338"/>
      <c r="AG217" s="338"/>
    </row>
    <row r="218" spans="1:33" ht="12">
      <c r="A218" s="262">
        <v>2012</v>
      </c>
      <c r="B218" s="270" t="s">
        <v>61</v>
      </c>
      <c r="C218" s="326">
        <v>6387.94</v>
      </c>
      <c r="D218" s="255">
        <v>385.79</v>
      </c>
      <c r="E218" s="246">
        <v>10.82</v>
      </c>
      <c r="F218" s="326">
        <v>5991.33</v>
      </c>
      <c r="G218" s="257">
        <v>270.11</v>
      </c>
      <c r="H218" s="246">
        <v>28.46</v>
      </c>
      <c r="I218" s="257">
        <v>187.96</v>
      </c>
      <c r="J218" s="256">
        <v>1619.19</v>
      </c>
      <c r="K218" s="246">
        <v>542.87</v>
      </c>
      <c r="L218" s="246">
        <v>170.1</v>
      </c>
      <c r="M218" s="332">
        <v>741.16</v>
      </c>
      <c r="N218" s="333">
        <v>1463.39</v>
      </c>
      <c r="O218" s="255">
        <v>623.68</v>
      </c>
      <c r="P218" s="255">
        <v>52.71</v>
      </c>
      <c r="Q218" s="256">
        <v>119.38</v>
      </c>
      <c r="R218" s="292"/>
      <c r="S218" s="338"/>
      <c r="T218" s="338"/>
      <c r="U218" s="338"/>
      <c r="V218" s="338"/>
      <c r="W218" s="338"/>
      <c r="X218" s="338"/>
      <c r="Y218" s="338"/>
      <c r="Z218" s="338"/>
      <c r="AA218" s="338"/>
      <c r="AB218" s="338"/>
      <c r="AC218" s="338"/>
      <c r="AD218" s="338"/>
      <c r="AE218" s="338"/>
      <c r="AF218" s="338"/>
      <c r="AG218" s="338"/>
    </row>
    <row r="219" spans="1:33" ht="12">
      <c r="A219" s="262">
        <v>2012</v>
      </c>
      <c r="B219" s="270" t="s">
        <v>62</v>
      </c>
      <c r="C219" s="326">
        <v>6205.35</v>
      </c>
      <c r="D219" s="255">
        <v>357.63</v>
      </c>
      <c r="E219" s="246">
        <v>3.25</v>
      </c>
      <c r="F219" s="326">
        <v>5844.47</v>
      </c>
      <c r="G219" s="257">
        <v>248.81</v>
      </c>
      <c r="H219" s="246">
        <v>33.62</v>
      </c>
      <c r="I219" s="257">
        <v>212.42</v>
      </c>
      <c r="J219" s="256">
        <v>1564.69</v>
      </c>
      <c r="K219" s="246">
        <v>575.53</v>
      </c>
      <c r="L219" s="246">
        <v>112.92</v>
      </c>
      <c r="M219" s="332">
        <v>778.25</v>
      </c>
      <c r="N219" s="333">
        <v>1409.98</v>
      </c>
      <c r="O219" s="255">
        <v>567.14</v>
      </c>
      <c r="P219" s="255">
        <v>48.16</v>
      </c>
      <c r="Q219" s="256">
        <v>124.67</v>
      </c>
      <c r="R219" s="292"/>
      <c r="S219" s="338"/>
      <c r="T219" s="338"/>
      <c r="U219" s="338"/>
      <c r="V219" s="338"/>
      <c r="W219" s="338"/>
      <c r="X219" s="338"/>
      <c r="Y219" s="338"/>
      <c r="Z219" s="338"/>
      <c r="AA219" s="338"/>
      <c r="AB219" s="338"/>
      <c r="AC219" s="338"/>
      <c r="AD219" s="338"/>
      <c r="AE219" s="338"/>
      <c r="AF219" s="338"/>
      <c r="AG219" s="338"/>
    </row>
    <row r="220" spans="1:33" ht="12">
      <c r="A220" s="262">
        <v>2012</v>
      </c>
      <c r="B220" s="270" t="s">
        <v>63</v>
      </c>
      <c r="C220" s="326">
        <v>5600.18</v>
      </c>
      <c r="D220" s="255">
        <v>336.59</v>
      </c>
      <c r="E220" s="246">
        <v>-12.31</v>
      </c>
      <c r="F220" s="326">
        <v>5275.9</v>
      </c>
      <c r="G220" s="257">
        <v>174.59</v>
      </c>
      <c r="H220" s="246">
        <v>24.62</v>
      </c>
      <c r="I220" s="257">
        <v>153.87</v>
      </c>
      <c r="J220" s="256">
        <v>1509.97</v>
      </c>
      <c r="K220" s="246">
        <v>414.12</v>
      </c>
      <c r="L220" s="246">
        <v>171.86</v>
      </c>
      <c r="M220" s="332">
        <v>781.54</v>
      </c>
      <c r="N220" s="333">
        <v>1194.73</v>
      </c>
      <c r="O220" s="255">
        <v>526.29</v>
      </c>
      <c r="P220" s="255">
        <v>34.29</v>
      </c>
      <c r="Q220" s="256">
        <v>123.42</v>
      </c>
      <c r="R220" s="292"/>
      <c r="S220" s="338"/>
      <c r="T220" s="338"/>
      <c r="U220" s="338"/>
      <c r="V220" s="338"/>
      <c r="W220" s="338"/>
      <c r="X220" s="338"/>
      <c r="Y220" s="338"/>
      <c r="Z220" s="338"/>
      <c r="AA220" s="338"/>
      <c r="AB220" s="338"/>
      <c r="AC220" s="338"/>
      <c r="AD220" s="338"/>
      <c r="AE220" s="338"/>
      <c r="AF220" s="338"/>
      <c r="AG220" s="338"/>
    </row>
    <row r="221" spans="1:33" ht="12">
      <c r="A221" s="262">
        <v>2012</v>
      </c>
      <c r="B221" s="270" t="s">
        <v>64</v>
      </c>
      <c r="C221" s="326">
        <v>4453.89</v>
      </c>
      <c r="D221" s="255">
        <v>240.68</v>
      </c>
      <c r="E221" s="246">
        <v>27.22</v>
      </c>
      <c r="F221" s="326">
        <v>4185.99</v>
      </c>
      <c r="G221" s="257">
        <v>91.74</v>
      </c>
      <c r="H221" s="246">
        <v>17.61</v>
      </c>
      <c r="I221" s="257">
        <v>135.88</v>
      </c>
      <c r="J221" s="256">
        <v>1197.8</v>
      </c>
      <c r="K221" s="246">
        <v>272.74</v>
      </c>
      <c r="L221" s="246">
        <v>192.44</v>
      </c>
      <c r="M221" s="332">
        <v>554.29</v>
      </c>
      <c r="N221" s="333">
        <v>946.82</v>
      </c>
      <c r="O221" s="255">
        <v>521.03</v>
      </c>
      <c r="P221" s="255">
        <v>20.87</v>
      </c>
      <c r="Q221" s="256">
        <v>98.39</v>
      </c>
      <c r="R221" s="292"/>
      <c r="S221" s="338"/>
      <c r="T221" s="338"/>
      <c r="U221" s="338"/>
      <c r="V221" s="338"/>
      <c r="W221" s="338"/>
      <c r="X221" s="338"/>
      <c r="Y221" s="338"/>
      <c r="Z221" s="338"/>
      <c r="AA221" s="338"/>
      <c r="AB221" s="338"/>
      <c r="AC221" s="338"/>
      <c r="AD221" s="338"/>
      <c r="AE221" s="338"/>
      <c r="AF221" s="338"/>
      <c r="AG221" s="338"/>
    </row>
    <row r="222" spans="1:33" ht="12">
      <c r="A222" s="262">
        <v>2012</v>
      </c>
      <c r="B222" s="270" t="s">
        <v>65</v>
      </c>
      <c r="C222" s="326">
        <v>4767.9</v>
      </c>
      <c r="D222" s="255">
        <v>252.15</v>
      </c>
      <c r="E222" s="246">
        <v>-14.63</v>
      </c>
      <c r="F222" s="326">
        <v>4530.38</v>
      </c>
      <c r="G222" s="257">
        <v>148.33</v>
      </c>
      <c r="H222" s="246">
        <v>21.17</v>
      </c>
      <c r="I222" s="257">
        <v>164.24</v>
      </c>
      <c r="J222" s="256">
        <v>1165.93</v>
      </c>
      <c r="K222" s="246">
        <v>329.41</v>
      </c>
      <c r="L222" s="246">
        <v>286.98</v>
      </c>
      <c r="M222" s="332">
        <v>602.51</v>
      </c>
      <c r="N222" s="333">
        <v>1070.06</v>
      </c>
      <c r="O222" s="255">
        <v>445.51</v>
      </c>
      <c r="P222" s="255">
        <v>62.97</v>
      </c>
      <c r="Q222" s="256">
        <v>82.1</v>
      </c>
      <c r="R222" s="292"/>
      <c r="S222" s="338"/>
      <c r="T222" s="338"/>
      <c r="U222" s="338"/>
      <c r="V222" s="338"/>
      <c r="W222" s="338"/>
      <c r="X222" s="338"/>
      <c r="Y222" s="338"/>
      <c r="Z222" s="338"/>
      <c r="AA222" s="338"/>
      <c r="AB222" s="338"/>
      <c r="AC222" s="338"/>
      <c r="AD222" s="338"/>
      <c r="AE222" s="338"/>
      <c r="AF222" s="338"/>
      <c r="AG222" s="338"/>
    </row>
    <row r="223" spans="1:33" ht="12">
      <c r="A223" s="264">
        <v>2012</v>
      </c>
      <c r="B223" s="274" t="s">
        <v>66</v>
      </c>
      <c r="C223" s="327">
        <v>5832.8</v>
      </c>
      <c r="D223" s="267">
        <v>326.41</v>
      </c>
      <c r="E223" s="267">
        <v>21.83</v>
      </c>
      <c r="F223" s="327">
        <v>5484.56</v>
      </c>
      <c r="G223" s="282">
        <v>182.35</v>
      </c>
      <c r="H223" s="267">
        <v>21.91</v>
      </c>
      <c r="I223" s="282">
        <v>184.94</v>
      </c>
      <c r="J223" s="283">
        <v>1394.77</v>
      </c>
      <c r="K223" s="267">
        <v>387.72</v>
      </c>
      <c r="L223" s="267">
        <v>215.17</v>
      </c>
      <c r="M223" s="334">
        <v>651.15</v>
      </c>
      <c r="N223" s="335">
        <v>1459.22</v>
      </c>
      <c r="O223" s="267">
        <v>704.59</v>
      </c>
      <c r="P223" s="267">
        <v>28.54</v>
      </c>
      <c r="Q223" s="283">
        <v>70.99</v>
      </c>
      <c r="R223" s="292"/>
      <c r="S223" s="338"/>
      <c r="T223" s="338"/>
      <c r="U223" s="338"/>
      <c r="V223" s="338"/>
      <c r="W223" s="338"/>
      <c r="X223" s="338"/>
      <c r="Y223" s="338"/>
      <c r="Z223" s="338"/>
      <c r="AA223" s="338"/>
      <c r="AB223" s="338"/>
      <c r="AC223" s="338"/>
      <c r="AD223" s="338"/>
      <c r="AE223" s="338"/>
      <c r="AF223" s="338"/>
      <c r="AG223" s="338"/>
    </row>
    <row r="224" spans="1:33" ht="12">
      <c r="A224" s="262">
        <v>2013</v>
      </c>
      <c r="B224" s="270" t="s">
        <v>55</v>
      </c>
      <c r="C224" s="326">
        <v>5732.29</v>
      </c>
      <c r="D224" s="255">
        <v>342.08</v>
      </c>
      <c r="E224" s="246">
        <v>2.67</v>
      </c>
      <c r="F224" s="326">
        <v>5387.53</v>
      </c>
      <c r="G224" s="257">
        <v>191.56</v>
      </c>
      <c r="H224" s="246">
        <v>26.48</v>
      </c>
      <c r="I224" s="257">
        <v>152.29</v>
      </c>
      <c r="J224" s="256">
        <v>1522.85</v>
      </c>
      <c r="K224" s="246">
        <v>364.02</v>
      </c>
      <c r="L224" s="246">
        <v>309.61</v>
      </c>
      <c r="M224" s="332">
        <v>749.25</v>
      </c>
      <c r="N224" s="333">
        <v>1295.35</v>
      </c>
      <c r="O224" s="255">
        <v>518.92</v>
      </c>
      <c r="P224" s="255">
        <v>43.13</v>
      </c>
      <c r="Q224" s="256">
        <v>16.37</v>
      </c>
      <c r="R224" s="292"/>
      <c r="S224" s="338"/>
      <c r="T224" s="338"/>
      <c r="U224" s="338"/>
      <c r="V224" s="338"/>
      <c r="W224" s="338"/>
      <c r="X224" s="338"/>
      <c r="Y224" s="338"/>
      <c r="Z224" s="338"/>
      <c r="AA224" s="338"/>
      <c r="AB224" s="338"/>
      <c r="AC224" s="338"/>
      <c r="AD224" s="338"/>
      <c r="AE224" s="338"/>
      <c r="AF224" s="338"/>
      <c r="AG224" s="338"/>
    </row>
    <row r="225" spans="1:33" ht="12">
      <c r="A225" s="262">
        <v>2013</v>
      </c>
      <c r="B225" s="270" t="s">
        <v>56</v>
      </c>
      <c r="C225" s="326">
        <v>5119.91</v>
      </c>
      <c r="D225" s="255">
        <v>289.56</v>
      </c>
      <c r="E225" s="246">
        <v>74.35</v>
      </c>
      <c r="F225" s="326">
        <v>4756</v>
      </c>
      <c r="G225" s="257">
        <v>180.97</v>
      </c>
      <c r="H225" s="246">
        <v>24.11</v>
      </c>
      <c r="I225" s="257">
        <v>171.35</v>
      </c>
      <c r="J225" s="256">
        <v>1421.38</v>
      </c>
      <c r="K225" s="246">
        <v>309.2</v>
      </c>
      <c r="L225" s="246">
        <v>296.23</v>
      </c>
      <c r="M225" s="332">
        <v>602.1</v>
      </c>
      <c r="N225" s="333">
        <v>1117.05</v>
      </c>
      <c r="O225" s="255">
        <v>446.38</v>
      </c>
      <c r="P225" s="255">
        <v>10.97</v>
      </c>
      <c r="Q225" s="256">
        <v>51.47</v>
      </c>
      <c r="R225" s="292"/>
      <c r="S225" s="338"/>
      <c r="T225" s="338"/>
      <c r="U225" s="338"/>
      <c r="V225" s="338"/>
      <c r="W225" s="338"/>
      <c r="X225" s="338"/>
      <c r="Y225" s="338"/>
      <c r="Z225" s="338"/>
      <c r="AA225" s="338"/>
      <c r="AB225" s="338"/>
      <c r="AC225" s="338"/>
      <c r="AD225" s="338"/>
      <c r="AE225" s="338"/>
      <c r="AF225" s="338"/>
      <c r="AG225" s="338"/>
    </row>
    <row r="226" spans="1:33" ht="12">
      <c r="A226" s="262">
        <v>2013</v>
      </c>
      <c r="B226" s="270" t="s">
        <v>57</v>
      </c>
      <c r="C226" s="326">
        <v>5818.81</v>
      </c>
      <c r="D226" s="255">
        <v>298.42</v>
      </c>
      <c r="E226" s="246">
        <v>32.08</v>
      </c>
      <c r="F226" s="326">
        <v>5488.31</v>
      </c>
      <c r="G226" s="257">
        <v>224.55</v>
      </c>
      <c r="H226" s="246">
        <v>47.51</v>
      </c>
      <c r="I226" s="257">
        <v>225.83</v>
      </c>
      <c r="J226" s="256">
        <v>1511.21</v>
      </c>
      <c r="K226" s="246">
        <v>369.85</v>
      </c>
      <c r="L226" s="246">
        <v>301.78</v>
      </c>
      <c r="M226" s="332">
        <v>700.42</v>
      </c>
      <c r="N226" s="333">
        <v>1235.37</v>
      </c>
      <c r="O226" s="255">
        <v>607</v>
      </c>
      <c r="P226" s="255">
        <v>31.55</v>
      </c>
      <c r="Q226" s="256">
        <v>90.86</v>
      </c>
      <c r="R226" s="292"/>
      <c r="S226" s="338"/>
      <c r="T226" s="338"/>
      <c r="U226" s="338"/>
      <c r="V226" s="338"/>
      <c r="W226" s="338"/>
      <c r="X226" s="338"/>
      <c r="Y226" s="338"/>
      <c r="Z226" s="338"/>
      <c r="AA226" s="338"/>
      <c r="AB226" s="338"/>
      <c r="AC226" s="338"/>
      <c r="AD226" s="338"/>
      <c r="AE226" s="338"/>
      <c r="AF226" s="338"/>
      <c r="AG226" s="338"/>
    </row>
    <row r="227" spans="1:33" ht="12">
      <c r="A227" s="262">
        <v>2013</v>
      </c>
      <c r="B227" s="270" t="s">
        <v>58</v>
      </c>
      <c r="C227" s="326">
        <v>5946.22</v>
      </c>
      <c r="D227" s="255">
        <v>343.56</v>
      </c>
      <c r="E227" s="246">
        <v>81.1</v>
      </c>
      <c r="F227" s="326">
        <v>5521.56</v>
      </c>
      <c r="G227" s="257">
        <v>240.08</v>
      </c>
      <c r="H227" s="246">
        <v>33.89</v>
      </c>
      <c r="I227" s="257">
        <v>181.78</v>
      </c>
      <c r="J227" s="256">
        <v>1557.35</v>
      </c>
      <c r="K227" s="246">
        <v>402.43</v>
      </c>
      <c r="L227" s="246">
        <v>286.41</v>
      </c>
      <c r="M227" s="332">
        <v>719.19</v>
      </c>
      <c r="N227" s="333">
        <v>1329.77</v>
      </c>
      <c r="O227" s="255">
        <v>516.22</v>
      </c>
      <c r="P227" s="255">
        <v>36.85</v>
      </c>
      <c r="Q227" s="256">
        <v>59.27</v>
      </c>
      <c r="R227" s="292"/>
      <c r="S227" s="338"/>
      <c r="T227" s="338"/>
      <c r="U227" s="338"/>
      <c r="V227" s="338"/>
      <c r="W227" s="338"/>
      <c r="X227" s="338"/>
      <c r="Y227" s="338"/>
      <c r="Z227" s="338"/>
      <c r="AA227" s="338"/>
      <c r="AB227" s="338"/>
      <c r="AC227" s="338"/>
      <c r="AD227" s="338"/>
      <c r="AE227" s="338"/>
      <c r="AF227" s="338"/>
      <c r="AG227" s="338"/>
    </row>
    <row r="228" spans="1:33" ht="12">
      <c r="A228" s="262">
        <v>2013</v>
      </c>
      <c r="B228" s="270" t="s">
        <v>59</v>
      </c>
      <c r="C228" s="326">
        <v>5698.13</v>
      </c>
      <c r="D228" s="255">
        <v>320.9</v>
      </c>
      <c r="E228" s="246">
        <v>51.81</v>
      </c>
      <c r="F228" s="326">
        <v>5325.42</v>
      </c>
      <c r="G228" s="257">
        <v>229.26</v>
      </c>
      <c r="H228" s="246">
        <v>29.14</v>
      </c>
      <c r="I228" s="257">
        <v>175.05</v>
      </c>
      <c r="J228" s="256">
        <v>1501.53</v>
      </c>
      <c r="K228" s="246">
        <v>387.95</v>
      </c>
      <c r="L228" s="246">
        <v>220.42</v>
      </c>
      <c r="M228" s="332">
        <v>629.78</v>
      </c>
      <c r="N228" s="333">
        <v>1347.5</v>
      </c>
      <c r="O228" s="255">
        <v>576.91</v>
      </c>
      <c r="P228" s="255">
        <v>51.63</v>
      </c>
      <c r="Q228" s="256">
        <v>63.7</v>
      </c>
      <c r="R228" s="292"/>
      <c r="S228" s="338"/>
      <c r="T228" s="338"/>
      <c r="U228" s="338"/>
      <c r="V228" s="338"/>
      <c r="W228" s="338"/>
      <c r="X228" s="338"/>
      <c r="Y228" s="338"/>
      <c r="Z228" s="338"/>
      <c r="AA228" s="338"/>
      <c r="AB228" s="338"/>
      <c r="AC228" s="338"/>
      <c r="AD228" s="338"/>
      <c r="AE228" s="338"/>
      <c r="AF228" s="338"/>
      <c r="AG228" s="338"/>
    </row>
    <row r="229" spans="1:33" ht="12">
      <c r="A229" s="262">
        <v>2013</v>
      </c>
      <c r="B229" s="270" t="s">
        <v>60</v>
      </c>
      <c r="C229" s="326">
        <v>5747.55</v>
      </c>
      <c r="D229" s="255">
        <v>333.73</v>
      </c>
      <c r="E229" s="246">
        <v>31.89</v>
      </c>
      <c r="F229" s="326">
        <v>5381.93</v>
      </c>
      <c r="G229" s="257">
        <v>238</v>
      </c>
      <c r="H229" s="246">
        <v>31.03</v>
      </c>
      <c r="I229" s="257">
        <v>137.82</v>
      </c>
      <c r="J229" s="256">
        <v>1517.43</v>
      </c>
      <c r="K229" s="246">
        <v>452.18</v>
      </c>
      <c r="L229" s="246">
        <v>165.68</v>
      </c>
      <c r="M229" s="332">
        <v>723.66</v>
      </c>
      <c r="N229" s="333">
        <v>1340.46</v>
      </c>
      <c r="O229" s="255">
        <v>553.65</v>
      </c>
      <c r="P229" s="255">
        <v>11.4</v>
      </c>
      <c r="Q229" s="256">
        <v>71.53</v>
      </c>
      <c r="R229" s="292"/>
      <c r="S229" s="338"/>
      <c r="T229" s="338"/>
      <c r="U229" s="338"/>
      <c r="V229" s="338"/>
      <c r="W229" s="338"/>
      <c r="X229" s="338"/>
      <c r="Y229" s="338"/>
      <c r="Z229" s="338"/>
      <c r="AA229" s="338"/>
      <c r="AB229" s="338"/>
      <c r="AC229" s="338"/>
      <c r="AD229" s="338"/>
      <c r="AE229" s="338"/>
      <c r="AF229" s="338"/>
      <c r="AG229" s="338"/>
    </row>
    <row r="230" spans="1:33" ht="12">
      <c r="A230" s="262">
        <v>2013</v>
      </c>
      <c r="B230" s="270" t="s">
        <v>61</v>
      </c>
      <c r="C230" s="326">
        <v>5954.94</v>
      </c>
      <c r="D230" s="255">
        <v>352.29</v>
      </c>
      <c r="E230" s="246">
        <v>39.29</v>
      </c>
      <c r="F230" s="326">
        <v>5563.36</v>
      </c>
      <c r="G230" s="257">
        <v>236.27</v>
      </c>
      <c r="H230" s="246">
        <v>30.77</v>
      </c>
      <c r="I230" s="257">
        <v>149.2</v>
      </c>
      <c r="J230" s="256">
        <v>1557.64</v>
      </c>
      <c r="K230" s="246">
        <v>512.55</v>
      </c>
      <c r="L230" s="246">
        <v>144.17</v>
      </c>
      <c r="M230" s="332">
        <v>664.7</v>
      </c>
      <c r="N230" s="333">
        <v>1485.6</v>
      </c>
      <c r="O230" s="255">
        <v>466.16</v>
      </c>
      <c r="P230" s="255">
        <v>46.86</v>
      </c>
      <c r="Q230" s="256">
        <v>104.01</v>
      </c>
      <c r="R230" s="292"/>
      <c r="S230" s="338"/>
      <c r="T230" s="338"/>
      <c r="U230" s="338"/>
      <c r="V230" s="338"/>
      <c r="W230" s="338"/>
      <c r="X230" s="338"/>
      <c r="Y230" s="338"/>
      <c r="Z230" s="338"/>
      <c r="AA230" s="338"/>
      <c r="AB230" s="338"/>
      <c r="AC230" s="338"/>
      <c r="AD230" s="338"/>
      <c r="AE230" s="338"/>
      <c r="AF230" s="338"/>
      <c r="AG230" s="338"/>
    </row>
    <row r="231" spans="1:33" ht="12">
      <c r="A231" s="262">
        <v>2013</v>
      </c>
      <c r="B231" s="270" t="s">
        <v>62</v>
      </c>
      <c r="C231" s="326">
        <v>5904.5</v>
      </c>
      <c r="D231" s="255">
        <v>345.35</v>
      </c>
      <c r="E231" s="246">
        <v>34.7</v>
      </c>
      <c r="F231" s="326">
        <v>5524.45</v>
      </c>
      <c r="G231" s="257">
        <v>217.47</v>
      </c>
      <c r="H231" s="246">
        <v>32.19</v>
      </c>
      <c r="I231" s="257">
        <v>125.97</v>
      </c>
      <c r="J231" s="256">
        <v>1630.03</v>
      </c>
      <c r="K231" s="246">
        <v>544.42</v>
      </c>
      <c r="L231" s="246">
        <v>122.88</v>
      </c>
      <c r="M231" s="332">
        <v>777.9</v>
      </c>
      <c r="N231" s="333">
        <v>1376.53</v>
      </c>
      <c r="O231" s="255">
        <v>446.57</v>
      </c>
      <c r="P231" s="255">
        <v>14.26</v>
      </c>
      <c r="Q231" s="256">
        <v>97.89</v>
      </c>
      <c r="R231" s="292"/>
      <c r="S231" s="338"/>
      <c r="T231" s="338"/>
      <c r="U231" s="338"/>
      <c r="V231" s="338"/>
      <c r="W231" s="338"/>
      <c r="X231" s="338"/>
      <c r="Y231" s="338"/>
      <c r="Z231" s="338"/>
      <c r="AA231" s="338"/>
      <c r="AB231" s="338"/>
      <c r="AC231" s="338"/>
      <c r="AD231" s="338"/>
      <c r="AE231" s="338"/>
      <c r="AF231" s="338"/>
      <c r="AG231" s="338"/>
    </row>
    <row r="232" spans="1:33" ht="12">
      <c r="A232" s="262">
        <v>2013</v>
      </c>
      <c r="B232" s="270" t="s">
        <v>63</v>
      </c>
      <c r="C232" s="326">
        <v>5110.04</v>
      </c>
      <c r="D232" s="255">
        <v>300.88</v>
      </c>
      <c r="E232" s="246">
        <v>68.41</v>
      </c>
      <c r="F232" s="326">
        <v>4740.75</v>
      </c>
      <c r="G232" s="257">
        <v>154.81</v>
      </c>
      <c r="H232" s="246">
        <v>29.7</v>
      </c>
      <c r="I232" s="257">
        <v>96.52</v>
      </c>
      <c r="J232" s="256">
        <v>1458</v>
      </c>
      <c r="K232" s="246">
        <v>332.2</v>
      </c>
      <c r="L232" s="246">
        <v>226.99</v>
      </c>
      <c r="M232" s="332">
        <v>663.23</v>
      </c>
      <c r="N232" s="333">
        <v>1060.11</v>
      </c>
      <c r="O232" s="255">
        <v>537.08</v>
      </c>
      <c r="P232" s="255">
        <v>22.46</v>
      </c>
      <c r="Q232" s="256">
        <v>57.18</v>
      </c>
      <c r="R232" s="292"/>
      <c r="S232" s="338"/>
      <c r="T232" s="338"/>
      <c r="U232" s="338"/>
      <c r="V232" s="338"/>
      <c r="W232" s="338"/>
      <c r="X232" s="338"/>
      <c r="Y232" s="338"/>
      <c r="Z232" s="338"/>
      <c r="AA232" s="338"/>
      <c r="AB232" s="338"/>
      <c r="AC232" s="338"/>
      <c r="AD232" s="338"/>
      <c r="AE232" s="338"/>
      <c r="AF232" s="338"/>
      <c r="AG232" s="338"/>
    </row>
    <row r="233" spans="1:33" ht="12">
      <c r="A233" s="262">
        <v>2013</v>
      </c>
      <c r="B233" s="270" t="s">
        <v>64</v>
      </c>
      <c r="C233" s="326">
        <v>4724.07</v>
      </c>
      <c r="D233" s="255">
        <v>264.19</v>
      </c>
      <c r="E233" s="246">
        <v>57.85</v>
      </c>
      <c r="F233" s="326">
        <v>4402.03</v>
      </c>
      <c r="G233" s="257">
        <v>118.15</v>
      </c>
      <c r="H233" s="246">
        <v>19.58</v>
      </c>
      <c r="I233" s="257">
        <v>90.21</v>
      </c>
      <c r="J233" s="256">
        <v>1318.01</v>
      </c>
      <c r="K233" s="246">
        <v>241.32</v>
      </c>
      <c r="L233" s="246">
        <v>174.82</v>
      </c>
      <c r="M233" s="332">
        <v>631.29</v>
      </c>
      <c r="N233" s="333">
        <v>977.49</v>
      </c>
      <c r="O233" s="255">
        <v>566.06</v>
      </c>
      <c r="P233" s="255">
        <v>66.27</v>
      </c>
      <c r="Q233" s="256">
        <v>74.9</v>
      </c>
      <c r="R233" s="292"/>
      <c r="S233" s="338"/>
      <c r="T233" s="338"/>
      <c r="U233" s="338"/>
      <c r="V233" s="338"/>
      <c r="W233" s="338"/>
      <c r="X233" s="338"/>
      <c r="Y233" s="338"/>
      <c r="Z233" s="338"/>
      <c r="AA233" s="338"/>
      <c r="AB233" s="338"/>
      <c r="AC233" s="338"/>
      <c r="AD233" s="338"/>
      <c r="AE233" s="338"/>
      <c r="AF233" s="338"/>
      <c r="AG233" s="338"/>
    </row>
    <row r="234" spans="1:33" ht="12">
      <c r="A234" s="262">
        <v>2013</v>
      </c>
      <c r="B234" s="270" t="s">
        <v>65</v>
      </c>
      <c r="C234" s="326">
        <v>4646.41</v>
      </c>
      <c r="D234" s="255">
        <v>252.05</v>
      </c>
      <c r="E234" s="246">
        <v>46.69</v>
      </c>
      <c r="F234" s="326">
        <v>4347.66</v>
      </c>
      <c r="G234" s="257">
        <v>129.48</v>
      </c>
      <c r="H234" s="246">
        <v>23.27</v>
      </c>
      <c r="I234" s="257">
        <v>224.57</v>
      </c>
      <c r="J234" s="256">
        <v>1230.37</v>
      </c>
      <c r="K234" s="246">
        <v>261.85</v>
      </c>
      <c r="L234" s="246">
        <v>197.75</v>
      </c>
      <c r="M234" s="332">
        <v>663.48</v>
      </c>
      <c r="N234" s="333">
        <v>975.59</v>
      </c>
      <c r="O234" s="255">
        <v>473.2</v>
      </c>
      <c r="P234" s="255">
        <v>17.89</v>
      </c>
      <c r="Q234" s="256">
        <v>48.3</v>
      </c>
      <c r="R234" s="292"/>
      <c r="S234" s="338"/>
      <c r="T234" s="338"/>
      <c r="U234" s="338"/>
      <c r="V234" s="338"/>
      <c r="W234" s="338"/>
      <c r="X234" s="338"/>
      <c r="Y234" s="338"/>
      <c r="Z234" s="338"/>
      <c r="AA234" s="338"/>
      <c r="AB234" s="338"/>
      <c r="AC234" s="338"/>
      <c r="AD234" s="338"/>
      <c r="AE234" s="338"/>
      <c r="AF234" s="338"/>
      <c r="AG234" s="338"/>
    </row>
    <row r="235" spans="1:33" ht="12">
      <c r="A235" s="264">
        <v>2013</v>
      </c>
      <c r="B235" s="274" t="s">
        <v>66</v>
      </c>
      <c r="C235" s="327">
        <v>5569.02</v>
      </c>
      <c r="D235" s="267">
        <v>315.87</v>
      </c>
      <c r="E235" s="267">
        <v>54.07</v>
      </c>
      <c r="F235" s="327">
        <v>5199.09</v>
      </c>
      <c r="G235" s="282">
        <v>165.67</v>
      </c>
      <c r="H235" s="267">
        <v>23.97</v>
      </c>
      <c r="I235" s="282">
        <v>282.64</v>
      </c>
      <c r="J235" s="283">
        <v>1465.45</v>
      </c>
      <c r="K235" s="267">
        <v>349.09</v>
      </c>
      <c r="L235" s="267">
        <v>258.61</v>
      </c>
      <c r="M235" s="334">
        <v>668.36</v>
      </c>
      <c r="N235" s="335">
        <v>1289.81</v>
      </c>
      <c r="O235" s="267">
        <v>521.47</v>
      </c>
      <c r="P235" s="267">
        <v>33.97</v>
      </c>
      <c r="Q235" s="283">
        <v>41.15</v>
      </c>
      <c r="R235" s="292"/>
      <c r="S235" s="338"/>
      <c r="T235" s="338"/>
      <c r="U235" s="338"/>
      <c r="V235" s="338"/>
      <c r="W235" s="338"/>
      <c r="X235" s="338"/>
      <c r="Y235" s="338"/>
      <c r="Z235" s="338"/>
      <c r="AA235" s="338"/>
      <c r="AB235" s="338"/>
      <c r="AC235" s="338"/>
      <c r="AD235" s="338"/>
      <c r="AE235" s="338"/>
      <c r="AF235" s="338"/>
      <c r="AG235" s="338"/>
    </row>
    <row r="236" spans="1:33" ht="12">
      <c r="A236" s="262">
        <v>2014</v>
      </c>
      <c r="B236" s="270" t="s">
        <v>55</v>
      </c>
      <c r="C236" s="326">
        <v>5476.81</v>
      </c>
      <c r="D236" s="255">
        <v>305.74</v>
      </c>
      <c r="E236" s="246">
        <v>20.66</v>
      </c>
      <c r="F236" s="326">
        <v>5150.41</v>
      </c>
      <c r="G236" s="257">
        <v>191.41</v>
      </c>
      <c r="H236" s="246">
        <v>29.8</v>
      </c>
      <c r="I236" s="257">
        <v>252.01</v>
      </c>
      <c r="J236" s="256">
        <v>1533.4</v>
      </c>
      <c r="K236" s="246">
        <v>383.66</v>
      </c>
      <c r="L236" s="246">
        <v>212.32</v>
      </c>
      <c r="M236" s="332">
        <v>668.78</v>
      </c>
      <c r="N236" s="333">
        <v>1263.4</v>
      </c>
      <c r="O236" s="255">
        <v>419.89</v>
      </c>
      <c r="P236" s="255">
        <v>34</v>
      </c>
      <c r="Q236" s="256">
        <v>28.29</v>
      </c>
      <c r="R236" s="292"/>
      <c r="S236" s="338"/>
      <c r="T236" s="338"/>
      <c r="U236" s="338"/>
      <c r="V236" s="338"/>
      <c r="W236" s="338"/>
      <c r="X236" s="338"/>
      <c r="Y236" s="338"/>
      <c r="Z236" s="338"/>
      <c r="AA236" s="338"/>
      <c r="AB236" s="338"/>
      <c r="AC236" s="338"/>
      <c r="AD236" s="338"/>
      <c r="AE236" s="338"/>
      <c r="AF236" s="338"/>
      <c r="AG236" s="338"/>
    </row>
    <row r="237" spans="1:33" ht="12">
      <c r="A237" s="262">
        <v>2014</v>
      </c>
      <c r="B237" s="262" t="s">
        <v>56</v>
      </c>
      <c r="C237" s="326">
        <v>4557.82</v>
      </c>
      <c r="D237" s="255">
        <v>248.46</v>
      </c>
      <c r="E237" s="246">
        <v>48.65</v>
      </c>
      <c r="F237" s="326">
        <v>4260.7</v>
      </c>
      <c r="G237" s="257">
        <v>154.92</v>
      </c>
      <c r="H237" s="246">
        <v>27.07</v>
      </c>
      <c r="I237" s="257">
        <v>185.41</v>
      </c>
      <c r="J237" s="256">
        <v>1333.15</v>
      </c>
      <c r="K237" s="246">
        <v>257.11</v>
      </c>
      <c r="L237" s="246">
        <v>289.05</v>
      </c>
      <c r="M237" s="332">
        <v>566</v>
      </c>
      <c r="N237" s="333">
        <v>921.84</v>
      </c>
      <c r="O237" s="255">
        <v>297.7</v>
      </c>
      <c r="P237" s="255">
        <v>36.89</v>
      </c>
      <c r="Q237" s="256">
        <v>75.66</v>
      </c>
      <c r="R237" s="292"/>
      <c r="S237" s="338"/>
      <c r="T237" s="338"/>
      <c r="U237" s="338"/>
      <c r="V237" s="338"/>
      <c r="W237" s="338"/>
      <c r="X237" s="338"/>
      <c r="Y237" s="338"/>
      <c r="Z237" s="338"/>
      <c r="AA237" s="338"/>
      <c r="AB237" s="338"/>
      <c r="AC237" s="338"/>
      <c r="AD237" s="338"/>
      <c r="AE237" s="338"/>
      <c r="AF237" s="338"/>
      <c r="AG237" s="338"/>
    </row>
    <row r="238" spans="1:33" ht="12">
      <c r="A238" s="262">
        <v>2014</v>
      </c>
      <c r="B238" s="262" t="s">
        <v>57</v>
      </c>
      <c r="C238" s="326">
        <v>5482.58</v>
      </c>
      <c r="D238" s="255">
        <v>289.56</v>
      </c>
      <c r="E238" s="246">
        <v>41.31</v>
      </c>
      <c r="F238" s="326">
        <v>5151.71</v>
      </c>
      <c r="G238" s="257">
        <v>180.58</v>
      </c>
      <c r="H238" s="246">
        <v>29.98</v>
      </c>
      <c r="I238" s="257">
        <v>195.58</v>
      </c>
      <c r="J238" s="256">
        <v>1428.28</v>
      </c>
      <c r="K238" s="246">
        <v>326.37</v>
      </c>
      <c r="L238" s="246">
        <v>255.08</v>
      </c>
      <c r="M238" s="332">
        <v>695.12</v>
      </c>
      <c r="N238" s="333">
        <v>1221.57</v>
      </c>
      <c r="O238" s="255">
        <v>563.72</v>
      </c>
      <c r="P238" s="255">
        <v>33.55</v>
      </c>
      <c r="Q238" s="256">
        <v>94.81</v>
      </c>
      <c r="R238" s="292"/>
      <c r="S238" s="338"/>
      <c r="T238" s="338"/>
      <c r="U238" s="338"/>
      <c r="V238" s="338"/>
      <c r="W238" s="338"/>
      <c r="X238" s="338"/>
      <c r="Y238" s="338"/>
      <c r="Z238" s="338"/>
      <c r="AA238" s="338"/>
      <c r="AB238" s="338"/>
      <c r="AC238" s="338"/>
      <c r="AD238" s="338"/>
      <c r="AE238" s="338"/>
      <c r="AF238" s="338"/>
      <c r="AG238" s="338"/>
    </row>
    <row r="239" spans="1:33" ht="12">
      <c r="A239" s="262">
        <v>2014</v>
      </c>
      <c r="B239" s="262" t="s">
        <v>58</v>
      </c>
      <c r="C239" s="326">
        <v>5205.23</v>
      </c>
      <c r="D239" s="255">
        <v>269.88</v>
      </c>
      <c r="E239" s="246">
        <v>53.97</v>
      </c>
      <c r="F239" s="326">
        <v>4881.37</v>
      </c>
      <c r="G239" s="257">
        <v>197.75</v>
      </c>
      <c r="H239" s="246">
        <v>34.5</v>
      </c>
      <c r="I239" s="257">
        <v>152.97</v>
      </c>
      <c r="J239" s="256">
        <v>1367.34</v>
      </c>
      <c r="K239" s="246">
        <v>331.06</v>
      </c>
      <c r="L239" s="246">
        <v>180.71</v>
      </c>
      <c r="M239" s="332">
        <v>714.1</v>
      </c>
      <c r="N239" s="333">
        <v>1159.97</v>
      </c>
      <c r="O239" s="255">
        <v>487.74</v>
      </c>
      <c r="P239" s="255">
        <v>39.36</v>
      </c>
      <c r="Q239" s="256">
        <v>94.78</v>
      </c>
      <c r="R239" s="292"/>
      <c r="S239" s="338"/>
      <c r="T239" s="338"/>
      <c r="U239" s="338"/>
      <c r="V239" s="338"/>
      <c r="W239" s="338"/>
      <c r="X239" s="338"/>
      <c r="Y239" s="338"/>
      <c r="Z239" s="338"/>
      <c r="AA239" s="338"/>
      <c r="AB239" s="338"/>
      <c r="AC239" s="338"/>
      <c r="AD239" s="338"/>
      <c r="AE239" s="338"/>
      <c r="AF239" s="338"/>
      <c r="AG239" s="338"/>
    </row>
    <row r="240" spans="1:33" ht="12">
      <c r="A240" s="262">
        <v>2014</v>
      </c>
      <c r="B240" s="262" t="s">
        <v>59</v>
      </c>
      <c r="C240" s="326">
        <v>5234.85</v>
      </c>
      <c r="D240" s="255">
        <v>268.72</v>
      </c>
      <c r="E240" s="246">
        <v>17.61</v>
      </c>
      <c r="F240" s="326">
        <v>4948.53</v>
      </c>
      <c r="G240" s="257">
        <v>205.47</v>
      </c>
      <c r="H240" s="246">
        <v>34.32</v>
      </c>
      <c r="I240" s="257">
        <v>163.79</v>
      </c>
      <c r="J240" s="256">
        <v>1422.59</v>
      </c>
      <c r="K240" s="246">
        <v>402.59</v>
      </c>
      <c r="L240" s="246">
        <v>133.45</v>
      </c>
      <c r="M240" s="332">
        <v>687.29</v>
      </c>
      <c r="N240" s="333">
        <v>1139.75</v>
      </c>
      <c r="O240" s="255">
        <v>544.69</v>
      </c>
      <c r="P240" s="255">
        <v>10.53</v>
      </c>
      <c r="Q240" s="256">
        <v>85.48</v>
      </c>
      <c r="R240" s="292"/>
      <c r="S240" s="338"/>
      <c r="T240" s="338"/>
      <c r="U240" s="338"/>
      <c r="V240" s="338"/>
      <c r="W240" s="338"/>
      <c r="X240" s="338"/>
      <c r="Y240" s="338"/>
      <c r="Z240" s="338"/>
      <c r="AA240" s="338"/>
      <c r="AB240" s="338"/>
      <c r="AC240" s="338"/>
      <c r="AD240" s="338"/>
      <c r="AE240" s="338"/>
      <c r="AF240" s="338"/>
      <c r="AG240" s="338"/>
    </row>
    <row r="241" spans="1:33" ht="12">
      <c r="A241" s="262">
        <v>2014</v>
      </c>
      <c r="B241" s="262" t="s">
        <v>60</v>
      </c>
      <c r="C241" s="326">
        <v>4694.41</v>
      </c>
      <c r="D241" s="255">
        <v>252.76</v>
      </c>
      <c r="E241" s="246">
        <v>102.29</v>
      </c>
      <c r="F241" s="326">
        <v>4339.36</v>
      </c>
      <c r="G241" s="257">
        <v>191.49</v>
      </c>
      <c r="H241" s="246">
        <v>28.63</v>
      </c>
      <c r="I241" s="257">
        <v>153.79</v>
      </c>
      <c r="J241" s="256">
        <v>1211.23</v>
      </c>
      <c r="K241" s="246">
        <v>414.19</v>
      </c>
      <c r="L241" s="246">
        <v>90.49</v>
      </c>
      <c r="M241" s="332">
        <v>679.49</v>
      </c>
      <c r="N241" s="333">
        <v>999.36</v>
      </c>
      <c r="O241" s="255">
        <v>316.11</v>
      </c>
      <c r="P241" s="255">
        <v>29.11</v>
      </c>
      <c r="Q241" s="256">
        <v>93.45</v>
      </c>
      <c r="R241" s="292"/>
      <c r="S241" s="338"/>
      <c r="T241" s="338"/>
      <c r="U241" s="338"/>
      <c r="V241" s="338"/>
      <c r="W241" s="338"/>
      <c r="X241" s="338"/>
      <c r="Y241" s="338"/>
      <c r="Z241" s="338"/>
      <c r="AA241" s="338"/>
      <c r="AB241" s="338"/>
      <c r="AC241" s="338"/>
      <c r="AD241" s="338"/>
      <c r="AE241" s="338"/>
      <c r="AF241" s="338"/>
      <c r="AG241" s="338"/>
    </row>
    <row r="242" spans="1:33" ht="12">
      <c r="A242" s="262">
        <v>2014</v>
      </c>
      <c r="B242" s="262" t="s">
        <v>61</v>
      </c>
      <c r="C242" s="326">
        <v>5159.1</v>
      </c>
      <c r="D242" s="255">
        <v>267.72</v>
      </c>
      <c r="E242" s="246">
        <v>110.27</v>
      </c>
      <c r="F242" s="326">
        <v>4781.1</v>
      </c>
      <c r="G242" s="257">
        <v>194.57</v>
      </c>
      <c r="H242" s="246">
        <v>29.31</v>
      </c>
      <c r="I242" s="257">
        <v>182.95</v>
      </c>
      <c r="J242" s="256">
        <v>1250.55</v>
      </c>
      <c r="K242" s="246">
        <v>500.88</v>
      </c>
      <c r="L242" s="246">
        <v>68.03</v>
      </c>
      <c r="M242" s="332">
        <v>710.24</v>
      </c>
      <c r="N242" s="333">
        <v>1169.09</v>
      </c>
      <c r="O242" s="255">
        <v>391.07</v>
      </c>
      <c r="P242" s="255">
        <v>52.34</v>
      </c>
      <c r="Q242" s="256">
        <v>93.44</v>
      </c>
      <c r="R242" s="292"/>
      <c r="S242" s="338"/>
      <c r="T242" s="338"/>
      <c r="U242" s="338"/>
      <c r="V242" s="338"/>
      <c r="W242" s="338"/>
      <c r="X242" s="338"/>
      <c r="Y242" s="338"/>
      <c r="Z242" s="338"/>
      <c r="AA242" s="338"/>
      <c r="AB242" s="338"/>
      <c r="AC242" s="338"/>
      <c r="AD242" s="338"/>
      <c r="AE242" s="338"/>
      <c r="AF242" s="338"/>
      <c r="AG242" s="338"/>
    </row>
    <row r="243" spans="1:33" ht="12">
      <c r="A243" s="262">
        <v>2014</v>
      </c>
      <c r="B243" s="262" t="s">
        <v>62</v>
      </c>
      <c r="C243" s="326">
        <v>5114.51</v>
      </c>
      <c r="D243" s="255">
        <v>272.01</v>
      </c>
      <c r="E243" s="246">
        <v>71.78</v>
      </c>
      <c r="F243" s="326">
        <v>4770.71</v>
      </c>
      <c r="G243" s="257">
        <v>176.34</v>
      </c>
      <c r="H243" s="246">
        <v>25.92</v>
      </c>
      <c r="I243" s="257">
        <v>162.48</v>
      </c>
      <c r="J243" s="256">
        <v>1299.24</v>
      </c>
      <c r="K243" s="246">
        <v>421.42</v>
      </c>
      <c r="L243" s="246">
        <v>126.27</v>
      </c>
      <c r="M243" s="332">
        <v>725.21</v>
      </c>
      <c r="N243" s="333">
        <v>1204.34</v>
      </c>
      <c r="O243" s="255">
        <v>394.23</v>
      </c>
      <c r="P243" s="255">
        <v>33.18</v>
      </c>
      <c r="Q243" s="256">
        <v>98.25</v>
      </c>
      <c r="R243" s="292"/>
      <c r="S243" s="338"/>
      <c r="T243" s="338"/>
      <c r="U243" s="338"/>
      <c r="V243" s="338"/>
      <c r="W243" s="338"/>
      <c r="X243" s="338"/>
      <c r="Y243" s="338"/>
      <c r="Z243" s="338"/>
      <c r="AA243" s="338"/>
      <c r="AB243" s="338"/>
      <c r="AC243" s="338"/>
      <c r="AD243" s="338"/>
      <c r="AE243" s="338"/>
      <c r="AF243" s="338"/>
      <c r="AG243" s="338"/>
    </row>
    <row r="244" spans="1:33" ht="12">
      <c r="A244" s="262">
        <v>2014</v>
      </c>
      <c r="B244" s="262" t="s">
        <v>63</v>
      </c>
      <c r="C244" s="326">
        <v>4996.63</v>
      </c>
      <c r="D244" s="255">
        <v>251.05</v>
      </c>
      <c r="E244" s="246">
        <v>60.41</v>
      </c>
      <c r="F244" s="326">
        <v>4685.17</v>
      </c>
      <c r="G244" s="257">
        <v>178.04</v>
      </c>
      <c r="H244" s="246">
        <v>26.15</v>
      </c>
      <c r="I244" s="257">
        <v>237.87</v>
      </c>
      <c r="J244" s="256">
        <v>1175.69</v>
      </c>
      <c r="K244" s="246">
        <v>414.01</v>
      </c>
      <c r="L244" s="246">
        <v>162.49</v>
      </c>
      <c r="M244" s="332">
        <v>673.59</v>
      </c>
      <c r="N244" s="333">
        <v>1174.29</v>
      </c>
      <c r="O244" s="255">
        <v>367.53</v>
      </c>
      <c r="P244" s="255">
        <v>34.32</v>
      </c>
      <c r="Q244" s="256">
        <v>90.5</v>
      </c>
      <c r="R244" s="292"/>
      <c r="S244" s="338"/>
      <c r="T244" s="338"/>
      <c r="U244" s="338"/>
      <c r="V244" s="338"/>
      <c r="W244" s="338"/>
      <c r="X244" s="338"/>
      <c r="Y244" s="338"/>
      <c r="Z244" s="338"/>
      <c r="AA244" s="338"/>
      <c r="AB244" s="338"/>
      <c r="AC244" s="338"/>
      <c r="AD244" s="338"/>
      <c r="AE244" s="338"/>
      <c r="AF244" s="338"/>
      <c r="AG244" s="338"/>
    </row>
    <row r="245" spans="1:33" ht="12">
      <c r="A245" s="262">
        <v>2014</v>
      </c>
      <c r="B245" s="262" t="s">
        <v>64</v>
      </c>
      <c r="C245" s="326">
        <v>5056.01</v>
      </c>
      <c r="D245" s="255">
        <v>250.4</v>
      </c>
      <c r="E245" s="246">
        <v>86.08</v>
      </c>
      <c r="F245" s="326">
        <v>4719.54</v>
      </c>
      <c r="G245" s="257">
        <v>157.58</v>
      </c>
      <c r="H245" s="246">
        <v>27.65</v>
      </c>
      <c r="I245" s="257">
        <v>221.54</v>
      </c>
      <c r="J245" s="256">
        <v>1122.44</v>
      </c>
      <c r="K245" s="246">
        <v>420.29</v>
      </c>
      <c r="L245" s="246">
        <v>160.45</v>
      </c>
      <c r="M245" s="332">
        <v>636.22</v>
      </c>
      <c r="N245" s="333">
        <v>1104.03</v>
      </c>
      <c r="O245" s="255">
        <v>594.78</v>
      </c>
      <c r="P245" s="255">
        <v>33.28</v>
      </c>
      <c r="Q245" s="256">
        <v>93.76</v>
      </c>
      <c r="R245" s="292"/>
      <c r="S245" s="338"/>
      <c r="T245" s="338"/>
      <c r="U245" s="338"/>
      <c r="V245" s="338"/>
      <c r="W245" s="338"/>
      <c r="X245" s="338"/>
      <c r="Y245" s="338"/>
      <c r="Z245" s="338"/>
      <c r="AA245" s="338"/>
      <c r="AB245" s="338"/>
      <c r="AC245" s="338"/>
      <c r="AD245" s="338"/>
      <c r="AE245" s="338"/>
      <c r="AF245" s="338"/>
      <c r="AG245" s="338"/>
    </row>
    <row r="246" spans="1:33" ht="12">
      <c r="A246" s="262">
        <v>2014</v>
      </c>
      <c r="B246" s="262" t="s">
        <v>65</v>
      </c>
      <c r="C246" s="326">
        <v>4810.24</v>
      </c>
      <c r="D246" s="255">
        <v>232.44</v>
      </c>
      <c r="E246" s="246">
        <v>91.38</v>
      </c>
      <c r="F246" s="326">
        <v>4486.42</v>
      </c>
      <c r="G246" s="257">
        <v>138.79</v>
      </c>
      <c r="H246" s="246">
        <v>26.23</v>
      </c>
      <c r="I246" s="257">
        <v>195.06</v>
      </c>
      <c r="J246" s="256">
        <v>1124.92</v>
      </c>
      <c r="K246" s="246">
        <v>371.47</v>
      </c>
      <c r="L246" s="246">
        <v>168.93</v>
      </c>
      <c r="M246" s="332">
        <v>615.27</v>
      </c>
      <c r="N246" s="333">
        <v>1136.19</v>
      </c>
      <c r="O246" s="255">
        <v>491.48</v>
      </c>
      <c r="P246" s="255">
        <v>22.7</v>
      </c>
      <c r="Q246" s="256">
        <v>86.14</v>
      </c>
      <c r="R246" s="292"/>
      <c r="S246" s="338"/>
      <c r="T246" s="338"/>
      <c r="U246" s="338"/>
      <c r="V246" s="338"/>
      <c r="W246" s="338"/>
      <c r="X246" s="338"/>
      <c r="Y246" s="338"/>
      <c r="Z246" s="338"/>
      <c r="AA246" s="338"/>
      <c r="AB246" s="338"/>
      <c r="AC246" s="338"/>
      <c r="AD246" s="338"/>
      <c r="AE246" s="338"/>
      <c r="AF246" s="338"/>
      <c r="AG246" s="338"/>
    </row>
    <row r="247" spans="1:33" ht="12">
      <c r="A247" s="264">
        <v>2014</v>
      </c>
      <c r="B247" s="274" t="s">
        <v>66</v>
      </c>
      <c r="C247" s="327">
        <v>5274.36</v>
      </c>
      <c r="D247" s="267">
        <v>289.53</v>
      </c>
      <c r="E247" s="267">
        <v>-33.8</v>
      </c>
      <c r="F247" s="327">
        <v>5018.63</v>
      </c>
      <c r="G247" s="282">
        <v>160.12</v>
      </c>
      <c r="H247" s="267">
        <v>28.11</v>
      </c>
      <c r="I247" s="282">
        <v>186.52</v>
      </c>
      <c r="J247" s="283">
        <v>1440.6</v>
      </c>
      <c r="K247" s="267">
        <v>392.33</v>
      </c>
      <c r="L247" s="267">
        <v>246.1</v>
      </c>
      <c r="M247" s="334">
        <v>677.62</v>
      </c>
      <c r="N247" s="335">
        <v>1232.06</v>
      </c>
      <c r="O247" s="267">
        <v>400.24</v>
      </c>
      <c r="P247" s="267">
        <v>13.44</v>
      </c>
      <c r="Q247" s="283">
        <v>71.83</v>
      </c>
      <c r="R247" s="292"/>
      <c r="S247" s="338"/>
      <c r="T247" s="338"/>
      <c r="U247" s="338"/>
      <c r="V247" s="338"/>
      <c r="W247" s="338"/>
      <c r="X247" s="338"/>
      <c r="Y247" s="338"/>
      <c r="Z247" s="338"/>
      <c r="AA247" s="338"/>
      <c r="AB247" s="338"/>
      <c r="AC247" s="338"/>
      <c r="AD247" s="338"/>
      <c r="AE247" s="338"/>
      <c r="AF247" s="338"/>
      <c r="AG247" s="338"/>
    </row>
    <row r="248" spans="1:33" ht="12">
      <c r="A248" s="262">
        <v>2015</v>
      </c>
      <c r="B248" s="270" t="s">
        <v>55</v>
      </c>
      <c r="C248" s="326">
        <v>5220.09</v>
      </c>
      <c r="D248" s="255">
        <v>302.58</v>
      </c>
      <c r="E248" s="246">
        <v>45.45</v>
      </c>
      <c r="F248" s="326">
        <v>4872.06</v>
      </c>
      <c r="G248" s="257">
        <v>170.12</v>
      </c>
      <c r="H248" s="246">
        <v>31.89</v>
      </c>
      <c r="I248" s="257">
        <v>195.59</v>
      </c>
      <c r="J248" s="256">
        <v>1460.94</v>
      </c>
      <c r="K248" s="246">
        <v>413.08</v>
      </c>
      <c r="L248" s="246">
        <v>221.42</v>
      </c>
      <c r="M248" s="332">
        <v>591.76</v>
      </c>
      <c r="N248" s="333">
        <v>1166.59</v>
      </c>
      <c r="O248" s="255">
        <v>406.3</v>
      </c>
      <c r="P248" s="255">
        <v>14.41</v>
      </c>
      <c r="Q248" s="256">
        <v>27.67</v>
      </c>
      <c r="R248" s="292"/>
      <c r="S248" s="338"/>
      <c r="T248" s="338"/>
      <c r="U248" s="338"/>
      <c r="V248" s="338"/>
      <c r="W248" s="338"/>
      <c r="X248" s="338"/>
      <c r="Y248" s="338"/>
      <c r="Z248" s="338"/>
      <c r="AA248" s="338"/>
      <c r="AB248" s="338"/>
      <c r="AC248" s="338"/>
      <c r="AD248" s="338"/>
      <c r="AE248" s="338"/>
      <c r="AF248" s="338"/>
      <c r="AG248" s="338"/>
    </row>
    <row r="249" spans="1:33" ht="12">
      <c r="A249" s="262">
        <v>2015</v>
      </c>
      <c r="B249" s="262" t="s">
        <v>56</v>
      </c>
      <c r="C249" s="326">
        <v>4553.78</v>
      </c>
      <c r="D249" s="255">
        <v>237.58</v>
      </c>
      <c r="E249" s="246">
        <v>43.35</v>
      </c>
      <c r="F249" s="326">
        <v>4272.85</v>
      </c>
      <c r="G249" s="257">
        <v>163.4</v>
      </c>
      <c r="H249" s="246">
        <v>32.38</v>
      </c>
      <c r="I249" s="257">
        <v>185.4</v>
      </c>
      <c r="J249" s="256">
        <v>1190.96</v>
      </c>
      <c r="K249" s="246">
        <v>342.08</v>
      </c>
      <c r="L249" s="246">
        <v>227.1</v>
      </c>
      <c r="M249" s="332">
        <v>548.15</v>
      </c>
      <c r="N249" s="333">
        <v>972.32</v>
      </c>
      <c r="O249" s="255">
        <v>400.09</v>
      </c>
      <c r="P249" s="255">
        <v>16.13</v>
      </c>
      <c r="Q249" s="256">
        <v>73.22</v>
      </c>
      <c r="R249" s="292"/>
      <c r="S249" s="338"/>
      <c r="T249" s="338"/>
      <c r="U249" s="338"/>
      <c r="V249" s="338"/>
      <c r="W249" s="338"/>
      <c r="X249" s="338"/>
      <c r="Y249" s="338"/>
      <c r="Z249" s="338"/>
      <c r="AA249" s="338"/>
      <c r="AB249" s="338"/>
      <c r="AC249" s="338"/>
      <c r="AD249" s="338"/>
      <c r="AE249" s="338"/>
      <c r="AF249" s="338"/>
      <c r="AG249" s="338"/>
    </row>
    <row r="250" spans="1:33" ht="12">
      <c r="A250" s="262">
        <v>2015</v>
      </c>
      <c r="B250" s="262" t="s">
        <v>57</v>
      </c>
      <c r="C250" s="326">
        <v>4859.17</v>
      </c>
      <c r="D250" s="255">
        <v>269.49</v>
      </c>
      <c r="E250" s="246">
        <v>49.05</v>
      </c>
      <c r="F250" s="326">
        <v>4540.62</v>
      </c>
      <c r="G250" s="257">
        <v>168.2</v>
      </c>
      <c r="H250" s="246">
        <v>31.14</v>
      </c>
      <c r="I250" s="257">
        <v>196.17</v>
      </c>
      <c r="J250" s="256">
        <v>1317.55</v>
      </c>
      <c r="K250" s="246">
        <v>380.77</v>
      </c>
      <c r="L250" s="246">
        <v>226.03</v>
      </c>
      <c r="M250" s="332">
        <v>639.44</v>
      </c>
      <c r="N250" s="333">
        <v>892.89</v>
      </c>
      <c r="O250" s="255">
        <v>419.99</v>
      </c>
      <c r="P250" s="255">
        <v>37.86</v>
      </c>
      <c r="Q250" s="256">
        <v>89.94</v>
      </c>
      <c r="R250" s="292"/>
      <c r="S250" s="338"/>
      <c r="T250" s="338"/>
      <c r="U250" s="338"/>
      <c r="V250" s="338"/>
      <c r="W250" s="338"/>
      <c r="X250" s="338"/>
      <c r="Y250" s="338"/>
      <c r="Z250" s="338"/>
      <c r="AA250" s="338"/>
      <c r="AB250" s="338"/>
      <c r="AC250" s="338"/>
      <c r="AD250" s="338"/>
      <c r="AE250" s="338"/>
      <c r="AF250" s="338"/>
      <c r="AG250" s="338"/>
    </row>
    <row r="251" spans="1:33" ht="12">
      <c r="A251" s="262">
        <v>2015</v>
      </c>
      <c r="B251" s="262" t="s">
        <v>58</v>
      </c>
      <c r="C251" s="326">
        <v>4849.64</v>
      </c>
      <c r="D251" s="255">
        <v>258.77</v>
      </c>
      <c r="E251" s="246">
        <v>36.24</v>
      </c>
      <c r="F251" s="326">
        <v>4554.63</v>
      </c>
      <c r="G251" s="257">
        <v>193.39</v>
      </c>
      <c r="H251" s="246">
        <v>32.05</v>
      </c>
      <c r="I251" s="257">
        <v>175.09</v>
      </c>
      <c r="J251" s="256">
        <v>1302.1</v>
      </c>
      <c r="K251" s="246">
        <v>375.3</v>
      </c>
      <c r="L251" s="246">
        <v>149.52</v>
      </c>
      <c r="M251" s="332">
        <v>696.04</v>
      </c>
      <c r="N251" s="333">
        <v>867.33</v>
      </c>
      <c r="O251" s="255">
        <v>478.87</v>
      </c>
      <c r="P251" s="255">
        <v>39.22</v>
      </c>
      <c r="Q251" s="256">
        <v>90.97</v>
      </c>
      <c r="R251" s="292"/>
      <c r="S251" s="338"/>
      <c r="T251" s="338"/>
      <c r="U251" s="338"/>
      <c r="V251" s="338"/>
      <c r="W251" s="338"/>
      <c r="X251" s="338"/>
      <c r="Y251" s="338"/>
      <c r="Z251" s="338"/>
      <c r="AA251" s="338"/>
      <c r="AB251" s="338"/>
      <c r="AC251" s="338"/>
      <c r="AD251" s="338"/>
      <c r="AE251" s="338"/>
      <c r="AF251" s="338"/>
      <c r="AG251" s="338"/>
    </row>
    <row r="252" spans="1:33" ht="12">
      <c r="A252" s="262">
        <v>2015</v>
      </c>
      <c r="B252" s="262" t="s">
        <v>59</v>
      </c>
      <c r="C252" s="326">
        <v>4788.84</v>
      </c>
      <c r="D252" s="255">
        <v>257.1</v>
      </c>
      <c r="E252" s="246">
        <v>39.51</v>
      </c>
      <c r="F252" s="326">
        <v>4492.24</v>
      </c>
      <c r="G252" s="257">
        <v>195.79</v>
      </c>
      <c r="H252" s="246">
        <v>30.65</v>
      </c>
      <c r="I252" s="257">
        <v>218.05</v>
      </c>
      <c r="J252" s="256">
        <v>1309.11</v>
      </c>
      <c r="K252" s="246">
        <v>441.62</v>
      </c>
      <c r="L252" s="246">
        <v>123.2</v>
      </c>
      <c r="M252" s="332">
        <v>584.56</v>
      </c>
      <c r="N252" s="333">
        <v>993.34</v>
      </c>
      <c r="O252" s="255">
        <v>369.57</v>
      </c>
      <c r="P252" s="255">
        <v>23.36</v>
      </c>
      <c r="Q252" s="256">
        <v>97.11</v>
      </c>
      <c r="R252" s="292"/>
      <c r="S252" s="338"/>
      <c r="T252" s="338"/>
      <c r="U252" s="338"/>
      <c r="V252" s="338"/>
      <c r="W252" s="338"/>
      <c r="X252" s="338"/>
      <c r="Y252" s="338"/>
      <c r="Z252" s="338"/>
      <c r="AA252" s="338"/>
      <c r="AB252" s="338"/>
      <c r="AC252" s="338"/>
      <c r="AD252" s="338"/>
      <c r="AE252" s="338"/>
      <c r="AF252" s="338"/>
      <c r="AG252" s="338"/>
    </row>
    <row r="253" spans="1:33" ht="12">
      <c r="A253" s="262">
        <v>2015</v>
      </c>
      <c r="B253" s="262" t="s">
        <v>60</v>
      </c>
      <c r="C253" s="326">
        <v>4464.07</v>
      </c>
      <c r="D253" s="255">
        <v>235.7</v>
      </c>
      <c r="E253" s="246">
        <v>31.59</v>
      </c>
      <c r="F253" s="326">
        <v>4196.79</v>
      </c>
      <c r="G253" s="257">
        <v>188.89</v>
      </c>
      <c r="H253" s="246">
        <v>30.91</v>
      </c>
      <c r="I253" s="257">
        <v>193.48</v>
      </c>
      <c r="J253" s="256">
        <v>1171.15</v>
      </c>
      <c r="K253" s="246">
        <v>434.14</v>
      </c>
      <c r="L253" s="246">
        <v>97.96</v>
      </c>
      <c r="M253" s="332">
        <v>515.27</v>
      </c>
      <c r="N253" s="333">
        <v>975.47</v>
      </c>
      <c r="O253" s="255">
        <v>347.64</v>
      </c>
      <c r="P253" s="255">
        <v>30.56</v>
      </c>
      <c r="Q253" s="256">
        <v>86.16</v>
      </c>
      <c r="R253" s="292"/>
      <c r="S253" s="338"/>
      <c r="T253" s="338"/>
      <c r="U253" s="338"/>
      <c r="V253" s="338"/>
      <c r="W253" s="338"/>
      <c r="X253" s="338"/>
      <c r="Y253" s="338"/>
      <c r="Z253" s="338"/>
      <c r="AA253" s="338"/>
      <c r="AB253" s="338"/>
      <c r="AC253" s="338"/>
      <c r="AD253" s="338"/>
      <c r="AE253" s="338"/>
      <c r="AF253" s="338"/>
      <c r="AG253" s="338"/>
    </row>
    <row r="254" spans="1:33" ht="12">
      <c r="A254" s="262">
        <v>2015</v>
      </c>
      <c r="B254" s="262" t="s">
        <v>61</v>
      </c>
      <c r="C254" s="326">
        <v>5474.2</v>
      </c>
      <c r="D254" s="255">
        <v>305.65</v>
      </c>
      <c r="E254" s="246">
        <v>30.88</v>
      </c>
      <c r="F254" s="326">
        <v>5137.67</v>
      </c>
      <c r="G254" s="257">
        <v>216.38</v>
      </c>
      <c r="H254" s="246">
        <v>31.15</v>
      </c>
      <c r="I254" s="257">
        <v>199.94</v>
      </c>
      <c r="J254" s="256">
        <v>1524.36</v>
      </c>
      <c r="K254" s="246">
        <v>517.51</v>
      </c>
      <c r="L254" s="246">
        <v>92.27</v>
      </c>
      <c r="M254" s="332">
        <v>621.27</v>
      </c>
      <c r="N254" s="333">
        <v>1261.37</v>
      </c>
      <c r="O254" s="255">
        <v>389.38</v>
      </c>
      <c r="P254" s="255">
        <v>32.1</v>
      </c>
      <c r="Q254" s="256">
        <v>97.73</v>
      </c>
      <c r="R254" s="292"/>
      <c r="S254" s="338"/>
      <c r="T254" s="338"/>
      <c r="U254" s="338"/>
      <c r="V254" s="338"/>
      <c r="W254" s="338"/>
      <c r="X254" s="338"/>
      <c r="Y254" s="338"/>
      <c r="Z254" s="338"/>
      <c r="AA254" s="338"/>
      <c r="AB254" s="338"/>
      <c r="AC254" s="338"/>
      <c r="AD254" s="338"/>
      <c r="AE254" s="338"/>
      <c r="AF254" s="338"/>
      <c r="AG254" s="338"/>
    </row>
    <row r="255" spans="1:33" ht="12">
      <c r="A255" s="262">
        <v>2015</v>
      </c>
      <c r="B255" s="262" t="s">
        <v>62</v>
      </c>
      <c r="C255" s="326">
        <v>5510.66</v>
      </c>
      <c r="D255" s="255">
        <v>302.63</v>
      </c>
      <c r="E255" s="246">
        <v>48.94</v>
      </c>
      <c r="F255" s="326">
        <v>5159.09</v>
      </c>
      <c r="G255" s="257">
        <v>206.27</v>
      </c>
      <c r="H255" s="246">
        <v>37.36</v>
      </c>
      <c r="I255" s="257">
        <v>215.25</v>
      </c>
      <c r="J255" s="256">
        <v>1479.44</v>
      </c>
      <c r="K255" s="246">
        <v>480.37</v>
      </c>
      <c r="L255" s="246">
        <v>138.38</v>
      </c>
      <c r="M255" s="332">
        <v>643.53</v>
      </c>
      <c r="N255" s="333">
        <v>1202.2</v>
      </c>
      <c r="O255" s="255">
        <v>456.39</v>
      </c>
      <c r="P255" s="255">
        <v>13.88</v>
      </c>
      <c r="Q255" s="256">
        <v>103.28</v>
      </c>
      <c r="R255" s="292"/>
      <c r="S255" s="338"/>
      <c r="T255" s="338"/>
      <c r="U255" s="338"/>
      <c r="V255" s="338"/>
      <c r="W255" s="338"/>
      <c r="X255" s="338"/>
      <c r="Y255" s="338"/>
      <c r="Z255" s="338"/>
      <c r="AA255" s="338"/>
      <c r="AB255" s="338"/>
      <c r="AC255" s="338"/>
      <c r="AD255" s="338"/>
      <c r="AE255" s="338"/>
      <c r="AF255" s="338"/>
      <c r="AG255" s="338"/>
    </row>
    <row r="256" spans="1:33" ht="12">
      <c r="A256" s="262">
        <v>2015</v>
      </c>
      <c r="B256" s="262" t="s">
        <v>63</v>
      </c>
      <c r="C256" s="326">
        <v>5362.39</v>
      </c>
      <c r="D256" s="255">
        <v>308.25</v>
      </c>
      <c r="E256" s="246">
        <v>35.86</v>
      </c>
      <c r="F256" s="326">
        <v>5018.28</v>
      </c>
      <c r="G256" s="257">
        <v>173.31</v>
      </c>
      <c r="H256" s="246">
        <v>34.99</v>
      </c>
      <c r="I256" s="257">
        <v>177.85</v>
      </c>
      <c r="J256" s="256">
        <v>1523.34</v>
      </c>
      <c r="K256" s="246">
        <v>458.45</v>
      </c>
      <c r="L256" s="246">
        <v>175.46</v>
      </c>
      <c r="M256" s="332">
        <v>659.98</v>
      </c>
      <c r="N256" s="333">
        <v>1182.01</v>
      </c>
      <c r="O256" s="255">
        <v>326.95</v>
      </c>
      <c r="P256" s="255">
        <v>36.79</v>
      </c>
      <c r="Q256" s="256">
        <v>88.28</v>
      </c>
      <c r="R256" s="292"/>
      <c r="S256" s="338"/>
      <c r="T256" s="338"/>
      <c r="U256" s="338"/>
      <c r="V256" s="338"/>
      <c r="W256" s="338"/>
      <c r="X256" s="338"/>
      <c r="Y256" s="338"/>
      <c r="Z256" s="338"/>
      <c r="AA256" s="338"/>
      <c r="AB256" s="338"/>
      <c r="AC256" s="338"/>
      <c r="AD256" s="338"/>
      <c r="AE256" s="338"/>
      <c r="AF256" s="338"/>
      <c r="AG256" s="338"/>
    </row>
    <row r="257" spans="1:33" ht="12">
      <c r="A257" s="262">
        <v>2015</v>
      </c>
      <c r="B257" s="262" t="s">
        <v>64</v>
      </c>
      <c r="C257" s="326">
        <v>5480.99</v>
      </c>
      <c r="D257" s="255">
        <v>289.64</v>
      </c>
      <c r="E257" s="246">
        <v>28.96</v>
      </c>
      <c r="F257" s="326">
        <v>5162.39</v>
      </c>
      <c r="G257" s="257">
        <v>195.16</v>
      </c>
      <c r="H257" s="246">
        <v>31.69</v>
      </c>
      <c r="I257" s="257">
        <v>168.99</v>
      </c>
      <c r="J257" s="256">
        <v>1528.47</v>
      </c>
      <c r="K257" s="246">
        <v>437.15</v>
      </c>
      <c r="L257" s="246">
        <v>163.21</v>
      </c>
      <c r="M257" s="332">
        <v>614.9</v>
      </c>
      <c r="N257" s="333">
        <v>1331.82</v>
      </c>
      <c r="O257" s="255">
        <v>402.65</v>
      </c>
      <c r="P257" s="255">
        <v>29.85</v>
      </c>
      <c r="Q257" s="256">
        <v>88.51</v>
      </c>
      <c r="R257" s="292"/>
      <c r="S257" s="338"/>
      <c r="T257" s="338"/>
      <c r="U257" s="338"/>
      <c r="V257" s="338"/>
      <c r="W257" s="338"/>
      <c r="X257" s="338"/>
      <c r="Y257" s="338"/>
      <c r="Z257" s="338"/>
      <c r="AA257" s="338"/>
      <c r="AB257" s="338"/>
      <c r="AC257" s="338"/>
      <c r="AD257" s="338"/>
      <c r="AE257" s="338"/>
      <c r="AF257" s="338"/>
      <c r="AG257" s="338"/>
    </row>
    <row r="258" spans="1:33" ht="12">
      <c r="A258" s="262">
        <v>2015</v>
      </c>
      <c r="B258" s="262" t="s">
        <v>65</v>
      </c>
      <c r="C258" s="326">
        <v>5368.6</v>
      </c>
      <c r="D258" s="255">
        <v>279.83</v>
      </c>
      <c r="E258" s="246">
        <v>37.43</v>
      </c>
      <c r="F258" s="326">
        <v>5051.34</v>
      </c>
      <c r="G258" s="257">
        <v>171.54</v>
      </c>
      <c r="H258" s="246">
        <v>33.5</v>
      </c>
      <c r="I258" s="257">
        <v>228.33</v>
      </c>
      <c r="J258" s="256">
        <v>1508.06</v>
      </c>
      <c r="K258" s="246">
        <v>360.13</v>
      </c>
      <c r="L258" s="246">
        <v>183.89</v>
      </c>
      <c r="M258" s="332">
        <v>539.93</v>
      </c>
      <c r="N258" s="333">
        <v>1299.71</v>
      </c>
      <c r="O258" s="255">
        <v>416.76</v>
      </c>
      <c r="P258" s="255">
        <v>45.6</v>
      </c>
      <c r="Q258" s="256">
        <v>78.95</v>
      </c>
      <c r="R258" s="292"/>
      <c r="S258" s="338"/>
      <c r="T258" s="338"/>
      <c r="U258" s="338"/>
      <c r="V258" s="338"/>
      <c r="W258" s="338"/>
      <c r="X258" s="338"/>
      <c r="Y258" s="338"/>
      <c r="Z258" s="338"/>
      <c r="AA258" s="338"/>
      <c r="AB258" s="338"/>
      <c r="AC258" s="338"/>
      <c r="AD258" s="338"/>
      <c r="AE258" s="338"/>
      <c r="AF258" s="338"/>
      <c r="AG258" s="338"/>
    </row>
    <row r="259" spans="1:33" ht="12">
      <c r="A259" s="264">
        <v>2015</v>
      </c>
      <c r="B259" s="274" t="s">
        <v>66</v>
      </c>
      <c r="C259" s="327">
        <v>5458.38</v>
      </c>
      <c r="D259" s="267">
        <v>304.6</v>
      </c>
      <c r="E259" s="267">
        <v>34.98</v>
      </c>
      <c r="F259" s="327">
        <v>5118.8</v>
      </c>
      <c r="G259" s="282">
        <v>165.24</v>
      </c>
      <c r="H259" s="267">
        <v>36.12</v>
      </c>
      <c r="I259" s="282">
        <v>213.58</v>
      </c>
      <c r="J259" s="283">
        <v>1578.02</v>
      </c>
      <c r="K259" s="267">
        <v>332.35</v>
      </c>
      <c r="L259" s="267">
        <v>232.74</v>
      </c>
      <c r="M259" s="334">
        <v>548.9</v>
      </c>
      <c r="N259" s="335">
        <v>1337.54</v>
      </c>
      <c r="O259" s="267">
        <v>403.77</v>
      </c>
      <c r="P259" s="267">
        <v>30.25</v>
      </c>
      <c r="Q259" s="283">
        <v>68.68</v>
      </c>
      <c r="R259" s="292"/>
      <c r="S259" s="338"/>
      <c r="T259" s="338"/>
      <c r="U259" s="338"/>
      <c r="V259" s="338"/>
      <c r="W259" s="338"/>
      <c r="X259" s="338"/>
      <c r="Y259" s="338"/>
      <c r="Z259" s="338"/>
      <c r="AA259" s="338"/>
      <c r="AB259" s="338"/>
      <c r="AC259" s="338"/>
      <c r="AD259" s="338"/>
      <c r="AE259" s="338"/>
      <c r="AF259" s="338"/>
      <c r="AG259" s="338"/>
    </row>
    <row r="260" spans="1:33" ht="12">
      <c r="A260" s="262">
        <v>2016</v>
      </c>
      <c r="B260" s="270" t="s">
        <v>55</v>
      </c>
      <c r="C260" s="326">
        <v>5234.02</v>
      </c>
      <c r="D260" s="255">
        <v>301.26</v>
      </c>
      <c r="E260" s="246">
        <v>50.23</v>
      </c>
      <c r="F260" s="326">
        <v>4882.53</v>
      </c>
      <c r="G260" s="257">
        <v>178.64</v>
      </c>
      <c r="H260" s="246">
        <v>36.91</v>
      </c>
      <c r="I260" s="257">
        <v>228.05</v>
      </c>
      <c r="J260" s="256">
        <v>1545.33</v>
      </c>
      <c r="K260" s="246">
        <v>368.36</v>
      </c>
      <c r="L260" s="246">
        <v>221.81</v>
      </c>
      <c r="M260" s="332">
        <v>600.25</v>
      </c>
      <c r="N260" s="333">
        <v>1154.83</v>
      </c>
      <c r="O260" s="255">
        <v>338.19</v>
      </c>
      <c r="P260" s="255">
        <v>42.42</v>
      </c>
      <c r="Q260" s="256">
        <v>16.67</v>
      </c>
      <c r="R260" s="292"/>
      <c r="S260" s="338"/>
      <c r="T260" s="338"/>
      <c r="U260" s="338"/>
      <c r="V260" s="338"/>
      <c r="W260" s="338"/>
      <c r="X260" s="338"/>
      <c r="Y260" s="338"/>
      <c r="Z260" s="338"/>
      <c r="AA260" s="338"/>
      <c r="AB260" s="338"/>
      <c r="AC260" s="338"/>
      <c r="AD260" s="338"/>
      <c r="AE260" s="338"/>
      <c r="AF260" s="338"/>
      <c r="AG260" s="338"/>
    </row>
    <row r="261" spans="1:33" ht="12">
      <c r="A261" s="262">
        <v>2016</v>
      </c>
      <c r="B261" s="262" t="s">
        <v>56</v>
      </c>
      <c r="C261" s="326">
        <v>4403.03</v>
      </c>
      <c r="D261" s="255">
        <v>237.97</v>
      </c>
      <c r="E261" s="246">
        <v>23.65</v>
      </c>
      <c r="F261" s="326">
        <v>4141.4</v>
      </c>
      <c r="G261" s="257">
        <v>150.38</v>
      </c>
      <c r="H261" s="246">
        <v>60.87</v>
      </c>
      <c r="I261" s="257">
        <v>210.79</v>
      </c>
      <c r="J261" s="256">
        <v>1241.76</v>
      </c>
      <c r="K261" s="246">
        <v>266.63</v>
      </c>
      <c r="L261" s="246">
        <v>231.44</v>
      </c>
      <c r="M261" s="332">
        <v>590.24</v>
      </c>
      <c r="N261" s="333">
        <v>825.52</v>
      </c>
      <c r="O261" s="255">
        <v>362.15</v>
      </c>
      <c r="P261" s="255">
        <v>0.04</v>
      </c>
      <c r="Q261" s="256">
        <v>72.61</v>
      </c>
      <c r="R261" s="292"/>
      <c r="S261" s="338"/>
      <c r="T261" s="338"/>
      <c r="U261" s="338"/>
      <c r="V261" s="338"/>
      <c r="W261" s="338"/>
      <c r="X261" s="338"/>
      <c r="Y261" s="338"/>
      <c r="Z261" s="338"/>
      <c r="AA261" s="338"/>
      <c r="AB261" s="338"/>
      <c r="AC261" s="338"/>
      <c r="AD261" s="338"/>
      <c r="AE261" s="338"/>
      <c r="AF261" s="338"/>
      <c r="AG261" s="338"/>
    </row>
    <row r="262" spans="1:33" ht="12">
      <c r="A262" s="262">
        <v>2016</v>
      </c>
      <c r="B262" s="262" t="s">
        <v>57</v>
      </c>
      <c r="C262" s="326">
        <v>4584.35</v>
      </c>
      <c r="D262" s="255">
        <v>283.63</v>
      </c>
      <c r="E262" s="246">
        <v>26.9</v>
      </c>
      <c r="F262" s="326">
        <v>4273.82</v>
      </c>
      <c r="G262" s="257">
        <v>174.44</v>
      </c>
      <c r="H262" s="246">
        <v>27.29</v>
      </c>
      <c r="I262" s="257">
        <v>173.54</v>
      </c>
      <c r="J262" s="256">
        <v>1324.35</v>
      </c>
      <c r="K262" s="246">
        <v>280.32</v>
      </c>
      <c r="L262" s="246">
        <v>217.87</v>
      </c>
      <c r="M262" s="332">
        <v>529.08</v>
      </c>
      <c r="N262" s="333">
        <v>952.03</v>
      </c>
      <c r="O262" s="255">
        <v>349.92</v>
      </c>
      <c r="P262" s="255">
        <v>0.26</v>
      </c>
      <c r="Q262" s="256">
        <v>86.8</v>
      </c>
      <c r="R262" s="292"/>
      <c r="S262" s="338"/>
      <c r="T262" s="338"/>
      <c r="U262" s="338"/>
      <c r="V262" s="338"/>
      <c r="W262" s="338"/>
      <c r="X262" s="338"/>
      <c r="Y262" s="338"/>
      <c r="Z262" s="338"/>
      <c r="AA262" s="338"/>
      <c r="AB262" s="338"/>
      <c r="AC262" s="338"/>
      <c r="AD262" s="338"/>
      <c r="AE262" s="338"/>
      <c r="AF262" s="338"/>
      <c r="AG262" s="338"/>
    </row>
    <row r="263" spans="1:33" ht="12">
      <c r="A263" s="262">
        <v>2016</v>
      </c>
      <c r="B263" s="262" t="s">
        <v>58</v>
      </c>
      <c r="C263" s="326">
        <v>4876.41</v>
      </c>
      <c r="D263" s="255">
        <v>260.49</v>
      </c>
      <c r="E263" s="246">
        <v>51.3</v>
      </c>
      <c r="F263" s="326">
        <v>4564.61</v>
      </c>
      <c r="G263" s="257">
        <v>212.32</v>
      </c>
      <c r="H263" s="246">
        <v>39.81</v>
      </c>
      <c r="I263" s="257">
        <v>193.68</v>
      </c>
      <c r="J263" s="256">
        <v>1449.64</v>
      </c>
      <c r="K263" s="246">
        <v>359.55</v>
      </c>
      <c r="L263" s="246">
        <v>183.71</v>
      </c>
      <c r="M263" s="332">
        <v>607.8</v>
      </c>
      <c r="N263" s="333">
        <v>949.97</v>
      </c>
      <c r="O263" s="255">
        <v>287.28</v>
      </c>
      <c r="P263" s="255">
        <v>26.51</v>
      </c>
      <c r="Q263" s="256">
        <v>89.81</v>
      </c>
      <c r="R263" s="292"/>
      <c r="S263" s="338"/>
      <c r="T263" s="338"/>
      <c r="U263" s="338"/>
      <c r="V263" s="338"/>
      <c r="W263" s="338"/>
      <c r="X263" s="338"/>
      <c r="Y263" s="338"/>
      <c r="Z263" s="338"/>
      <c r="AA263" s="338"/>
      <c r="AB263" s="338"/>
      <c r="AC263" s="338"/>
      <c r="AD263" s="338"/>
      <c r="AE263" s="338"/>
      <c r="AF263" s="338"/>
      <c r="AG263" s="338"/>
    </row>
    <row r="264" spans="1:33" ht="12">
      <c r="A264" s="262">
        <v>2016</v>
      </c>
      <c r="B264" s="262" t="s">
        <v>59</v>
      </c>
      <c r="C264" s="326">
        <v>5256.55</v>
      </c>
      <c r="D264" s="255">
        <v>305.84</v>
      </c>
      <c r="E264" s="246">
        <v>42.05</v>
      </c>
      <c r="F264" s="326">
        <v>4908.67</v>
      </c>
      <c r="G264" s="257">
        <v>228.58</v>
      </c>
      <c r="H264" s="246">
        <v>37.77</v>
      </c>
      <c r="I264" s="257">
        <v>189.97</v>
      </c>
      <c r="J264" s="256">
        <v>1489.79</v>
      </c>
      <c r="K264" s="246">
        <v>377.39</v>
      </c>
      <c r="L264" s="246">
        <v>167.55</v>
      </c>
      <c r="M264" s="332">
        <v>589.8</v>
      </c>
      <c r="N264" s="333">
        <v>1155.74</v>
      </c>
      <c r="O264" s="255">
        <v>383.88</v>
      </c>
      <c r="P264" s="255">
        <v>49.28</v>
      </c>
      <c r="Q264" s="256">
        <v>86.52</v>
      </c>
      <c r="R264" s="292"/>
      <c r="S264" s="338"/>
      <c r="T264" s="338"/>
      <c r="U264" s="338"/>
      <c r="V264" s="338"/>
      <c r="W264" s="338"/>
      <c r="X264" s="338"/>
      <c r="Y264" s="338"/>
      <c r="Z264" s="338"/>
      <c r="AA264" s="338"/>
      <c r="AB264" s="338"/>
      <c r="AC264" s="338"/>
      <c r="AD264" s="338"/>
      <c r="AE264" s="338"/>
      <c r="AF264" s="338"/>
      <c r="AG264" s="338"/>
    </row>
    <row r="265" spans="1:33" ht="12">
      <c r="A265" s="262">
        <v>2016</v>
      </c>
      <c r="B265" s="262" t="s">
        <v>60</v>
      </c>
      <c r="C265" s="326">
        <v>5107.23</v>
      </c>
      <c r="D265" s="255">
        <v>287.41</v>
      </c>
      <c r="E265" s="246">
        <v>25.32</v>
      </c>
      <c r="F265" s="326">
        <v>4794.5</v>
      </c>
      <c r="G265" s="257">
        <v>211.98</v>
      </c>
      <c r="H265" s="246">
        <v>31.85</v>
      </c>
      <c r="I265" s="257">
        <v>163.04</v>
      </c>
      <c r="J265" s="256">
        <v>1419.39</v>
      </c>
      <c r="K265" s="246">
        <v>448.25</v>
      </c>
      <c r="L265" s="246">
        <v>85.61</v>
      </c>
      <c r="M265" s="332">
        <v>583.97</v>
      </c>
      <c r="N265" s="333">
        <v>1141.02</v>
      </c>
      <c r="O265" s="255">
        <v>413.25</v>
      </c>
      <c r="P265" s="255">
        <v>40.48</v>
      </c>
      <c r="Q265" s="256">
        <v>92.99</v>
      </c>
      <c r="R265" s="292"/>
      <c r="S265" s="338"/>
      <c r="T265" s="338"/>
      <c r="U265" s="338"/>
      <c r="V265" s="338"/>
      <c r="W265" s="338"/>
      <c r="X265" s="338"/>
      <c r="Y265" s="338"/>
      <c r="Z265" s="338"/>
      <c r="AA265" s="338"/>
      <c r="AB265" s="338"/>
      <c r="AC265" s="338"/>
      <c r="AD265" s="338"/>
      <c r="AE265" s="338"/>
      <c r="AF265" s="338"/>
      <c r="AG265" s="338"/>
    </row>
    <row r="266" spans="1:33" ht="12">
      <c r="A266" s="262">
        <v>2016</v>
      </c>
      <c r="B266" s="262" t="s">
        <v>61</v>
      </c>
      <c r="C266" s="326">
        <v>5122.57</v>
      </c>
      <c r="D266" s="255">
        <v>297.68</v>
      </c>
      <c r="E266" s="246">
        <v>54.18</v>
      </c>
      <c r="F266" s="326">
        <v>4770.71</v>
      </c>
      <c r="G266" s="257">
        <v>210.41</v>
      </c>
      <c r="H266" s="246">
        <v>39.75</v>
      </c>
      <c r="I266" s="257">
        <v>174.86</v>
      </c>
      <c r="J266" s="256">
        <v>1449.21</v>
      </c>
      <c r="K266" s="246">
        <v>476.77</v>
      </c>
      <c r="L266" s="246">
        <v>89.14</v>
      </c>
      <c r="M266" s="332">
        <v>617.57</v>
      </c>
      <c r="N266" s="333">
        <v>1133.83</v>
      </c>
      <c r="O266" s="255">
        <v>289.6</v>
      </c>
      <c r="P266" s="255">
        <v>41.6</v>
      </c>
      <c r="Q266" s="256">
        <v>86.56</v>
      </c>
      <c r="R266" s="292"/>
      <c r="S266" s="338"/>
      <c r="T266" s="338"/>
      <c r="U266" s="338"/>
      <c r="V266" s="338"/>
      <c r="W266" s="338"/>
      <c r="X266" s="338"/>
      <c r="Y266" s="338"/>
      <c r="Z266" s="338"/>
      <c r="AA266" s="338"/>
      <c r="AB266" s="338"/>
      <c r="AC266" s="338"/>
      <c r="AD266" s="338"/>
      <c r="AE266" s="338"/>
      <c r="AF266" s="338"/>
      <c r="AG266" s="338"/>
    </row>
    <row r="267" spans="1:33" ht="12">
      <c r="A267" s="262">
        <v>2016</v>
      </c>
      <c r="B267" s="262" t="s">
        <v>62</v>
      </c>
      <c r="C267" s="326">
        <v>5164.9</v>
      </c>
      <c r="D267" s="255">
        <v>303.88</v>
      </c>
      <c r="E267" s="246">
        <v>33.38</v>
      </c>
      <c r="F267" s="326">
        <v>4827.64</v>
      </c>
      <c r="G267" s="257">
        <v>199.86</v>
      </c>
      <c r="H267" s="246">
        <v>35.82</v>
      </c>
      <c r="I267" s="257">
        <v>172.73</v>
      </c>
      <c r="J267" s="256">
        <v>1450.03</v>
      </c>
      <c r="K267" s="246">
        <v>433.18</v>
      </c>
      <c r="L267" s="246">
        <v>129.49</v>
      </c>
      <c r="M267" s="332">
        <v>612.73</v>
      </c>
      <c r="N267" s="333">
        <v>1247</v>
      </c>
      <c r="O267" s="255">
        <v>292.91</v>
      </c>
      <c r="P267" s="255">
        <v>16.23</v>
      </c>
      <c r="Q267" s="256">
        <v>110.03</v>
      </c>
      <c r="R267" s="292"/>
      <c r="S267" s="338"/>
      <c r="T267" s="338"/>
      <c r="U267" s="338"/>
      <c r="V267" s="338"/>
      <c r="W267" s="338"/>
      <c r="X267" s="338"/>
      <c r="Y267" s="338"/>
      <c r="Z267" s="338"/>
      <c r="AA267" s="338"/>
      <c r="AB267" s="338"/>
      <c r="AC267" s="338"/>
      <c r="AD267" s="338"/>
      <c r="AE267" s="338"/>
      <c r="AF267" s="338"/>
      <c r="AG267" s="338"/>
    </row>
    <row r="268" spans="1:33" ht="12">
      <c r="A268" s="262">
        <v>2016</v>
      </c>
      <c r="B268" s="262" t="s">
        <v>63</v>
      </c>
      <c r="C268" s="326">
        <v>5084.25</v>
      </c>
      <c r="D268" s="255">
        <v>278.7</v>
      </c>
      <c r="E268" s="246">
        <v>20.9</v>
      </c>
      <c r="F268" s="326">
        <v>4784.65</v>
      </c>
      <c r="G268" s="257">
        <v>158.27</v>
      </c>
      <c r="H268" s="246">
        <v>35.46</v>
      </c>
      <c r="I268" s="257">
        <v>153.51</v>
      </c>
      <c r="J268" s="256">
        <v>1444.45</v>
      </c>
      <c r="K268" s="246">
        <v>370.05</v>
      </c>
      <c r="L268" s="246">
        <v>124.16</v>
      </c>
      <c r="M268" s="332">
        <v>574.59</v>
      </c>
      <c r="N268" s="333">
        <v>1216.87</v>
      </c>
      <c r="O268" s="255">
        <v>413.21</v>
      </c>
      <c r="P268" s="255">
        <v>34.15</v>
      </c>
      <c r="Q268" s="256">
        <v>90.78</v>
      </c>
      <c r="R268" s="292"/>
      <c r="S268" s="338"/>
      <c r="T268" s="338"/>
      <c r="U268" s="338"/>
      <c r="V268" s="338"/>
      <c r="W268" s="338"/>
      <c r="X268" s="338"/>
      <c r="Y268" s="338"/>
      <c r="Z268" s="338"/>
      <c r="AA268" s="338"/>
      <c r="AB268" s="338"/>
      <c r="AC268" s="338"/>
      <c r="AD268" s="338"/>
      <c r="AE268" s="338"/>
      <c r="AF268" s="338"/>
      <c r="AG268" s="338"/>
    </row>
    <row r="269" spans="1:33" ht="12">
      <c r="A269" s="262">
        <v>2016</v>
      </c>
      <c r="B269" s="262" t="s">
        <v>64</v>
      </c>
      <c r="C269" s="326">
        <v>5126.67</v>
      </c>
      <c r="D269" s="255">
        <v>261.88</v>
      </c>
      <c r="E269" s="246">
        <v>12.36</v>
      </c>
      <c r="F269" s="326">
        <v>4852.43</v>
      </c>
      <c r="G269" s="257">
        <v>160.65</v>
      </c>
      <c r="H269" s="246">
        <v>37.06</v>
      </c>
      <c r="I269" s="257">
        <v>238.3</v>
      </c>
      <c r="J269" s="256">
        <v>1437.56</v>
      </c>
      <c r="K269" s="246">
        <v>346.8</v>
      </c>
      <c r="L269" s="246">
        <v>179.06</v>
      </c>
      <c r="M269" s="332">
        <v>566.92</v>
      </c>
      <c r="N269" s="333">
        <v>1274.63</v>
      </c>
      <c r="O269" s="255">
        <v>329.08</v>
      </c>
      <c r="P269" s="255">
        <v>29.84</v>
      </c>
      <c r="Q269" s="256">
        <v>73.33</v>
      </c>
      <c r="R269" s="292"/>
      <c r="S269" s="338"/>
      <c r="T269" s="338"/>
      <c r="U269" s="338"/>
      <c r="V269" s="338"/>
      <c r="W269" s="338"/>
      <c r="X269" s="338"/>
      <c r="Y269" s="338"/>
      <c r="Z269" s="338"/>
      <c r="AA269" s="338"/>
      <c r="AB269" s="338"/>
      <c r="AC269" s="338"/>
      <c r="AD269" s="338"/>
      <c r="AE269" s="338"/>
      <c r="AF269" s="338"/>
      <c r="AG269" s="338"/>
    </row>
    <row r="270" spans="1:33" ht="12">
      <c r="A270" s="262">
        <v>2016</v>
      </c>
      <c r="B270" s="262" t="s">
        <v>65</v>
      </c>
      <c r="C270" s="326">
        <v>5159.23</v>
      </c>
      <c r="D270" s="255">
        <v>271.29</v>
      </c>
      <c r="E270" s="246">
        <v>36.48</v>
      </c>
      <c r="F270" s="326">
        <v>4851.45</v>
      </c>
      <c r="G270" s="257">
        <v>168.05</v>
      </c>
      <c r="H270" s="246">
        <v>34.6</v>
      </c>
      <c r="I270" s="257">
        <v>200.85</v>
      </c>
      <c r="J270" s="256">
        <v>1537.44</v>
      </c>
      <c r="K270" s="246">
        <v>321.7</v>
      </c>
      <c r="L270" s="246">
        <v>207.52</v>
      </c>
      <c r="M270" s="332">
        <v>542.47</v>
      </c>
      <c r="N270" s="333">
        <v>1209.8</v>
      </c>
      <c r="O270" s="255">
        <v>343.48</v>
      </c>
      <c r="P270" s="255">
        <v>34.77</v>
      </c>
      <c r="Q270" s="256">
        <v>89.19</v>
      </c>
      <c r="R270" s="292"/>
      <c r="S270" s="338"/>
      <c r="T270" s="338"/>
      <c r="U270" s="338"/>
      <c r="V270" s="338"/>
      <c r="W270" s="338"/>
      <c r="X270" s="338"/>
      <c r="Y270" s="338"/>
      <c r="Z270" s="338"/>
      <c r="AA270" s="338"/>
      <c r="AB270" s="338"/>
      <c r="AC270" s="338"/>
      <c r="AD270" s="338"/>
      <c r="AE270" s="338"/>
      <c r="AF270" s="338"/>
      <c r="AG270" s="338"/>
    </row>
    <row r="271" spans="1:33" ht="12">
      <c r="A271" s="264">
        <v>2016</v>
      </c>
      <c r="B271" s="274" t="s">
        <v>66</v>
      </c>
      <c r="C271" s="327">
        <v>5276.23</v>
      </c>
      <c r="D271" s="267">
        <v>291.19</v>
      </c>
      <c r="E271" s="267">
        <v>49.46</v>
      </c>
      <c r="F271" s="327">
        <v>4935.58</v>
      </c>
      <c r="G271" s="282">
        <v>173.74</v>
      </c>
      <c r="H271" s="267">
        <v>35.73</v>
      </c>
      <c r="I271" s="282">
        <v>206.33</v>
      </c>
      <c r="J271" s="283">
        <v>1554.28</v>
      </c>
      <c r="K271" s="267">
        <v>343.47</v>
      </c>
      <c r="L271" s="267">
        <v>211.74</v>
      </c>
      <c r="M271" s="334">
        <v>566.1</v>
      </c>
      <c r="N271" s="335">
        <v>1262.67</v>
      </c>
      <c r="O271" s="267">
        <v>293.76</v>
      </c>
      <c r="P271" s="267">
        <v>36.83</v>
      </c>
      <c r="Q271" s="283">
        <v>72.53</v>
      </c>
      <c r="R271" s="292"/>
      <c r="S271" s="338"/>
      <c r="T271" s="338"/>
      <c r="U271" s="338"/>
      <c r="V271" s="338"/>
      <c r="W271" s="338"/>
      <c r="X271" s="338"/>
      <c r="Y271" s="338"/>
      <c r="Z271" s="338"/>
      <c r="AA271" s="338"/>
      <c r="AB271" s="338"/>
      <c r="AC271" s="338"/>
      <c r="AD271" s="338"/>
      <c r="AE271" s="338"/>
      <c r="AF271" s="338"/>
      <c r="AG271" s="338"/>
    </row>
    <row r="272" spans="1:33" ht="12">
      <c r="A272" s="262">
        <v>2017</v>
      </c>
      <c r="B272" s="270" t="s">
        <v>55</v>
      </c>
      <c r="C272" s="326">
        <v>5171.91</v>
      </c>
      <c r="D272" s="255">
        <v>302.38</v>
      </c>
      <c r="E272" s="246">
        <v>38.57</v>
      </c>
      <c r="F272" s="326">
        <v>4830.97</v>
      </c>
      <c r="G272" s="257">
        <v>167.51</v>
      </c>
      <c r="H272" s="246">
        <v>35.74</v>
      </c>
      <c r="I272" s="257">
        <v>169.91</v>
      </c>
      <c r="J272" s="256">
        <v>1561.9</v>
      </c>
      <c r="K272" s="246">
        <v>375.1</v>
      </c>
      <c r="L272" s="246">
        <v>211.66</v>
      </c>
      <c r="M272" s="332">
        <v>553.69</v>
      </c>
      <c r="N272" s="333">
        <v>1167.77</v>
      </c>
      <c r="O272" s="255">
        <v>353.5</v>
      </c>
      <c r="P272" s="255">
        <v>58.02</v>
      </c>
      <c r="Q272" s="256">
        <v>11.76</v>
      </c>
      <c r="R272" s="292"/>
      <c r="S272" s="338"/>
      <c r="T272" s="338"/>
      <c r="U272" s="338"/>
      <c r="V272" s="338"/>
      <c r="W272" s="338"/>
      <c r="X272" s="338"/>
      <c r="Y272" s="338"/>
      <c r="Z272" s="338"/>
      <c r="AA272" s="338"/>
      <c r="AB272" s="338"/>
      <c r="AC272" s="338"/>
      <c r="AD272" s="338"/>
      <c r="AE272" s="338"/>
      <c r="AF272" s="338"/>
      <c r="AG272" s="338"/>
    </row>
    <row r="273" spans="1:33" ht="12">
      <c r="A273" s="262">
        <v>2017</v>
      </c>
      <c r="B273" s="262" t="s">
        <v>56</v>
      </c>
      <c r="C273" s="326">
        <v>4353.31</v>
      </c>
      <c r="D273" s="255">
        <v>261.08</v>
      </c>
      <c r="E273" s="246">
        <v>27.59</v>
      </c>
      <c r="F273" s="326">
        <v>4064.65</v>
      </c>
      <c r="G273" s="257">
        <v>150.35</v>
      </c>
      <c r="H273" s="246">
        <v>30.61</v>
      </c>
      <c r="I273" s="257">
        <v>160.2</v>
      </c>
      <c r="J273" s="256">
        <v>1359.49</v>
      </c>
      <c r="K273" s="246">
        <v>280.67</v>
      </c>
      <c r="L273" s="246">
        <v>214.47</v>
      </c>
      <c r="M273" s="332">
        <v>560.86</v>
      </c>
      <c r="N273" s="333">
        <v>850.03</v>
      </c>
      <c r="O273" s="255">
        <v>238.96</v>
      </c>
      <c r="P273" s="255">
        <v>27.39</v>
      </c>
      <c r="Q273" s="256">
        <v>67.79</v>
      </c>
      <c r="R273" s="292"/>
      <c r="S273" s="338"/>
      <c r="T273" s="338"/>
      <c r="U273" s="338"/>
      <c r="V273" s="338"/>
      <c r="W273" s="338"/>
      <c r="X273" s="338"/>
      <c r="Y273" s="338"/>
      <c r="Z273" s="338"/>
      <c r="AA273" s="338"/>
      <c r="AB273" s="338"/>
      <c r="AC273" s="338"/>
      <c r="AD273" s="338"/>
      <c r="AE273" s="338"/>
      <c r="AF273" s="338"/>
      <c r="AG273" s="338"/>
    </row>
    <row r="274" spans="1:33" ht="12">
      <c r="A274" s="262">
        <v>2017</v>
      </c>
      <c r="B274" s="262" t="s">
        <v>57</v>
      </c>
      <c r="C274" s="326">
        <v>5065.88</v>
      </c>
      <c r="D274" s="255">
        <v>259.28</v>
      </c>
      <c r="E274" s="246">
        <v>65.11</v>
      </c>
      <c r="F274" s="326">
        <v>4741.48</v>
      </c>
      <c r="G274" s="257">
        <v>187.92</v>
      </c>
      <c r="H274" s="246">
        <v>32.12</v>
      </c>
      <c r="I274" s="257">
        <v>187.13</v>
      </c>
      <c r="J274" s="256">
        <v>1456.15</v>
      </c>
      <c r="K274" s="246">
        <v>400.16</v>
      </c>
      <c r="L274" s="246">
        <v>204.74</v>
      </c>
      <c r="M274" s="332">
        <v>553.9</v>
      </c>
      <c r="N274" s="333">
        <v>1142.39</v>
      </c>
      <c r="O274" s="255">
        <v>336.81</v>
      </c>
      <c r="P274" s="255">
        <v>33.55</v>
      </c>
      <c r="Q274" s="256">
        <v>74.42</v>
      </c>
      <c r="R274" s="292"/>
      <c r="S274" s="338"/>
      <c r="T274" s="338"/>
      <c r="U274" s="338"/>
      <c r="V274" s="338"/>
      <c r="W274" s="338"/>
      <c r="X274" s="338"/>
      <c r="Y274" s="338"/>
      <c r="Z274" s="338"/>
      <c r="AA274" s="338"/>
      <c r="AB274" s="338"/>
      <c r="AC274" s="338"/>
      <c r="AD274" s="338"/>
      <c r="AE274" s="338"/>
      <c r="AF274" s="338"/>
      <c r="AG274" s="338"/>
    </row>
    <row r="275" spans="1:33" ht="12">
      <c r="A275" s="262">
        <v>2017</v>
      </c>
      <c r="B275" s="262" t="s">
        <v>58</v>
      </c>
      <c r="C275" s="326">
        <v>5088.37</v>
      </c>
      <c r="D275" s="255">
        <v>283.25</v>
      </c>
      <c r="E275" s="246">
        <v>34.6</v>
      </c>
      <c r="F275" s="326">
        <v>4770.53</v>
      </c>
      <c r="G275" s="257">
        <v>211.76</v>
      </c>
      <c r="H275" s="246">
        <v>32.11</v>
      </c>
      <c r="I275" s="257">
        <v>168.05</v>
      </c>
      <c r="J275" s="256">
        <v>1504.19</v>
      </c>
      <c r="K275" s="246">
        <v>457.1</v>
      </c>
      <c r="L275" s="246">
        <v>151.38</v>
      </c>
      <c r="M275" s="332">
        <v>586.14</v>
      </c>
      <c r="N275" s="333">
        <v>1139.25</v>
      </c>
      <c r="O275" s="255">
        <v>292.64</v>
      </c>
      <c r="P275" s="255">
        <v>25.52</v>
      </c>
      <c r="Q275" s="256">
        <v>61.34</v>
      </c>
      <c r="R275" s="292"/>
      <c r="S275" s="338"/>
      <c r="T275" s="338"/>
      <c r="U275" s="338"/>
      <c r="V275" s="338"/>
      <c r="W275" s="338"/>
      <c r="X275" s="338"/>
      <c r="Y275" s="338"/>
      <c r="Z275" s="338"/>
      <c r="AA275" s="338"/>
      <c r="AB275" s="338"/>
      <c r="AC275" s="338"/>
      <c r="AD275" s="338"/>
      <c r="AE275" s="338"/>
      <c r="AF275" s="338"/>
      <c r="AG275" s="338"/>
    </row>
    <row r="276" spans="1:33" ht="12">
      <c r="A276" s="262">
        <v>2017</v>
      </c>
      <c r="B276" s="262" t="s">
        <v>59</v>
      </c>
      <c r="C276" s="326">
        <v>5110.36</v>
      </c>
      <c r="D276" s="255">
        <v>286.89</v>
      </c>
      <c r="E276" s="246">
        <v>45.22</v>
      </c>
      <c r="F276" s="326">
        <v>4778.25</v>
      </c>
      <c r="G276" s="257">
        <v>210.25</v>
      </c>
      <c r="H276" s="246">
        <v>35.46</v>
      </c>
      <c r="I276" s="257">
        <v>258.59</v>
      </c>
      <c r="J276" s="256">
        <v>1394.51</v>
      </c>
      <c r="K276" s="246">
        <v>486.36</v>
      </c>
      <c r="L276" s="246">
        <v>140.04</v>
      </c>
      <c r="M276" s="332">
        <v>572.55</v>
      </c>
      <c r="N276" s="333">
        <v>1123.8</v>
      </c>
      <c r="O276" s="255">
        <v>298.42</v>
      </c>
      <c r="P276" s="255">
        <v>36.34</v>
      </c>
      <c r="Q276" s="256">
        <v>71.59</v>
      </c>
      <c r="R276" s="292"/>
      <c r="S276" s="338"/>
      <c r="T276" s="338"/>
      <c r="U276" s="338"/>
      <c r="V276" s="338"/>
      <c r="W276" s="338"/>
      <c r="X276" s="338"/>
      <c r="Y276" s="338"/>
      <c r="Z276" s="338"/>
      <c r="AA276" s="338"/>
      <c r="AB276" s="338"/>
      <c r="AC276" s="338"/>
      <c r="AD276" s="338"/>
      <c r="AE276" s="338"/>
      <c r="AF276" s="338"/>
      <c r="AG276" s="338"/>
    </row>
    <row r="277" spans="1:33" ht="12">
      <c r="A277" s="262">
        <v>2017</v>
      </c>
      <c r="B277" s="262" t="s">
        <v>60</v>
      </c>
      <c r="C277" s="326">
        <v>5082.99</v>
      </c>
      <c r="D277" s="255">
        <v>289.4</v>
      </c>
      <c r="E277" s="246">
        <v>26.01</v>
      </c>
      <c r="F277" s="326">
        <v>4767.59</v>
      </c>
      <c r="G277" s="257">
        <v>209.67</v>
      </c>
      <c r="H277" s="246">
        <v>35.42</v>
      </c>
      <c r="I277" s="257">
        <v>185.38</v>
      </c>
      <c r="J277" s="256">
        <v>1413.84</v>
      </c>
      <c r="K277" s="246">
        <v>515.9</v>
      </c>
      <c r="L277" s="246">
        <v>109.33</v>
      </c>
      <c r="M277" s="332">
        <v>574.41</v>
      </c>
      <c r="N277" s="333">
        <v>1161.04</v>
      </c>
      <c r="O277" s="255">
        <v>271.07</v>
      </c>
      <c r="P277" s="255">
        <v>57.99</v>
      </c>
      <c r="Q277" s="256">
        <v>86.55</v>
      </c>
      <c r="R277" s="292"/>
      <c r="S277" s="338"/>
      <c r="T277" s="338"/>
      <c r="U277" s="338"/>
      <c r="V277" s="338"/>
      <c r="W277" s="338"/>
      <c r="X277" s="338"/>
      <c r="Y277" s="338"/>
      <c r="Z277" s="338"/>
      <c r="AA277" s="338"/>
      <c r="AB277" s="338"/>
      <c r="AC277" s="338"/>
      <c r="AD277" s="338"/>
      <c r="AE277" s="338"/>
      <c r="AF277" s="338"/>
      <c r="AG277" s="338"/>
    </row>
    <row r="278" spans="1:33" ht="12">
      <c r="A278" s="262">
        <v>2017</v>
      </c>
      <c r="B278" s="262" t="s">
        <v>61</v>
      </c>
      <c r="C278" s="326">
        <v>4947.55</v>
      </c>
      <c r="D278" s="255">
        <v>287.6</v>
      </c>
      <c r="E278" s="246">
        <v>33.35</v>
      </c>
      <c r="F278" s="326">
        <v>4626.6</v>
      </c>
      <c r="G278" s="257">
        <v>181.14</v>
      </c>
      <c r="H278" s="246">
        <v>36.5</v>
      </c>
      <c r="I278" s="257">
        <v>170.67</v>
      </c>
      <c r="J278" s="256">
        <v>1382.97</v>
      </c>
      <c r="K278" s="246">
        <v>503.52</v>
      </c>
      <c r="L278" s="246">
        <v>87.54</v>
      </c>
      <c r="M278" s="332">
        <v>584.38</v>
      </c>
      <c r="N278" s="333">
        <v>1109.03</v>
      </c>
      <c r="O278" s="255">
        <v>327.37</v>
      </c>
      <c r="P278" s="255">
        <v>30.95</v>
      </c>
      <c r="Q278" s="256">
        <v>83.54</v>
      </c>
      <c r="R278" s="292"/>
      <c r="S278" s="338"/>
      <c r="T278" s="338"/>
      <c r="U278" s="338"/>
      <c r="V278" s="338"/>
      <c r="W278" s="338"/>
      <c r="X278" s="338"/>
      <c r="Y278" s="338"/>
      <c r="Z278" s="338"/>
      <c r="AA278" s="338"/>
      <c r="AB278" s="338"/>
      <c r="AC278" s="338"/>
      <c r="AD278" s="338"/>
      <c r="AE278" s="338"/>
      <c r="AF278" s="338"/>
      <c r="AG278" s="338"/>
    </row>
    <row r="279" spans="1:33" ht="12">
      <c r="A279" s="262">
        <v>2017</v>
      </c>
      <c r="B279" s="262" t="s">
        <v>62</v>
      </c>
      <c r="C279" s="326">
        <v>5377.12</v>
      </c>
      <c r="D279" s="255">
        <v>297.66</v>
      </c>
      <c r="E279" s="246">
        <v>22.01</v>
      </c>
      <c r="F279" s="326">
        <v>5057.45</v>
      </c>
      <c r="G279" s="257">
        <v>209.71</v>
      </c>
      <c r="H279" s="246">
        <v>40.01</v>
      </c>
      <c r="I279" s="257">
        <v>187.48</v>
      </c>
      <c r="J279" s="256">
        <v>1527.67</v>
      </c>
      <c r="K279" s="246">
        <v>542.19</v>
      </c>
      <c r="L279" s="246">
        <v>108.15</v>
      </c>
      <c r="M279" s="332">
        <v>581.69</v>
      </c>
      <c r="N279" s="333">
        <v>1253.2</v>
      </c>
      <c r="O279" s="255">
        <v>324.27</v>
      </c>
      <c r="P279" s="255">
        <v>23.46</v>
      </c>
      <c r="Q279" s="256">
        <v>96.31</v>
      </c>
      <c r="R279" s="292"/>
      <c r="S279" s="338"/>
      <c r="T279" s="338"/>
      <c r="U279" s="338"/>
      <c r="V279" s="338"/>
      <c r="W279" s="338"/>
      <c r="X279" s="338"/>
      <c r="Y279" s="338"/>
      <c r="Z279" s="338"/>
      <c r="AA279" s="338"/>
      <c r="AB279" s="338"/>
      <c r="AC279" s="338"/>
      <c r="AD279" s="338"/>
      <c r="AE279" s="338"/>
      <c r="AF279" s="338"/>
      <c r="AG279" s="338"/>
    </row>
    <row r="280" spans="1:33" ht="12">
      <c r="A280" s="262">
        <v>2017</v>
      </c>
      <c r="B280" s="262" t="s">
        <v>63</v>
      </c>
      <c r="C280" s="326">
        <v>5083.19</v>
      </c>
      <c r="D280" s="255">
        <v>283.79</v>
      </c>
      <c r="E280" s="246">
        <v>38.26</v>
      </c>
      <c r="F280" s="326">
        <v>4761.13</v>
      </c>
      <c r="G280" s="257">
        <v>175.31</v>
      </c>
      <c r="H280" s="246">
        <v>35.25</v>
      </c>
      <c r="I280" s="257">
        <v>166.79</v>
      </c>
      <c r="J280" s="256">
        <v>1520.23</v>
      </c>
      <c r="K280" s="246">
        <v>436.31</v>
      </c>
      <c r="L280" s="246">
        <v>161.96</v>
      </c>
      <c r="M280" s="332">
        <v>655.1</v>
      </c>
      <c r="N280" s="333">
        <v>1078.46</v>
      </c>
      <c r="O280" s="255">
        <v>266.05</v>
      </c>
      <c r="P280" s="255">
        <v>32.97</v>
      </c>
      <c r="Q280" s="256">
        <v>74.23</v>
      </c>
      <c r="R280" s="292"/>
      <c r="S280" s="338"/>
      <c r="T280" s="338"/>
      <c r="U280" s="338"/>
      <c r="V280" s="338"/>
      <c r="W280" s="338"/>
      <c r="X280" s="338"/>
      <c r="Y280" s="338"/>
      <c r="Z280" s="338"/>
      <c r="AA280" s="338"/>
      <c r="AB280" s="338"/>
      <c r="AC280" s="338"/>
      <c r="AD280" s="338"/>
      <c r="AE280" s="338"/>
      <c r="AF280" s="338"/>
      <c r="AG280" s="338"/>
    </row>
    <row r="281" spans="1:33" ht="12">
      <c r="A281" s="262">
        <v>2017</v>
      </c>
      <c r="B281" s="262" t="s">
        <v>64</v>
      </c>
      <c r="C281" s="326">
        <v>5120.1</v>
      </c>
      <c r="D281" s="255">
        <v>277.31</v>
      </c>
      <c r="E281" s="246">
        <v>20.35</v>
      </c>
      <c r="F281" s="326">
        <v>4822.44</v>
      </c>
      <c r="G281" s="257">
        <v>155.04</v>
      </c>
      <c r="H281" s="246">
        <v>38.78</v>
      </c>
      <c r="I281" s="257">
        <v>233.61</v>
      </c>
      <c r="J281" s="256">
        <v>1403.45</v>
      </c>
      <c r="K281" s="246">
        <v>439.21</v>
      </c>
      <c r="L281" s="246">
        <v>167.3</v>
      </c>
      <c r="M281" s="332">
        <v>524.12</v>
      </c>
      <c r="N281" s="333">
        <v>1211.91</v>
      </c>
      <c r="O281" s="255">
        <v>328.21</v>
      </c>
      <c r="P281" s="255">
        <v>59.85</v>
      </c>
      <c r="Q281" s="256">
        <v>82.62</v>
      </c>
      <c r="R281" s="292"/>
      <c r="S281" s="338"/>
      <c r="T281" s="338"/>
      <c r="U281" s="338"/>
      <c r="V281" s="338"/>
      <c r="W281" s="338"/>
      <c r="X281" s="338"/>
      <c r="Y281" s="338"/>
      <c r="Z281" s="338"/>
      <c r="AA281" s="338"/>
      <c r="AB281" s="338"/>
      <c r="AC281" s="338"/>
      <c r="AD281" s="338"/>
      <c r="AE281" s="338"/>
      <c r="AF281" s="338"/>
      <c r="AG281" s="338"/>
    </row>
    <row r="282" spans="1:33" ht="12">
      <c r="A282" s="262">
        <v>2017</v>
      </c>
      <c r="B282" s="262" t="s">
        <v>65</v>
      </c>
      <c r="C282" s="326">
        <v>4781.48</v>
      </c>
      <c r="D282" s="255">
        <v>273.74</v>
      </c>
      <c r="E282" s="246">
        <v>46.04</v>
      </c>
      <c r="F282" s="326">
        <v>4461.69</v>
      </c>
      <c r="G282" s="257">
        <v>144.96</v>
      </c>
      <c r="H282" s="246">
        <v>36.74</v>
      </c>
      <c r="I282" s="257">
        <v>214.08</v>
      </c>
      <c r="J282" s="256">
        <v>1386.48</v>
      </c>
      <c r="K282" s="246">
        <v>313.8</v>
      </c>
      <c r="L282" s="246">
        <v>218.15</v>
      </c>
      <c r="M282" s="332">
        <v>564.08</v>
      </c>
      <c r="N282" s="333">
        <v>1009.17</v>
      </c>
      <c r="O282" s="255">
        <v>339.15</v>
      </c>
      <c r="P282" s="255">
        <v>26.73</v>
      </c>
      <c r="Q282" s="256">
        <v>56.58</v>
      </c>
      <c r="R282" s="292"/>
      <c r="S282" s="338"/>
      <c r="T282" s="338"/>
      <c r="U282" s="338"/>
      <c r="V282" s="338"/>
      <c r="W282" s="338"/>
      <c r="X282" s="338"/>
      <c r="Y282" s="338"/>
      <c r="Z282" s="338"/>
      <c r="AA282" s="338"/>
      <c r="AB282" s="338"/>
      <c r="AC282" s="338"/>
      <c r="AD282" s="338"/>
      <c r="AE282" s="338"/>
      <c r="AF282" s="338"/>
      <c r="AG282" s="338"/>
    </row>
    <row r="283" spans="1:33" ht="12">
      <c r="A283" s="264">
        <v>2017</v>
      </c>
      <c r="B283" s="274" t="s">
        <v>66</v>
      </c>
      <c r="C283" s="327">
        <v>5074.33</v>
      </c>
      <c r="D283" s="267">
        <v>287.1</v>
      </c>
      <c r="E283" s="267">
        <v>63.38</v>
      </c>
      <c r="F283" s="327">
        <v>4723.86</v>
      </c>
      <c r="G283" s="282">
        <v>174.55</v>
      </c>
      <c r="H283" s="267">
        <v>34.9</v>
      </c>
      <c r="I283" s="282">
        <v>178.08</v>
      </c>
      <c r="J283" s="283">
        <v>1504.85</v>
      </c>
      <c r="K283" s="267">
        <v>280.78</v>
      </c>
      <c r="L283" s="267">
        <v>272.04</v>
      </c>
      <c r="M283" s="334">
        <v>566.78</v>
      </c>
      <c r="N283" s="335">
        <v>1178.53</v>
      </c>
      <c r="O283" s="267">
        <v>308.38</v>
      </c>
      <c r="P283" s="267">
        <v>30.29</v>
      </c>
      <c r="Q283" s="283">
        <v>49.9</v>
      </c>
      <c r="R283" s="292"/>
      <c r="S283" s="338"/>
      <c r="T283" s="338"/>
      <c r="U283" s="338"/>
      <c r="V283" s="338"/>
      <c r="W283" s="338"/>
      <c r="X283" s="338"/>
      <c r="Y283" s="338"/>
      <c r="Z283" s="338"/>
      <c r="AA283" s="338"/>
      <c r="AB283" s="338"/>
      <c r="AC283" s="338"/>
      <c r="AD283" s="338"/>
      <c r="AE283" s="338"/>
      <c r="AF283" s="338"/>
      <c r="AG283" s="338"/>
    </row>
    <row r="284" spans="1:33" ht="12">
      <c r="A284" s="262">
        <v>2018</v>
      </c>
      <c r="B284" s="270" t="s">
        <v>55</v>
      </c>
      <c r="C284" s="326">
        <v>4868.35</v>
      </c>
      <c r="D284" s="255">
        <v>285.42</v>
      </c>
      <c r="E284" s="246">
        <v>121.08</v>
      </c>
      <c r="F284" s="326">
        <v>4461.85</v>
      </c>
      <c r="G284" s="257">
        <v>180.53</v>
      </c>
      <c r="H284" s="246">
        <v>26.93</v>
      </c>
      <c r="I284" s="257">
        <v>197.83</v>
      </c>
      <c r="J284" s="256">
        <v>1394.63</v>
      </c>
      <c r="K284" s="246">
        <v>333.05</v>
      </c>
      <c r="L284" s="246">
        <v>240.04</v>
      </c>
      <c r="M284" s="332">
        <v>633.19</v>
      </c>
      <c r="N284" s="333">
        <v>1066.06</v>
      </c>
      <c r="O284" s="255">
        <v>305.14</v>
      </c>
      <c r="P284" s="255">
        <v>46.6</v>
      </c>
      <c r="Q284" s="256">
        <v>11.04</v>
      </c>
      <c r="R284" s="292"/>
      <c r="S284" s="338"/>
      <c r="T284" s="338"/>
      <c r="U284" s="338"/>
      <c r="V284" s="338"/>
      <c r="W284" s="338"/>
      <c r="X284" s="338"/>
      <c r="Y284" s="338"/>
      <c r="Z284" s="338"/>
      <c r="AA284" s="338"/>
      <c r="AB284" s="338"/>
      <c r="AC284" s="338"/>
      <c r="AD284" s="338"/>
      <c r="AE284" s="338"/>
      <c r="AF284" s="338"/>
      <c r="AG284" s="338"/>
    </row>
    <row r="285" spans="1:33" ht="12">
      <c r="A285" s="262">
        <v>2018</v>
      </c>
      <c r="B285" s="262" t="s">
        <v>56</v>
      </c>
      <c r="C285" s="326">
        <v>3782.59</v>
      </c>
      <c r="D285" s="255">
        <v>228.3</v>
      </c>
      <c r="E285" s="246">
        <v>17.47</v>
      </c>
      <c r="F285" s="326">
        <v>3536.83</v>
      </c>
      <c r="G285" s="257">
        <v>152.5</v>
      </c>
      <c r="H285" s="246">
        <v>27.87</v>
      </c>
      <c r="I285" s="257">
        <v>106.51</v>
      </c>
      <c r="J285" s="256">
        <v>1086.28</v>
      </c>
      <c r="K285" s="246">
        <v>265.73</v>
      </c>
      <c r="L285" s="246">
        <v>172.04</v>
      </c>
      <c r="M285" s="332">
        <v>499.54</v>
      </c>
      <c r="N285" s="333">
        <v>784.68</v>
      </c>
      <c r="O285" s="255">
        <v>217.44</v>
      </c>
      <c r="P285" s="255">
        <v>35.9</v>
      </c>
      <c r="Q285" s="256">
        <v>59.5</v>
      </c>
      <c r="R285" s="292"/>
      <c r="S285" s="338"/>
      <c r="T285" s="338"/>
      <c r="U285" s="338"/>
      <c r="V285" s="338"/>
      <c r="W285" s="338"/>
      <c r="X285" s="338"/>
      <c r="Y285" s="338"/>
      <c r="Z285" s="338"/>
      <c r="AA285" s="338"/>
      <c r="AB285" s="338"/>
      <c r="AC285" s="338"/>
      <c r="AD285" s="338"/>
      <c r="AE285" s="338"/>
      <c r="AF285" s="338"/>
      <c r="AG285" s="338"/>
    </row>
    <row r="286" spans="1:33" ht="12">
      <c r="A286" s="262">
        <v>2018</v>
      </c>
      <c r="B286" s="262" t="s">
        <v>57</v>
      </c>
      <c r="C286" s="326">
        <v>4527.49</v>
      </c>
      <c r="D286" s="255">
        <v>249.94</v>
      </c>
      <c r="E286" s="246">
        <v>10.52</v>
      </c>
      <c r="F286" s="326">
        <v>4267.04</v>
      </c>
      <c r="G286" s="257">
        <v>182.39</v>
      </c>
      <c r="H286" s="246">
        <v>28.41</v>
      </c>
      <c r="I286" s="257">
        <v>146.8</v>
      </c>
      <c r="J286" s="256">
        <v>1323.54</v>
      </c>
      <c r="K286" s="246">
        <v>314.46</v>
      </c>
      <c r="L286" s="246">
        <v>247.41</v>
      </c>
      <c r="M286" s="332">
        <v>701.9</v>
      </c>
      <c r="N286" s="333">
        <v>877.86</v>
      </c>
      <c r="O286" s="255">
        <v>216.71</v>
      </c>
      <c r="P286" s="255">
        <v>29.82</v>
      </c>
      <c r="Q286" s="256">
        <v>58.52</v>
      </c>
      <c r="R286" s="292"/>
      <c r="S286" s="338"/>
      <c r="T286" s="338"/>
      <c r="U286" s="338"/>
      <c r="V286" s="338"/>
      <c r="W286" s="338"/>
      <c r="X286" s="338"/>
      <c r="Y286" s="338"/>
      <c r="Z286" s="338"/>
      <c r="AA286" s="338"/>
      <c r="AB286" s="338"/>
      <c r="AC286" s="338"/>
      <c r="AD286" s="338"/>
      <c r="AE286" s="338"/>
      <c r="AF286" s="338"/>
      <c r="AG286" s="338"/>
    </row>
    <row r="287" spans="1:33" ht="12">
      <c r="A287" s="262">
        <v>2018</v>
      </c>
      <c r="B287" s="262" t="s">
        <v>58</v>
      </c>
      <c r="C287" s="326">
        <v>4812.17</v>
      </c>
      <c r="D287" s="255">
        <v>275.99</v>
      </c>
      <c r="E287" s="246">
        <v>17.87</v>
      </c>
      <c r="F287" s="326">
        <v>4518.31</v>
      </c>
      <c r="G287" s="257">
        <v>194.72</v>
      </c>
      <c r="H287" s="246">
        <v>25.79</v>
      </c>
      <c r="I287" s="257">
        <v>157.73</v>
      </c>
      <c r="J287" s="256">
        <v>1395.77</v>
      </c>
      <c r="K287" s="246">
        <v>413.21</v>
      </c>
      <c r="L287" s="246">
        <v>193.43</v>
      </c>
      <c r="M287" s="332">
        <v>714.77</v>
      </c>
      <c r="N287" s="333">
        <v>982.45</v>
      </c>
      <c r="O287" s="255">
        <v>197.34</v>
      </c>
      <c r="P287" s="255">
        <v>29.81</v>
      </c>
      <c r="Q287" s="256">
        <v>66.08</v>
      </c>
      <c r="R287" s="292"/>
      <c r="S287" s="338"/>
      <c r="T287" s="338"/>
      <c r="U287" s="338"/>
      <c r="V287" s="338"/>
      <c r="W287" s="338"/>
      <c r="X287" s="338"/>
      <c r="Y287" s="338"/>
      <c r="Z287" s="338"/>
      <c r="AA287" s="338"/>
      <c r="AB287" s="338"/>
      <c r="AC287" s="338"/>
      <c r="AD287" s="338"/>
      <c r="AE287" s="338"/>
      <c r="AF287" s="338"/>
      <c r="AG287" s="338"/>
    </row>
    <row r="288" spans="1:33" ht="12">
      <c r="A288" s="262">
        <v>2018</v>
      </c>
      <c r="B288" s="262" t="s">
        <v>59</v>
      </c>
      <c r="C288" s="326">
        <v>4601.58</v>
      </c>
      <c r="D288" s="255">
        <v>266.26</v>
      </c>
      <c r="E288" s="246">
        <v>52.15</v>
      </c>
      <c r="F288" s="326">
        <v>4283.17</v>
      </c>
      <c r="G288" s="257">
        <v>163.57</v>
      </c>
      <c r="H288" s="246">
        <v>26.53</v>
      </c>
      <c r="I288" s="257">
        <v>234.49</v>
      </c>
      <c r="J288" s="256">
        <v>1297.78</v>
      </c>
      <c r="K288" s="246">
        <v>440.27</v>
      </c>
      <c r="L288" s="246">
        <v>131.2</v>
      </c>
      <c r="M288" s="332">
        <v>619.14</v>
      </c>
      <c r="N288" s="333">
        <v>859.86</v>
      </c>
      <c r="O288" s="255">
        <v>291.53</v>
      </c>
      <c r="P288" s="255">
        <v>32.11</v>
      </c>
      <c r="Q288" s="256">
        <v>93.17</v>
      </c>
      <c r="R288" s="292"/>
      <c r="S288" s="338"/>
      <c r="T288" s="338"/>
      <c r="U288" s="338"/>
      <c r="V288" s="338"/>
      <c r="W288" s="338"/>
      <c r="X288" s="338"/>
      <c r="Y288" s="338"/>
      <c r="Z288" s="338"/>
      <c r="AA288" s="338"/>
      <c r="AB288" s="338"/>
      <c r="AC288" s="338"/>
      <c r="AD288" s="338"/>
      <c r="AE288" s="338"/>
      <c r="AF288" s="338"/>
      <c r="AG288" s="338"/>
    </row>
    <row r="289" spans="1:33" ht="12">
      <c r="A289" s="262">
        <v>2018</v>
      </c>
      <c r="B289" s="262" t="s">
        <v>60</v>
      </c>
      <c r="C289" s="326">
        <v>4757.03</v>
      </c>
      <c r="D289" s="255">
        <v>267.09</v>
      </c>
      <c r="E289" s="246">
        <v>33.96</v>
      </c>
      <c r="F289" s="326">
        <v>4455.97</v>
      </c>
      <c r="G289" s="257">
        <v>201.88</v>
      </c>
      <c r="H289" s="246">
        <v>26.45</v>
      </c>
      <c r="I289" s="257">
        <v>186.7</v>
      </c>
      <c r="J289" s="256">
        <v>1324.19</v>
      </c>
      <c r="K289" s="246">
        <v>504.01</v>
      </c>
      <c r="L289" s="246">
        <v>76.57</v>
      </c>
      <c r="M289" s="332">
        <v>628.06</v>
      </c>
      <c r="N289" s="333">
        <v>952.46</v>
      </c>
      <c r="O289" s="255">
        <v>287.67</v>
      </c>
      <c r="P289" s="255">
        <v>31.22</v>
      </c>
      <c r="Q289" s="256">
        <v>99.42</v>
      </c>
      <c r="R289" s="292"/>
      <c r="S289" s="338"/>
      <c r="T289" s="338"/>
      <c r="U289" s="338"/>
      <c r="V289" s="338"/>
      <c r="W289" s="338"/>
      <c r="X289" s="338"/>
      <c r="Y289" s="338"/>
      <c r="Z289" s="338"/>
      <c r="AA289" s="338"/>
      <c r="AB289" s="338"/>
      <c r="AC289" s="338"/>
      <c r="AD289" s="338"/>
      <c r="AE289" s="338"/>
      <c r="AF289" s="338"/>
      <c r="AG289" s="338"/>
    </row>
    <row r="290" spans="1:33" ht="12">
      <c r="A290" s="262">
        <v>2018</v>
      </c>
      <c r="B290" s="262" t="s">
        <v>61</v>
      </c>
      <c r="C290" s="326">
        <v>5080.53</v>
      </c>
      <c r="D290" s="255">
        <v>298.53</v>
      </c>
      <c r="E290" s="246">
        <v>56.74</v>
      </c>
      <c r="F290" s="326">
        <v>4725.26</v>
      </c>
      <c r="G290" s="257">
        <v>210.11</v>
      </c>
      <c r="H290" s="246">
        <v>28.28</v>
      </c>
      <c r="I290" s="257">
        <v>208.18</v>
      </c>
      <c r="J290" s="256">
        <v>1433.51</v>
      </c>
      <c r="K290" s="246">
        <v>541.43</v>
      </c>
      <c r="L290" s="246">
        <v>78.29</v>
      </c>
      <c r="M290" s="332">
        <v>743.5</v>
      </c>
      <c r="N290" s="333">
        <v>929.03</v>
      </c>
      <c r="O290" s="255">
        <v>258.9</v>
      </c>
      <c r="P290" s="255">
        <v>43.83</v>
      </c>
      <c r="Q290" s="256">
        <v>91.06</v>
      </c>
      <c r="R290" s="292"/>
      <c r="S290" s="338"/>
      <c r="T290" s="338"/>
      <c r="U290" s="338"/>
      <c r="V290" s="338"/>
      <c r="W290" s="338"/>
      <c r="X290" s="338"/>
      <c r="Y290" s="338"/>
      <c r="Z290" s="338"/>
      <c r="AA290" s="338"/>
      <c r="AB290" s="338"/>
      <c r="AC290" s="338"/>
      <c r="AD290" s="338"/>
      <c r="AE290" s="338"/>
      <c r="AF290" s="338"/>
      <c r="AG290" s="338"/>
    </row>
    <row r="291" spans="1:33" ht="12">
      <c r="A291" s="262">
        <v>2018</v>
      </c>
      <c r="B291" s="262" t="s">
        <v>62</v>
      </c>
      <c r="C291" s="326">
        <v>5389.84</v>
      </c>
      <c r="D291" s="255">
        <v>306.82</v>
      </c>
      <c r="E291" s="246">
        <v>19.46</v>
      </c>
      <c r="F291" s="326">
        <v>5063.57</v>
      </c>
      <c r="G291" s="257">
        <v>214</v>
      </c>
      <c r="H291" s="246">
        <v>27.58</v>
      </c>
      <c r="I291" s="257">
        <v>203.8</v>
      </c>
      <c r="J291" s="256">
        <v>1528.44</v>
      </c>
      <c r="K291" s="246">
        <v>584.78</v>
      </c>
      <c r="L291" s="246">
        <v>102.71</v>
      </c>
      <c r="M291" s="332">
        <v>643.72</v>
      </c>
      <c r="N291" s="333">
        <v>1203.4</v>
      </c>
      <c r="O291" s="255">
        <v>283.6</v>
      </c>
      <c r="P291" s="255">
        <v>31.74</v>
      </c>
      <c r="Q291" s="256">
        <v>88.4</v>
      </c>
      <c r="R291" s="292"/>
      <c r="S291" s="338"/>
      <c r="T291" s="338"/>
      <c r="U291" s="338"/>
      <c r="V291" s="338"/>
      <c r="W291" s="338"/>
      <c r="X291" s="338"/>
      <c r="Y291" s="338"/>
      <c r="Z291" s="338"/>
      <c r="AA291" s="338"/>
      <c r="AB291" s="338"/>
      <c r="AC291" s="338"/>
      <c r="AD291" s="338"/>
      <c r="AE291" s="338"/>
      <c r="AF291" s="338"/>
      <c r="AG291" s="338"/>
    </row>
    <row r="292" spans="1:33" ht="12">
      <c r="A292" s="262">
        <v>2018</v>
      </c>
      <c r="B292" s="262" t="s">
        <v>63</v>
      </c>
      <c r="C292" s="326">
        <v>5219.93</v>
      </c>
      <c r="D292" s="255">
        <v>297.24</v>
      </c>
      <c r="E292" s="246">
        <v>8.97</v>
      </c>
      <c r="F292" s="326">
        <v>4913.72</v>
      </c>
      <c r="G292" s="257">
        <v>178.99</v>
      </c>
      <c r="H292" s="246">
        <v>24.43</v>
      </c>
      <c r="I292" s="257">
        <v>194.88</v>
      </c>
      <c r="J292" s="256">
        <v>1521.62</v>
      </c>
      <c r="K292" s="246">
        <v>463.99</v>
      </c>
      <c r="L292" s="246">
        <v>179.78</v>
      </c>
      <c r="M292" s="332">
        <v>620.85</v>
      </c>
      <c r="N292" s="333">
        <v>1202.01</v>
      </c>
      <c r="O292" s="255">
        <v>240.14</v>
      </c>
      <c r="P292" s="255">
        <v>22.68</v>
      </c>
      <c r="Q292" s="256">
        <v>86.78</v>
      </c>
      <c r="R292" s="292"/>
      <c r="S292" s="338"/>
      <c r="T292" s="338"/>
      <c r="U292" s="338"/>
      <c r="V292" s="338"/>
      <c r="W292" s="338"/>
      <c r="X292" s="338"/>
      <c r="Y292" s="338"/>
      <c r="Z292" s="338"/>
      <c r="AA292" s="338"/>
      <c r="AB292" s="338"/>
      <c r="AC292" s="338"/>
      <c r="AD292" s="338"/>
      <c r="AE292" s="338"/>
      <c r="AF292" s="338"/>
      <c r="AG292" s="338"/>
    </row>
    <row r="293" spans="1:33" ht="12">
      <c r="A293" s="262">
        <v>2018</v>
      </c>
      <c r="B293" s="262" t="s">
        <v>64</v>
      </c>
      <c r="C293" s="326">
        <v>5346.36</v>
      </c>
      <c r="D293" s="255">
        <v>274.79</v>
      </c>
      <c r="E293" s="246">
        <v>11.54</v>
      </c>
      <c r="F293" s="326">
        <v>5060.03</v>
      </c>
      <c r="G293" s="257">
        <v>129.17</v>
      </c>
      <c r="H293" s="246">
        <v>30.01</v>
      </c>
      <c r="I293" s="257">
        <v>205.87</v>
      </c>
      <c r="J293" s="256">
        <v>1436.06</v>
      </c>
      <c r="K293" s="246">
        <v>465.75</v>
      </c>
      <c r="L293" s="246">
        <v>196.49</v>
      </c>
      <c r="M293" s="332">
        <v>529.61</v>
      </c>
      <c r="N293" s="333">
        <v>1260.54</v>
      </c>
      <c r="O293" s="255">
        <v>271.91</v>
      </c>
      <c r="P293" s="255">
        <v>58.99</v>
      </c>
      <c r="Q293" s="256">
        <v>88.85</v>
      </c>
      <c r="R293" s="292"/>
      <c r="S293" s="338"/>
      <c r="T293" s="338"/>
      <c r="U293" s="338"/>
      <c r="V293" s="338"/>
      <c r="W293" s="338"/>
      <c r="X293" s="338"/>
      <c r="Y293" s="338"/>
      <c r="Z293" s="338"/>
      <c r="AA293" s="338"/>
      <c r="AB293" s="338"/>
      <c r="AC293" s="338"/>
      <c r="AD293" s="338"/>
      <c r="AE293" s="338"/>
      <c r="AF293" s="338"/>
      <c r="AG293" s="338"/>
    </row>
    <row r="294" spans="1:33" ht="12">
      <c r="A294" s="262">
        <v>2018</v>
      </c>
      <c r="B294" s="262" t="s">
        <v>65</v>
      </c>
      <c r="C294" s="326">
        <v>4940.32</v>
      </c>
      <c r="D294" s="255">
        <v>295.48</v>
      </c>
      <c r="E294" s="246">
        <v>109.36</v>
      </c>
      <c r="F294" s="326">
        <v>4535.47</v>
      </c>
      <c r="G294" s="257">
        <v>113.9</v>
      </c>
      <c r="H294" s="246">
        <v>16.43</v>
      </c>
      <c r="I294" s="257">
        <v>167.32</v>
      </c>
      <c r="J294" s="256">
        <v>1309.59</v>
      </c>
      <c r="K294" s="246">
        <v>405.07</v>
      </c>
      <c r="L294" s="246">
        <v>188.09</v>
      </c>
      <c r="M294" s="332">
        <v>555.37</v>
      </c>
      <c r="N294" s="333">
        <v>1173.49</v>
      </c>
      <c r="O294" s="255">
        <v>208.26</v>
      </c>
      <c r="P294" s="255">
        <v>41.82</v>
      </c>
      <c r="Q294" s="256">
        <v>74.26</v>
      </c>
      <c r="R294" s="292"/>
      <c r="S294" s="338"/>
      <c r="T294" s="338"/>
      <c r="U294" s="338"/>
      <c r="V294" s="338"/>
      <c r="W294" s="338"/>
      <c r="X294" s="338"/>
      <c r="Y294" s="338"/>
      <c r="Z294" s="338"/>
      <c r="AA294" s="338"/>
      <c r="AB294" s="338"/>
      <c r="AC294" s="338"/>
      <c r="AD294" s="338"/>
      <c r="AE294" s="338"/>
      <c r="AF294" s="338"/>
      <c r="AG294" s="338"/>
    </row>
    <row r="295" spans="1:33" ht="12">
      <c r="A295" s="264">
        <v>2018</v>
      </c>
      <c r="B295" s="274" t="s">
        <v>66</v>
      </c>
      <c r="C295" s="327">
        <v>5371.05</v>
      </c>
      <c r="D295" s="267">
        <v>305.78</v>
      </c>
      <c r="E295" s="267">
        <v>33.48</v>
      </c>
      <c r="F295" s="327">
        <v>5031.79</v>
      </c>
      <c r="G295" s="282">
        <v>157.08</v>
      </c>
      <c r="H295" s="267">
        <v>16.88</v>
      </c>
      <c r="I295" s="282">
        <v>198.53</v>
      </c>
      <c r="J295" s="283">
        <v>1523.97</v>
      </c>
      <c r="K295" s="267">
        <v>397.2</v>
      </c>
      <c r="L295" s="267">
        <v>246.59</v>
      </c>
      <c r="M295" s="334">
        <v>553.97</v>
      </c>
      <c r="N295" s="335">
        <v>1307.49</v>
      </c>
      <c r="O295" s="267">
        <v>252.98</v>
      </c>
      <c r="P295" s="267">
        <v>31.18</v>
      </c>
      <c r="Q295" s="283">
        <v>58.17</v>
      </c>
      <c r="R295" s="292"/>
      <c r="S295" s="338"/>
      <c r="T295" s="338"/>
      <c r="U295" s="338"/>
      <c r="V295" s="338"/>
      <c r="W295" s="338"/>
      <c r="X295" s="338"/>
      <c r="Y295" s="338"/>
      <c r="Z295" s="338"/>
      <c r="AA295" s="338"/>
      <c r="AB295" s="338"/>
      <c r="AC295" s="338"/>
      <c r="AD295" s="338"/>
      <c r="AE295" s="338"/>
      <c r="AF295" s="338"/>
      <c r="AG295" s="338"/>
    </row>
    <row r="296" spans="1:33" ht="12">
      <c r="A296" s="262">
        <v>2019</v>
      </c>
      <c r="B296" s="270" t="s">
        <v>55</v>
      </c>
      <c r="C296" s="326">
        <v>5264.39</v>
      </c>
      <c r="D296" s="255">
        <v>292.45</v>
      </c>
      <c r="E296" s="246">
        <v>120.4</v>
      </c>
      <c r="F296" s="326">
        <v>4851.53</v>
      </c>
      <c r="G296" s="257">
        <v>201.87</v>
      </c>
      <c r="H296" s="246">
        <v>33.81</v>
      </c>
      <c r="I296" s="257">
        <v>191.42</v>
      </c>
      <c r="J296" s="256">
        <v>1571.36</v>
      </c>
      <c r="K296" s="246">
        <v>429.35</v>
      </c>
      <c r="L296" s="246">
        <v>245.21</v>
      </c>
      <c r="M296" s="332">
        <v>641.12</v>
      </c>
      <c r="N296" s="333">
        <v>1100.65</v>
      </c>
      <c r="O296" s="255">
        <v>227.59</v>
      </c>
      <c r="P296" s="255">
        <v>36.71</v>
      </c>
      <c r="Q296" s="256">
        <v>22.25</v>
      </c>
      <c r="R296" s="292"/>
      <c r="S296" s="338"/>
      <c r="T296" s="338"/>
      <c r="U296" s="338"/>
      <c r="V296" s="338"/>
      <c r="W296" s="338"/>
      <c r="X296" s="338"/>
      <c r="Y296" s="338"/>
      <c r="Z296" s="338"/>
      <c r="AA296" s="338"/>
      <c r="AB296" s="338"/>
      <c r="AC296" s="338"/>
      <c r="AD296" s="338"/>
      <c r="AE296" s="338"/>
      <c r="AF296" s="338"/>
      <c r="AG296" s="338"/>
    </row>
    <row r="297" spans="1:33" ht="12">
      <c r="A297" s="262">
        <v>2019</v>
      </c>
      <c r="B297" s="262" t="s">
        <v>56</v>
      </c>
      <c r="C297" s="326">
        <v>4634.2</v>
      </c>
      <c r="D297" s="255">
        <v>276.12</v>
      </c>
      <c r="E297" s="246">
        <v>61.82</v>
      </c>
      <c r="F297" s="326">
        <v>4296.26</v>
      </c>
      <c r="G297" s="257">
        <v>193.02</v>
      </c>
      <c r="H297" s="246">
        <v>23.27</v>
      </c>
      <c r="I297" s="257">
        <v>173.6</v>
      </c>
      <c r="J297" s="256">
        <v>1328.34</v>
      </c>
      <c r="K297" s="246">
        <v>385.72</v>
      </c>
      <c r="L297" s="246">
        <v>212.71</v>
      </c>
      <c r="M297" s="332">
        <v>604.97</v>
      </c>
      <c r="N297" s="333">
        <v>914.7</v>
      </c>
      <c r="O297" s="255">
        <v>223.59</v>
      </c>
      <c r="P297" s="255">
        <v>15.33</v>
      </c>
      <c r="Q297" s="256">
        <v>73.92</v>
      </c>
      <c r="R297" s="292"/>
      <c r="S297" s="338"/>
      <c r="T297" s="338"/>
      <c r="U297" s="338"/>
      <c r="V297" s="338"/>
      <c r="W297" s="338"/>
      <c r="X297" s="338"/>
      <c r="Y297" s="338"/>
      <c r="Z297" s="338"/>
      <c r="AA297" s="338"/>
      <c r="AB297" s="338"/>
      <c r="AC297" s="338"/>
      <c r="AD297" s="338"/>
      <c r="AE297" s="338"/>
      <c r="AF297" s="338"/>
      <c r="AG297" s="338"/>
    </row>
    <row r="298" spans="1:33" ht="12">
      <c r="A298" s="262">
        <v>2019</v>
      </c>
      <c r="B298" s="262" t="s">
        <v>57</v>
      </c>
      <c r="C298" s="326">
        <v>4852.43</v>
      </c>
      <c r="D298" s="255">
        <v>261.05</v>
      </c>
      <c r="E298" s="246">
        <v>51.06</v>
      </c>
      <c r="F298" s="326">
        <v>4540.32</v>
      </c>
      <c r="G298" s="257">
        <v>164.42</v>
      </c>
      <c r="H298" s="246">
        <v>15.47</v>
      </c>
      <c r="I298" s="257">
        <v>222.94</v>
      </c>
      <c r="J298" s="256">
        <v>1325.07</v>
      </c>
      <c r="K298" s="246">
        <v>406.98</v>
      </c>
      <c r="L298" s="246">
        <v>185.03</v>
      </c>
      <c r="M298" s="332">
        <v>574.04</v>
      </c>
      <c r="N298" s="333">
        <v>1073.52</v>
      </c>
      <c r="O298" s="255">
        <v>313.62</v>
      </c>
      <c r="P298" s="255">
        <v>31.39</v>
      </c>
      <c r="Q298" s="256">
        <v>98.36</v>
      </c>
      <c r="R298" s="292"/>
      <c r="S298" s="338"/>
      <c r="T298" s="338"/>
      <c r="U298" s="338"/>
      <c r="V298" s="338"/>
      <c r="W298" s="338"/>
      <c r="X298" s="338"/>
      <c r="Y298" s="338"/>
      <c r="Z298" s="338"/>
      <c r="AA298" s="338"/>
      <c r="AB298" s="338"/>
      <c r="AC298" s="338"/>
      <c r="AD298" s="338"/>
      <c r="AE298" s="338"/>
      <c r="AF298" s="338"/>
      <c r="AG298" s="338"/>
    </row>
    <row r="299" spans="1:33" ht="12">
      <c r="A299" s="262">
        <v>2019</v>
      </c>
      <c r="B299" s="262" t="s">
        <v>58</v>
      </c>
      <c r="C299" s="326">
        <v>4750.3</v>
      </c>
      <c r="D299" s="255">
        <v>275.5</v>
      </c>
      <c r="E299" s="246">
        <v>65.37</v>
      </c>
      <c r="F299" s="326">
        <v>4409.42</v>
      </c>
      <c r="G299" s="257">
        <v>195.97</v>
      </c>
      <c r="H299" s="246">
        <v>13.54</v>
      </c>
      <c r="I299" s="257">
        <v>154.44</v>
      </c>
      <c r="J299" s="256">
        <v>1308.55</v>
      </c>
      <c r="K299" s="246">
        <v>377.27</v>
      </c>
      <c r="L299" s="246">
        <v>155.82</v>
      </c>
      <c r="M299" s="332">
        <v>617.21</v>
      </c>
      <c r="N299" s="333">
        <v>1106.21</v>
      </c>
      <c r="O299" s="255">
        <v>203.7</v>
      </c>
      <c r="P299" s="255">
        <v>26.28</v>
      </c>
      <c r="Q299" s="256">
        <v>77.42</v>
      </c>
      <c r="R299" s="292"/>
      <c r="S299" s="338"/>
      <c r="T299" s="338"/>
      <c r="U299" s="338"/>
      <c r="V299" s="338"/>
      <c r="W299" s="338"/>
      <c r="X299" s="338"/>
      <c r="Y299" s="338"/>
      <c r="Z299" s="338"/>
      <c r="AA299" s="338"/>
      <c r="AB299" s="338"/>
      <c r="AC299" s="338"/>
      <c r="AD299" s="338"/>
      <c r="AE299" s="338"/>
      <c r="AF299" s="338"/>
      <c r="AG299" s="338"/>
    </row>
    <row r="300" spans="1:33" ht="12">
      <c r="A300" s="262">
        <v>2019</v>
      </c>
      <c r="B300" s="262" t="s">
        <v>59</v>
      </c>
      <c r="C300" s="326">
        <v>4821.72</v>
      </c>
      <c r="D300" s="255">
        <v>266.72</v>
      </c>
      <c r="E300" s="246">
        <v>37.3</v>
      </c>
      <c r="F300" s="326">
        <v>4517.7</v>
      </c>
      <c r="G300" s="257">
        <v>221.37</v>
      </c>
      <c r="H300" s="246">
        <v>25.36</v>
      </c>
      <c r="I300" s="257">
        <v>167.39</v>
      </c>
      <c r="J300" s="256">
        <v>1386.97</v>
      </c>
      <c r="K300" s="246">
        <v>365.1</v>
      </c>
      <c r="L300" s="246">
        <v>148.91</v>
      </c>
      <c r="M300" s="332">
        <v>597.62</v>
      </c>
      <c r="N300" s="333">
        <v>1081.6</v>
      </c>
      <c r="O300" s="255">
        <v>183.93</v>
      </c>
      <c r="P300" s="255">
        <v>42.57</v>
      </c>
      <c r="Q300" s="256">
        <v>82.77</v>
      </c>
      <c r="R300" s="292"/>
      <c r="S300" s="338"/>
      <c r="T300" s="338"/>
      <c r="U300" s="338"/>
      <c r="V300" s="338"/>
      <c r="W300" s="338"/>
      <c r="X300" s="338"/>
      <c r="Y300" s="338"/>
      <c r="Z300" s="338"/>
      <c r="AA300" s="338"/>
      <c r="AB300" s="338"/>
      <c r="AC300" s="338"/>
      <c r="AD300" s="338"/>
      <c r="AE300" s="338"/>
      <c r="AF300" s="338"/>
      <c r="AG300" s="338"/>
    </row>
    <row r="301" spans="1:33" ht="12">
      <c r="A301" s="262">
        <v>2019</v>
      </c>
      <c r="B301" s="262" t="s">
        <v>60</v>
      </c>
      <c r="C301" s="326">
        <v>4344.92</v>
      </c>
      <c r="D301" s="255">
        <v>238.26</v>
      </c>
      <c r="E301" s="246">
        <v>44.77</v>
      </c>
      <c r="F301" s="326">
        <v>4061.9</v>
      </c>
      <c r="G301" s="257">
        <v>189.08</v>
      </c>
      <c r="H301" s="246">
        <v>20.16</v>
      </c>
      <c r="I301" s="257">
        <v>144.93</v>
      </c>
      <c r="J301" s="256">
        <v>1198.12</v>
      </c>
      <c r="K301" s="246">
        <v>388.63</v>
      </c>
      <c r="L301" s="246">
        <v>95.71</v>
      </c>
      <c r="M301" s="332">
        <v>508.13</v>
      </c>
      <c r="N301" s="333">
        <v>1044.87</v>
      </c>
      <c r="O301" s="255">
        <v>139.23</v>
      </c>
      <c r="P301" s="255">
        <v>31.68</v>
      </c>
      <c r="Q301" s="256">
        <v>64.99</v>
      </c>
      <c r="R301" s="292"/>
      <c r="S301" s="338"/>
      <c r="T301" s="338"/>
      <c r="U301" s="338"/>
      <c r="V301" s="338"/>
      <c r="W301" s="338"/>
      <c r="X301" s="338"/>
      <c r="Y301" s="338"/>
      <c r="Z301" s="338"/>
      <c r="AA301" s="338"/>
      <c r="AB301" s="338"/>
      <c r="AC301" s="338"/>
      <c r="AD301" s="338"/>
      <c r="AE301" s="338"/>
      <c r="AF301" s="338"/>
      <c r="AG301" s="338"/>
    </row>
    <row r="302" spans="1:33" ht="12">
      <c r="A302" s="262">
        <v>2019</v>
      </c>
      <c r="B302" s="262" t="s">
        <v>61</v>
      </c>
      <c r="C302" s="326">
        <v>4969.76</v>
      </c>
      <c r="D302" s="255">
        <v>279.6</v>
      </c>
      <c r="E302" s="246">
        <v>44.57</v>
      </c>
      <c r="F302" s="326">
        <v>4645.59</v>
      </c>
      <c r="G302" s="257">
        <v>206.51</v>
      </c>
      <c r="H302" s="246">
        <v>20.56</v>
      </c>
      <c r="I302" s="257">
        <v>168.22</v>
      </c>
      <c r="J302" s="256">
        <v>1299.44</v>
      </c>
      <c r="K302" s="246">
        <v>511.98</v>
      </c>
      <c r="L302" s="246">
        <v>106.22</v>
      </c>
      <c r="M302" s="332">
        <v>593.1</v>
      </c>
      <c r="N302" s="333">
        <v>1092.58</v>
      </c>
      <c r="O302" s="255">
        <v>318.52</v>
      </c>
      <c r="P302" s="255">
        <v>17.23</v>
      </c>
      <c r="Q302" s="256">
        <v>88.98</v>
      </c>
      <c r="R302" s="292"/>
      <c r="S302" s="338"/>
      <c r="T302" s="338"/>
      <c r="U302" s="338"/>
      <c r="V302" s="338"/>
      <c r="W302" s="338"/>
      <c r="X302" s="338"/>
      <c r="Y302" s="338"/>
      <c r="Z302" s="338"/>
      <c r="AA302" s="338"/>
      <c r="AB302" s="338"/>
      <c r="AC302" s="338"/>
      <c r="AD302" s="338"/>
      <c r="AE302" s="338"/>
      <c r="AF302" s="338"/>
      <c r="AG302" s="338"/>
    </row>
    <row r="303" spans="1:33" ht="12">
      <c r="A303" s="262">
        <v>2019</v>
      </c>
      <c r="B303" s="262" t="s">
        <v>62</v>
      </c>
      <c r="C303" s="326">
        <v>4995.65</v>
      </c>
      <c r="D303" s="255">
        <v>263.55</v>
      </c>
      <c r="E303" s="246">
        <v>70.05</v>
      </c>
      <c r="F303" s="326">
        <v>4662.05</v>
      </c>
      <c r="G303" s="257">
        <v>203.42</v>
      </c>
      <c r="H303" s="246">
        <v>15.44</v>
      </c>
      <c r="I303" s="257">
        <v>157.89</v>
      </c>
      <c r="J303" s="256">
        <v>1155.74</v>
      </c>
      <c r="K303" s="246">
        <v>567.88</v>
      </c>
      <c r="L303" s="246">
        <v>95.79</v>
      </c>
      <c r="M303" s="332">
        <v>614.09</v>
      </c>
      <c r="N303" s="333">
        <v>1108.34</v>
      </c>
      <c r="O303" s="255">
        <v>364.09</v>
      </c>
      <c r="P303" s="255">
        <v>29.12</v>
      </c>
      <c r="Q303" s="256">
        <v>86.67</v>
      </c>
      <c r="R303" s="292"/>
      <c r="S303" s="338"/>
      <c r="T303" s="338"/>
      <c r="U303" s="338"/>
      <c r="V303" s="338"/>
      <c r="W303" s="338"/>
      <c r="X303" s="338"/>
      <c r="Y303" s="338"/>
      <c r="Z303" s="338"/>
      <c r="AA303" s="338"/>
      <c r="AB303" s="338"/>
      <c r="AC303" s="338"/>
      <c r="AD303" s="338"/>
      <c r="AE303" s="338"/>
      <c r="AF303" s="338"/>
      <c r="AG303" s="338"/>
    </row>
    <row r="304" spans="1:33" ht="12">
      <c r="A304" s="262">
        <v>2019</v>
      </c>
      <c r="B304" s="262" t="s">
        <v>63</v>
      </c>
      <c r="C304" s="326">
        <v>4910.75</v>
      </c>
      <c r="D304" s="255">
        <v>255.88</v>
      </c>
      <c r="E304" s="246">
        <v>77.85</v>
      </c>
      <c r="F304" s="326">
        <v>4577.02</v>
      </c>
      <c r="G304" s="257">
        <v>159.34</v>
      </c>
      <c r="H304" s="246">
        <v>21.77</v>
      </c>
      <c r="I304" s="257">
        <v>167.22</v>
      </c>
      <c r="J304" s="256">
        <v>1333.49</v>
      </c>
      <c r="K304" s="246">
        <v>455.42</v>
      </c>
      <c r="L304" s="246">
        <v>140.79</v>
      </c>
      <c r="M304" s="332">
        <v>680.23</v>
      </c>
      <c r="N304" s="333">
        <v>1120.24</v>
      </c>
      <c r="O304" s="255">
        <v>159.21</v>
      </c>
      <c r="P304" s="255">
        <v>23.28</v>
      </c>
      <c r="Q304" s="256">
        <v>84.09</v>
      </c>
      <c r="R304" s="292"/>
      <c r="S304" s="338"/>
      <c r="T304" s="338"/>
      <c r="U304" s="338"/>
      <c r="V304" s="338"/>
      <c r="W304" s="338"/>
      <c r="X304" s="338"/>
      <c r="Y304" s="338"/>
      <c r="Z304" s="338"/>
      <c r="AA304" s="338"/>
      <c r="AB304" s="338"/>
      <c r="AC304" s="338"/>
      <c r="AD304" s="338"/>
      <c r="AE304" s="338"/>
      <c r="AF304" s="338"/>
      <c r="AG304" s="338"/>
    </row>
    <row r="305" spans="1:33" ht="12">
      <c r="A305" s="262">
        <v>2019</v>
      </c>
      <c r="B305" s="262" t="s">
        <v>64</v>
      </c>
      <c r="C305" s="326">
        <v>5275.05</v>
      </c>
      <c r="D305" s="255">
        <v>289.39</v>
      </c>
      <c r="E305" s="246">
        <v>51.69</v>
      </c>
      <c r="F305" s="326">
        <v>4933.97</v>
      </c>
      <c r="G305" s="257">
        <v>153.09</v>
      </c>
      <c r="H305" s="246">
        <v>15.49</v>
      </c>
      <c r="I305" s="257">
        <v>169.29</v>
      </c>
      <c r="J305" s="256">
        <v>1492.86</v>
      </c>
      <c r="K305" s="246">
        <v>485.57</v>
      </c>
      <c r="L305" s="246">
        <v>198.33</v>
      </c>
      <c r="M305" s="332">
        <v>648.35</v>
      </c>
      <c r="N305" s="333">
        <v>1233.39</v>
      </c>
      <c r="O305" s="255">
        <v>239.25</v>
      </c>
      <c r="P305" s="255">
        <v>19.29</v>
      </c>
      <c r="Q305" s="256">
        <v>74.42</v>
      </c>
      <c r="R305" s="292"/>
      <c r="S305" s="338"/>
      <c r="T305" s="338"/>
      <c r="U305" s="338"/>
      <c r="V305" s="338"/>
      <c r="W305" s="338"/>
      <c r="X305" s="338"/>
      <c r="Y305" s="338"/>
      <c r="Z305" s="338"/>
      <c r="AA305" s="338"/>
      <c r="AB305" s="338"/>
      <c r="AC305" s="338"/>
      <c r="AD305" s="338"/>
      <c r="AE305" s="338"/>
      <c r="AF305" s="338"/>
      <c r="AG305" s="338"/>
    </row>
    <row r="306" spans="1:33" ht="12">
      <c r="A306" s="262">
        <v>2019</v>
      </c>
      <c r="B306" s="262" t="s">
        <v>65</v>
      </c>
      <c r="C306" s="326">
        <v>5051.46</v>
      </c>
      <c r="D306" s="255">
        <v>279.47</v>
      </c>
      <c r="E306" s="246">
        <v>9.65</v>
      </c>
      <c r="F306" s="326">
        <v>4762.34</v>
      </c>
      <c r="G306" s="257">
        <v>149.03</v>
      </c>
      <c r="H306" s="246">
        <v>25.47</v>
      </c>
      <c r="I306" s="257">
        <v>172.51</v>
      </c>
      <c r="J306" s="256">
        <v>1515.8</v>
      </c>
      <c r="K306" s="246">
        <v>381.87</v>
      </c>
      <c r="L306" s="246">
        <v>228.01</v>
      </c>
      <c r="M306" s="332">
        <v>581.17</v>
      </c>
      <c r="N306" s="333">
        <v>1133.83</v>
      </c>
      <c r="O306" s="255">
        <v>250.43</v>
      </c>
      <c r="P306" s="255">
        <v>0</v>
      </c>
      <c r="Q306" s="256">
        <v>67.86</v>
      </c>
      <c r="R306" s="292"/>
      <c r="S306" s="338"/>
      <c r="T306" s="338"/>
      <c r="U306" s="338"/>
      <c r="V306" s="338"/>
      <c r="W306" s="338"/>
      <c r="X306" s="338"/>
      <c r="Y306" s="338"/>
      <c r="Z306" s="338"/>
      <c r="AA306" s="338"/>
      <c r="AB306" s="338"/>
      <c r="AC306" s="338"/>
      <c r="AD306" s="338"/>
      <c r="AE306" s="338"/>
      <c r="AF306" s="338"/>
      <c r="AG306" s="338"/>
    </row>
    <row r="307" spans="1:33" ht="12">
      <c r="A307" s="264">
        <v>2019</v>
      </c>
      <c r="B307" s="274" t="s">
        <v>66</v>
      </c>
      <c r="C307" s="327">
        <v>5358.82</v>
      </c>
      <c r="D307" s="267">
        <v>322.06</v>
      </c>
      <c r="E307" s="267">
        <v>46.63</v>
      </c>
      <c r="F307" s="327">
        <v>4990.13</v>
      </c>
      <c r="G307" s="282">
        <v>178.66</v>
      </c>
      <c r="H307" s="267">
        <v>19.77</v>
      </c>
      <c r="I307" s="282">
        <v>182.03</v>
      </c>
      <c r="J307" s="283">
        <v>1548.56</v>
      </c>
      <c r="K307" s="267">
        <v>422.41</v>
      </c>
      <c r="L307" s="267">
        <v>249.66</v>
      </c>
      <c r="M307" s="334">
        <v>558.59</v>
      </c>
      <c r="N307" s="335">
        <v>1265.34</v>
      </c>
      <c r="O307" s="267">
        <v>266.35</v>
      </c>
      <c r="P307" s="267">
        <v>20.58</v>
      </c>
      <c r="Q307" s="283">
        <v>70.58</v>
      </c>
      <c r="R307" s="292"/>
      <c r="S307" s="338"/>
      <c r="T307" s="338"/>
      <c r="U307" s="338"/>
      <c r="V307" s="338"/>
      <c r="W307" s="338"/>
      <c r="X307" s="338"/>
      <c r="Y307" s="338"/>
      <c r="Z307" s="338"/>
      <c r="AA307" s="338"/>
      <c r="AB307" s="338"/>
      <c r="AC307" s="338"/>
      <c r="AD307" s="338"/>
      <c r="AE307" s="338"/>
      <c r="AF307" s="338"/>
      <c r="AG307" s="338"/>
    </row>
    <row r="308" spans="1:33" ht="12">
      <c r="A308" s="262">
        <v>2020</v>
      </c>
      <c r="B308" s="270" t="s">
        <v>55</v>
      </c>
      <c r="C308" s="326">
        <v>5073.19</v>
      </c>
      <c r="D308" s="255">
        <v>289.7</v>
      </c>
      <c r="E308" s="246">
        <v>130.75</v>
      </c>
      <c r="F308" s="326">
        <v>4652.74</v>
      </c>
      <c r="G308" s="257">
        <v>177.01</v>
      </c>
      <c r="H308" s="246">
        <v>29.93</v>
      </c>
      <c r="I308" s="257">
        <v>186.23</v>
      </c>
      <c r="J308" s="256">
        <v>1467.56</v>
      </c>
      <c r="K308" s="246">
        <v>450.54</v>
      </c>
      <c r="L308" s="246">
        <v>245.63</v>
      </c>
      <c r="M308" s="332">
        <v>503.63</v>
      </c>
      <c r="N308" s="333">
        <v>1109.91</v>
      </c>
      <c r="O308" s="255">
        <v>310.49</v>
      </c>
      <c r="P308" s="255">
        <v>27.04</v>
      </c>
      <c r="Q308" s="256">
        <v>9.79</v>
      </c>
      <c r="R308" s="292"/>
      <c r="S308" s="338"/>
      <c r="T308" s="338"/>
      <c r="U308" s="338"/>
      <c r="V308" s="338"/>
      <c r="W308" s="338"/>
      <c r="X308" s="338"/>
      <c r="Y308" s="338"/>
      <c r="Z308" s="338"/>
      <c r="AA308" s="338"/>
      <c r="AB308" s="338"/>
      <c r="AC308" s="338"/>
      <c r="AD308" s="338"/>
      <c r="AE308" s="338"/>
      <c r="AF308" s="338"/>
      <c r="AG308" s="338"/>
    </row>
    <row r="309" spans="1:33" ht="12">
      <c r="A309" s="262">
        <v>2020</v>
      </c>
      <c r="B309" s="262" t="s">
        <v>56</v>
      </c>
      <c r="C309" s="326">
        <v>4529.48</v>
      </c>
      <c r="D309" s="255">
        <v>234.91</v>
      </c>
      <c r="E309" s="246">
        <v>14.53</v>
      </c>
      <c r="F309" s="326">
        <v>4280.04</v>
      </c>
      <c r="G309" s="257">
        <v>140.59</v>
      </c>
      <c r="H309" s="246">
        <v>33.06</v>
      </c>
      <c r="I309" s="257">
        <v>208.85</v>
      </c>
      <c r="J309" s="256">
        <v>1224.41</v>
      </c>
      <c r="K309" s="246">
        <v>346.79</v>
      </c>
      <c r="L309" s="246">
        <v>240.03</v>
      </c>
      <c r="M309" s="332">
        <v>458.15</v>
      </c>
      <c r="N309" s="333">
        <v>1007.96</v>
      </c>
      <c r="O309" s="255">
        <v>372.58</v>
      </c>
      <c r="P309" s="255">
        <v>12.46</v>
      </c>
      <c r="Q309" s="256">
        <v>61.49</v>
      </c>
      <c r="R309" s="292"/>
      <c r="S309" s="338"/>
      <c r="T309" s="338"/>
      <c r="U309" s="338"/>
      <c r="V309" s="338"/>
      <c r="W309" s="338"/>
      <c r="X309" s="338"/>
      <c r="Y309" s="338"/>
      <c r="Z309" s="338"/>
      <c r="AA309" s="338"/>
      <c r="AB309" s="338"/>
      <c r="AC309" s="338"/>
      <c r="AD309" s="338"/>
      <c r="AE309" s="338"/>
      <c r="AF309" s="338"/>
      <c r="AG309" s="338"/>
    </row>
    <row r="310" spans="1:33" ht="12">
      <c r="A310" s="262">
        <v>2020</v>
      </c>
      <c r="B310" s="262" t="s">
        <v>57</v>
      </c>
      <c r="C310" s="326">
        <v>4466.16</v>
      </c>
      <c r="D310" s="255">
        <v>205.06</v>
      </c>
      <c r="E310" s="246">
        <v>-0.35</v>
      </c>
      <c r="F310" s="326">
        <v>4261.44</v>
      </c>
      <c r="G310" s="257">
        <v>124.15</v>
      </c>
      <c r="H310" s="246">
        <v>32.37</v>
      </c>
      <c r="I310" s="257">
        <v>209.45</v>
      </c>
      <c r="J310" s="256">
        <v>1163.18</v>
      </c>
      <c r="K310" s="246">
        <v>250.19</v>
      </c>
      <c r="L310" s="246">
        <v>284.44</v>
      </c>
      <c r="M310" s="332">
        <v>729.47</v>
      </c>
      <c r="N310" s="333">
        <v>946.34</v>
      </c>
      <c r="O310" s="255">
        <v>254.07</v>
      </c>
      <c r="P310" s="255">
        <v>20.8</v>
      </c>
      <c r="Q310" s="256">
        <v>48.67</v>
      </c>
      <c r="R310" s="292"/>
      <c r="S310" s="338"/>
      <c r="T310" s="338"/>
      <c r="U310" s="338"/>
      <c r="V310" s="338"/>
      <c r="W310" s="338"/>
      <c r="X310" s="338"/>
      <c r="Y310" s="338"/>
      <c r="Z310" s="338"/>
      <c r="AA310" s="338"/>
      <c r="AB310" s="338"/>
      <c r="AC310" s="338"/>
      <c r="AD310" s="338"/>
      <c r="AE310" s="338"/>
      <c r="AF310" s="338"/>
      <c r="AG310" s="338"/>
    </row>
    <row r="311" spans="1:33" ht="12">
      <c r="A311" s="262">
        <v>2020</v>
      </c>
      <c r="B311" s="262" t="s">
        <v>58</v>
      </c>
      <c r="C311" s="326">
        <v>3547.51</v>
      </c>
      <c r="D311" s="255">
        <v>200.22</v>
      </c>
      <c r="E311" s="246">
        <v>101.6</v>
      </c>
      <c r="F311" s="326">
        <v>3245.7</v>
      </c>
      <c r="G311" s="257">
        <v>157.76</v>
      </c>
      <c r="H311" s="246">
        <v>26.96</v>
      </c>
      <c r="I311" s="257">
        <v>159.32</v>
      </c>
      <c r="J311" s="256">
        <v>836.33</v>
      </c>
      <c r="K311" s="246">
        <v>148.38</v>
      </c>
      <c r="L311" s="246">
        <v>244.66</v>
      </c>
      <c r="M311" s="332">
        <v>561.88</v>
      </c>
      <c r="N311" s="333">
        <v>776.84</v>
      </c>
      <c r="O311" s="255">
        <v>174.82</v>
      </c>
      <c r="P311" s="255">
        <v>26.26</v>
      </c>
      <c r="Q311" s="256">
        <v>18.14</v>
      </c>
      <c r="R311" s="292"/>
      <c r="S311" s="338"/>
      <c r="T311" s="338"/>
      <c r="U311" s="338"/>
      <c r="V311" s="338"/>
      <c r="W311" s="338"/>
      <c r="X311" s="338"/>
      <c r="Y311" s="338"/>
      <c r="Z311" s="338"/>
      <c r="AA311" s="338"/>
      <c r="AB311" s="338"/>
      <c r="AC311" s="338"/>
      <c r="AD311" s="338"/>
      <c r="AE311" s="338"/>
      <c r="AF311" s="338"/>
      <c r="AG311" s="338"/>
    </row>
    <row r="312" spans="1:33" ht="12">
      <c r="A312" s="262">
        <v>2020</v>
      </c>
      <c r="B312" s="302" t="s">
        <v>59</v>
      </c>
      <c r="C312" s="326">
        <v>3482.04</v>
      </c>
      <c r="D312" s="255">
        <v>171.34</v>
      </c>
      <c r="E312" s="246">
        <v>22.32</v>
      </c>
      <c r="F312" s="326">
        <v>3288.38</v>
      </c>
      <c r="G312" s="257">
        <v>148.92</v>
      </c>
      <c r="H312" s="246">
        <v>26.75</v>
      </c>
      <c r="I312" s="257">
        <v>158.68</v>
      </c>
      <c r="J312" s="256">
        <v>729.28</v>
      </c>
      <c r="K312" s="246">
        <v>83.4</v>
      </c>
      <c r="L312" s="246">
        <v>151.24</v>
      </c>
      <c r="M312" s="332">
        <v>404.32</v>
      </c>
      <c r="N312" s="333">
        <v>990.27</v>
      </c>
      <c r="O312" s="255">
        <v>387.88</v>
      </c>
      <c r="P312" s="255">
        <v>29.73</v>
      </c>
      <c r="Q312" s="256">
        <v>58.31</v>
      </c>
      <c r="R312" s="292"/>
      <c r="S312" s="338"/>
      <c r="T312" s="338"/>
      <c r="U312" s="338"/>
      <c r="V312" s="338"/>
      <c r="W312" s="338"/>
      <c r="X312" s="338"/>
      <c r="Y312" s="338"/>
      <c r="Z312" s="338"/>
      <c r="AA312" s="338"/>
      <c r="AB312" s="338"/>
      <c r="AC312" s="338"/>
      <c r="AD312" s="338"/>
      <c r="AE312" s="338"/>
      <c r="AF312" s="338"/>
      <c r="AG312" s="338"/>
    </row>
    <row r="313" spans="1:33" ht="12">
      <c r="A313" s="262">
        <v>2020</v>
      </c>
      <c r="B313" s="303" t="s">
        <v>60</v>
      </c>
      <c r="C313" s="314">
        <v>3185.66</v>
      </c>
      <c r="D313" s="311">
        <v>165.91</v>
      </c>
      <c r="E313" s="299">
        <v>20.18</v>
      </c>
      <c r="F313" s="314">
        <v>2999.58</v>
      </c>
      <c r="G313" s="310">
        <v>143.09</v>
      </c>
      <c r="H313" s="299">
        <v>25.28</v>
      </c>
      <c r="I313" s="310">
        <v>122.5</v>
      </c>
      <c r="J313" s="313">
        <v>710.83</v>
      </c>
      <c r="K313" s="299">
        <v>81.68</v>
      </c>
      <c r="L313" s="299">
        <v>88.94</v>
      </c>
      <c r="M313" s="336">
        <v>385.12</v>
      </c>
      <c r="N313" s="337">
        <v>894.23</v>
      </c>
      <c r="O313" s="311">
        <v>344.16</v>
      </c>
      <c r="P313" s="311">
        <v>21.49</v>
      </c>
      <c r="Q313" s="313">
        <v>52.02</v>
      </c>
      <c r="R313" s="292"/>
      <c r="S313" s="338"/>
      <c r="T313" s="338"/>
      <c r="U313" s="338"/>
      <c r="V313" s="338"/>
      <c r="W313" s="338"/>
      <c r="X313" s="338"/>
      <c r="Y313" s="338"/>
      <c r="Z313" s="338"/>
      <c r="AA313" s="338"/>
      <c r="AB313" s="338"/>
      <c r="AC313" s="338"/>
      <c r="AD313" s="338"/>
      <c r="AE313" s="338"/>
      <c r="AF313" s="338"/>
      <c r="AG313" s="338"/>
    </row>
    <row r="314" spans="1:33" ht="12">
      <c r="A314" s="262">
        <v>2020</v>
      </c>
      <c r="B314" s="303" t="s">
        <v>61</v>
      </c>
      <c r="C314" s="314">
        <v>3832.64</v>
      </c>
      <c r="D314" s="311">
        <v>190.13</v>
      </c>
      <c r="E314" s="299">
        <v>21.49</v>
      </c>
      <c r="F314" s="314">
        <v>3621.01</v>
      </c>
      <c r="G314" s="310">
        <v>146.78</v>
      </c>
      <c r="H314" s="299">
        <v>14.28</v>
      </c>
      <c r="I314" s="310">
        <v>133.49</v>
      </c>
      <c r="J314" s="313">
        <v>1005.2</v>
      </c>
      <c r="K314" s="299">
        <v>109.82</v>
      </c>
      <c r="L314" s="299">
        <v>67.72</v>
      </c>
      <c r="M314" s="336">
        <v>433.36</v>
      </c>
      <c r="N314" s="337">
        <v>1161.39</v>
      </c>
      <c r="O314" s="311">
        <v>237.6</v>
      </c>
      <c r="P314" s="311">
        <v>27.62</v>
      </c>
      <c r="Q314" s="313">
        <v>71.51</v>
      </c>
      <c r="R314" s="292"/>
      <c r="S314" s="338"/>
      <c r="T314" s="338"/>
      <c r="U314" s="338"/>
      <c r="V314" s="338"/>
      <c r="W314" s="338"/>
      <c r="X314" s="338"/>
      <c r="Y314" s="338"/>
      <c r="Z314" s="338"/>
      <c r="AA314" s="338"/>
      <c r="AB314" s="338"/>
      <c r="AC314" s="338"/>
      <c r="AD314" s="338"/>
      <c r="AE314" s="338"/>
      <c r="AF314" s="338"/>
      <c r="AG314" s="338"/>
    </row>
    <row r="315" spans="1:33" ht="12">
      <c r="A315" s="262">
        <v>2020</v>
      </c>
      <c r="B315" s="303" t="s">
        <v>62</v>
      </c>
      <c r="C315" s="314">
        <v>3790.19</v>
      </c>
      <c r="D315" s="311">
        <v>224.29</v>
      </c>
      <c r="E315" s="299">
        <v>2.54</v>
      </c>
      <c r="F315" s="314">
        <v>3563.36</v>
      </c>
      <c r="G315" s="310">
        <v>148.97</v>
      </c>
      <c r="H315" s="299">
        <v>25.87</v>
      </c>
      <c r="I315" s="310">
        <v>127.06</v>
      </c>
      <c r="J315" s="313">
        <v>1079.4</v>
      </c>
      <c r="K315" s="299">
        <v>74.74</v>
      </c>
      <c r="L315" s="299">
        <v>72.17</v>
      </c>
      <c r="M315" s="336">
        <v>431.81</v>
      </c>
      <c r="N315" s="337">
        <v>1142.2</v>
      </c>
      <c r="O315" s="311">
        <v>207.79</v>
      </c>
      <c r="P315" s="311">
        <v>22.38</v>
      </c>
      <c r="Q315" s="313">
        <v>70.47</v>
      </c>
      <c r="R315" s="292"/>
      <c r="S315" s="338"/>
      <c r="T315" s="338"/>
      <c r="U315" s="338"/>
      <c r="V315" s="338"/>
      <c r="W315" s="338"/>
      <c r="X315" s="338"/>
      <c r="Y315" s="338"/>
      <c r="Z315" s="338"/>
      <c r="AA315" s="338"/>
      <c r="AB315" s="338"/>
      <c r="AC315" s="338"/>
      <c r="AD315" s="338"/>
      <c r="AE315" s="338"/>
      <c r="AF315" s="338"/>
      <c r="AG315" s="338"/>
    </row>
    <row r="316" spans="1:33" ht="12">
      <c r="A316" s="262">
        <v>2020</v>
      </c>
      <c r="B316" s="303" t="s">
        <v>63</v>
      </c>
      <c r="C316" s="314">
        <v>4021.55</v>
      </c>
      <c r="D316" s="311">
        <v>219.2</v>
      </c>
      <c r="E316" s="299">
        <v>16.52</v>
      </c>
      <c r="F316" s="314">
        <v>3785.83</v>
      </c>
      <c r="G316" s="310">
        <v>128.52</v>
      </c>
      <c r="H316" s="299">
        <v>28.09</v>
      </c>
      <c r="I316" s="310">
        <v>139.86</v>
      </c>
      <c r="J316" s="313">
        <v>1212.48</v>
      </c>
      <c r="K316" s="299">
        <v>108.05</v>
      </c>
      <c r="L316" s="299">
        <v>78.47</v>
      </c>
      <c r="M316" s="336">
        <v>474.43</v>
      </c>
      <c r="N316" s="337">
        <v>1176.36</v>
      </c>
      <c r="O316" s="311">
        <v>195.15</v>
      </c>
      <c r="P316" s="311">
        <v>12.24</v>
      </c>
      <c r="Q316" s="313">
        <v>70.47</v>
      </c>
      <c r="R316" s="292"/>
      <c r="S316" s="338"/>
      <c r="T316" s="338"/>
      <c r="U316" s="338"/>
      <c r="V316" s="338"/>
      <c r="W316" s="338"/>
      <c r="X316" s="338"/>
      <c r="Y316" s="338"/>
      <c r="Z316" s="338"/>
      <c r="AA316" s="338"/>
      <c r="AB316" s="338"/>
      <c r="AC316" s="338"/>
      <c r="AD316" s="338"/>
      <c r="AE316" s="338"/>
      <c r="AF316" s="338"/>
      <c r="AG316" s="338"/>
    </row>
    <row r="317" spans="1:33" ht="12">
      <c r="A317" s="262">
        <v>2020</v>
      </c>
      <c r="B317" s="303" t="s">
        <v>64</v>
      </c>
      <c r="C317" s="314">
        <v>4135.22</v>
      </c>
      <c r="D317" s="311">
        <v>234.4</v>
      </c>
      <c r="E317" s="299">
        <v>35.47</v>
      </c>
      <c r="F317" s="314">
        <v>3865.35</v>
      </c>
      <c r="G317" s="310">
        <v>133.2</v>
      </c>
      <c r="H317" s="299">
        <v>29.41</v>
      </c>
      <c r="I317" s="310">
        <v>125.11</v>
      </c>
      <c r="J317" s="313">
        <v>1284.69</v>
      </c>
      <c r="K317" s="299">
        <v>114.52</v>
      </c>
      <c r="L317" s="299">
        <v>114.83</v>
      </c>
      <c r="M317" s="336">
        <v>554.99</v>
      </c>
      <c r="N317" s="337">
        <v>1083.06</v>
      </c>
      <c r="O317" s="311">
        <v>150.63</v>
      </c>
      <c r="P317" s="311">
        <v>41.04</v>
      </c>
      <c r="Q317" s="313">
        <v>70.86</v>
      </c>
      <c r="R317" s="292"/>
      <c r="S317" s="338"/>
      <c r="T317" s="338"/>
      <c r="U317" s="338"/>
      <c r="V317" s="338"/>
      <c r="W317" s="338"/>
      <c r="X317" s="338"/>
      <c r="Y317" s="338"/>
      <c r="Z317" s="338"/>
      <c r="AA317" s="338"/>
      <c r="AB317" s="338"/>
      <c r="AC317" s="338"/>
      <c r="AD317" s="338"/>
      <c r="AE317" s="338"/>
      <c r="AF317" s="338"/>
      <c r="AG317" s="338"/>
    </row>
    <row r="318" spans="1:33" ht="12">
      <c r="A318" s="262">
        <v>2020</v>
      </c>
      <c r="B318" s="303" t="s">
        <v>65</v>
      </c>
      <c r="C318" s="314">
        <v>3920.28</v>
      </c>
      <c r="D318" s="311">
        <v>222.45</v>
      </c>
      <c r="E318" s="299">
        <v>33.98</v>
      </c>
      <c r="F318" s="314">
        <v>3663.85</v>
      </c>
      <c r="G318" s="310">
        <v>143.7</v>
      </c>
      <c r="H318" s="299">
        <v>29.87</v>
      </c>
      <c r="I318" s="310">
        <v>142.26</v>
      </c>
      <c r="J318" s="311">
        <v>1185.74</v>
      </c>
      <c r="K318" s="310">
        <v>74.58</v>
      </c>
      <c r="L318" s="299">
        <v>156.73</v>
      </c>
      <c r="M318" s="336">
        <v>439.24</v>
      </c>
      <c r="N318" s="337">
        <v>1036.59</v>
      </c>
      <c r="O318" s="311">
        <v>216.92</v>
      </c>
      <c r="P318" s="311">
        <v>8.29</v>
      </c>
      <c r="Q318" s="313">
        <v>51.14</v>
      </c>
      <c r="R318" s="292"/>
      <c r="S318" s="338"/>
      <c r="T318" s="338"/>
      <c r="U318" s="338"/>
      <c r="V318" s="338"/>
      <c r="W318" s="338"/>
      <c r="X318" s="338"/>
      <c r="Y318" s="338"/>
      <c r="Z318" s="338"/>
      <c r="AA318" s="338"/>
      <c r="AB318" s="338"/>
      <c r="AC318" s="338"/>
      <c r="AD318" s="338"/>
      <c r="AE318" s="338"/>
      <c r="AF318" s="338"/>
      <c r="AG318" s="338"/>
    </row>
    <row r="319" spans="1:33" ht="12">
      <c r="A319" s="264">
        <v>2020</v>
      </c>
      <c r="B319" s="274" t="s">
        <v>66</v>
      </c>
      <c r="C319" s="327">
        <v>4248.03</v>
      </c>
      <c r="D319" s="267">
        <v>245</v>
      </c>
      <c r="E319" s="267">
        <v>18.48</v>
      </c>
      <c r="F319" s="327">
        <v>3984.55</v>
      </c>
      <c r="G319" s="282">
        <v>156.67</v>
      </c>
      <c r="H319" s="267">
        <v>27.36</v>
      </c>
      <c r="I319" s="282">
        <v>131.01</v>
      </c>
      <c r="J319" s="283">
        <v>1255.5</v>
      </c>
      <c r="K319" s="267">
        <v>100.09</v>
      </c>
      <c r="L319" s="267">
        <v>157.76</v>
      </c>
      <c r="M319" s="334">
        <v>531.3</v>
      </c>
      <c r="N319" s="335">
        <v>1103.52</v>
      </c>
      <c r="O319" s="267">
        <v>221.4</v>
      </c>
      <c r="P319" s="267">
        <v>36.81</v>
      </c>
      <c r="Q319" s="283">
        <v>54.71</v>
      </c>
      <c r="R319" s="292"/>
      <c r="S319" s="338"/>
      <c r="T319" s="338"/>
      <c r="U319" s="338"/>
      <c r="V319" s="338"/>
      <c r="W319" s="338"/>
      <c r="X319" s="338"/>
      <c r="Y319" s="338"/>
      <c r="Z319" s="338"/>
      <c r="AA319" s="338"/>
      <c r="AB319" s="338"/>
      <c r="AC319" s="338"/>
      <c r="AD319" s="338"/>
      <c r="AE319" s="338"/>
      <c r="AF319" s="338"/>
      <c r="AG319" s="338"/>
    </row>
    <row r="320" spans="1:33" ht="12">
      <c r="A320" s="262">
        <v>2021</v>
      </c>
      <c r="B320" s="270" t="s">
        <v>222</v>
      </c>
      <c r="C320" s="326">
        <v>3766.71</v>
      </c>
      <c r="D320" s="255">
        <v>251.88</v>
      </c>
      <c r="E320" s="246">
        <v>-9.46</v>
      </c>
      <c r="F320" s="326">
        <v>3524.29</v>
      </c>
      <c r="G320" s="257">
        <v>137.83</v>
      </c>
      <c r="H320" s="246">
        <v>26.01</v>
      </c>
      <c r="I320" s="257">
        <v>125.68</v>
      </c>
      <c r="J320" s="256">
        <v>1131.8</v>
      </c>
      <c r="K320" s="246">
        <v>78.16</v>
      </c>
      <c r="L320" s="246">
        <v>175.47</v>
      </c>
      <c r="M320" s="332">
        <v>523.14</v>
      </c>
      <c r="N320" s="333">
        <v>902.09</v>
      </c>
      <c r="O320" s="255">
        <v>192.67</v>
      </c>
      <c r="P320" s="255">
        <v>29.76</v>
      </c>
      <c r="Q320" s="256">
        <v>13.06</v>
      </c>
      <c r="R320" s="292"/>
      <c r="S320" s="338"/>
      <c r="T320" s="338"/>
      <c r="U320" s="338"/>
      <c r="V320" s="338"/>
      <c r="W320" s="338"/>
      <c r="X320" s="338"/>
      <c r="Y320" s="338"/>
      <c r="Z320" s="338"/>
      <c r="AA320" s="338"/>
      <c r="AB320" s="338"/>
      <c r="AC320" s="338"/>
      <c r="AD320" s="338"/>
      <c r="AE320" s="338"/>
      <c r="AF320" s="338"/>
      <c r="AG320" s="338"/>
    </row>
    <row r="321" spans="1:33" ht="12">
      <c r="A321" s="262"/>
      <c r="B321" s="304"/>
      <c r="C321" s="357"/>
      <c r="D321" s="311"/>
      <c r="E321" s="299"/>
      <c r="F321" s="357"/>
      <c r="G321" s="311"/>
      <c r="H321" s="299"/>
      <c r="I321" s="311"/>
      <c r="J321" s="311"/>
      <c r="K321" s="311"/>
      <c r="L321" s="364"/>
      <c r="M321" s="337"/>
      <c r="N321" s="337"/>
      <c r="O321" s="311"/>
      <c r="P321" s="311"/>
      <c r="Q321" s="311"/>
      <c r="R321" s="292"/>
      <c r="S321" s="338"/>
      <c r="T321" s="338"/>
      <c r="U321" s="338"/>
      <c r="V321" s="338"/>
      <c r="W321" s="338"/>
      <c r="X321" s="338"/>
      <c r="Y321" s="338"/>
      <c r="Z321" s="338"/>
      <c r="AA321" s="338"/>
      <c r="AB321" s="338"/>
      <c r="AC321" s="338"/>
      <c r="AD321" s="338"/>
      <c r="AE321" s="338"/>
      <c r="AF321" s="338"/>
      <c r="AG321" s="338"/>
    </row>
    <row r="322" spans="1:33" ht="12">
      <c r="A322" s="260"/>
      <c r="B322" s="293"/>
      <c r="C322" s="239"/>
      <c r="D322" s="239"/>
      <c r="E322" s="239"/>
      <c r="F322" s="239"/>
      <c r="G322" s="239"/>
      <c r="H322" s="239"/>
      <c r="I322" s="239"/>
      <c r="J322" s="239"/>
      <c r="K322" s="239"/>
      <c r="L322" s="239"/>
      <c r="M322" s="239"/>
      <c r="N322" s="239"/>
      <c r="O322" s="239"/>
      <c r="P322" s="239"/>
      <c r="Q322" s="239"/>
      <c r="R322" s="365"/>
      <c r="S322" s="365"/>
      <c r="T322" s="365"/>
      <c r="U322" s="365"/>
      <c r="V322" s="365"/>
      <c r="W322" s="365"/>
      <c r="X322" s="365"/>
      <c r="Y322" s="365"/>
      <c r="Z322" s="365"/>
      <c r="AA322" s="365"/>
      <c r="AB322" s="365"/>
      <c r="AC322" s="365"/>
      <c r="AD322" s="365"/>
      <c r="AE322" s="365"/>
      <c r="AF322" s="365"/>
      <c r="AG322" s="365"/>
    </row>
    <row r="323" spans="1:33" ht="12">
      <c r="A323" s="124" t="s">
        <v>152</v>
      </c>
      <c r="C323" s="239"/>
      <c r="D323" s="239"/>
      <c r="E323" s="239"/>
      <c r="F323" s="239"/>
      <c r="G323" s="239"/>
      <c r="H323" s="239"/>
      <c r="I323" s="239"/>
      <c r="J323" s="239"/>
      <c r="K323" s="239"/>
      <c r="L323" s="239"/>
      <c r="M323" s="239"/>
      <c r="N323" s="239"/>
      <c r="O323" s="239"/>
      <c r="P323" s="239"/>
      <c r="Q323" s="239"/>
      <c r="R323" s="365"/>
      <c r="S323" s="365"/>
      <c r="T323" s="365"/>
      <c r="U323" s="365"/>
      <c r="V323" s="365"/>
      <c r="W323" s="365"/>
      <c r="X323" s="365"/>
      <c r="Y323" s="365"/>
      <c r="Z323" s="365"/>
      <c r="AA323" s="365"/>
      <c r="AB323" s="365"/>
      <c r="AC323" s="365"/>
      <c r="AD323" s="365"/>
      <c r="AE323" s="365"/>
      <c r="AF323" s="365"/>
      <c r="AG323" s="365"/>
    </row>
    <row r="324" spans="3:33" ht="12">
      <c r="C324" s="239"/>
      <c r="D324" s="239"/>
      <c r="E324" s="239"/>
      <c r="F324" s="239"/>
      <c r="G324" s="239"/>
      <c r="H324" s="239"/>
      <c r="I324" s="239"/>
      <c r="J324" s="239"/>
      <c r="K324" s="239"/>
      <c r="L324" s="239"/>
      <c r="M324" s="239"/>
      <c r="N324" s="239"/>
      <c r="O324" s="239"/>
      <c r="P324" s="239"/>
      <c r="Q324" s="239"/>
      <c r="R324" s="365"/>
      <c r="S324" s="365"/>
      <c r="T324" s="365"/>
      <c r="U324" s="365"/>
      <c r="V324" s="365"/>
      <c r="W324" s="365"/>
      <c r="X324" s="365"/>
      <c r="Y324" s="365"/>
      <c r="Z324" s="365"/>
      <c r="AA324" s="365"/>
      <c r="AB324" s="365"/>
      <c r="AC324" s="365"/>
      <c r="AD324" s="365"/>
      <c r="AE324" s="365"/>
      <c r="AF324" s="365"/>
      <c r="AG324" s="365"/>
    </row>
    <row r="325" spans="3:33" ht="12">
      <c r="C325" s="239"/>
      <c r="D325" s="239"/>
      <c r="E325" s="239"/>
      <c r="F325" s="239"/>
      <c r="G325" s="239"/>
      <c r="H325" s="239"/>
      <c r="I325" s="239"/>
      <c r="J325" s="239"/>
      <c r="K325" s="239"/>
      <c r="L325" s="239"/>
      <c r="M325" s="239"/>
      <c r="N325" s="239"/>
      <c r="O325" s="239"/>
      <c r="P325" s="239"/>
      <c r="Q325" s="239"/>
      <c r="R325" s="365"/>
      <c r="S325" s="365"/>
      <c r="T325" s="365"/>
      <c r="U325" s="365"/>
      <c r="V325" s="365"/>
      <c r="W325" s="365"/>
      <c r="X325" s="365"/>
      <c r="Y325" s="365"/>
      <c r="Z325" s="365"/>
      <c r="AA325" s="365"/>
      <c r="AB325" s="365"/>
      <c r="AC325" s="365"/>
      <c r="AD325" s="365"/>
      <c r="AE325" s="365"/>
      <c r="AF325" s="365"/>
      <c r="AG325" s="365"/>
    </row>
    <row r="326" spans="1:33" ht="12">
      <c r="A326" s="260"/>
      <c r="B326" s="293"/>
      <c r="C326" s="239"/>
      <c r="D326" s="239"/>
      <c r="E326" s="239"/>
      <c r="F326" s="239"/>
      <c r="G326" s="239"/>
      <c r="H326" s="239"/>
      <c r="I326" s="239"/>
      <c r="J326" s="239"/>
      <c r="K326" s="239"/>
      <c r="L326" s="239"/>
      <c r="M326" s="239"/>
      <c r="N326" s="239"/>
      <c r="O326" s="239"/>
      <c r="P326" s="239"/>
      <c r="Q326" s="239"/>
      <c r="R326" s="365"/>
      <c r="S326" s="365"/>
      <c r="T326" s="365"/>
      <c r="U326" s="365"/>
      <c r="V326" s="365"/>
      <c r="W326" s="365"/>
      <c r="X326" s="365"/>
      <c r="Y326" s="365"/>
      <c r="Z326" s="365"/>
      <c r="AA326" s="365"/>
      <c r="AB326" s="365"/>
      <c r="AC326" s="365"/>
      <c r="AD326" s="365"/>
      <c r="AE326" s="365"/>
      <c r="AF326" s="365"/>
      <c r="AG326" s="365"/>
    </row>
    <row r="327" spans="3:33" ht="12">
      <c r="C327" s="239"/>
      <c r="D327" s="239"/>
      <c r="E327" s="239"/>
      <c r="F327" s="239"/>
      <c r="G327" s="239"/>
      <c r="H327" s="239"/>
      <c r="I327" s="239"/>
      <c r="J327" s="239"/>
      <c r="K327" s="239"/>
      <c r="L327" s="239"/>
      <c r="M327" s="239"/>
      <c r="N327" s="239"/>
      <c r="O327" s="239"/>
      <c r="P327" s="239"/>
      <c r="Q327" s="239"/>
      <c r="R327" s="365"/>
      <c r="S327" s="365"/>
      <c r="T327" s="365"/>
      <c r="U327" s="365"/>
      <c r="V327" s="365"/>
      <c r="W327" s="365"/>
      <c r="X327" s="365"/>
      <c r="Y327" s="365"/>
      <c r="Z327" s="365"/>
      <c r="AA327" s="365"/>
      <c r="AB327" s="365"/>
      <c r="AC327" s="365"/>
      <c r="AD327" s="365"/>
      <c r="AE327" s="365"/>
      <c r="AF327" s="365"/>
      <c r="AG327" s="365"/>
    </row>
    <row r="328" spans="3:33" ht="12">
      <c r="C328" s="239"/>
      <c r="D328" s="239"/>
      <c r="E328" s="239"/>
      <c r="F328" s="239"/>
      <c r="G328" s="239"/>
      <c r="H328" s="239"/>
      <c r="I328" s="239"/>
      <c r="J328" s="239"/>
      <c r="K328" s="239"/>
      <c r="L328" s="239"/>
      <c r="M328" s="239"/>
      <c r="N328" s="239"/>
      <c r="O328" s="239"/>
      <c r="P328" s="239"/>
      <c r="Q328" s="239"/>
      <c r="R328" s="365"/>
      <c r="S328" s="365"/>
      <c r="T328" s="365"/>
      <c r="U328" s="365"/>
      <c r="V328" s="365"/>
      <c r="W328" s="365"/>
      <c r="X328" s="365"/>
      <c r="Y328" s="365"/>
      <c r="Z328" s="365"/>
      <c r="AA328" s="365"/>
      <c r="AB328" s="365"/>
      <c r="AC328" s="365"/>
      <c r="AD328" s="365"/>
      <c r="AE328" s="365"/>
      <c r="AF328" s="365"/>
      <c r="AG328" s="365"/>
    </row>
    <row r="329" spans="3:33" ht="12">
      <c r="C329" s="239"/>
      <c r="D329" s="239"/>
      <c r="E329" s="239"/>
      <c r="F329" s="239"/>
      <c r="G329" s="239"/>
      <c r="H329" s="239"/>
      <c r="I329" s="239"/>
      <c r="J329" s="239"/>
      <c r="K329" s="239"/>
      <c r="L329" s="239"/>
      <c r="M329" s="239"/>
      <c r="N329" s="239"/>
      <c r="O329" s="239"/>
      <c r="P329" s="239"/>
      <c r="Q329" s="239"/>
      <c r="R329" s="365"/>
      <c r="S329" s="365"/>
      <c r="T329" s="365"/>
      <c r="U329" s="365"/>
      <c r="V329" s="365"/>
      <c r="W329" s="365"/>
      <c r="X329" s="365"/>
      <c r="Y329" s="365"/>
      <c r="Z329" s="365"/>
      <c r="AA329" s="365"/>
      <c r="AB329" s="365"/>
      <c r="AC329" s="365"/>
      <c r="AD329" s="365"/>
      <c r="AE329" s="365"/>
      <c r="AF329" s="365"/>
      <c r="AG329" s="365"/>
    </row>
    <row r="330" spans="3:33" ht="12">
      <c r="C330" s="239"/>
      <c r="D330" s="239"/>
      <c r="E330" s="239"/>
      <c r="F330" s="239"/>
      <c r="G330" s="239"/>
      <c r="H330" s="239"/>
      <c r="I330" s="239"/>
      <c r="J330" s="239"/>
      <c r="K330" s="239"/>
      <c r="L330" s="239"/>
      <c r="M330" s="239"/>
      <c r="N330" s="239"/>
      <c r="O330" s="239"/>
      <c r="P330" s="239"/>
      <c r="Q330" s="239"/>
      <c r="R330" s="365"/>
      <c r="S330" s="365"/>
      <c r="T330" s="365"/>
      <c r="U330" s="365"/>
      <c r="V330" s="365"/>
      <c r="W330" s="365"/>
      <c r="X330" s="365"/>
      <c r="Y330" s="365"/>
      <c r="Z330" s="365"/>
      <c r="AA330" s="365"/>
      <c r="AB330" s="365"/>
      <c r="AC330" s="365"/>
      <c r="AD330" s="365"/>
      <c r="AE330" s="365"/>
      <c r="AF330" s="365"/>
      <c r="AG330" s="365"/>
    </row>
    <row r="331" spans="3:33" ht="12">
      <c r="C331" s="239"/>
      <c r="D331" s="239"/>
      <c r="E331" s="239"/>
      <c r="F331" s="239"/>
      <c r="G331" s="239"/>
      <c r="H331" s="239"/>
      <c r="I331" s="239"/>
      <c r="J331" s="239"/>
      <c r="K331" s="239"/>
      <c r="L331" s="239"/>
      <c r="M331" s="239"/>
      <c r="N331" s="239"/>
      <c r="O331" s="239"/>
      <c r="P331" s="239"/>
      <c r="Q331" s="239"/>
      <c r="R331" s="365"/>
      <c r="S331" s="365"/>
      <c r="T331" s="365"/>
      <c r="U331" s="365"/>
      <c r="V331" s="365"/>
      <c r="W331" s="365"/>
      <c r="X331" s="365"/>
      <c r="Y331" s="365"/>
      <c r="Z331" s="365"/>
      <c r="AA331" s="365"/>
      <c r="AB331" s="365"/>
      <c r="AC331" s="365"/>
      <c r="AD331" s="365"/>
      <c r="AE331" s="365"/>
      <c r="AF331" s="365"/>
      <c r="AG331" s="365"/>
    </row>
    <row r="332" spans="3:33" ht="12">
      <c r="C332" s="239"/>
      <c r="D332" s="239"/>
      <c r="E332" s="239"/>
      <c r="F332" s="239"/>
      <c r="G332" s="239"/>
      <c r="H332" s="239"/>
      <c r="I332" s="239"/>
      <c r="J332" s="239"/>
      <c r="K332" s="239"/>
      <c r="L332" s="239"/>
      <c r="M332" s="239"/>
      <c r="N332" s="239"/>
      <c r="O332" s="239"/>
      <c r="P332" s="239"/>
      <c r="Q332" s="239"/>
      <c r="R332" s="365"/>
      <c r="S332" s="365"/>
      <c r="T332" s="365"/>
      <c r="U332" s="365"/>
      <c r="V332" s="365"/>
      <c r="W332" s="365"/>
      <c r="X332" s="365"/>
      <c r="Y332" s="365"/>
      <c r="Z332" s="365"/>
      <c r="AA332" s="365"/>
      <c r="AB332" s="365"/>
      <c r="AC332" s="365"/>
      <c r="AD332" s="365"/>
      <c r="AE332" s="365"/>
      <c r="AF332" s="365"/>
      <c r="AG332" s="365"/>
    </row>
    <row r="333" spans="3:33" ht="12">
      <c r="C333" s="239"/>
      <c r="D333" s="239"/>
      <c r="E333" s="239"/>
      <c r="F333" s="239"/>
      <c r="G333" s="239"/>
      <c r="H333" s="239"/>
      <c r="I333" s="239"/>
      <c r="J333" s="239"/>
      <c r="K333" s="239"/>
      <c r="L333" s="239"/>
      <c r="M333" s="239"/>
      <c r="N333" s="239"/>
      <c r="O333" s="239"/>
      <c r="P333" s="239"/>
      <c r="Q333" s="239"/>
      <c r="R333" s="365"/>
      <c r="S333" s="365"/>
      <c r="T333" s="365"/>
      <c r="U333" s="365"/>
      <c r="V333" s="365"/>
      <c r="W333" s="365"/>
      <c r="X333" s="365"/>
      <c r="Y333" s="365"/>
      <c r="Z333" s="365"/>
      <c r="AA333" s="365"/>
      <c r="AB333" s="365"/>
      <c r="AC333" s="365"/>
      <c r="AD333" s="365"/>
      <c r="AE333" s="365"/>
      <c r="AF333" s="365"/>
      <c r="AG333" s="365"/>
    </row>
    <row r="334" spans="3:33" ht="12">
      <c r="C334" s="239"/>
      <c r="D334" s="239"/>
      <c r="E334" s="239"/>
      <c r="F334" s="239"/>
      <c r="G334" s="239"/>
      <c r="H334" s="239"/>
      <c r="I334" s="239"/>
      <c r="J334" s="239"/>
      <c r="K334" s="239"/>
      <c r="L334" s="239"/>
      <c r="M334" s="239"/>
      <c r="N334" s="239"/>
      <c r="O334" s="239"/>
      <c r="P334" s="239"/>
      <c r="Q334" s="239"/>
      <c r="R334" s="365"/>
      <c r="S334" s="365"/>
      <c r="T334" s="365"/>
      <c r="U334" s="365"/>
      <c r="V334" s="365"/>
      <c r="W334" s="365"/>
      <c r="X334" s="365"/>
      <c r="Y334" s="365"/>
      <c r="Z334" s="365"/>
      <c r="AA334" s="365"/>
      <c r="AB334" s="365"/>
      <c r="AC334" s="365"/>
      <c r="AD334" s="365"/>
      <c r="AE334" s="365"/>
      <c r="AF334" s="365"/>
      <c r="AG334" s="365"/>
    </row>
    <row r="335" spans="3:33" ht="12">
      <c r="C335" s="239"/>
      <c r="D335" s="239"/>
      <c r="E335" s="239"/>
      <c r="F335" s="239"/>
      <c r="G335" s="239"/>
      <c r="H335" s="239"/>
      <c r="I335" s="239"/>
      <c r="J335" s="239"/>
      <c r="K335" s="239"/>
      <c r="L335" s="239"/>
      <c r="M335" s="239"/>
      <c r="N335" s="239"/>
      <c r="O335" s="239"/>
      <c r="P335" s="239"/>
      <c r="Q335" s="239"/>
      <c r="R335" s="365"/>
      <c r="S335" s="365"/>
      <c r="T335" s="365"/>
      <c r="U335" s="365"/>
      <c r="V335" s="365"/>
      <c r="W335" s="365"/>
      <c r="X335" s="365"/>
      <c r="Y335" s="365"/>
      <c r="Z335" s="365"/>
      <c r="AA335" s="365"/>
      <c r="AB335" s="365"/>
      <c r="AC335" s="365"/>
      <c r="AD335" s="365"/>
      <c r="AE335" s="365"/>
      <c r="AF335" s="365"/>
      <c r="AG335" s="365"/>
    </row>
    <row r="336" spans="3:17" ht="12">
      <c r="C336" s="243"/>
      <c r="D336" s="243"/>
      <c r="E336" s="356"/>
      <c r="F336" s="357"/>
      <c r="G336" s="356"/>
      <c r="H336" s="243"/>
      <c r="I336" s="243"/>
      <c r="J336" s="243"/>
      <c r="K336" s="243"/>
      <c r="L336" s="243"/>
      <c r="M336" s="243"/>
      <c r="N336" s="243"/>
      <c r="O336" s="243"/>
      <c r="P336" s="243"/>
      <c r="Q336" s="243"/>
    </row>
    <row r="337" spans="3:26" ht="12">
      <c r="C337" s="243"/>
      <c r="D337" s="243"/>
      <c r="E337" s="356"/>
      <c r="F337" s="357"/>
      <c r="G337" s="356"/>
      <c r="H337" s="243"/>
      <c r="I337" s="243"/>
      <c r="J337" s="243"/>
      <c r="K337" s="243"/>
      <c r="L337" s="243"/>
      <c r="M337" s="243"/>
      <c r="N337" s="243"/>
      <c r="O337" s="243"/>
      <c r="P337" s="243"/>
      <c r="Q337" s="243"/>
      <c r="R337" s="240"/>
      <c r="S337" s="240"/>
      <c r="T337" s="240"/>
      <c r="U337" s="240"/>
      <c r="V337" s="240"/>
      <c r="W337" s="240"/>
      <c r="X337" s="240"/>
      <c r="Y337" s="240"/>
      <c r="Z337" s="240"/>
    </row>
    <row r="338" spans="3:17" ht="12">
      <c r="C338" s="243"/>
      <c r="D338" s="243"/>
      <c r="E338" s="243"/>
      <c r="F338" s="243"/>
      <c r="G338" s="243"/>
      <c r="H338" s="243"/>
      <c r="I338" s="243"/>
      <c r="J338" s="243"/>
      <c r="K338" s="243"/>
      <c r="L338" s="243"/>
      <c r="M338" s="243"/>
      <c r="N338" s="243"/>
      <c r="O338" s="243"/>
      <c r="P338" s="243"/>
      <c r="Q338" s="243"/>
    </row>
    <row r="339" spans="3:17" ht="12">
      <c r="C339" s="243"/>
      <c r="D339" s="243"/>
      <c r="E339" s="243"/>
      <c r="F339" s="243"/>
      <c r="G339" s="243"/>
      <c r="H339" s="243"/>
      <c r="I339" s="243"/>
      <c r="J339" s="243"/>
      <c r="K339" s="243"/>
      <c r="L339" s="243"/>
      <c r="M339" s="243"/>
      <c r="N339" s="243"/>
      <c r="O339" s="243"/>
      <c r="P339" s="243"/>
      <c r="Q339" s="243"/>
    </row>
    <row r="340" spans="3:17" ht="12">
      <c r="C340" s="243"/>
      <c r="D340" s="243"/>
      <c r="E340" s="243"/>
      <c r="F340" s="243"/>
      <c r="G340" s="243"/>
      <c r="H340" s="243"/>
      <c r="I340" s="243"/>
      <c r="J340" s="243"/>
      <c r="K340" s="243"/>
      <c r="L340" s="243"/>
      <c r="M340" s="243"/>
      <c r="N340" s="243"/>
      <c r="O340" s="243"/>
      <c r="P340" s="243"/>
      <c r="Q340" s="243"/>
    </row>
    <row r="341" spans="3:17" ht="12">
      <c r="C341" s="243"/>
      <c r="D341" s="243"/>
      <c r="E341" s="243"/>
      <c r="F341" s="243"/>
      <c r="G341" s="243"/>
      <c r="H341" s="243"/>
      <c r="I341" s="243"/>
      <c r="J341" s="243"/>
      <c r="K341" s="243"/>
      <c r="L341" s="243"/>
      <c r="M341" s="243"/>
      <c r="N341" s="243"/>
      <c r="O341" s="243"/>
      <c r="P341" s="243"/>
      <c r="Q341" s="243"/>
    </row>
    <row r="342" spans="3:17" ht="12">
      <c r="C342" s="243"/>
      <c r="D342" s="243"/>
      <c r="E342" s="243"/>
      <c r="F342" s="243"/>
      <c r="G342" s="243"/>
      <c r="H342" s="243"/>
      <c r="I342" s="243"/>
      <c r="J342" s="243"/>
      <c r="K342" s="243"/>
      <c r="L342" s="243"/>
      <c r="M342" s="243"/>
      <c r="N342" s="243"/>
      <c r="O342" s="243"/>
      <c r="P342" s="243"/>
      <c r="Q342" s="243"/>
    </row>
    <row r="343" spans="3:17" ht="12">
      <c r="C343" s="243"/>
      <c r="D343" s="243"/>
      <c r="E343" s="243"/>
      <c r="F343" s="243"/>
      <c r="G343" s="243"/>
      <c r="H343" s="243"/>
      <c r="I343" s="243"/>
      <c r="J343" s="243"/>
      <c r="K343" s="243"/>
      <c r="L343" s="243"/>
      <c r="M343" s="243"/>
      <c r="N343" s="243"/>
      <c r="O343" s="243"/>
      <c r="P343" s="243"/>
      <c r="Q343" s="243"/>
    </row>
    <row r="344" spans="3:17" ht="12">
      <c r="C344" s="243"/>
      <c r="D344" s="243"/>
      <c r="E344" s="243"/>
      <c r="F344" s="243"/>
      <c r="G344" s="243"/>
      <c r="H344" s="243"/>
      <c r="I344" s="243"/>
      <c r="J344" s="243"/>
      <c r="K344" s="243"/>
      <c r="L344" s="243"/>
      <c r="M344" s="243"/>
      <c r="N344" s="243"/>
      <c r="O344" s="243"/>
      <c r="P344" s="243"/>
      <c r="Q344" s="243"/>
    </row>
    <row r="345" spans="3:16" ht="12">
      <c r="C345" s="243"/>
      <c r="D345" s="243"/>
      <c r="E345" s="243"/>
      <c r="F345" s="243"/>
      <c r="G345" s="243"/>
      <c r="H345" s="243"/>
      <c r="I345" s="243"/>
      <c r="J345" s="243"/>
      <c r="K345" s="243"/>
      <c r="L345" s="243"/>
      <c r="M345" s="243"/>
      <c r="N345" s="243"/>
      <c r="O345" s="243"/>
      <c r="P345" s="243"/>
    </row>
    <row r="346" spans="3:16" ht="12">
      <c r="C346" s="243"/>
      <c r="D346" s="243"/>
      <c r="E346" s="243"/>
      <c r="F346" s="243"/>
      <c r="G346" s="243"/>
      <c r="H346" s="243"/>
      <c r="I346" s="243"/>
      <c r="J346" s="243"/>
      <c r="K346" s="243"/>
      <c r="L346" s="243"/>
      <c r="M346" s="243"/>
      <c r="N346" s="243"/>
      <c r="O346" s="243"/>
      <c r="P346" s="243"/>
    </row>
    <row r="347" spans="3:16" ht="12">
      <c r="C347" s="243"/>
      <c r="D347" s="243"/>
      <c r="E347" s="243"/>
      <c r="F347" s="243"/>
      <c r="G347" s="243"/>
      <c r="H347" s="243"/>
      <c r="I347" s="243"/>
      <c r="J347" s="243"/>
      <c r="K347" s="243"/>
      <c r="L347" s="243"/>
      <c r="M347" s="243"/>
      <c r="N347" s="243"/>
      <c r="O347" s="243"/>
      <c r="P347" s="243"/>
    </row>
    <row r="348" spans="3:16" ht="12">
      <c r="C348" s="243"/>
      <c r="D348" s="243"/>
      <c r="E348" s="243"/>
      <c r="F348" s="243"/>
      <c r="G348" s="243"/>
      <c r="H348" s="243"/>
      <c r="I348" s="243"/>
      <c r="J348" s="243"/>
      <c r="K348" s="243"/>
      <c r="L348" s="243"/>
      <c r="M348" s="243"/>
      <c r="N348" s="243"/>
      <c r="O348" s="243"/>
      <c r="P348" s="243"/>
    </row>
    <row r="349" spans="3:16" ht="12">
      <c r="C349" s="243"/>
      <c r="D349" s="243"/>
      <c r="E349" s="243"/>
      <c r="F349" s="243"/>
      <c r="G349" s="243"/>
      <c r="H349" s="243"/>
      <c r="I349" s="243"/>
      <c r="J349" s="243"/>
      <c r="K349" s="243"/>
      <c r="L349" s="243"/>
      <c r="M349" s="243"/>
      <c r="N349" s="243"/>
      <c r="O349" s="243"/>
      <c r="P349" s="243"/>
    </row>
    <row r="350" spans="3:16" ht="12">
      <c r="C350" s="243"/>
      <c r="D350" s="243"/>
      <c r="E350" s="243"/>
      <c r="F350" s="243"/>
      <c r="G350" s="243"/>
      <c r="H350" s="243"/>
      <c r="I350" s="243"/>
      <c r="J350" s="243"/>
      <c r="K350" s="243"/>
      <c r="L350" s="243"/>
      <c r="M350" s="243"/>
      <c r="N350" s="243"/>
      <c r="O350" s="243"/>
      <c r="P350" s="243"/>
    </row>
    <row r="351" spans="3:16" ht="12">
      <c r="C351" s="243"/>
      <c r="D351" s="243"/>
      <c r="E351" s="243"/>
      <c r="F351" s="243"/>
      <c r="G351" s="243"/>
      <c r="H351" s="243"/>
      <c r="I351" s="243"/>
      <c r="J351" s="243"/>
      <c r="K351" s="243"/>
      <c r="L351" s="243"/>
      <c r="M351" s="243"/>
      <c r="N351" s="243"/>
      <c r="O351" s="243"/>
      <c r="P351" s="243"/>
    </row>
    <row r="352" spans="3:16" ht="12">
      <c r="C352" s="243"/>
      <c r="D352" s="243"/>
      <c r="E352" s="243"/>
      <c r="F352" s="243"/>
      <c r="G352" s="243"/>
      <c r="H352" s="243"/>
      <c r="I352" s="243"/>
      <c r="J352" s="243"/>
      <c r="K352" s="243"/>
      <c r="L352" s="243"/>
      <c r="M352" s="243"/>
      <c r="N352" s="243"/>
      <c r="O352" s="243"/>
      <c r="P352" s="243"/>
    </row>
    <row r="353" spans="3:16" ht="12">
      <c r="C353" s="243"/>
      <c r="D353" s="243"/>
      <c r="E353" s="243"/>
      <c r="F353" s="243"/>
      <c r="G353" s="243"/>
      <c r="H353" s="243"/>
      <c r="I353" s="243"/>
      <c r="J353" s="243"/>
      <c r="K353" s="243"/>
      <c r="L353" s="243"/>
      <c r="M353" s="243"/>
      <c r="N353" s="243"/>
      <c r="O353" s="243"/>
      <c r="P353" s="243"/>
    </row>
    <row r="354" spans="3:16" ht="12">
      <c r="C354" s="243"/>
      <c r="D354" s="243"/>
      <c r="E354" s="243"/>
      <c r="F354" s="243"/>
      <c r="G354" s="243"/>
      <c r="H354" s="243"/>
      <c r="I354" s="243"/>
      <c r="J354" s="243"/>
      <c r="K354" s="243"/>
      <c r="L354" s="243"/>
      <c r="M354" s="243"/>
      <c r="N354" s="243"/>
      <c r="O354" s="243"/>
      <c r="P354" s="243"/>
    </row>
    <row r="355" spans="3:16" ht="12">
      <c r="C355" s="243"/>
      <c r="D355" s="243"/>
      <c r="E355" s="243"/>
      <c r="F355" s="243"/>
      <c r="G355" s="243"/>
      <c r="H355" s="243"/>
      <c r="I355" s="243"/>
      <c r="J355" s="243"/>
      <c r="K355" s="243"/>
      <c r="L355" s="243"/>
      <c r="M355" s="243"/>
      <c r="N355" s="243"/>
      <c r="O355" s="243"/>
      <c r="P355" s="243"/>
    </row>
    <row r="356" spans="3:16" ht="12">
      <c r="C356" s="243"/>
      <c r="D356" s="243"/>
      <c r="E356" s="243"/>
      <c r="F356" s="243"/>
      <c r="G356" s="243"/>
      <c r="H356" s="243"/>
      <c r="I356" s="243"/>
      <c r="J356" s="243"/>
      <c r="K356" s="243"/>
      <c r="L356" s="243"/>
      <c r="M356" s="243"/>
      <c r="N356" s="243"/>
      <c r="O356" s="243"/>
      <c r="P356" s="243"/>
    </row>
    <row r="357" spans="3:16" ht="12">
      <c r="C357" s="243"/>
      <c r="D357" s="243"/>
      <c r="E357" s="243"/>
      <c r="F357" s="243"/>
      <c r="G357" s="243"/>
      <c r="H357" s="243"/>
      <c r="I357" s="243"/>
      <c r="J357" s="243"/>
      <c r="K357" s="243"/>
      <c r="L357" s="243"/>
      <c r="M357" s="243"/>
      <c r="N357" s="243"/>
      <c r="O357" s="243"/>
      <c r="P357" s="243"/>
    </row>
    <row r="358" spans="3:16" ht="12">
      <c r="C358" s="243"/>
      <c r="D358" s="243"/>
      <c r="E358" s="243"/>
      <c r="F358" s="243"/>
      <c r="G358" s="243"/>
      <c r="H358" s="243"/>
      <c r="I358" s="243"/>
      <c r="J358" s="243"/>
      <c r="K358" s="243"/>
      <c r="L358" s="243"/>
      <c r="M358" s="243"/>
      <c r="N358" s="243"/>
      <c r="O358" s="243"/>
      <c r="P358" s="243"/>
    </row>
    <row r="359" spans="3:16" ht="12">
      <c r="C359" s="243"/>
      <c r="D359" s="243"/>
      <c r="E359" s="243"/>
      <c r="F359" s="243"/>
      <c r="G359" s="243"/>
      <c r="H359" s="243"/>
      <c r="I359" s="243"/>
      <c r="J359" s="243"/>
      <c r="K359" s="243"/>
      <c r="L359" s="243"/>
      <c r="M359" s="243"/>
      <c r="N359" s="243"/>
      <c r="O359" s="243"/>
      <c r="P359" s="243"/>
    </row>
    <row r="360" spans="3:16" ht="12">
      <c r="C360" s="243"/>
      <c r="D360" s="243"/>
      <c r="E360" s="243"/>
      <c r="F360" s="243"/>
      <c r="G360" s="243"/>
      <c r="H360" s="243"/>
      <c r="I360" s="243"/>
      <c r="J360" s="243"/>
      <c r="K360" s="243"/>
      <c r="L360" s="243"/>
      <c r="M360" s="243"/>
      <c r="N360" s="243"/>
      <c r="O360" s="243"/>
      <c r="P360" s="243"/>
    </row>
    <row r="361" spans="3:16" ht="12">
      <c r="C361" s="243"/>
      <c r="D361" s="243"/>
      <c r="E361" s="243"/>
      <c r="F361" s="243"/>
      <c r="G361" s="243"/>
      <c r="H361" s="243"/>
      <c r="I361" s="243"/>
      <c r="J361" s="243"/>
      <c r="K361" s="243"/>
      <c r="L361" s="243"/>
      <c r="M361" s="243"/>
      <c r="N361" s="243"/>
      <c r="O361" s="243"/>
      <c r="P361" s="243"/>
    </row>
    <row r="362" spans="3:16" ht="12">
      <c r="C362" s="243"/>
      <c r="D362" s="243"/>
      <c r="E362" s="243"/>
      <c r="F362" s="243"/>
      <c r="G362" s="243"/>
      <c r="H362" s="243"/>
      <c r="I362" s="243"/>
      <c r="J362" s="243"/>
      <c r="K362" s="243"/>
      <c r="L362" s="243"/>
      <c r="M362" s="243"/>
      <c r="N362" s="243"/>
      <c r="O362" s="243"/>
      <c r="P362" s="243"/>
    </row>
    <row r="363" spans="3:16" ht="12">
      <c r="C363" s="243"/>
      <c r="D363" s="243"/>
      <c r="E363" s="243"/>
      <c r="F363" s="243"/>
      <c r="G363" s="243"/>
      <c r="H363" s="243"/>
      <c r="I363" s="243"/>
      <c r="J363" s="243"/>
      <c r="K363" s="243"/>
      <c r="L363" s="243"/>
      <c r="M363" s="243"/>
      <c r="N363" s="243"/>
      <c r="O363" s="243"/>
      <c r="P363" s="243"/>
    </row>
    <row r="364" spans="3:16" ht="12">
      <c r="C364" s="243"/>
      <c r="D364" s="243"/>
      <c r="E364" s="243"/>
      <c r="F364" s="243"/>
      <c r="G364" s="243"/>
      <c r="H364" s="243"/>
      <c r="I364" s="243"/>
      <c r="J364" s="243"/>
      <c r="K364" s="243"/>
      <c r="L364" s="243"/>
      <c r="M364" s="243"/>
      <c r="N364" s="243"/>
      <c r="O364" s="243"/>
      <c r="P364" s="243"/>
    </row>
    <row r="365" spans="3:16" ht="12">
      <c r="C365" s="243"/>
      <c r="D365" s="243"/>
      <c r="E365" s="243"/>
      <c r="F365" s="243"/>
      <c r="G365" s="243"/>
      <c r="H365" s="243"/>
      <c r="I365" s="243"/>
      <c r="J365" s="243"/>
      <c r="K365" s="243"/>
      <c r="L365" s="243"/>
      <c r="M365" s="243"/>
      <c r="N365" s="243"/>
      <c r="O365" s="243"/>
      <c r="P365" s="243"/>
    </row>
    <row r="366" spans="3:16" ht="12">
      <c r="C366" s="243"/>
      <c r="D366" s="243"/>
      <c r="E366" s="243"/>
      <c r="F366" s="243"/>
      <c r="G366" s="243"/>
      <c r="H366" s="243"/>
      <c r="I366" s="243"/>
      <c r="J366" s="243"/>
      <c r="K366" s="243"/>
      <c r="L366" s="243"/>
      <c r="M366" s="243"/>
      <c r="N366" s="243"/>
      <c r="O366" s="243"/>
      <c r="P366" s="243"/>
    </row>
    <row r="367" spans="3:16" ht="12">
      <c r="C367" s="243"/>
      <c r="D367" s="243"/>
      <c r="E367" s="243"/>
      <c r="F367" s="243"/>
      <c r="G367" s="243"/>
      <c r="H367" s="243"/>
      <c r="I367" s="243"/>
      <c r="J367" s="243"/>
      <c r="K367" s="243"/>
      <c r="L367" s="243"/>
      <c r="M367" s="243"/>
      <c r="N367" s="243"/>
      <c r="O367" s="243"/>
      <c r="P367" s="243"/>
    </row>
    <row r="368" spans="3:16" ht="12">
      <c r="C368" s="243"/>
      <c r="D368" s="243"/>
      <c r="E368" s="243"/>
      <c r="F368" s="243"/>
      <c r="G368" s="243"/>
      <c r="H368" s="243"/>
      <c r="I368" s="243"/>
      <c r="J368" s="243"/>
      <c r="K368" s="243"/>
      <c r="L368" s="243"/>
      <c r="M368" s="243"/>
      <c r="N368" s="243"/>
      <c r="O368" s="243"/>
      <c r="P368" s="243"/>
    </row>
    <row r="369" spans="3:16" ht="12">
      <c r="C369" s="243"/>
      <c r="D369" s="243"/>
      <c r="E369" s="243"/>
      <c r="F369" s="243"/>
      <c r="G369" s="243"/>
      <c r="H369" s="243"/>
      <c r="I369" s="243"/>
      <c r="J369" s="243"/>
      <c r="K369" s="243"/>
      <c r="L369" s="243"/>
      <c r="M369" s="243"/>
      <c r="N369" s="243"/>
      <c r="O369" s="243"/>
      <c r="P369" s="243"/>
    </row>
    <row r="370" spans="3:16" ht="12">
      <c r="C370" s="243"/>
      <c r="D370" s="243"/>
      <c r="E370" s="243"/>
      <c r="F370" s="243"/>
      <c r="G370" s="243"/>
      <c r="H370" s="243"/>
      <c r="I370" s="243"/>
      <c r="J370" s="243"/>
      <c r="K370" s="243"/>
      <c r="L370" s="243"/>
      <c r="M370" s="243"/>
      <c r="N370" s="243"/>
      <c r="O370" s="243"/>
      <c r="P370" s="243"/>
    </row>
    <row r="371" spans="3:16" ht="12">
      <c r="C371" s="243"/>
      <c r="D371" s="243"/>
      <c r="E371" s="243"/>
      <c r="F371" s="243"/>
      <c r="G371" s="243"/>
      <c r="H371" s="243"/>
      <c r="I371" s="243"/>
      <c r="J371" s="243"/>
      <c r="K371" s="243"/>
      <c r="L371" s="243"/>
      <c r="M371" s="243"/>
      <c r="N371" s="243"/>
      <c r="O371" s="243"/>
      <c r="P371" s="243"/>
    </row>
    <row r="372" spans="3:16" ht="12">
      <c r="C372" s="243"/>
      <c r="D372" s="243"/>
      <c r="E372" s="243"/>
      <c r="F372" s="243"/>
      <c r="G372" s="243"/>
      <c r="H372" s="243"/>
      <c r="I372" s="243"/>
      <c r="J372" s="243"/>
      <c r="K372" s="243"/>
      <c r="L372" s="243"/>
      <c r="M372" s="243"/>
      <c r="N372" s="243"/>
      <c r="O372" s="243"/>
      <c r="P372" s="243"/>
    </row>
    <row r="373" spans="3:16" ht="12">
      <c r="C373" s="243"/>
      <c r="D373" s="243"/>
      <c r="E373" s="243"/>
      <c r="F373" s="243"/>
      <c r="G373" s="243"/>
      <c r="H373" s="243"/>
      <c r="I373" s="243"/>
      <c r="J373" s="243"/>
      <c r="K373" s="243"/>
      <c r="L373" s="243"/>
      <c r="M373" s="243"/>
      <c r="N373" s="243"/>
      <c r="O373" s="243"/>
      <c r="P373" s="243"/>
    </row>
    <row r="374" spans="3:16" ht="12">
      <c r="C374" s="243"/>
      <c r="D374" s="243"/>
      <c r="E374" s="243"/>
      <c r="F374" s="243"/>
      <c r="G374" s="243"/>
      <c r="H374" s="243"/>
      <c r="I374" s="243"/>
      <c r="J374" s="243"/>
      <c r="K374" s="243"/>
      <c r="L374" s="243"/>
      <c r="M374" s="243"/>
      <c r="N374" s="243"/>
      <c r="O374" s="243"/>
      <c r="P374" s="243"/>
    </row>
    <row r="375" spans="3:16" ht="12">
      <c r="C375" s="243"/>
      <c r="D375" s="243"/>
      <c r="E375" s="243"/>
      <c r="F375" s="243"/>
      <c r="G375" s="243"/>
      <c r="H375" s="243"/>
      <c r="I375" s="243"/>
      <c r="J375" s="243"/>
      <c r="K375" s="243"/>
      <c r="L375" s="243"/>
      <c r="M375" s="243"/>
      <c r="N375" s="243"/>
      <c r="O375" s="243"/>
      <c r="P375" s="243"/>
    </row>
    <row r="376" spans="3:16" ht="12">
      <c r="C376" s="243"/>
      <c r="D376" s="243"/>
      <c r="E376" s="243"/>
      <c r="F376" s="243"/>
      <c r="G376" s="243"/>
      <c r="H376" s="243"/>
      <c r="I376" s="243"/>
      <c r="J376" s="243"/>
      <c r="K376" s="243"/>
      <c r="L376" s="243"/>
      <c r="M376" s="243"/>
      <c r="N376" s="243"/>
      <c r="O376" s="243"/>
      <c r="P376" s="243"/>
    </row>
    <row r="377" spans="3:16" ht="12">
      <c r="C377" s="243"/>
      <c r="D377" s="243"/>
      <c r="E377" s="243"/>
      <c r="F377" s="243"/>
      <c r="G377" s="243"/>
      <c r="H377" s="243"/>
      <c r="I377" s="243"/>
      <c r="J377" s="243"/>
      <c r="K377" s="243"/>
      <c r="L377" s="243"/>
      <c r="M377" s="243"/>
      <c r="N377" s="243"/>
      <c r="O377" s="243"/>
      <c r="P377" s="243"/>
    </row>
    <row r="378" spans="3:16" ht="12">
      <c r="C378" s="243"/>
      <c r="D378" s="243"/>
      <c r="E378" s="243"/>
      <c r="F378" s="243"/>
      <c r="G378" s="243"/>
      <c r="H378" s="243"/>
      <c r="I378" s="243"/>
      <c r="J378" s="243"/>
      <c r="K378" s="243"/>
      <c r="L378" s="243"/>
      <c r="M378" s="243"/>
      <c r="N378" s="243"/>
      <c r="O378" s="243"/>
      <c r="P378" s="243"/>
    </row>
    <row r="379" spans="3:16" ht="12">
      <c r="C379" s="243"/>
      <c r="D379" s="243"/>
      <c r="E379" s="243"/>
      <c r="F379" s="243"/>
      <c r="G379" s="243"/>
      <c r="H379" s="243"/>
      <c r="I379" s="243"/>
      <c r="J379" s="243"/>
      <c r="K379" s="243"/>
      <c r="L379" s="243"/>
      <c r="M379" s="243"/>
      <c r="N379" s="243"/>
      <c r="O379" s="243"/>
      <c r="P379" s="243"/>
    </row>
    <row r="380" spans="3:16" ht="12">
      <c r="C380" s="243"/>
      <c r="D380" s="243"/>
      <c r="E380" s="243"/>
      <c r="F380" s="243"/>
      <c r="G380" s="243"/>
      <c r="H380" s="243"/>
      <c r="I380" s="243"/>
      <c r="J380" s="243"/>
      <c r="K380" s="243"/>
      <c r="L380" s="243"/>
      <c r="M380" s="243"/>
      <c r="N380" s="243"/>
      <c r="O380" s="243"/>
      <c r="P380" s="243"/>
    </row>
    <row r="381" spans="3:16" ht="12">
      <c r="C381" s="243"/>
      <c r="D381" s="243"/>
      <c r="E381" s="243"/>
      <c r="F381" s="243"/>
      <c r="G381" s="243"/>
      <c r="H381" s="243"/>
      <c r="I381" s="243"/>
      <c r="J381" s="243"/>
      <c r="K381" s="243"/>
      <c r="L381" s="243"/>
      <c r="M381" s="243"/>
      <c r="N381" s="243"/>
      <c r="O381" s="243"/>
      <c r="P381" s="243"/>
    </row>
    <row r="382" spans="3:16" ht="12">
      <c r="C382" s="243"/>
      <c r="D382" s="243"/>
      <c r="E382" s="243"/>
      <c r="F382" s="243"/>
      <c r="G382" s="243"/>
      <c r="H382" s="243"/>
      <c r="I382" s="243"/>
      <c r="J382" s="243"/>
      <c r="K382" s="243"/>
      <c r="L382" s="243"/>
      <c r="M382" s="243"/>
      <c r="N382" s="243"/>
      <c r="O382" s="243"/>
      <c r="P382" s="243"/>
    </row>
    <row r="383" spans="3:16" ht="12">
      <c r="C383" s="243"/>
      <c r="D383" s="243"/>
      <c r="E383" s="243"/>
      <c r="F383" s="243"/>
      <c r="G383" s="243"/>
      <c r="H383" s="243"/>
      <c r="I383" s="243"/>
      <c r="J383" s="243"/>
      <c r="K383" s="243"/>
      <c r="L383" s="243"/>
      <c r="M383" s="243"/>
      <c r="N383" s="243"/>
      <c r="O383" s="243"/>
      <c r="P383" s="243"/>
    </row>
    <row r="384" spans="3:16" ht="12">
      <c r="C384" s="243"/>
      <c r="D384" s="243"/>
      <c r="E384" s="243"/>
      <c r="F384" s="243"/>
      <c r="G384" s="243"/>
      <c r="H384" s="243"/>
      <c r="I384" s="243"/>
      <c r="J384" s="243"/>
      <c r="K384" s="243"/>
      <c r="L384" s="243"/>
      <c r="M384" s="243"/>
      <c r="N384" s="243"/>
      <c r="O384" s="243"/>
      <c r="P384" s="243"/>
    </row>
    <row r="385" spans="3:16" ht="12">
      <c r="C385" s="243"/>
      <c r="D385" s="243"/>
      <c r="E385" s="243"/>
      <c r="F385" s="243"/>
      <c r="G385" s="243"/>
      <c r="H385" s="243"/>
      <c r="I385" s="243"/>
      <c r="J385" s="243"/>
      <c r="K385" s="243"/>
      <c r="L385" s="243"/>
      <c r="M385" s="243"/>
      <c r="N385" s="243"/>
      <c r="O385" s="243"/>
      <c r="P385" s="243"/>
    </row>
    <row r="386" spans="3:16" ht="12">
      <c r="C386" s="243"/>
      <c r="D386" s="243"/>
      <c r="E386" s="243"/>
      <c r="F386" s="243"/>
      <c r="G386" s="243"/>
      <c r="H386" s="243"/>
      <c r="I386" s="243"/>
      <c r="J386" s="243"/>
      <c r="K386" s="243"/>
      <c r="L386" s="243"/>
      <c r="M386" s="243"/>
      <c r="N386" s="243"/>
      <c r="O386" s="243"/>
      <c r="P386" s="243"/>
    </row>
    <row r="387" spans="3:16" ht="12">
      <c r="C387" s="243"/>
      <c r="D387" s="243"/>
      <c r="E387" s="243"/>
      <c r="F387" s="243"/>
      <c r="G387" s="243"/>
      <c r="H387" s="243"/>
      <c r="I387" s="243"/>
      <c r="J387" s="243"/>
      <c r="K387" s="243"/>
      <c r="L387" s="243"/>
      <c r="M387" s="243"/>
      <c r="N387" s="243"/>
      <c r="O387" s="243"/>
      <c r="P387" s="243"/>
    </row>
    <row r="388" spans="3:16" ht="12">
      <c r="C388" s="243"/>
      <c r="D388" s="243"/>
      <c r="E388" s="243"/>
      <c r="F388" s="243"/>
      <c r="G388" s="243"/>
      <c r="H388" s="243"/>
      <c r="I388" s="243"/>
      <c r="J388" s="243"/>
      <c r="K388" s="243"/>
      <c r="L388" s="243"/>
      <c r="M388" s="243"/>
      <c r="N388" s="243"/>
      <c r="O388" s="243"/>
      <c r="P388" s="243"/>
    </row>
    <row r="389" spans="3:16" ht="12">
      <c r="C389" s="243"/>
      <c r="D389" s="243"/>
      <c r="E389" s="243"/>
      <c r="F389" s="243"/>
      <c r="G389" s="243"/>
      <c r="H389" s="243"/>
      <c r="I389" s="243"/>
      <c r="J389" s="243"/>
      <c r="K389" s="243"/>
      <c r="L389" s="243"/>
      <c r="M389" s="243"/>
      <c r="N389" s="243"/>
      <c r="O389" s="243"/>
      <c r="P389" s="243"/>
    </row>
    <row r="390" spans="3:16" ht="12">
      <c r="C390" s="243"/>
      <c r="D390" s="243"/>
      <c r="E390" s="243"/>
      <c r="F390" s="243"/>
      <c r="G390" s="243"/>
      <c r="H390" s="243"/>
      <c r="I390" s="243"/>
      <c r="J390" s="243"/>
      <c r="K390" s="243"/>
      <c r="L390" s="243"/>
      <c r="M390" s="243"/>
      <c r="N390" s="243"/>
      <c r="O390" s="243"/>
      <c r="P390" s="243"/>
    </row>
    <row r="391" spans="3:16" ht="12">
      <c r="C391" s="243"/>
      <c r="D391" s="243"/>
      <c r="E391" s="243"/>
      <c r="F391" s="243"/>
      <c r="G391" s="243"/>
      <c r="H391" s="243"/>
      <c r="I391" s="243"/>
      <c r="J391" s="243"/>
      <c r="K391" s="243"/>
      <c r="L391" s="243"/>
      <c r="M391" s="243"/>
      <c r="N391" s="243"/>
      <c r="O391" s="243"/>
      <c r="P391" s="243"/>
    </row>
    <row r="392" spans="3:16" ht="12">
      <c r="C392" s="243"/>
      <c r="D392" s="243"/>
      <c r="E392" s="243"/>
      <c r="F392" s="243"/>
      <c r="G392" s="243"/>
      <c r="H392" s="243"/>
      <c r="I392" s="243"/>
      <c r="J392" s="243"/>
      <c r="K392" s="243"/>
      <c r="L392" s="243"/>
      <c r="M392" s="243"/>
      <c r="N392" s="243"/>
      <c r="O392" s="243"/>
      <c r="P392" s="243"/>
    </row>
    <row r="393" spans="3:16" ht="12">
      <c r="C393" s="243"/>
      <c r="D393" s="243"/>
      <c r="E393" s="243"/>
      <c r="F393" s="243"/>
      <c r="G393" s="243"/>
      <c r="H393" s="243"/>
      <c r="I393" s="243"/>
      <c r="J393" s="243"/>
      <c r="K393" s="243"/>
      <c r="L393" s="243"/>
      <c r="M393" s="243"/>
      <c r="N393" s="243"/>
      <c r="O393" s="243"/>
      <c r="P393" s="243"/>
    </row>
    <row r="394" spans="3:16" ht="12">
      <c r="C394" s="243"/>
      <c r="D394" s="243"/>
      <c r="E394" s="243"/>
      <c r="F394" s="243"/>
      <c r="G394" s="243"/>
      <c r="H394" s="243"/>
      <c r="I394" s="243"/>
      <c r="J394" s="243"/>
      <c r="K394" s="243"/>
      <c r="L394" s="243"/>
      <c r="M394" s="243"/>
      <c r="N394" s="243"/>
      <c r="O394" s="243"/>
      <c r="P394" s="243"/>
    </row>
    <row r="395" spans="3:16" ht="12">
      <c r="C395" s="243"/>
      <c r="D395" s="243"/>
      <c r="E395" s="243"/>
      <c r="F395" s="243"/>
      <c r="G395" s="243"/>
      <c r="H395" s="243"/>
      <c r="I395" s="243"/>
      <c r="J395" s="243"/>
      <c r="K395" s="243"/>
      <c r="L395" s="243"/>
      <c r="M395" s="243"/>
      <c r="N395" s="243"/>
      <c r="O395" s="243"/>
      <c r="P395" s="243"/>
    </row>
    <row r="396" spans="3:16" ht="12">
      <c r="C396" s="243"/>
      <c r="D396" s="243"/>
      <c r="E396" s="243"/>
      <c r="F396" s="243"/>
      <c r="G396" s="243"/>
      <c r="H396" s="243"/>
      <c r="I396" s="243"/>
      <c r="J396" s="243"/>
      <c r="K396" s="243"/>
      <c r="L396" s="243"/>
      <c r="M396" s="243"/>
      <c r="N396" s="243"/>
      <c r="O396" s="243"/>
      <c r="P396" s="243"/>
    </row>
    <row r="397" spans="3:16" ht="12">
      <c r="C397" s="243"/>
      <c r="D397" s="243"/>
      <c r="E397" s="243"/>
      <c r="F397" s="243"/>
      <c r="G397" s="243"/>
      <c r="H397" s="243"/>
      <c r="I397" s="243"/>
      <c r="J397" s="243"/>
      <c r="K397" s="243"/>
      <c r="L397" s="243"/>
      <c r="M397" s="243"/>
      <c r="N397" s="243"/>
      <c r="O397" s="243"/>
      <c r="P397" s="243"/>
    </row>
    <row r="398" spans="3:16" ht="12">
      <c r="C398" s="243"/>
      <c r="D398" s="243"/>
      <c r="E398" s="243"/>
      <c r="F398" s="243"/>
      <c r="G398" s="243"/>
      <c r="H398" s="243"/>
      <c r="I398" s="243"/>
      <c r="J398" s="243"/>
      <c r="K398" s="243"/>
      <c r="L398" s="243"/>
      <c r="M398" s="243"/>
      <c r="N398" s="243"/>
      <c r="O398" s="243"/>
      <c r="P398" s="243"/>
    </row>
    <row r="399" spans="3:16" ht="12">
      <c r="C399" s="243"/>
      <c r="D399" s="243"/>
      <c r="E399" s="243"/>
      <c r="F399" s="243"/>
      <c r="G399" s="243"/>
      <c r="H399" s="243"/>
      <c r="I399" s="243"/>
      <c r="J399" s="243"/>
      <c r="K399" s="243"/>
      <c r="L399" s="243"/>
      <c r="M399" s="243"/>
      <c r="N399" s="243"/>
      <c r="O399" s="243"/>
      <c r="P399" s="243"/>
    </row>
    <row r="400" spans="3:16" ht="12">
      <c r="C400" s="243"/>
      <c r="D400" s="243"/>
      <c r="E400" s="243"/>
      <c r="F400" s="243"/>
      <c r="G400" s="243"/>
      <c r="H400" s="243"/>
      <c r="I400" s="243"/>
      <c r="J400" s="243"/>
      <c r="K400" s="243"/>
      <c r="L400" s="243"/>
      <c r="M400" s="243"/>
      <c r="N400" s="243"/>
      <c r="O400" s="243"/>
      <c r="P400" s="243"/>
    </row>
    <row r="401" spans="3:16" ht="12">
      <c r="C401" s="243"/>
      <c r="D401" s="243"/>
      <c r="E401" s="243"/>
      <c r="F401" s="243"/>
      <c r="G401" s="243"/>
      <c r="H401" s="243"/>
      <c r="I401" s="243"/>
      <c r="J401" s="243"/>
      <c r="K401" s="243"/>
      <c r="L401" s="243"/>
      <c r="M401" s="243"/>
      <c r="N401" s="243"/>
      <c r="O401" s="243"/>
      <c r="P401" s="243"/>
    </row>
    <row r="402" spans="3:16" ht="12">
      <c r="C402" s="243"/>
      <c r="D402" s="243"/>
      <c r="E402" s="243"/>
      <c r="F402" s="243"/>
      <c r="G402" s="243"/>
      <c r="H402" s="243"/>
      <c r="I402" s="243"/>
      <c r="J402" s="243"/>
      <c r="K402" s="243"/>
      <c r="L402" s="243"/>
      <c r="M402" s="243"/>
      <c r="N402" s="243"/>
      <c r="O402" s="243"/>
      <c r="P402" s="243"/>
    </row>
    <row r="403" spans="3:16" ht="12">
      <c r="C403" s="243"/>
      <c r="D403" s="243"/>
      <c r="E403" s="243"/>
      <c r="F403" s="243"/>
      <c r="G403" s="243"/>
      <c r="H403" s="243"/>
      <c r="I403" s="243"/>
      <c r="J403" s="243"/>
      <c r="K403" s="243"/>
      <c r="L403" s="243"/>
      <c r="M403" s="243"/>
      <c r="N403" s="243"/>
      <c r="O403" s="243"/>
      <c r="P403" s="243"/>
    </row>
    <row r="404" spans="3:16" ht="12">
      <c r="C404" s="243"/>
      <c r="D404" s="243"/>
      <c r="E404" s="243"/>
      <c r="F404" s="243"/>
      <c r="G404" s="243"/>
      <c r="H404" s="243"/>
      <c r="I404" s="243"/>
      <c r="J404" s="243"/>
      <c r="K404" s="243"/>
      <c r="L404" s="243"/>
      <c r="M404" s="243"/>
      <c r="N404" s="243"/>
      <c r="O404" s="243"/>
      <c r="P404" s="243"/>
    </row>
    <row r="405" spans="3:16" ht="12">
      <c r="C405" s="243"/>
      <c r="D405" s="243"/>
      <c r="E405" s="243"/>
      <c r="F405" s="243"/>
      <c r="G405" s="243"/>
      <c r="H405" s="243"/>
      <c r="I405" s="243"/>
      <c r="J405" s="243"/>
      <c r="K405" s="243"/>
      <c r="L405" s="243"/>
      <c r="M405" s="243"/>
      <c r="N405" s="243"/>
      <c r="O405" s="243"/>
      <c r="P405" s="243"/>
    </row>
    <row r="406" spans="3:16" ht="12">
      <c r="C406" s="243"/>
      <c r="D406" s="243"/>
      <c r="E406" s="243"/>
      <c r="F406" s="243"/>
      <c r="G406" s="243"/>
      <c r="H406" s="243"/>
      <c r="I406" s="243"/>
      <c r="J406" s="243"/>
      <c r="K406" s="243"/>
      <c r="L406" s="243"/>
      <c r="M406" s="243"/>
      <c r="N406" s="243"/>
      <c r="O406" s="243"/>
      <c r="P406" s="243"/>
    </row>
    <row r="407" spans="3:16" ht="12">
      <c r="C407" s="243"/>
      <c r="D407" s="243"/>
      <c r="E407" s="243"/>
      <c r="F407" s="243"/>
      <c r="G407" s="243"/>
      <c r="H407" s="243"/>
      <c r="I407" s="243"/>
      <c r="J407" s="243"/>
      <c r="K407" s="243"/>
      <c r="L407" s="243"/>
      <c r="M407" s="243"/>
      <c r="N407" s="243"/>
      <c r="O407" s="243"/>
      <c r="P407" s="243"/>
    </row>
    <row r="408" spans="3:16" ht="12">
      <c r="C408" s="243"/>
      <c r="D408" s="243"/>
      <c r="E408" s="243"/>
      <c r="F408" s="243"/>
      <c r="G408" s="243"/>
      <c r="H408" s="243"/>
      <c r="I408" s="243"/>
      <c r="J408" s="243"/>
      <c r="K408" s="243"/>
      <c r="L408" s="243"/>
      <c r="M408" s="243"/>
      <c r="N408" s="243"/>
      <c r="O408" s="243"/>
      <c r="P408" s="243"/>
    </row>
    <row r="409" spans="3:16" ht="12">
      <c r="C409" s="243"/>
      <c r="D409" s="243"/>
      <c r="E409" s="243"/>
      <c r="F409" s="243"/>
      <c r="G409" s="243"/>
      <c r="H409" s="243"/>
      <c r="I409" s="243"/>
      <c r="J409" s="243"/>
      <c r="K409" s="243"/>
      <c r="L409" s="243"/>
      <c r="M409" s="243"/>
      <c r="N409" s="243"/>
      <c r="O409" s="243"/>
      <c r="P409" s="243"/>
    </row>
    <row r="410" spans="3:16" ht="12">
      <c r="C410" s="243"/>
      <c r="D410" s="243"/>
      <c r="E410" s="243"/>
      <c r="F410" s="243"/>
      <c r="G410" s="243"/>
      <c r="H410" s="243"/>
      <c r="I410" s="243"/>
      <c r="J410" s="243"/>
      <c r="K410" s="243"/>
      <c r="L410" s="243"/>
      <c r="M410" s="243"/>
      <c r="N410" s="243"/>
      <c r="O410" s="243"/>
      <c r="P410" s="243"/>
    </row>
    <row r="411" spans="3:16" ht="12">
      <c r="C411" s="243"/>
      <c r="D411" s="243"/>
      <c r="E411" s="243"/>
      <c r="F411" s="243"/>
      <c r="G411" s="243"/>
      <c r="H411" s="243"/>
      <c r="I411" s="243"/>
      <c r="J411" s="243"/>
      <c r="K411" s="243"/>
      <c r="L411" s="243"/>
      <c r="M411" s="243"/>
      <c r="N411" s="243"/>
      <c r="O411" s="243"/>
      <c r="P411" s="243"/>
    </row>
    <row r="412" spans="3:16" ht="12">
      <c r="C412" s="243"/>
      <c r="D412" s="243"/>
      <c r="E412" s="243"/>
      <c r="F412" s="243"/>
      <c r="G412" s="243"/>
      <c r="H412" s="243"/>
      <c r="I412" s="243"/>
      <c r="J412" s="243"/>
      <c r="K412" s="243"/>
      <c r="L412" s="243"/>
      <c r="M412" s="243"/>
      <c r="N412" s="243"/>
      <c r="O412" s="243"/>
      <c r="P412" s="243"/>
    </row>
    <row r="413" spans="3:16" ht="12">
      <c r="C413" s="243"/>
      <c r="D413" s="243"/>
      <c r="E413" s="243"/>
      <c r="F413" s="243"/>
      <c r="G413" s="243"/>
      <c r="H413" s="243"/>
      <c r="I413" s="243"/>
      <c r="J413" s="243"/>
      <c r="K413" s="243"/>
      <c r="L413" s="243"/>
      <c r="M413" s="243"/>
      <c r="N413" s="243"/>
      <c r="O413" s="243"/>
      <c r="P413" s="243"/>
    </row>
    <row r="414" spans="3:16" ht="12">
      <c r="C414" s="243"/>
      <c r="D414" s="243"/>
      <c r="E414" s="243"/>
      <c r="F414" s="243"/>
      <c r="G414" s="243"/>
      <c r="H414" s="243"/>
      <c r="I414" s="243"/>
      <c r="J414" s="243"/>
      <c r="K414" s="243"/>
      <c r="L414" s="243"/>
      <c r="M414" s="243"/>
      <c r="N414" s="243"/>
      <c r="O414" s="243"/>
      <c r="P414" s="243"/>
    </row>
    <row r="415" spans="3:16" ht="12">
      <c r="C415" s="243"/>
      <c r="D415" s="243"/>
      <c r="E415" s="243"/>
      <c r="F415" s="243"/>
      <c r="G415" s="243"/>
      <c r="H415" s="243"/>
      <c r="I415" s="243"/>
      <c r="J415" s="243"/>
      <c r="K415" s="243"/>
      <c r="L415" s="243"/>
      <c r="M415" s="243"/>
      <c r="N415" s="243"/>
      <c r="O415" s="243"/>
      <c r="P415" s="243"/>
    </row>
    <row r="416" spans="3:16" ht="12">
      <c r="C416" s="243"/>
      <c r="D416" s="243"/>
      <c r="E416" s="243"/>
      <c r="F416" s="243"/>
      <c r="G416" s="243"/>
      <c r="H416" s="243"/>
      <c r="I416" s="243"/>
      <c r="J416" s="243"/>
      <c r="K416" s="243"/>
      <c r="L416" s="243"/>
      <c r="M416" s="243"/>
      <c r="N416" s="243"/>
      <c r="O416" s="243"/>
      <c r="P416" s="243"/>
    </row>
    <row r="417" spans="3:16" ht="12">
      <c r="C417" s="243"/>
      <c r="D417" s="243"/>
      <c r="E417" s="243"/>
      <c r="F417" s="243"/>
      <c r="G417" s="243"/>
      <c r="H417" s="243"/>
      <c r="I417" s="243"/>
      <c r="J417" s="243"/>
      <c r="K417" s="243"/>
      <c r="L417" s="243"/>
      <c r="M417" s="243"/>
      <c r="N417" s="243"/>
      <c r="O417" s="243"/>
      <c r="P417" s="243"/>
    </row>
    <row r="418" spans="3:16" ht="12">
      <c r="C418" s="243"/>
      <c r="D418" s="243"/>
      <c r="E418" s="243"/>
      <c r="F418" s="243"/>
      <c r="G418" s="243"/>
      <c r="H418" s="243"/>
      <c r="I418" s="243"/>
      <c r="J418" s="243"/>
      <c r="K418" s="243"/>
      <c r="L418" s="243"/>
      <c r="M418" s="243"/>
      <c r="N418" s="243"/>
      <c r="O418" s="243"/>
      <c r="P418" s="243"/>
    </row>
    <row r="419" spans="3:16" ht="12">
      <c r="C419" s="243"/>
      <c r="D419" s="243"/>
      <c r="E419" s="243"/>
      <c r="F419" s="243"/>
      <c r="G419" s="243"/>
      <c r="H419" s="243"/>
      <c r="I419" s="243"/>
      <c r="J419" s="243"/>
      <c r="K419" s="243"/>
      <c r="L419" s="243"/>
      <c r="M419" s="243"/>
      <c r="N419" s="243"/>
      <c r="O419" s="243"/>
      <c r="P419" s="243"/>
    </row>
    <row r="420" spans="3:16" ht="12">
      <c r="C420" s="243"/>
      <c r="D420" s="243"/>
      <c r="E420" s="243"/>
      <c r="F420" s="243"/>
      <c r="G420" s="243"/>
      <c r="H420" s="243"/>
      <c r="I420" s="243"/>
      <c r="J420" s="243"/>
      <c r="K420" s="243"/>
      <c r="L420" s="243"/>
      <c r="M420" s="243"/>
      <c r="N420" s="243"/>
      <c r="O420" s="243"/>
      <c r="P420" s="243"/>
    </row>
    <row r="421" spans="3:16" ht="12">
      <c r="C421" s="243"/>
      <c r="D421" s="243"/>
      <c r="E421" s="243"/>
      <c r="F421" s="243"/>
      <c r="G421" s="243"/>
      <c r="H421" s="243"/>
      <c r="I421" s="243"/>
      <c r="J421" s="243"/>
      <c r="K421" s="243"/>
      <c r="L421" s="243"/>
      <c r="M421" s="243"/>
      <c r="N421" s="243"/>
      <c r="O421" s="243"/>
      <c r="P421" s="243"/>
    </row>
    <row r="422" spans="3:16" ht="12">
      <c r="C422" s="243"/>
      <c r="D422" s="243"/>
      <c r="E422" s="243"/>
      <c r="F422" s="243"/>
      <c r="G422" s="243"/>
      <c r="H422" s="243"/>
      <c r="I422" s="243"/>
      <c r="J422" s="243"/>
      <c r="K422" s="243"/>
      <c r="L422" s="243"/>
      <c r="M422" s="243"/>
      <c r="N422" s="243"/>
      <c r="O422" s="243"/>
      <c r="P422" s="243"/>
    </row>
    <row r="423" spans="3:16" ht="12">
      <c r="C423" s="243"/>
      <c r="D423" s="243"/>
      <c r="E423" s="243"/>
      <c r="F423" s="243"/>
      <c r="G423" s="243"/>
      <c r="H423" s="243"/>
      <c r="I423" s="243"/>
      <c r="J423" s="243"/>
      <c r="K423" s="243"/>
      <c r="L423" s="243"/>
      <c r="M423" s="243"/>
      <c r="N423" s="243"/>
      <c r="O423" s="243"/>
      <c r="P423" s="243"/>
    </row>
    <row r="424" spans="3:16" ht="12">
      <c r="C424" s="243"/>
      <c r="D424" s="243"/>
      <c r="E424" s="243"/>
      <c r="F424" s="243"/>
      <c r="G424" s="243"/>
      <c r="H424" s="243"/>
      <c r="I424" s="243"/>
      <c r="J424" s="243"/>
      <c r="K424" s="243"/>
      <c r="L424" s="243"/>
      <c r="M424" s="243"/>
      <c r="N424" s="243"/>
      <c r="O424" s="243"/>
      <c r="P424" s="243"/>
    </row>
    <row r="425" spans="3:16" ht="12">
      <c r="C425" s="243"/>
      <c r="D425" s="243"/>
      <c r="E425" s="243"/>
      <c r="F425" s="243"/>
      <c r="G425" s="243"/>
      <c r="H425" s="243"/>
      <c r="I425" s="243"/>
      <c r="J425" s="243"/>
      <c r="K425" s="243"/>
      <c r="L425" s="243"/>
      <c r="M425" s="243"/>
      <c r="N425" s="243"/>
      <c r="O425" s="243"/>
      <c r="P425" s="243"/>
    </row>
    <row r="426" spans="3:16" ht="12">
      <c r="C426" s="243"/>
      <c r="D426" s="243"/>
      <c r="E426" s="243"/>
      <c r="F426" s="243"/>
      <c r="G426" s="243"/>
      <c r="H426" s="243"/>
      <c r="I426" s="243"/>
      <c r="J426" s="243"/>
      <c r="K426" s="243"/>
      <c r="L426" s="243"/>
      <c r="M426" s="243"/>
      <c r="N426" s="243"/>
      <c r="O426" s="243"/>
      <c r="P426" s="243"/>
    </row>
    <row r="427" spans="3:16" ht="12">
      <c r="C427" s="243"/>
      <c r="D427" s="243"/>
      <c r="E427" s="243"/>
      <c r="F427" s="243"/>
      <c r="G427" s="243"/>
      <c r="H427" s="243"/>
      <c r="I427" s="243"/>
      <c r="J427" s="243"/>
      <c r="K427" s="243"/>
      <c r="L427" s="243"/>
      <c r="M427" s="243"/>
      <c r="N427" s="243"/>
      <c r="O427" s="243"/>
      <c r="P427" s="243"/>
    </row>
    <row r="428" spans="3:16" ht="12">
      <c r="C428" s="243"/>
      <c r="D428" s="243"/>
      <c r="E428" s="243"/>
      <c r="F428" s="243"/>
      <c r="G428" s="243"/>
      <c r="H428" s="243"/>
      <c r="I428" s="243"/>
      <c r="J428" s="243"/>
      <c r="K428" s="243"/>
      <c r="L428" s="243"/>
      <c r="M428" s="243"/>
      <c r="N428" s="243"/>
      <c r="O428" s="243"/>
      <c r="P428" s="243"/>
    </row>
    <row r="429" spans="3:16" ht="12">
      <c r="C429" s="243"/>
      <c r="D429" s="243"/>
      <c r="E429" s="243"/>
      <c r="F429" s="243"/>
      <c r="G429" s="243"/>
      <c r="H429" s="243"/>
      <c r="I429" s="243"/>
      <c r="J429" s="243"/>
      <c r="K429" s="243"/>
      <c r="L429" s="243"/>
      <c r="M429" s="243"/>
      <c r="N429" s="243"/>
      <c r="O429" s="243"/>
      <c r="P429" s="243"/>
    </row>
    <row r="430" spans="3:16" ht="12">
      <c r="C430" s="243"/>
      <c r="D430" s="243"/>
      <c r="E430" s="243"/>
      <c r="F430" s="243"/>
      <c r="G430" s="243"/>
      <c r="H430" s="243"/>
      <c r="I430" s="243"/>
      <c r="J430" s="243"/>
      <c r="K430" s="243"/>
      <c r="L430" s="243"/>
      <c r="M430" s="243"/>
      <c r="N430" s="243"/>
      <c r="O430" s="243"/>
      <c r="P430" s="243"/>
    </row>
    <row r="431" spans="3:16" ht="12">
      <c r="C431" s="243"/>
      <c r="D431" s="243"/>
      <c r="E431" s="243"/>
      <c r="F431" s="243"/>
      <c r="G431" s="243"/>
      <c r="H431" s="243"/>
      <c r="I431" s="243"/>
      <c r="J431" s="243"/>
      <c r="K431" s="243"/>
      <c r="L431" s="243"/>
      <c r="M431" s="243"/>
      <c r="N431" s="243"/>
      <c r="O431" s="243"/>
      <c r="P431" s="243"/>
    </row>
    <row r="432" spans="3:16" ht="12">
      <c r="C432" s="243"/>
      <c r="D432" s="243"/>
      <c r="E432" s="243"/>
      <c r="F432" s="243"/>
      <c r="G432" s="243"/>
      <c r="H432" s="243"/>
      <c r="I432" s="243"/>
      <c r="J432" s="243"/>
      <c r="K432" s="243"/>
      <c r="L432" s="243"/>
      <c r="M432" s="243"/>
      <c r="N432" s="243"/>
      <c r="O432" s="243"/>
      <c r="P432" s="243"/>
    </row>
    <row r="433" spans="3:16" ht="12">
      <c r="C433" s="243"/>
      <c r="D433" s="243"/>
      <c r="E433" s="243"/>
      <c r="F433" s="243"/>
      <c r="G433" s="243"/>
      <c r="H433" s="243"/>
      <c r="I433" s="243"/>
      <c r="J433" s="243"/>
      <c r="K433" s="243"/>
      <c r="L433" s="243"/>
      <c r="M433" s="243"/>
      <c r="N433" s="243"/>
      <c r="O433" s="243"/>
      <c r="P433" s="243"/>
    </row>
    <row r="434" spans="3:16" ht="12">
      <c r="C434" s="243"/>
      <c r="D434" s="243"/>
      <c r="E434" s="243"/>
      <c r="F434" s="243"/>
      <c r="G434" s="243"/>
      <c r="H434" s="243"/>
      <c r="I434" s="243"/>
      <c r="J434" s="243"/>
      <c r="K434" s="243"/>
      <c r="L434" s="243"/>
      <c r="M434" s="243"/>
      <c r="N434" s="243"/>
      <c r="O434" s="243"/>
      <c r="P434" s="243"/>
    </row>
    <row r="435" spans="3:16" ht="12">
      <c r="C435" s="243"/>
      <c r="D435" s="243"/>
      <c r="E435" s="243"/>
      <c r="F435" s="243"/>
      <c r="G435" s="243"/>
      <c r="H435" s="243"/>
      <c r="I435" s="243"/>
      <c r="J435" s="243"/>
      <c r="K435" s="243"/>
      <c r="L435" s="243"/>
      <c r="M435" s="243"/>
      <c r="N435" s="243"/>
      <c r="O435" s="243"/>
      <c r="P435" s="243"/>
    </row>
    <row r="436" spans="3:16" ht="12">
      <c r="C436" s="243"/>
      <c r="D436" s="243"/>
      <c r="E436" s="243"/>
      <c r="F436" s="243"/>
      <c r="G436" s="243"/>
      <c r="H436" s="243"/>
      <c r="I436" s="243"/>
      <c r="J436" s="243"/>
      <c r="K436" s="243"/>
      <c r="L436" s="243"/>
      <c r="M436" s="243"/>
      <c r="N436" s="243"/>
      <c r="O436" s="243"/>
      <c r="P436" s="243"/>
    </row>
    <row r="437" spans="3:16" ht="12">
      <c r="C437" s="243"/>
      <c r="D437" s="243"/>
      <c r="E437" s="243"/>
      <c r="F437" s="243"/>
      <c r="G437" s="243"/>
      <c r="H437" s="243"/>
      <c r="I437" s="243"/>
      <c r="J437" s="243"/>
      <c r="K437" s="243"/>
      <c r="L437" s="243"/>
      <c r="M437" s="243"/>
      <c r="N437" s="243"/>
      <c r="O437" s="243"/>
      <c r="P437" s="243"/>
    </row>
    <row r="438" spans="3:16" ht="12">
      <c r="C438" s="243"/>
      <c r="D438" s="243"/>
      <c r="E438" s="243"/>
      <c r="F438" s="243"/>
      <c r="G438" s="243"/>
      <c r="H438" s="243"/>
      <c r="I438" s="243"/>
      <c r="J438" s="243"/>
      <c r="K438" s="243"/>
      <c r="L438" s="243"/>
      <c r="M438" s="243"/>
      <c r="N438" s="243"/>
      <c r="O438" s="243"/>
      <c r="P438" s="243"/>
    </row>
    <row r="439" spans="3:16" ht="12">
      <c r="C439" s="243"/>
      <c r="D439" s="243"/>
      <c r="E439" s="243"/>
      <c r="F439" s="243"/>
      <c r="G439" s="243"/>
      <c r="H439" s="243"/>
      <c r="I439" s="243"/>
      <c r="J439" s="243"/>
      <c r="K439" s="243"/>
      <c r="L439" s="243"/>
      <c r="M439" s="243"/>
      <c r="N439" s="243"/>
      <c r="O439" s="243"/>
      <c r="P439" s="243"/>
    </row>
    <row r="440" spans="3:16" ht="12">
      <c r="C440" s="243"/>
      <c r="D440" s="243"/>
      <c r="E440" s="243"/>
      <c r="F440" s="243"/>
      <c r="G440" s="243"/>
      <c r="H440" s="243"/>
      <c r="I440" s="243"/>
      <c r="J440" s="243"/>
      <c r="K440" s="243"/>
      <c r="L440" s="243"/>
      <c r="M440" s="243"/>
      <c r="N440" s="243"/>
      <c r="O440" s="243"/>
      <c r="P440" s="243"/>
    </row>
    <row r="441" spans="3:16" ht="12">
      <c r="C441" s="243"/>
      <c r="D441" s="243"/>
      <c r="E441" s="243"/>
      <c r="F441" s="243"/>
      <c r="G441" s="243"/>
      <c r="H441" s="243"/>
      <c r="I441" s="243"/>
      <c r="J441" s="243"/>
      <c r="K441" s="243"/>
      <c r="L441" s="243"/>
      <c r="M441" s="243"/>
      <c r="N441" s="243"/>
      <c r="O441" s="243"/>
      <c r="P441" s="243"/>
    </row>
    <row r="442" spans="3:16" ht="12">
      <c r="C442" s="243"/>
      <c r="D442" s="243"/>
      <c r="E442" s="243"/>
      <c r="F442" s="243"/>
      <c r="G442" s="243"/>
      <c r="H442" s="243"/>
      <c r="I442" s="243"/>
      <c r="J442" s="243"/>
      <c r="K442" s="243"/>
      <c r="L442" s="243"/>
      <c r="M442" s="243"/>
      <c r="N442" s="243"/>
      <c r="O442" s="243"/>
      <c r="P442" s="243"/>
    </row>
    <row r="443" spans="3:16" ht="12">
      <c r="C443" s="243"/>
      <c r="D443" s="243"/>
      <c r="E443" s="243"/>
      <c r="F443" s="243"/>
      <c r="G443" s="243"/>
      <c r="H443" s="243"/>
      <c r="I443" s="243"/>
      <c r="J443" s="243"/>
      <c r="K443" s="243"/>
      <c r="L443" s="243"/>
      <c r="M443" s="243"/>
      <c r="N443" s="243"/>
      <c r="O443" s="243"/>
      <c r="P443" s="243"/>
    </row>
    <row r="444" spans="3:16" ht="12">
      <c r="C444" s="243"/>
      <c r="D444" s="243"/>
      <c r="E444" s="243"/>
      <c r="F444" s="243"/>
      <c r="G444" s="243"/>
      <c r="H444" s="243"/>
      <c r="I444" s="243"/>
      <c r="J444" s="243"/>
      <c r="K444" s="243"/>
      <c r="L444" s="243"/>
      <c r="M444" s="243"/>
      <c r="N444" s="243"/>
      <c r="O444" s="243"/>
      <c r="P444" s="243"/>
    </row>
    <row r="445" spans="3:16" ht="12">
      <c r="C445" s="243"/>
      <c r="D445" s="243"/>
      <c r="E445" s="243"/>
      <c r="F445" s="243"/>
      <c r="G445" s="243"/>
      <c r="H445" s="243"/>
      <c r="I445" s="243"/>
      <c r="J445" s="243"/>
      <c r="K445" s="243"/>
      <c r="L445" s="243"/>
      <c r="M445" s="243"/>
      <c r="N445" s="243"/>
      <c r="O445" s="243"/>
      <c r="P445" s="243"/>
    </row>
    <row r="446" spans="3:16" ht="12">
      <c r="C446" s="243"/>
      <c r="D446" s="243"/>
      <c r="E446" s="243"/>
      <c r="F446" s="243"/>
      <c r="G446" s="243"/>
      <c r="H446" s="243"/>
      <c r="I446" s="243"/>
      <c r="J446" s="243"/>
      <c r="K446" s="243"/>
      <c r="L446" s="243"/>
      <c r="M446" s="243"/>
      <c r="N446" s="243"/>
      <c r="O446" s="243"/>
      <c r="P446" s="243"/>
    </row>
    <row r="447" spans="3:16" ht="12">
      <c r="C447" s="243"/>
      <c r="D447" s="243"/>
      <c r="E447" s="243"/>
      <c r="F447" s="243"/>
      <c r="G447" s="243"/>
      <c r="H447" s="243"/>
      <c r="I447" s="243"/>
      <c r="J447" s="243"/>
      <c r="K447" s="243"/>
      <c r="L447" s="243"/>
      <c r="M447" s="243"/>
      <c r="N447" s="243"/>
      <c r="O447" s="243"/>
      <c r="P447" s="243"/>
    </row>
    <row r="448" spans="3:16" ht="12">
      <c r="C448" s="243"/>
      <c r="D448" s="243"/>
      <c r="E448" s="243"/>
      <c r="F448" s="243"/>
      <c r="G448" s="243"/>
      <c r="H448" s="243"/>
      <c r="I448" s="243"/>
      <c r="J448" s="243"/>
      <c r="K448" s="243"/>
      <c r="L448" s="243"/>
      <c r="M448" s="243"/>
      <c r="N448" s="243"/>
      <c r="O448" s="243"/>
      <c r="P448" s="243"/>
    </row>
    <row r="449" spans="3:16" ht="12">
      <c r="C449" s="243"/>
      <c r="D449" s="243"/>
      <c r="E449" s="243"/>
      <c r="F449" s="243"/>
      <c r="G449" s="243"/>
      <c r="H449" s="243"/>
      <c r="I449" s="243"/>
      <c r="J449" s="243"/>
      <c r="K449" s="243"/>
      <c r="L449" s="243"/>
      <c r="M449" s="243"/>
      <c r="N449" s="243"/>
      <c r="O449" s="243"/>
      <c r="P449" s="243"/>
    </row>
    <row r="450" spans="3:16" ht="12">
      <c r="C450" s="243"/>
      <c r="D450" s="243"/>
      <c r="E450" s="243"/>
      <c r="F450" s="243"/>
      <c r="G450" s="243"/>
      <c r="H450" s="243"/>
      <c r="I450" s="243"/>
      <c r="J450" s="243"/>
      <c r="K450" s="243"/>
      <c r="L450" s="243"/>
      <c r="M450" s="243"/>
      <c r="N450" s="243"/>
      <c r="O450" s="243"/>
      <c r="P450" s="243"/>
    </row>
    <row r="451" spans="3:16" ht="12">
      <c r="C451" s="243"/>
      <c r="D451" s="243"/>
      <c r="E451" s="243"/>
      <c r="F451" s="243"/>
      <c r="G451" s="243"/>
      <c r="H451" s="243"/>
      <c r="I451" s="243"/>
      <c r="J451" s="243"/>
      <c r="K451" s="243"/>
      <c r="L451" s="243"/>
      <c r="M451" s="243"/>
      <c r="N451" s="243"/>
      <c r="O451" s="243"/>
      <c r="P451" s="243"/>
    </row>
    <row r="452" spans="3:16" ht="12">
      <c r="C452" s="243"/>
      <c r="D452" s="243"/>
      <c r="E452" s="243"/>
      <c r="F452" s="243"/>
      <c r="G452" s="243"/>
      <c r="H452" s="243"/>
      <c r="I452" s="243"/>
      <c r="J452" s="243"/>
      <c r="K452" s="243"/>
      <c r="L452" s="243"/>
      <c r="M452" s="243"/>
      <c r="N452" s="243"/>
      <c r="O452" s="243"/>
      <c r="P452" s="243"/>
    </row>
    <row r="453" spans="3:16" ht="12">
      <c r="C453" s="243"/>
      <c r="D453" s="243"/>
      <c r="E453" s="243"/>
      <c r="F453" s="243"/>
      <c r="G453" s="243"/>
      <c r="H453" s="243"/>
      <c r="I453" s="243"/>
      <c r="J453" s="243"/>
      <c r="K453" s="243"/>
      <c r="L453" s="243"/>
      <c r="M453" s="243"/>
      <c r="N453" s="243"/>
      <c r="O453" s="243"/>
      <c r="P453" s="243"/>
    </row>
    <row r="454" spans="3:16" ht="12">
      <c r="C454" s="243"/>
      <c r="D454" s="243"/>
      <c r="E454" s="243"/>
      <c r="F454" s="243"/>
      <c r="G454" s="243"/>
      <c r="H454" s="243"/>
      <c r="I454" s="243"/>
      <c r="J454" s="243"/>
      <c r="K454" s="243"/>
      <c r="L454" s="243"/>
      <c r="M454" s="243"/>
      <c r="N454" s="243"/>
      <c r="O454" s="243"/>
      <c r="P454" s="243"/>
    </row>
    <row r="455" spans="3:16" ht="12">
      <c r="C455" s="243"/>
      <c r="D455" s="243"/>
      <c r="E455" s="243"/>
      <c r="F455" s="243"/>
      <c r="G455" s="243"/>
      <c r="H455" s="243"/>
      <c r="I455" s="243"/>
      <c r="J455" s="243"/>
      <c r="K455" s="243"/>
      <c r="L455" s="243"/>
      <c r="M455" s="243"/>
      <c r="N455" s="243"/>
      <c r="O455" s="243"/>
      <c r="P455" s="243"/>
    </row>
    <row r="456" spans="3:16" ht="12">
      <c r="C456" s="243"/>
      <c r="D456" s="243"/>
      <c r="E456" s="243"/>
      <c r="F456" s="243"/>
      <c r="G456" s="243"/>
      <c r="H456" s="243"/>
      <c r="I456" s="243"/>
      <c r="J456" s="243"/>
      <c r="K456" s="243"/>
      <c r="L456" s="243"/>
      <c r="M456" s="243"/>
      <c r="N456" s="243"/>
      <c r="O456" s="243"/>
      <c r="P456" s="243"/>
    </row>
    <row r="457" spans="3:16" ht="12">
      <c r="C457" s="243"/>
      <c r="D457" s="243"/>
      <c r="E457" s="243"/>
      <c r="F457" s="243"/>
      <c r="G457" s="243"/>
      <c r="H457" s="243"/>
      <c r="I457" s="243"/>
      <c r="J457" s="243"/>
      <c r="K457" s="243"/>
      <c r="L457" s="243"/>
      <c r="M457" s="243"/>
      <c r="N457" s="243"/>
      <c r="O457" s="243"/>
      <c r="P457" s="243"/>
    </row>
    <row r="458" spans="3:16" ht="12">
      <c r="C458" s="243"/>
      <c r="D458" s="243"/>
      <c r="E458" s="243"/>
      <c r="F458" s="243"/>
      <c r="G458" s="243"/>
      <c r="H458" s="243"/>
      <c r="I458" s="243"/>
      <c r="J458" s="243"/>
      <c r="K458" s="243"/>
      <c r="L458" s="243"/>
      <c r="M458" s="243"/>
      <c r="N458" s="243"/>
      <c r="O458" s="243"/>
      <c r="P458" s="243"/>
    </row>
    <row r="459" spans="3:16" ht="12">
      <c r="C459" s="243"/>
      <c r="D459" s="243"/>
      <c r="E459" s="243"/>
      <c r="F459" s="243"/>
      <c r="G459" s="243"/>
      <c r="H459" s="243"/>
      <c r="I459" s="243"/>
      <c r="J459" s="243"/>
      <c r="K459" s="243"/>
      <c r="L459" s="243"/>
      <c r="M459" s="243"/>
      <c r="N459" s="243"/>
      <c r="O459" s="243"/>
      <c r="P459" s="243"/>
    </row>
    <row r="460" spans="3:16" ht="12">
      <c r="C460" s="243"/>
      <c r="D460" s="243"/>
      <c r="E460" s="243"/>
      <c r="F460" s="243"/>
      <c r="G460" s="243"/>
      <c r="H460" s="243"/>
      <c r="I460" s="243"/>
      <c r="J460" s="243"/>
      <c r="K460" s="243"/>
      <c r="L460" s="243"/>
      <c r="M460" s="243"/>
      <c r="N460" s="243"/>
      <c r="O460" s="243"/>
      <c r="P460" s="243"/>
    </row>
    <row r="461" spans="3:16" ht="12">
      <c r="C461" s="243"/>
      <c r="D461" s="243"/>
      <c r="E461" s="243"/>
      <c r="F461" s="243"/>
      <c r="G461" s="243"/>
      <c r="H461" s="243"/>
      <c r="I461" s="243"/>
      <c r="J461" s="243"/>
      <c r="K461" s="243"/>
      <c r="L461" s="243"/>
      <c r="M461" s="243"/>
      <c r="N461" s="243"/>
      <c r="O461" s="243"/>
      <c r="P461" s="243"/>
    </row>
    <row r="462" spans="3:16" ht="12">
      <c r="C462" s="243"/>
      <c r="D462" s="243"/>
      <c r="E462" s="243"/>
      <c r="F462" s="243"/>
      <c r="G462" s="243"/>
      <c r="H462" s="243"/>
      <c r="I462" s="243"/>
      <c r="J462" s="243"/>
      <c r="K462" s="243"/>
      <c r="L462" s="243"/>
      <c r="M462" s="243"/>
      <c r="N462" s="243"/>
      <c r="O462" s="243"/>
      <c r="P462" s="243"/>
    </row>
    <row r="463" spans="3:16" ht="12">
      <c r="C463" s="243"/>
      <c r="D463" s="243"/>
      <c r="E463" s="243"/>
      <c r="F463" s="243"/>
      <c r="G463" s="243"/>
      <c r="H463" s="243"/>
      <c r="I463" s="243"/>
      <c r="J463" s="243"/>
      <c r="K463" s="243"/>
      <c r="L463" s="243"/>
      <c r="M463" s="243"/>
      <c r="N463" s="243"/>
      <c r="O463" s="243"/>
      <c r="P463" s="243"/>
    </row>
    <row r="464" spans="3:16" ht="12">
      <c r="C464" s="243"/>
      <c r="D464" s="243"/>
      <c r="E464" s="243"/>
      <c r="F464" s="243"/>
      <c r="G464" s="243"/>
      <c r="H464" s="243"/>
      <c r="I464" s="243"/>
      <c r="J464" s="243"/>
      <c r="K464" s="243"/>
      <c r="L464" s="243"/>
      <c r="M464" s="243"/>
      <c r="N464" s="243"/>
      <c r="O464" s="243"/>
      <c r="P464" s="243"/>
    </row>
    <row r="465" spans="3:16" ht="12">
      <c r="C465" s="243"/>
      <c r="D465" s="243"/>
      <c r="E465" s="243"/>
      <c r="F465" s="243"/>
      <c r="G465" s="243"/>
      <c r="H465" s="243"/>
      <c r="I465" s="243"/>
      <c r="J465" s="243"/>
      <c r="K465" s="243"/>
      <c r="L465" s="243"/>
      <c r="M465" s="243"/>
      <c r="N465" s="243"/>
      <c r="O465" s="243"/>
      <c r="P465" s="243"/>
    </row>
    <row r="466" spans="3:16" ht="12">
      <c r="C466" s="243"/>
      <c r="D466" s="243"/>
      <c r="E466" s="243"/>
      <c r="F466" s="243"/>
      <c r="G466" s="243"/>
      <c r="H466" s="243"/>
      <c r="I466" s="243"/>
      <c r="J466" s="243"/>
      <c r="K466" s="243"/>
      <c r="L466" s="243"/>
      <c r="M466" s="243"/>
      <c r="N466" s="243"/>
      <c r="O466" s="243"/>
      <c r="P466" s="243"/>
    </row>
    <row r="467" spans="3:16" ht="12">
      <c r="C467" s="243"/>
      <c r="D467" s="243"/>
      <c r="E467" s="243"/>
      <c r="F467" s="243"/>
      <c r="G467" s="243"/>
      <c r="H467" s="243"/>
      <c r="I467" s="243"/>
      <c r="J467" s="243"/>
      <c r="K467" s="243"/>
      <c r="L467" s="243"/>
      <c r="M467" s="243"/>
      <c r="N467" s="243"/>
      <c r="O467" s="243"/>
      <c r="P467" s="243"/>
    </row>
    <row r="468" spans="3:16" ht="12">
      <c r="C468" s="243"/>
      <c r="D468" s="243"/>
      <c r="E468" s="243"/>
      <c r="F468" s="243"/>
      <c r="G468" s="243"/>
      <c r="H468" s="243"/>
      <c r="I468" s="243"/>
      <c r="J468" s="243"/>
      <c r="K468" s="243"/>
      <c r="L468" s="243"/>
      <c r="M468" s="243"/>
      <c r="N468" s="243"/>
      <c r="O468" s="243"/>
      <c r="P468" s="243"/>
    </row>
    <row r="469" spans="3:16" ht="12">
      <c r="C469" s="243"/>
      <c r="D469" s="243"/>
      <c r="E469" s="243"/>
      <c r="F469" s="243"/>
      <c r="G469" s="243"/>
      <c r="H469" s="243"/>
      <c r="I469" s="243"/>
      <c r="J469" s="243"/>
      <c r="K469" s="243"/>
      <c r="L469" s="243"/>
      <c r="M469" s="243"/>
      <c r="N469" s="243"/>
      <c r="O469" s="243"/>
      <c r="P469" s="243"/>
    </row>
    <row r="470" spans="3:16" ht="12">
      <c r="C470" s="243"/>
      <c r="D470" s="243"/>
      <c r="E470" s="243"/>
      <c r="F470" s="243"/>
      <c r="G470" s="243"/>
      <c r="H470" s="243"/>
      <c r="I470" s="243"/>
      <c r="J470" s="243"/>
      <c r="K470" s="243"/>
      <c r="L470" s="243"/>
      <c r="M470" s="243"/>
      <c r="N470" s="243"/>
      <c r="O470" s="243"/>
      <c r="P470" s="243"/>
    </row>
    <row r="471" spans="3:16" ht="12">
      <c r="C471" s="243"/>
      <c r="D471" s="243"/>
      <c r="E471" s="243"/>
      <c r="F471" s="243"/>
      <c r="G471" s="243"/>
      <c r="H471" s="243"/>
      <c r="I471" s="243"/>
      <c r="J471" s="243"/>
      <c r="K471" s="243"/>
      <c r="L471" s="243"/>
      <c r="M471" s="243"/>
      <c r="N471" s="243"/>
      <c r="O471" s="243"/>
      <c r="P471" s="243"/>
    </row>
    <row r="472" spans="3:16" ht="12">
      <c r="C472" s="243"/>
      <c r="D472" s="243"/>
      <c r="E472" s="243"/>
      <c r="F472" s="243"/>
      <c r="G472" s="243"/>
      <c r="H472" s="243"/>
      <c r="I472" s="243"/>
      <c r="J472" s="243"/>
      <c r="K472" s="243"/>
      <c r="L472" s="243"/>
      <c r="M472" s="243"/>
      <c r="N472" s="243"/>
      <c r="O472" s="243"/>
      <c r="P472" s="243"/>
    </row>
    <row r="473" spans="3:16" ht="12">
      <c r="C473" s="243"/>
      <c r="D473" s="243"/>
      <c r="E473" s="243"/>
      <c r="F473" s="243"/>
      <c r="G473" s="243"/>
      <c r="H473" s="243"/>
      <c r="I473" s="243"/>
      <c r="J473" s="243"/>
      <c r="K473" s="243"/>
      <c r="L473" s="243"/>
      <c r="M473" s="243"/>
      <c r="N473" s="243"/>
      <c r="O473" s="243"/>
      <c r="P473" s="243"/>
    </row>
    <row r="474" spans="3:16" ht="12">
      <c r="C474" s="243"/>
      <c r="D474" s="243"/>
      <c r="E474" s="243"/>
      <c r="F474" s="243"/>
      <c r="G474" s="243"/>
      <c r="H474" s="243"/>
      <c r="I474" s="243"/>
      <c r="J474" s="243"/>
      <c r="K474" s="243"/>
      <c r="L474" s="243"/>
      <c r="M474" s="243"/>
      <c r="N474" s="243"/>
      <c r="O474" s="243"/>
      <c r="P474" s="243"/>
    </row>
    <row r="475" spans="3:16" ht="12">
      <c r="C475" s="243"/>
      <c r="D475" s="243"/>
      <c r="E475" s="243"/>
      <c r="F475" s="243"/>
      <c r="G475" s="243"/>
      <c r="H475" s="243"/>
      <c r="I475" s="243"/>
      <c r="J475" s="243"/>
      <c r="K475" s="243"/>
      <c r="L475" s="243"/>
      <c r="M475" s="243"/>
      <c r="N475" s="243"/>
      <c r="O475" s="243"/>
      <c r="P475" s="243"/>
    </row>
    <row r="476" spans="3:16" ht="12">
      <c r="C476" s="243"/>
      <c r="D476" s="243"/>
      <c r="E476" s="243"/>
      <c r="F476" s="243"/>
      <c r="G476" s="243"/>
      <c r="H476" s="243"/>
      <c r="I476" s="243"/>
      <c r="J476" s="243"/>
      <c r="K476" s="243"/>
      <c r="L476" s="243"/>
      <c r="M476" s="243"/>
      <c r="N476" s="243"/>
      <c r="O476" s="243"/>
      <c r="P476" s="243"/>
    </row>
    <row r="477" spans="3:16" ht="12">
      <c r="C477" s="243"/>
      <c r="D477" s="243"/>
      <c r="E477" s="243"/>
      <c r="F477" s="243"/>
      <c r="G477" s="243"/>
      <c r="H477" s="243"/>
      <c r="I477" s="243"/>
      <c r="J477" s="243"/>
      <c r="K477" s="243"/>
      <c r="L477" s="243"/>
      <c r="M477" s="243"/>
      <c r="N477" s="243"/>
      <c r="O477" s="243"/>
      <c r="P477" s="243"/>
    </row>
    <row r="478" spans="3:16" ht="12">
      <c r="C478" s="243"/>
      <c r="D478" s="243"/>
      <c r="E478" s="243"/>
      <c r="F478" s="243"/>
      <c r="G478" s="243"/>
      <c r="H478" s="243"/>
      <c r="I478" s="243"/>
      <c r="J478" s="243"/>
      <c r="K478" s="243"/>
      <c r="L478" s="243"/>
      <c r="M478" s="243"/>
      <c r="N478" s="243"/>
      <c r="O478" s="243"/>
      <c r="P478" s="243"/>
    </row>
    <row r="479" spans="3:16" ht="12">
      <c r="C479" s="243"/>
      <c r="D479" s="243"/>
      <c r="E479" s="243"/>
      <c r="F479" s="243"/>
      <c r="G479" s="243"/>
      <c r="H479" s="243"/>
      <c r="I479" s="243"/>
      <c r="J479" s="243"/>
      <c r="K479" s="243"/>
      <c r="L479" s="243"/>
      <c r="M479" s="243"/>
      <c r="N479" s="243"/>
      <c r="O479" s="243"/>
      <c r="P479" s="243"/>
    </row>
  </sheetData>
  <sheetProtection/>
  <hyperlinks>
    <hyperlink ref="A323" location="Contents!A1" display="Return to contents page"/>
  </hyperlinks>
  <printOptions/>
  <pageMargins left="0.75" right="0.75" top="0.66" bottom="0.6" header="0.3" footer="0.31"/>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Harris, Kevin (Analysis Directorate)</cp:lastModifiedBy>
  <cp:lastPrinted>2019-12-11T16:05:04Z</cp:lastPrinted>
  <dcterms:created xsi:type="dcterms:W3CDTF">2000-02-09T17:28:44Z</dcterms:created>
  <dcterms:modified xsi:type="dcterms:W3CDTF">2021-03-23T21:04:42Z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2019-09-20T14:07:12Z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08d46ca3-fce7-4655-b2e5-000055126808</vt:lpwstr>
  </property>
  <property fmtid="{D5CDD505-2E9C-101B-9397-08002B2CF9AE}" pid="8" name="MSIP_Label_ba62f585-b40f-4ab9-bafe-39150f03d124_ContentBits">
    <vt:lpwstr>0</vt:lpwstr>
  </property>
</Properties>
</file>